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E9AE3995-87EB-4046-AA36-82BBC8D9AC77}" xr6:coauthVersionLast="47" xr6:coauthVersionMax="47" xr10:uidLastSave="{00000000-0000-0000-0000-000000000000}"/>
  <bookViews>
    <workbookView xWindow="780" yWindow="780" windowWidth="16095" windowHeight="1617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Constants!$C$120</definedName>
    <definedName name="adept_dp_cap">Constants!$F$120</definedName>
    <definedName name="adept_op_bonus">Constants!$C$119</definedName>
    <definedName name="adept_op_cap">Constants!$F$119</definedName>
    <definedName name="alch_plat">Constants!$B$4</definedName>
    <definedName name="alchemist_flame_bonus">Constants!$F$87</definedName>
    <definedName name="archmage_plat">Overview!$D$28</definedName>
    <definedName name="ares_call_bonus">Constants!$F$77</definedName>
    <definedName name="barracks_size">Constants!$B$64</definedName>
    <definedName name="blizzard_bonus">Constants!$F$86</definedName>
    <definedName name="boat_size">Constants!$B$92</definedName>
    <definedName name="bone_breaker_bonus">Constants!$C$124</definedName>
    <definedName name="bone_breaker_cap">Constants!$F$124</definedName>
    <definedName name="building_employment">Constants!$B$128</definedName>
    <definedName name="dark_elf">Military!$CH$8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Constants!$C$116</definedName>
    <definedName name="druid_dp_cap">Constants!$F$116</definedName>
    <definedName name="druid_op_bonus">Constants!$C$115</definedName>
    <definedName name="druid_op_cap">Constants!$F$115</definedName>
    <definedName name="dryad_bonus">Constants!$C$117</definedName>
    <definedName name="dryad_cap">Constants!$F$117</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Constants!$B$55</definedName>
    <definedName name="food_per_person">Constants!$B$60</definedName>
    <definedName name="frenzy_bonus">Constants!$F$82</definedName>
    <definedName name="frost_mage_bonus">Constants!$C$121</definedName>
    <definedName name="frost_mage_cap">Constants!$F$121</definedName>
    <definedName name="gaias_blessing_food">Constants!$F$84</definedName>
    <definedName name="gaias_blessing_lumber">Constants!$H$84</definedName>
    <definedName name="gaias_watch_bonus">Constants!$F$75</definedName>
    <definedName name="gem_invest">Constants!$B$157</definedName>
    <definedName name="global_constr_cap">Constants!$B$160</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Constants!$D$105</definedName>
    <definedName name="harbor_towers_param">Constants!$D$110</definedName>
    <definedName name="harmony_bonus">Constants!$F$78</definedName>
    <definedName name="home_land">Overview!$B$69</definedName>
    <definedName name="howling_dp_bonus">Constants!$H$85</definedName>
    <definedName name="howling_op_bonus">Constants!$F$85</definedName>
    <definedName name="ice_elem_bonus">Constants!$C$122</definedName>
    <definedName name="ice_elem_cap">Constants!$F$122</definedName>
    <definedName name="icekin">Military!$CH$10</definedName>
    <definedName name="Imps">Imps!$CD$35:$CD$40</definedName>
    <definedName name="keep_cap">Constants!$D$102</definedName>
    <definedName name="keep_param">Constants!$D$107</definedName>
    <definedName name="kobold">Military!$CH$9</definedName>
    <definedName name="lumber_invest">Constants!$B$155</definedName>
    <definedName name="lumber_rot">Constants!$B$56</definedName>
    <definedName name="ly_lumber">Constants!$B$6</definedName>
    <definedName name="mana_drain">Constants!$B$57</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Constants!$C$114</definedName>
    <definedName name="mystic_cap">Constants!$F$114</definedName>
    <definedName name="nightfall_bonus">Constants!$F$88</definedName>
    <definedName name="nightshade_bonus">Constants!$C$125</definedName>
    <definedName name="nox">Military!$CH$12</definedName>
    <definedName name="nox_nightshade_cap">Constants!$F$125</definedName>
    <definedName name="nox_nightshade_swamp_bonus">Constants!$C$125</definedName>
    <definedName name="om_ore">Constants!$B$7</definedName>
    <definedName name="orc">Military!$CH$11</definedName>
    <definedName name="ore_invest">Constants!$B$156</definedName>
    <definedName name="plat_invest">Constants!$B$154</definedName>
    <definedName name="pop_in_building">Constants!$B$68</definedName>
    <definedName name="pop_in_home">Constants!$B$65</definedName>
    <definedName name="pop_on_barren">Constants!$B$69</definedName>
    <definedName name="prestige_food_bonus">Constants!$B$96</definedName>
    <definedName name="prestige_multiplier">Constants!$B$97</definedName>
    <definedName name="prestige_offense_bonus">Constants!$B$98</definedName>
    <definedName name="prestige_pop_multiplier">Constants!$B$97</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Constants!$B$54</definedName>
    <definedName name="raw_pop_growth">Constants!$B$53</definedName>
    <definedName name="research_bonus">Overview!$I$31</definedName>
    <definedName name="resources">Imps!$CD$30:$CD$33</definedName>
    <definedName name="rocka_bonus">Constants!$C$118</definedName>
    <definedName name="rocka_cap">Constants!$F$118</definedName>
    <definedName name="school_max">Constants!$D$23</definedName>
    <definedName name="school_rp">Constants!$B$23</definedName>
    <definedName name="science_cap">Constants!$D$103</definedName>
    <definedName name="science_param">Constants!$D$108</definedName>
    <definedName name="secondary_resource">Military!$AO$2</definedName>
    <definedName name="smithy_bonus">Constants!$B$19</definedName>
    <definedName name="smithy_bonus_cap">Constants!$D$19</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Constants!$B$41</definedName>
    <definedName name="start_boats">Constants!$B$50</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Constants!$B$45</definedName>
    <definedName name="start_forest">Constants!$B$30</definedName>
    <definedName name="start_gems">Constants!$B$49</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Constants!$B$46</definedName>
    <definedName name="start_ly">Constants!$F$26</definedName>
    <definedName name="start_mana">Constants!$B$47</definedName>
    <definedName name="start_masons">Constants!$E$26</definedName>
    <definedName name="start_mountains">Constants!$C$30</definedName>
    <definedName name="start_om">Constants!$H$26</definedName>
    <definedName name="start_op_specs">Constants!$B$35</definedName>
    <definedName name="start_ore">Constants!$B$48</definedName>
    <definedName name="start_peasants">Constants!$B$33</definedName>
    <definedName name="start_plains">Constants!$A$30</definedName>
    <definedName name="start_plat">Constants!$B$44</definedName>
    <definedName name="start_prestige">Constants!$B$95</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Constants!$B$40</definedName>
    <definedName name="sylvan">Military!$CH$6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Constants!$D$111</definedName>
    <definedName name="voodoo_magi_bonus">Constants!$C$123</definedName>
    <definedName name="voodoo_magi_cap">Constants!$F$123</definedName>
    <definedName name="walls_forges_cap">Constants!$D$104</definedName>
    <definedName name="walls_forges_param">Constants!$D$109</definedName>
    <definedName name="warsong_bonus">Constants!$F$83</definedName>
    <definedName name="waves">Races!$D$90:$D$95</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E92" i="4"/>
  <c r="E93" i="4"/>
  <c r="E91" i="4"/>
  <c r="E90" i="4"/>
  <c r="D90" i="4"/>
  <c r="A4" i="1"/>
  <c r="AO4" i="9" l="1"/>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2" i="8" l="1"/>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G7" i="9" l="1"/>
  <c r="AF7" i="9"/>
  <c r="AJ7" i="9"/>
  <c r="AD7" i="9"/>
  <c r="AG8" i="9" l="1"/>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O6" i="1" l="1"/>
  <c r="AG9" i="9"/>
  <c r="J4" i="2"/>
  <c r="AF9" i="9"/>
  <c r="AJ9" i="9"/>
  <c r="AD9" i="9"/>
  <c r="AC4" i="1"/>
  <c r="AB4" i="1"/>
  <c r="O7" i="1" l="1"/>
  <c r="AG10" i="9"/>
  <c r="AF10" i="9"/>
  <c r="AJ10" i="9"/>
  <c r="AD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O8" i="1" l="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G11" i="9"/>
  <c r="AF11" i="9"/>
  <c r="AJ11" i="9"/>
  <c r="AD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M69" i="7"/>
  <c r="M68" i="7"/>
  <c r="M67" i="7"/>
  <c r="M66" i="7"/>
  <c r="M65" i="7"/>
  <c r="M64" i="7"/>
  <c r="M63" i="7"/>
  <c r="M62" i="7"/>
  <c r="M61" i="7"/>
  <c r="M60" i="7"/>
  <c r="M59" i="7"/>
  <c r="M58" i="7"/>
  <c r="M57" i="7"/>
  <c r="M56" i="7"/>
  <c r="CH12" i="8"/>
  <c r="CH11" i="8"/>
  <c r="CH10" i="8"/>
  <c r="CH9" i="8"/>
  <c r="CH8" i="8"/>
  <c r="CH7" i="8"/>
  <c r="CH6" i="8"/>
  <c r="CH5" i="8"/>
  <c r="S5" i="2"/>
  <c r="N5" i="2"/>
  <c r="DH4" i="5"/>
  <c r="B33" i="6"/>
  <c r="C4" i="2" s="1"/>
  <c r="F4" i="1" s="1"/>
  <c r="B46" i="6"/>
  <c r="B45" i="6"/>
  <c r="I4" i="1" s="1"/>
  <c r="B44"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I24" i="12" s="1"/>
  <c r="F24" i="12"/>
  <c r="I25" i="12"/>
  <c r="M25" i="12"/>
  <c r="M26" i="12"/>
  <c r="K27" i="12"/>
  <c r="K28" i="12"/>
  <c r="K24" i="12" s="1"/>
  <c r="J24" i="12" s="1"/>
  <c r="M24" i="12" s="1"/>
  <c r="C34" i="12"/>
  <c r="K34" i="12" s="1"/>
  <c r="J34" i="12" s="1"/>
  <c r="M34" i="12" s="1"/>
  <c r="M39" i="12" s="1"/>
  <c r="I35" i="12"/>
  <c r="I36" i="12"/>
  <c r="M37" i="12"/>
  <c r="K38" i="12"/>
  <c r="K39" i="12"/>
  <c r="F52" i="12"/>
  <c r="E52" i="12" s="1"/>
  <c r="F53" i="12"/>
  <c r="E53" i="12" s="1"/>
  <c r="F54" i="12"/>
  <c r="E54" i="12" s="1"/>
  <c r="F55" i="12"/>
  <c r="E55" i="12" s="1"/>
  <c r="C68" i="6"/>
  <c r="A72" i="6"/>
  <c r="B82" i="6"/>
  <c r="C82" i="6"/>
  <c r="B83" i="6"/>
  <c r="C83" i="6"/>
  <c r="C84" i="6" s="1"/>
  <c r="C85" i="6" s="1"/>
  <c r="C86" i="6" s="1"/>
  <c r="C87" i="6" s="1"/>
  <c r="C88" i="6" s="1"/>
  <c r="C89" i="6" s="1"/>
  <c r="B85" i="6"/>
  <c r="B86" i="6" s="1"/>
  <c r="B92"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6" i="12"/>
  <c r="J36" i="12"/>
  <c r="N36" i="12" s="1"/>
  <c r="N39" i="12" s="1"/>
  <c r="K23" i="12"/>
  <c r="J23" i="12" s="1"/>
  <c r="M23" i="12" s="1"/>
  <c r="K35" i="12"/>
  <c r="C1270" i="1"/>
  <c r="B1270" i="11"/>
  <c r="C1270" i="2"/>
  <c r="A1270" i="10"/>
  <c r="B1270" i="7"/>
  <c r="A1270" i="5"/>
  <c r="B1270" i="8"/>
  <c r="P5" i="2"/>
  <c r="J35" i="12" l="1"/>
  <c r="O9" i="1"/>
  <c r="BJ4" i="1"/>
  <c r="AO4" i="1"/>
  <c r="CQ4" i="5"/>
  <c r="G4" i="5" s="1"/>
  <c r="CT4" i="5"/>
  <c r="J4" i="5" s="1"/>
  <c r="CW4" i="5"/>
  <c r="M4" i="5" s="1"/>
  <c r="DF4" i="5" s="1"/>
  <c r="CS4" i="5"/>
  <c r="I4" i="5" s="1"/>
  <c r="CV4" i="5"/>
  <c r="L4" i="5" s="1"/>
  <c r="CS5" i="5"/>
  <c r="CV5" i="5"/>
  <c r="CR4" i="5"/>
  <c r="H4" i="5" s="1"/>
  <c r="CU4" i="5"/>
  <c r="K4" i="5" s="1"/>
  <c r="CR5"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CA5" i="14" s="1"/>
  <c r="A5" i="9"/>
  <c r="A5" i="7"/>
  <c r="R5" i="7" s="1"/>
  <c r="A5" i="2"/>
  <c r="A5" i="5"/>
  <c r="CQ5" i="5" s="1"/>
  <c r="A5" i="8"/>
  <c r="J6" i="10"/>
  <c r="N6" i="5" s="1"/>
  <c r="BY5" i="11"/>
  <c r="K4" i="10"/>
  <c r="AA4" i="7"/>
  <c r="AE4" i="8" s="1"/>
  <c r="AS4" i="8" s="1"/>
  <c r="L4" i="11"/>
  <c r="F7" i="8"/>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G12" i="9"/>
  <c r="AF12" i="9"/>
  <c r="AJ12" i="9"/>
  <c r="AD12" i="9"/>
  <c r="C1270" i="9"/>
  <c r="R6" i="2"/>
  <c r="Q5" i="2"/>
  <c r="P6" i="2"/>
  <c r="O5" i="2"/>
  <c r="N6" i="2"/>
  <c r="M5" i="2"/>
  <c r="H4" i="2"/>
  <c r="M6" i="2"/>
  <c r="M27" i="12"/>
  <c r="B50" i="4"/>
  <c r="D5" i="12"/>
  <c r="F4" i="12"/>
  <c r="E4" i="12" s="1"/>
  <c r="O7" i="2"/>
  <c r="K22" i="12"/>
  <c r="K25" i="12"/>
  <c r="K33" i="12"/>
  <c r="J4" i="12"/>
  <c r="D67" i="4"/>
  <c r="A35" i="6"/>
  <c r="I36" i="4"/>
  <c r="I37" i="4"/>
  <c r="A36" i="6"/>
  <c r="I8" i="12"/>
  <c r="J7" i="12"/>
  <c r="F1" i="14"/>
  <c r="CT5" i="5" l="1"/>
  <c r="J5" i="5" s="1"/>
  <c r="CU5" i="5"/>
  <c r="K5" i="5" s="1"/>
  <c r="CW5" i="5"/>
  <c r="M5" i="5" s="1"/>
  <c r="J7" i="10"/>
  <c r="N7" i="5" s="1"/>
  <c r="BK5" i="5" a="1"/>
  <c r="BK5" i="5" s="1"/>
  <c r="BN5" i="5" a="1"/>
  <c r="BN5" i="5" s="1"/>
  <c r="BJ5" i="5" a="1"/>
  <c r="BJ5" i="5" s="1"/>
  <c r="BJ6" i="5" s="1" a="1"/>
  <c r="BJ6" i="5" s="1"/>
  <c r="BM5" i="5" a="1"/>
  <c r="BM5" i="5" s="1"/>
  <c r="BH5" i="5" a="1"/>
  <c r="BH5" i="5" s="1"/>
  <c r="BH6" i="5" s="1" a="1"/>
  <c r="BH6" i="5" s="1"/>
  <c r="BG5" i="5" a="1"/>
  <c r="BG5" i="5" s="1"/>
  <c r="BG6" i="5" s="1" a="1"/>
  <c r="BG6" i="5" s="1"/>
  <c r="BF5" i="5" a="1"/>
  <c r="BF5" i="5" s="1"/>
  <c r="BF6" i="5" s="1" a="1"/>
  <c r="BF6" i="5" s="1"/>
  <c r="AY5" i="5" a="1"/>
  <c r="AY5" i="5" s="1"/>
  <c r="BI5" i="5" a="1"/>
  <c r="BI5" i="5" s="1"/>
  <c r="BI6" i="5" s="1" a="1"/>
  <c r="BI6" i="5" s="1"/>
  <c r="BI7" i="5" s="1" a="1"/>
  <c r="BI7" i="5" s="1"/>
  <c r="BE5" i="5" a="1"/>
  <c r="BE5" i="5" s="1"/>
  <c r="BE6" i="5" s="1" a="1"/>
  <c r="BE6" i="5" s="1"/>
  <c r="BE7" i="5" s="1" a="1"/>
  <c r="BE7" i="5" s="1"/>
  <c r="BD5" i="5" a="1"/>
  <c r="BD5" i="5" s="1"/>
  <c r="BD6" i="5" s="1" a="1"/>
  <c r="BD6" i="5" s="1"/>
  <c r="BD7" i="5" s="1" a="1"/>
  <c r="BD7" i="5" s="1"/>
  <c r="BL5" i="5" a="1"/>
  <c r="BL5" i="5" s="1"/>
  <c r="BC5" i="5" a="1"/>
  <c r="BC5" i="5" s="1"/>
  <c r="BB5" i="5" a="1"/>
  <c r="BB5" i="5" s="1"/>
  <c r="BQ5" i="5" a="1"/>
  <c r="BQ5" i="5" s="1"/>
  <c r="BA5" i="5" a="1"/>
  <c r="BA5" i="5" s="1"/>
  <c r="AZ5" i="5" a="1"/>
  <c r="AZ5" i="5" s="1"/>
  <c r="BO5" i="5" a="1"/>
  <c r="BO5" i="5" s="1"/>
  <c r="BO6" i="5" s="1" a="1"/>
  <c r="BO6" i="5" s="1"/>
  <c r="V4" i="2"/>
  <c r="N7" i="2"/>
  <c r="O10" i="1"/>
  <c r="AS5" i="5"/>
  <c r="H5" i="5"/>
  <c r="CA76" i="8"/>
  <c r="CA71" i="8"/>
  <c r="CA72" i="8"/>
  <c r="CA69" i="8"/>
  <c r="CA66" i="8"/>
  <c r="CA73" i="8"/>
  <c r="CA65" i="8"/>
  <c r="CA74" i="8"/>
  <c r="CA75" i="8"/>
  <c r="CA77" i="8"/>
  <c r="AD5" i="8"/>
  <c r="AR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J4" i="7"/>
  <c r="CZ4" i="5"/>
  <c r="B4" i="10"/>
  <c r="D4" i="7"/>
  <c r="G5" i="5"/>
  <c r="B4" i="5"/>
  <c r="G4" i="7"/>
  <c r="DC4" i="5"/>
  <c r="E4" i="10"/>
  <c r="DB4" i="5"/>
  <c r="I5" i="5"/>
  <c r="F4" i="7"/>
  <c r="D4" i="10"/>
  <c r="DA4" i="5"/>
  <c r="C4" i="10"/>
  <c r="E4" i="7"/>
  <c r="F8" i="8"/>
  <c r="J8" i="8"/>
  <c r="E8" i="8"/>
  <c r="CB7" i="8"/>
  <c r="AG13" i="9"/>
  <c r="AF13" i="9"/>
  <c r="AJ13" i="9"/>
  <c r="AD13" i="9"/>
  <c r="S6" i="2"/>
  <c r="P7" i="2"/>
  <c r="Q6" i="2"/>
  <c r="M7" i="2"/>
  <c r="J8" i="10"/>
  <c r="N8" i="5" s="1"/>
  <c r="O8" i="2"/>
  <c r="D6" i="12"/>
  <c r="F5" i="12"/>
  <c r="E5" i="12" s="1"/>
  <c r="DE4" i="5"/>
  <c r="A37" i="6"/>
  <c r="I38" i="4"/>
  <c r="CH18" i="8"/>
  <c r="CH19" i="8"/>
  <c r="J8" i="12"/>
  <c r="I9" i="12"/>
  <c r="AD4" i="1" l="1"/>
  <c r="BG7" i="5" a="1"/>
  <c r="BG7" i="5" s="1"/>
  <c r="CR7" i="5"/>
  <c r="CS7" i="5"/>
  <c r="CU7" i="5"/>
  <c r="CT7" i="5"/>
  <c r="CV7" i="5"/>
  <c r="CQ7" i="5"/>
  <c r="CW7" i="5"/>
  <c r="BH7" i="5" a="1"/>
  <c r="BH7" i="5" s="1"/>
  <c r="BH8" i="5" s="1" a="1"/>
  <c r="BH8" i="5" s="1"/>
  <c r="BM6" i="5" a="1"/>
  <c r="BM6" i="5" s="1"/>
  <c r="BM7" i="5" s="1" a="1"/>
  <c r="BM7" i="5" s="1"/>
  <c r="BM8" i="5" s="1" a="1"/>
  <c r="BM8" i="5" s="1"/>
  <c r="BJ7" i="5" a="1"/>
  <c r="BJ7" i="5" s="1"/>
  <c r="BJ8" i="5" s="1" a="1"/>
  <c r="BJ8" i="5" s="1"/>
  <c r="BO7" i="5" a="1"/>
  <c r="BO7" i="5" s="1"/>
  <c r="BN6" i="5" a="1"/>
  <c r="BN6" i="5" s="1"/>
  <c r="BN7" i="5" s="1" a="1"/>
  <c r="BN7" i="5" s="1"/>
  <c r="BF7" i="5" a="1"/>
  <c r="BF7" i="5" s="1"/>
  <c r="AY6" i="5" a="1"/>
  <c r="AY6" i="5" s="1"/>
  <c r="AY7" i="5" s="1" a="1"/>
  <c r="AY7" i="5" s="1"/>
  <c r="BL6" i="5" a="1"/>
  <c r="BL6" i="5" s="1"/>
  <c r="BL7" i="5" s="1" a="1"/>
  <c r="BL7" i="5" s="1"/>
  <c r="CT6" i="5"/>
  <c r="J6" i="5" s="1"/>
  <c r="CR6" i="5"/>
  <c r="H6" i="5" s="1"/>
  <c r="CQ6" i="5"/>
  <c r="CW6" i="5"/>
  <c r="M6" i="5" s="1"/>
  <c r="CS6" i="5"/>
  <c r="I6" i="5" s="1"/>
  <c r="CU6" i="5"/>
  <c r="K6" i="5" s="1"/>
  <c r="CV6" i="5"/>
  <c r="L6" i="5" s="1"/>
  <c r="AZ6" i="5" a="1"/>
  <c r="AZ6" i="5" s="1"/>
  <c r="AZ7" i="5" s="1" a="1"/>
  <c r="AZ7" i="5" s="1"/>
  <c r="AZ8" i="5" s="1" a="1"/>
  <c r="AZ8" i="5" s="1"/>
  <c r="BK6" i="5" a="1"/>
  <c r="BK6" i="5" s="1"/>
  <c r="BK7" i="5" s="1" a="1"/>
  <c r="BK7" i="5" s="1"/>
  <c r="BK8" i="5" s="1" a="1"/>
  <c r="BK8" i="5" s="1"/>
  <c r="BA6" i="5" a="1"/>
  <c r="BA6" i="5" s="1"/>
  <c r="BA7" i="5" s="1" a="1"/>
  <c r="BA7" i="5" s="1"/>
  <c r="BA8" i="5" s="1" a="1"/>
  <c r="BA8" i="5" s="1"/>
  <c r="BQ6" i="5" a="1"/>
  <c r="BQ6" i="5" s="1"/>
  <c r="BQ7" i="5" s="1" a="1"/>
  <c r="BQ7" i="5" s="1"/>
  <c r="BQ8" i="5" s="1" a="1"/>
  <c r="BQ8" i="5" s="1"/>
  <c r="BB6" i="5" a="1"/>
  <c r="BB6" i="5" s="1"/>
  <c r="BB7" i="5" s="1" a="1"/>
  <c r="BB7" i="5" s="1"/>
  <c r="BC6" i="5" a="1"/>
  <c r="BC6" i="5" s="1"/>
  <c r="BC7" i="5" s="1" a="1"/>
  <c r="BC7" i="5" s="1"/>
  <c r="V5" i="2"/>
  <c r="O11" i="1"/>
  <c r="BP6" i="5" a="1"/>
  <c r="BP6" i="5" s="1"/>
  <c r="AS6" i="5"/>
  <c r="CA78" i="8"/>
  <c r="DG4" i="5" a="1"/>
  <c r="DG4" i="5" s="1"/>
  <c r="DD5" i="5"/>
  <c r="AD6" i="8"/>
  <c r="AR6" i="8"/>
  <c r="AM5" i="1"/>
  <c r="AD7" i="8"/>
  <c r="AR7" i="8"/>
  <c r="C5" i="5"/>
  <c r="DH5" i="5"/>
  <c r="AF4" i="1"/>
  <c r="G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G14" i="9"/>
  <c r="AB5" i="1"/>
  <c r="DI5" i="5"/>
  <c r="AF14" i="9"/>
  <c r="AJ14" i="9"/>
  <c r="AD14" i="9"/>
  <c r="S7" i="2"/>
  <c r="P8" i="2"/>
  <c r="R8" i="2"/>
  <c r="Q7" i="2"/>
  <c r="O9" i="2"/>
  <c r="J9" i="10"/>
  <c r="N9" i="5" s="1"/>
  <c r="M8" i="2"/>
  <c r="F6" i="12"/>
  <c r="E6" i="12" s="1"/>
  <c r="D7" i="12"/>
  <c r="DB5" i="5"/>
  <c r="DE5" i="5"/>
  <c r="DF5" i="5"/>
  <c r="DC5" i="5"/>
  <c r="A38" i="6"/>
  <c r="CH20" i="8"/>
  <c r="CH21" i="8"/>
  <c r="I39" i="4"/>
  <c r="I10" i="12"/>
  <c r="J9" i="12"/>
  <c r="E18" i="4"/>
  <c r="AD5" i="1" l="1"/>
  <c r="AY8" i="5" a="1"/>
  <c r="AY8" i="5" s="1"/>
  <c r="BL8" i="5" a="1"/>
  <c r="BL8" i="5" s="1"/>
  <c r="CU8" i="5"/>
  <c r="CT8" i="5"/>
  <c r="CR8" i="5"/>
  <c r="CW8" i="5"/>
  <c r="CQ8" i="5"/>
  <c r="CS8" i="5"/>
  <c r="CV8" i="5"/>
  <c r="BQ9" i="5" a="1"/>
  <c r="BQ9" i="5" s="1"/>
  <c r="BJ9" i="5" a="1"/>
  <c r="BJ9" i="5" s="1"/>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CA79" i="8"/>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BM9" i="5" s="1" a="1"/>
  <c r="BM9" i="5" s="1"/>
  <c r="DF6" i="5"/>
  <c r="DH6" i="5"/>
  <c r="AR8" i="8"/>
  <c r="AD8" i="8"/>
  <c r="AM7" i="1"/>
  <c r="AF5" i="1"/>
  <c r="AH6" i="5"/>
  <c r="BU6" i="5"/>
  <c r="B6" i="2"/>
  <c r="B6" i="1"/>
  <c r="BG6" i="1" s="1"/>
  <c r="BY8" i="11"/>
  <c r="K7" i="10"/>
  <c r="AA7" i="7"/>
  <c r="AE7" i="8" s="1"/>
  <c r="H7" i="5"/>
  <c r="C6" i="10"/>
  <c r="E6" i="7"/>
  <c r="K7" i="5"/>
  <c r="F6" i="10"/>
  <c r="H6" i="7"/>
  <c r="DD6" i="5"/>
  <c r="AB4" i="8"/>
  <c r="W4" i="8"/>
  <c r="CW4" i="8" s="1"/>
  <c r="A4" i="10"/>
  <c r="AA4" i="10" s="1"/>
  <c r="BD4" i="8"/>
  <c r="AJ4" i="5"/>
  <c r="AP4" i="5" s="1"/>
  <c r="A4" i="11"/>
  <c r="N4" i="11" s="1"/>
  <c r="BE4" i="8"/>
  <c r="BN4" i="8" s="1"/>
  <c r="AI4" i="5"/>
  <c r="B4" i="9"/>
  <c r="X4" i="9" s="1"/>
  <c r="BT4" i="5"/>
  <c r="DA4" i="8"/>
  <c r="DB4" i="8" s="1"/>
  <c r="B4" i="7"/>
  <c r="Q4" i="7" s="1"/>
  <c r="E4" i="1"/>
  <c r="Q4" i="1" s="1"/>
  <c r="L7" i="5"/>
  <c r="G6" i="10"/>
  <c r="I6" i="7"/>
  <c r="BR4" i="8"/>
  <c r="BX4" i="8" s="1"/>
  <c r="CF4" i="8"/>
  <c r="M7" i="5"/>
  <c r="H6" i="10"/>
  <c r="J6" i="7"/>
  <c r="J7" i="5"/>
  <c r="E6" i="10"/>
  <c r="G6" i="7"/>
  <c r="G7" i="5"/>
  <c r="D6" i="7"/>
  <c r="B6" i="10"/>
  <c r="I7" i="5"/>
  <c r="D6" i="10"/>
  <c r="F6" i="7"/>
  <c r="N9" i="2"/>
  <c r="F10" i="8"/>
  <c r="J10" i="8"/>
  <c r="E10" i="8"/>
  <c r="CB9" i="8"/>
  <c r="AG15" i="9"/>
  <c r="CZ6" i="5"/>
  <c r="C6" i="5"/>
  <c r="AC5" i="1"/>
  <c r="DA5" i="5"/>
  <c r="DG5" i="5" s="1" a="1"/>
  <c r="DG5" i="5" s="1"/>
  <c r="AB6" i="1"/>
  <c r="DI6" i="5"/>
  <c r="AF15" i="9"/>
  <c r="AJ15" i="9"/>
  <c r="AD15" i="9"/>
  <c r="B6" i="5"/>
  <c r="S8" i="2"/>
  <c r="P9" i="2"/>
  <c r="R9" i="2"/>
  <c r="Q8" i="2"/>
  <c r="M9" i="2"/>
  <c r="J10" i="10"/>
  <c r="N10" i="5" s="1"/>
  <c r="F7" i="12"/>
  <c r="E7" i="12" s="1"/>
  <c r="D8" i="12"/>
  <c r="O10" i="2"/>
  <c r="J10" i="12"/>
  <c r="I11" i="12"/>
  <c r="AD7" i="1" l="1"/>
  <c r="BI9" i="5" a="1"/>
  <c r="BI9" i="5" s="1"/>
  <c r="AY9" i="5" a="1"/>
  <c r="AY9" i="5" s="1"/>
  <c r="BL9" i="5" a="1"/>
  <c r="BL9" i="5" s="1"/>
  <c r="CV9" i="5"/>
  <c r="CQ9" i="5"/>
  <c r="CT9" i="5"/>
  <c r="CU9" i="5"/>
  <c r="CS9" i="5"/>
  <c r="CR9" i="5"/>
  <c r="CW9" i="5"/>
  <c r="BO9" i="5" a="1"/>
  <c r="BO9" i="5" s="1"/>
  <c r="BO10" i="5" s="1" a="1"/>
  <c r="BO10" i="5" s="1"/>
  <c r="BB9" i="5" a="1"/>
  <c r="BB9" i="5" s="1"/>
  <c r="BB10" i="5" s="1" a="1"/>
  <c r="BB10" i="5" s="1"/>
  <c r="BG9" i="5" a="1"/>
  <c r="BG9" i="5" s="1"/>
  <c r="BG10" i="5" s="1" a="1"/>
  <c r="BG10" i="5" s="1"/>
  <c r="BN9" i="5" a="1"/>
  <c r="BN9" i="5" s="1"/>
  <c r="BN10" i="5" s="1" a="1"/>
  <c r="BN10" i="5" s="1"/>
  <c r="BE9" i="5" a="1"/>
  <c r="BE9" i="5" s="1"/>
  <c r="AZ9" i="5" a="1"/>
  <c r="AZ9" i="5" s="1"/>
  <c r="BD9" i="5" a="1"/>
  <c r="BD9" i="5" s="1"/>
  <c r="BA9" i="5" a="1"/>
  <c r="BA9" i="5" s="1"/>
  <c r="BF9" i="5" a="1"/>
  <c r="BF9" i="5" s="1"/>
  <c r="BH9" i="5" a="1"/>
  <c r="BH9" i="5" s="1"/>
  <c r="BC9" i="5" a="1"/>
  <c r="BC9" i="5" s="1"/>
  <c r="BK9" i="5" a="1"/>
  <c r="BK9" i="5" s="1"/>
  <c r="V7" i="2"/>
  <c r="AO4" i="5"/>
  <c r="AV5" i="5"/>
  <c r="BP8" i="5" a="1"/>
  <c r="BP8" i="5" s="1"/>
  <c r="BD5" i="8"/>
  <c r="BP5" i="8" s="1"/>
  <c r="O13" i="1"/>
  <c r="AM4" i="5"/>
  <c r="BP4" i="8"/>
  <c r="BO4" i="8"/>
  <c r="BL4" i="8"/>
  <c r="BM4" i="8"/>
  <c r="BJ4" i="8"/>
  <c r="BK4" i="8"/>
  <c r="BH4" i="8"/>
  <c r="BI4" i="8"/>
  <c r="BF4" i="8"/>
  <c r="BG4" i="8"/>
  <c r="BS4" i="8"/>
  <c r="BY4" i="8" s="1"/>
  <c r="AC4" i="10"/>
  <c r="X4" i="10" s="1"/>
  <c r="AN4" i="5"/>
  <c r="AR4" i="5" s="1"/>
  <c r="AS8" i="5"/>
  <c r="CA80" i="8"/>
  <c r="AK8" i="11"/>
  <c r="AH8" i="11"/>
  <c r="B5" i="7"/>
  <c r="AE5" i="7" s="1"/>
  <c r="AF5" i="7" s="1"/>
  <c r="W5" i="8"/>
  <c r="CW5" i="8" s="1"/>
  <c r="AI5" i="5"/>
  <c r="B5" i="9"/>
  <c r="X5" i="9" s="1"/>
  <c r="AB5" i="8"/>
  <c r="BM5" i="8" s="1"/>
  <c r="A5" i="10"/>
  <c r="AA5" i="10" s="1"/>
  <c r="A5" i="11"/>
  <c r="N5" i="11" s="1"/>
  <c r="BT5" i="5"/>
  <c r="CF5" i="8"/>
  <c r="AM8" i="1"/>
  <c r="AJ8" i="1"/>
  <c r="DA5" i="8"/>
  <c r="DB5" i="8" s="1"/>
  <c r="AJ5" i="5"/>
  <c r="AP5" i="5" s="1"/>
  <c r="E5" i="1"/>
  <c r="BE5" i="8"/>
  <c r="BN5" i="8" s="1"/>
  <c r="DE7" i="5"/>
  <c r="DF7" i="5"/>
  <c r="DH7" i="5"/>
  <c r="K10" i="11"/>
  <c r="A10" i="14"/>
  <c r="CA10" i="14" s="1"/>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J11" i="8"/>
  <c r="E11" i="8"/>
  <c r="CB10" i="8"/>
  <c r="AG16" i="9"/>
  <c r="F6" i="5"/>
  <c r="AW6" i="5" s="1"/>
  <c r="CZ7" i="5"/>
  <c r="J6" i="2"/>
  <c r="AB7" i="1"/>
  <c r="DI7" i="5"/>
  <c r="DA7" i="5"/>
  <c r="AC6" i="1"/>
  <c r="DA6" i="5"/>
  <c r="DG6" i="5" s="1" a="1"/>
  <c r="DG6" i="5" s="1"/>
  <c r="AF16" i="9"/>
  <c r="AJ16" i="9"/>
  <c r="AD16" i="9"/>
  <c r="B7" i="5"/>
  <c r="CO4" i="8"/>
  <c r="CP4" i="8" s="1"/>
  <c r="S9" i="2"/>
  <c r="P10" i="2"/>
  <c r="N10" i="2"/>
  <c r="R10" i="2"/>
  <c r="Q9" i="2"/>
  <c r="J11" i="10"/>
  <c r="N11" i="5" s="1"/>
  <c r="D9" i="12"/>
  <c r="F8" i="12"/>
  <c r="E8" i="12" s="1"/>
  <c r="O11" i="2"/>
  <c r="M10" i="2"/>
  <c r="M4" i="1"/>
  <c r="F4" i="11" s="1"/>
  <c r="I12" i="12"/>
  <c r="J11" i="12"/>
  <c r="BK10" i="5" l="1" a="1"/>
  <c r="BK10" i="5" s="1"/>
  <c r="AY10" i="5" a="1"/>
  <c r="AY10" i="5" s="1"/>
  <c r="BL10" i="5" a="1"/>
  <c r="BL10" i="5" s="1"/>
  <c r="AD9" i="1" s="1"/>
  <c r="CV10" i="5"/>
  <c r="CU10" i="5"/>
  <c r="CT10" i="5"/>
  <c r="CW10" i="5"/>
  <c r="CS10" i="5"/>
  <c r="CR10" i="5"/>
  <c r="CQ10" i="5"/>
  <c r="BC10" i="5" a="1"/>
  <c r="BC10" i="5" s="1"/>
  <c r="BC11" i="5" s="1" a="1"/>
  <c r="BC11"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S5" i="8"/>
  <c r="BY5" i="8" s="1"/>
  <c r="D6" i="9"/>
  <c r="V8" i="2"/>
  <c r="O4" i="8"/>
  <c r="R4" i="8"/>
  <c r="CJ4" i="8"/>
  <c r="CN4" i="8" s="1"/>
  <c r="AO5" i="5"/>
  <c r="AV6" i="5"/>
  <c r="BP9" i="5" a="1"/>
  <c r="BP9" i="5" s="1"/>
  <c r="BO5" i="8"/>
  <c r="AG5" i="7"/>
  <c r="AI5" i="7" s="1"/>
  <c r="AG4" i="7"/>
  <c r="AI4" i="7" s="1"/>
  <c r="Z4" i="8" s="1"/>
  <c r="B4" i="8" s="1"/>
  <c r="D4" i="2" s="1"/>
  <c r="O14" i="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BN11" i="5" s="1" a="1"/>
  <c r="BN11" i="5" s="1"/>
  <c r="A11" i="2"/>
  <c r="AR10" i="8"/>
  <c r="AD10" i="8"/>
  <c r="AE7" i="1"/>
  <c r="W7" i="1" s="1"/>
  <c r="BU5" i="8"/>
  <c r="CK5" i="8" s="1"/>
  <c r="CU4" i="8"/>
  <c r="CK4" i="8"/>
  <c r="AQ4" i="5"/>
  <c r="BT5" i="8"/>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A6" i="8"/>
  <c r="DB6" i="8" s="1"/>
  <c r="J12" i="8"/>
  <c r="CF6" i="8"/>
  <c r="E12" i="8"/>
  <c r="CB11" i="8"/>
  <c r="BR6" i="8"/>
  <c r="BX6" i="8" s="1"/>
  <c r="CO6" i="8" s="1"/>
  <c r="CP6" i="8" s="1"/>
  <c r="BE6" i="8"/>
  <c r="BN6" i="8" s="1"/>
  <c r="BD6" i="8"/>
  <c r="BP6" i="8" s="1"/>
  <c r="AG17" i="9"/>
  <c r="A6" i="10"/>
  <c r="AA6" i="10" s="1"/>
  <c r="BT6" i="5"/>
  <c r="B6" i="7"/>
  <c r="Q6" i="7" s="1"/>
  <c r="AI6" i="5"/>
  <c r="AJ6" i="5"/>
  <c r="AP6" i="5" s="1"/>
  <c r="B6" i="9"/>
  <c r="X6" i="9" s="1"/>
  <c r="J7" i="2"/>
  <c r="AB6" i="8"/>
  <c r="BM6" i="8" s="1"/>
  <c r="A6" i="11"/>
  <c r="N6" i="11" s="1"/>
  <c r="CZ8" i="5"/>
  <c r="E6" i="1"/>
  <c r="W6" i="8"/>
  <c r="CW6" i="8" s="1"/>
  <c r="C7" i="5"/>
  <c r="F7" i="5" s="1"/>
  <c r="AW7" i="5" s="1"/>
  <c r="AC7" i="1"/>
  <c r="DI8" i="5"/>
  <c r="AB8" i="1"/>
  <c r="AF17" i="9"/>
  <c r="AJ17" i="9"/>
  <c r="AD17" i="9"/>
  <c r="B8" i="5"/>
  <c r="S10" i="2"/>
  <c r="P11" i="2"/>
  <c r="N11" i="2"/>
  <c r="R11" i="2"/>
  <c r="Q10" i="2"/>
  <c r="D10" i="12"/>
  <c r="F9" i="12"/>
  <c r="E9" i="12" s="1"/>
  <c r="J12" i="10"/>
  <c r="N12" i="5" s="1"/>
  <c r="M11" i="2"/>
  <c r="O12" i="2"/>
  <c r="I13" i="12"/>
  <c r="J12" i="12"/>
  <c r="BZ5" i="8" l="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AD10" i="1" s="1"/>
  <c r="CQ11" i="5"/>
  <c r="CT11" i="5"/>
  <c r="CV11" i="5"/>
  <c r="CW11" i="5"/>
  <c r="CU11" i="5"/>
  <c r="CS11" i="5"/>
  <c r="CR11" i="5"/>
  <c r="BA11" i="5" a="1"/>
  <c r="BA11" i="5" s="1"/>
  <c r="BO11" i="5" a="1"/>
  <c r="BO11" i="5" s="1"/>
  <c r="BF11" i="5" a="1"/>
  <c r="BF11" i="5" s="1"/>
  <c r="BB11" i="5" a="1"/>
  <c r="BB11" i="5" s="1"/>
  <c r="BH11" i="5" a="1"/>
  <c r="BH11" i="5" s="1"/>
  <c r="BG11" i="5" a="1"/>
  <c r="BG11" i="5" s="1"/>
  <c r="V9" i="2"/>
  <c r="CL4" i="8"/>
  <c r="O5" i="8"/>
  <c r="F13" i="8"/>
  <c r="CJ5" i="8"/>
  <c r="CN5" i="8" s="1"/>
  <c r="AO6" i="5"/>
  <c r="AV7" i="5"/>
  <c r="BP10" i="5" a="1"/>
  <c r="BP10" i="5" s="1"/>
  <c r="O15" i="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D6" i="8"/>
  <c r="CT6" i="8" s="1"/>
  <c r="DA7" i="8"/>
  <c r="DB7" i="8" s="1"/>
  <c r="CY4" i="8"/>
  <c r="G4" i="1" s="1"/>
  <c r="M4" i="8" s="1"/>
  <c r="J13" i="8"/>
  <c r="CF7" i="8"/>
  <c r="CB12" i="8"/>
  <c r="BR7" i="8"/>
  <c r="BX7" i="8" s="1"/>
  <c r="BS6" i="8"/>
  <c r="BY6" i="8" s="1"/>
  <c r="N6" i="7"/>
  <c r="BD7" i="8"/>
  <c r="BP7" i="8" s="1"/>
  <c r="BE7" i="8"/>
  <c r="BN7" i="8" s="1"/>
  <c r="AG18" i="9"/>
  <c r="Y5" i="11"/>
  <c r="AH5" i="1" s="1"/>
  <c r="BV6" i="8"/>
  <c r="AE6" i="7"/>
  <c r="AF6" i="7" s="1"/>
  <c r="AB5" i="11"/>
  <c r="P5" i="8" s="1"/>
  <c r="BW6" i="8"/>
  <c r="CM6" i="8" s="1"/>
  <c r="BU6" i="8"/>
  <c r="BT6" i="8"/>
  <c r="CC6" i="8"/>
  <c r="CS6" i="8" s="1"/>
  <c r="DA8" i="5"/>
  <c r="DG8" i="5" s="1" a="1"/>
  <c r="DG8" i="5" s="1"/>
  <c r="AD5" i="11"/>
  <c r="AI5" i="1" s="1"/>
  <c r="AC5" i="11"/>
  <c r="T5" i="8" s="1"/>
  <c r="Z5" i="11"/>
  <c r="E7" i="1"/>
  <c r="A7" i="11"/>
  <c r="AC6" i="11" s="1"/>
  <c r="T6" i="8" s="1"/>
  <c r="B7" i="7"/>
  <c r="Q7" i="7" s="1"/>
  <c r="BT7" i="5"/>
  <c r="B7" i="9"/>
  <c r="X7" i="9" s="1"/>
  <c r="W7" i="8"/>
  <c r="CW7" i="8" s="1"/>
  <c r="AJ7" i="5"/>
  <c r="AP7" i="5" s="1"/>
  <c r="AI7" i="5"/>
  <c r="AB7" i="8"/>
  <c r="BM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T4" i="8"/>
  <c r="E4" i="2"/>
  <c r="L4" i="2" s="1"/>
  <c r="AB4" i="7"/>
  <c r="CQ5" i="8"/>
  <c r="CR5" i="8" s="1"/>
  <c r="S11" i="2"/>
  <c r="P12" i="2"/>
  <c r="N12" i="2"/>
  <c r="R12" i="2"/>
  <c r="Q11" i="2"/>
  <c r="M12" i="2"/>
  <c r="O13" i="2"/>
  <c r="D11" i="12"/>
  <c r="F10" i="12"/>
  <c r="E10" i="12" s="1"/>
  <c r="J13" i="10"/>
  <c r="N13" i="5" s="1"/>
  <c r="I14" i="12"/>
  <c r="J13" i="12"/>
  <c r="BG12" i="5" l="1"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K13" i="5" s="1" a="1"/>
  <c r="BK13" i="5" s="1"/>
  <c r="BF12" i="5" a="1"/>
  <c r="BF12" i="5" s="1"/>
  <c r="AZ12" i="5" a="1"/>
  <c r="AZ12" i="5" s="1"/>
  <c r="BO12" i="5" a="1"/>
  <c r="BO12" i="5" s="1"/>
  <c r="BI12" i="5" a="1"/>
  <c r="BI12" i="5" s="1"/>
  <c r="BA12" i="5" a="1"/>
  <c r="BA12" i="5" s="1"/>
  <c r="BE12" i="5" a="1"/>
  <c r="BE12" i="5" s="1"/>
  <c r="BM12" i="5" a="1"/>
  <c r="BM12" i="5" s="1"/>
  <c r="BC12" i="5" a="1"/>
  <c r="BC12" i="5" s="1"/>
  <c r="BN12" i="5" a="1"/>
  <c r="BN12" i="5" s="1"/>
  <c r="V10" i="2"/>
  <c r="CL5" i="8"/>
  <c r="CY5" i="8" s="1"/>
  <c r="G5" i="1" s="1"/>
  <c r="M5" i="8" s="1"/>
  <c r="O6" i="8"/>
  <c r="F14" i="8"/>
  <c r="AO7" i="5"/>
  <c r="AV8" i="5"/>
  <c r="BP11" i="5" a="1"/>
  <c r="BP11" i="5" s="1"/>
  <c r="AG6" i="7"/>
  <c r="AI6" i="7" s="1"/>
  <c r="O16" i="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F8" i="8"/>
  <c r="CB13" i="8"/>
  <c r="BR8" i="8"/>
  <c r="BX8" i="8" s="1"/>
  <c r="BZ6" i="8"/>
  <c r="CQ6" i="8" s="1"/>
  <c r="CR6" i="8" s="1"/>
  <c r="BS7" i="8"/>
  <c r="BZ7" i="8" s="1"/>
  <c r="N7" i="7"/>
  <c r="AR6" i="5"/>
  <c r="BD8" i="8"/>
  <c r="BP8" i="8" s="1"/>
  <c r="BE8" i="8"/>
  <c r="BN8" i="8" s="1"/>
  <c r="AG19" i="9"/>
  <c r="B4" i="14"/>
  <c r="AD6" i="11"/>
  <c r="AI6" i="1" s="1"/>
  <c r="AQ6" i="5"/>
  <c r="CK6" i="8"/>
  <c r="BV7" i="8"/>
  <c r="BT7" i="8"/>
  <c r="CC7" i="8"/>
  <c r="CS7" i="8" s="1"/>
  <c r="Z6" i="11"/>
  <c r="AB6" i="11"/>
  <c r="P6" i="8" s="1"/>
  <c r="BU7" i="8"/>
  <c r="Y6" i="11"/>
  <c r="AH6" i="1" s="1"/>
  <c r="BW7" i="8"/>
  <c r="CM7" i="8" s="1"/>
  <c r="AA6" i="11"/>
  <c r="AK6" i="1" s="1"/>
  <c r="N7" i="11"/>
  <c r="A8" i="11"/>
  <c r="N8" i="11" s="1"/>
  <c r="A8" i="10"/>
  <c r="AA8" i="10" s="1"/>
  <c r="B8" i="7"/>
  <c r="Q8" i="7" s="1"/>
  <c r="AJ8" i="5"/>
  <c r="AP8" i="5" s="1"/>
  <c r="AI8" i="5"/>
  <c r="B8" i="9"/>
  <c r="X8" i="9" s="1"/>
  <c r="W8" i="8"/>
  <c r="CW8" i="8" s="1"/>
  <c r="E8" i="1"/>
  <c r="AB8" i="8"/>
  <c r="BM8" i="8" s="1"/>
  <c r="BT8" i="5"/>
  <c r="J9" i="2"/>
  <c r="C9" i="5"/>
  <c r="F9" i="5" s="1"/>
  <c r="AW9" i="5" s="1"/>
  <c r="AE7" i="7"/>
  <c r="AF7" i="7" s="1"/>
  <c r="CZ10" i="5"/>
  <c r="C10" i="5"/>
  <c r="AC9" i="1"/>
  <c r="DA9" i="5"/>
  <c r="DG9" i="5" s="1" a="1"/>
  <c r="DG9" i="5" s="1"/>
  <c r="AB10" i="1"/>
  <c r="DI10" i="5"/>
  <c r="AF19" i="9"/>
  <c r="AJ19" i="9"/>
  <c r="AD81" i="9"/>
  <c r="CO7" i="8"/>
  <c r="CP7" i="8" s="1"/>
  <c r="S12" i="2"/>
  <c r="P13" i="2"/>
  <c r="N13" i="2"/>
  <c r="R13" i="2"/>
  <c r="Q12" i="2"/>
  <c r="D12" i="12"/>
  <c r="F11" i="12"/>
  <c r="E11" i="12" s="1"/>
  <c r="O14" i="2"/>
  <c r="M13" i="2"/>
  <c r="J14" i="10"/>
  <c r="N14" i="5" s="1"/>
  <c r="I15" i="12"/>
  <c r="J14" i="12"/>
  <c r="BN13" i="5" l="1" a="1"/>
  <c r="BN13" i="5" s="1"/>
  <c r="BC13" i="5" a="1"/>
  <c r="BC13" i="5" s="1"/>
  <c r="AD11" i="1"/>
  <c r="AY13" i="5" a="1"/>
  <c r="AY13" i="5" s="1"/>
  <c r="BL13" i="5" a="1"/>
  <c r="BL13" i="5" s="1"/>
  <c r="CQ13" i="5"/>
  <c r="CR13" i="5"/>
  <c r="CT13" i="5"/>
  <c r="CW13" i="5"/>
  <c r="CS13" i="5"/>
  <c r="CV13" i="5"/>
  <c r="CU13" i="5"/>
  <c r="BM13" i="5" a="1"/>
  <c r="BM13" i="5" s="1"/>
  <c r="BM14" i="5" s="1" a="1"/>
  <c r="BM14" i="5" s="1"/>
  <c r="BE13" i="5" a="1"/>
  <c r="BE13" i="5" s="1"/>
  <c r="BE14" i="5" s="1" a="1"/>
  <c r="BE14" i="5" s="1"/>
  <c r="BQ13" i="5" a="1"/>
  <c r="BQ13" i="5" s="1"/>
  <c r="BQ14" i="5" s="1" a="1"/>
  <c r="BQ14" i="5" s="1"/>
  <c r="BA13" i="5" a="1"/>
  <c r="BA13" i="5" s="1"/>
  <c r="BA14" i="5" s="1" a="1"/>
  <c r="BA14" i="5" s="1"/>
  <c r="BB13" i="5" a="1"/>
  <c r="BB13" i="5" s="1"/>
  <c r="BI13" i="5" a="1"/>
  <c r="BI13" i="5" s="1"/>
  <c r="BJ13" i="5" a="1"/>
  <c r="BJ13" i="5" s="1"/>
  <c r="BJ14" i="5" s="1" a="1"/>
  <c r="BJ14" i="5" s="1"/>
  <c r="BO13" i="5" a="1"/>
  <c r="BO13" i="5" s="1"/>
  <c r="BO14" i="5" s="1" a="1"/>
  <c r="BO14" i="5" s="1"/>
  <c r="BH13" i="5" a="1"/>
  <c r="BH13" i="5" s="1"/>
  <c r="AZ13" i="5" a="1"/>
  <c r="AZ13" i="5" s="1"/>
  <c r="AZ14" i="5" s="1" a="1"/>
  <c r="AZ14" i="5" s="1"/>
  <c r="BD13" i="5" a="1"/>
  <c r="BD13" i="5" s="1"/>
  <c r="BD14" i="5" s="1" a="1"/>
  <c r="BD14" i="5" s="1"/>
  <c r="BF13" i="5" a="1"/>
  <c r="BF13" i="5" s="1"/>
  <c r="BF14" i="5" s="1" a="1"/>
  <c r="BF14" i="5" s="1"/>
  <c r="BG13" i="5" a="1"/>
  <c r="BG13" i="5" s="1"/>
  <c r="BG14" i="5" s="1" a="1"/>
  <c r="BG14" i="5" s="1"/>
  <c r="V11" i="2"/>
  <c r="F15" i="8"/>
  <c r="F16" i="8" s="1"/>
  <c r="AO8" i="5"/>
  <c r="AV9" i="5"/>
  <c r="BP12" i="5" a="1"/>
  <c r="BP12" i="5" s="1"/>
  <c r="AG7" i="7"/>
  <c r="AI7" i="7" s="1"/>
  <c r="O17" i="1"/>
  <c r="BO8" i="8"/>
  <c r="BK8" i="8"/>
  <c r="BL8" i="8"/>
  <c r="BI8" i="8"/>
  <c r="BJ8" i="8"/>
  <c r="BG8" i="8"/>
  <c r="BH8" i="8"/>
  <c r="BF8" i="8"/>
  <c r="AC8" i="10"/>
  <c r="X8" i="10" s="1"/>
  <c r="AN8" i="5"/>
  <c r="AM8" i="5"/>
  <c r="Z4" i="2"/>
  <c r="Z5" i="8" s="1"/>
  <c r="B5" i="8" s="1"/>
  <c r="D5" i="2" s="1"/>
  <c r="AS12" i="5"/>
  <c r="E15" i="8"/>
  <c r="AK12" i="11"/>
  <c r="CA84" i="8"/>
  <c r="AH12" i="11"/>
  <c r="AM12" i="1"/>
  <c r="DF11" i="5"/>
  <c r="DB11" i="5"/>
  <c r="DE11" i="5"/>
  <c r="DH11" i="5"/>
  <c r="AD13" i="8"/>
  <c r="AR13" i="8"/>
  <c r="AF10" i="1"/>
  <c r="AE10" i="1"/>
  <c r="W10" i="1" s="1"/>
  <c r="K14" i="11"/>
  <c r="A14" i="14"/>
  <c r="CA14" i="14" s="1"/>
  <c r="A14" i="5"/>
  <c r="BK14" i="5" s="1" a="1"/>
  <c r="BK14" i="5" s="1"/>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D9" i="9"/>
  <c r="CU7" i="8"/>
  <c r="BY7" i="8"/>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G20" i="9"/>
  <c r="AR7" i="5"/>
  <c r="CC8" i="8"/>
  <c r="CS8" i="8" s="1"/>
  <c r="CK7" i="8"/>
  <c r="BV8" i="8"/>
  <c r="AC7" i="11"/>
  <c r="T7" i="8" s="1"/>
  <c r="AE8" i="7"/>
  <c r="AF8" i="7" s="1"/>
  <c r="BT8" i="8"/>
  <c r="AA7" i="11"/>
  <c r="AK7" i="1" s="1"/>
  <c r="Z7" i="11"/>
  <c r="AQ7" i="5"/>
  <c r="BU8" i="8"/>
  <c r="BW8" i="8"/>
  <c r="CM8" i="8" s="1"/>
  <c r="AB7" i="11"/>
  <c r="P7" i="8" s="1"/>
  <c r="J10" i="2"/>
  <c r="W9" i="8"/>
  <c r="CW9" i="8" s="1"/>
  <c r="B9" i="7"/>
  <c r="AJ9" i="5"/>
  <c r="AP9" i="5" s="1"/>
  <c r="AI9" i="5"/>
  <c r="B9" i="9"/>
  <c r="X9" i="9" s="1"/>
  <c r="AB9" i="8"/>
  <c r="BM9" i="8" s="1"/>
  <c r="A9" i="10"/>
  <c r="AA9" i="10" s="1"/>
  <c r="BT9" i="5"/>
  <c r="A9" i="11"/>
  <c r="E9" i="1"/>
  <c r="CZ11" i="5"/>
  <c r="AD7" i="11"/>
  <c r="AI7" i="1" s="1"/>
  <c r="Y7" i="11"/>
  <c r="AH7" i="1" s="1"/>
  <c r="C11" i="5"/>
  <c r="AC10" i="1"/>
  <c r="DA10" i="5"/>
  <c r="DG10" i="5" s="1" a="1"/>
  <c r="DG10" i="5" s="1"/>
  <c r="AB11" i="1"/>
  <c r="DI11" i="5"/>
  <c r="AF20" i="9"/>
  <c r="AJ20" i="9"/>
  <c r="AD82" i="9"/>
  <c r="CO8" i="8"/>
  <c r="CP8" i="8" s="1"/>
  <c r="S13" i="2"/>
  <c r="P14" i="2"/>
  <c r="N14" i="2"/>
  <c r="R14" i="2"/>
  <c r="Q13" i="2"/>
  <c r="M14" i="2"/>
  <c r="O15" i="2"/>
  <c r="J15" i="10"/>
  <c r="N15" i="5" s="1"/>
  <c r="D13" i="12"/>
  <c r="F12" i="12"/>
  <c r="E12" i="12" s="1"/>
  <c r="J15" i="12"/>
  <c r="I16" i="12"/>
  <c r="AD12" i="1" l="1"/>
  <c r="BH14" i="5" a="1"/>
  <c r="BH14" i="5" s="1"/>
  <c r="BI14" i="5" a="1"/>
  <c r="BI14" i="5" s="1"/>
  <c r="BI15" i="5" s="1" a="1"/>
  <c r="BI15" i="5" s="1"/>
  <c r="BC14" i="5" a="1"/>
  <c r="BC14" i="5" s="1"/>
  <c r="BC15" i="5" s="1" a="1"/>
  <c r="BC15" i="5" s="1"/>
  <c r="AY14" i="5" a="1"/>
  <c r="AY14" i="5" s="1"/>
  <c r="BL14" i="5" a="1"/>
  <c r="BL14" i="5" s="1"/>
  <c r="CQ14" i="5"/>
  <c r="CS14" i="5"/>
  <c r="CR14" i="5"/>
  <c r="CW14" i="5"/>
  <c r="CU14" i="5"/>
  <c r="CT14" i="5"/>
  <c r="CV14" i="5"/>
  <c r="BB14" i="5" a="1"/>
  <c r="BB14" i="5" s="1"/>
  <c r="BN14" i="5" a="1"/>
  <c r="BN14" i="5" s="1"/>
  <c r="V12" i="2"/>
  <c r="E16" i="8"/>
  <c r="E17" i="8" s="1"/>
  <c r="CQ7" i="8"/>
  <c r="CR7" i="8" s="1"/>
  <c r="O7" i="8"/>
  <c r="F17" i="8"/>
  <c r="AO9" i="5"/>
  <c r="AV10" i="5"/>
  <c r="BP13" i="5" a="1"/>
  <c r="BP13" i="5" s="1"/>
  <c r="W10" i="8"/>
  <c r="CW10" i="8" s="1"/>
  <c r="AG8" i="7"/>
  <c r="AI8" i="7" s="1"/>
  <c r="O18" i="1"/>
  <c r="BO9" i="8"/>
  <c r="BK9" i="8"/>
  <c r="BL9" i="8"/>
  <c r="BI9" i="8"/>
  <c r="BJ9" i="8"/>
  <c r="BG9" i="8"/>
  <c r="BH9" i="8"/>
  <c r="BF9" i="8"/>
  <c r="AC9" i="10"/>
  <c r="X9" i="10" s="1"/>
  <c r="AM9" i="5"/>
  <c r="AN9" i="5"/>
  <c r="Y4" i="2"/>
  <c r="AB5" i="7"/>
  <c r="AT5" i="8"/>
  <c r="E5" i="2"/>
  <c r="L5" i="2" s="1"/>
  <c r="H5" i="11"/>
  <c r="AS13" i="5"/>
  <c r="CA85" i="8"/>
  <c r="AH13" i="11"/>
  <c r="DA10" i="8"/>
  <c r="DB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Z15" i="5" s="1" a="1"/>
  <c r="AZ15" i="5" s="1"/>
  <c r="A15" i="7"/>
  <c r="R15" i="7" s="1"/>
  <c r="A15" i="2"/>
  <c r="A15" i="9"/>
  <c r="A15" i="8"/>
  <c r="DD12" i="5"/>
  <c r="AK13" i="11"/>
  <c r="AD14" i="8"/>
  <c r="AR14" i="8"/>
  <c r="AE11" i="1"/>
  <c r="W11" i="1" s="1"/>
  <c r="AF11" i="1"/>
  <c r="BT10" i="5"/>
  <c r="A10" i="11"/>
  <c r="AC9" i="11" s="1"/>
  <c r="T9" i="8" s="1"/>
  <c r="E10" i="1"/>
  <c r="B10" i="7"/>
  <c r="Q10" i="7" s="1"/>
  <c r="A10" i="10"/>
  <c r="AA10" i="10" s="1"/>
  <c r="CF10" i="8"/>
  <c r="AB10" i="8"/>
  <c r="BM10" i="8" s="1"/>
  <c r="BE10" i="8"/>
  <c r="BN10" i="8" s="1"/>
  <c r="B10" i="9"/>
  <c r="X10" i="9" s="1"/>
  <c r="AJ10" i="5"/>
  <c r="AP10" i="5" s="1"/>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J8" i="8"/>
  <c r="CN8" i="8" s="1"/>
  <c r="D10" i="9"/>
  <c r="CU8" i="8"/>
  <c r="CD9" i="8"/>
  <c r="CT9" i="8" s="1"/>
  <c r="BY8" i="8"/>
  <c r="O8" i="8" s="1"/>
  <c r="CB15" i="8"/>
  <c r="BS9" i="8"/>
  <c r="BY9" i="8" s="1"/>
  <c r="N9" i="7"/>
  <c r="AG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F21" i="9"/>
  <c r="AJ21" i="9"/>
  <c r="AD83" i="9"/>
  <c r="L7" i="11"/>
  <c r="AS7" i="8"/>
  <c r="B5" i="14"/>
  <c r="S14" i="2"/>
  <c r="P15" i="2"/>
  <c r="N15" i="2"/>
  <c r="R15" i="2"/>
  <c r="Q14" i="2"/>
  <c r="O16" i="2"/>
  <c r="F13" i="12"/>
  <c r="E13" i="12" s="1"/>
  <c r="D14" i="12"/>
  <c r="J16" i="10"/>
  <c r="N16" i="5" s="1"/>
  <c r="M15" i="2"/>
  <c r="J16" i="12"/>
  <c r="I17" i="12"/>
  <c r="J17" i="12" s="1"/>
  <c r="AD13" i="1" l="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CY7" i="8"/>
  <c r="G7" i="1" s="1"/>
  <c r="M7" i="8" s="1"/>
  <c r="O9" i="8"/>
  <c r="F18" i="8"/>
  <c r="AO10" i="5"/>
  <c r="AV11" i="5"/>
  <c r="BP14" i="5" a="1"/>
  <c r="BP14" i="5" s="1"/>
  <c r="DA11" i="8"/>
  <c r="DB11" i="8" s="1"/>
  <c r="AG9" i="7"/>
  <c r="AI9" i="7" s="1"/>
  <c r="O19" i="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BI16" i="5" s="1" a="1"/>
  <c r="BI16" i="5" s="1"/>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BV10" i="8"/>
  <c r="B11" i="9"/>
  <c r="X11" i="9" s="1"/>
  <c r="AB11" i="8"/>
  <c r="BM11" i="8" s="1"/>
  <c r="B11" i="7"/>
  <c r="AE11" i="7" s="1"/>
  <c r="AF11" i="7" s="1"/>
  <c r="BE11" i="8"/>
  <c r="BN11" i="8" s="1"/>
  <c r="W11" i="8"/>
  <c r="CW11" i="8" s="1"/>
  <c r="A11" i="10"/>
  <c r="AA11" i="10" s="1"/>
  <c r="CF11" i="8"/>
  <c r="A11" i="11"/>
  <c r="N11" i="11" s="1"/>
  <c r="BT11" i="5"/>
  <c r="AI11" i="5"/>
  <c r="BD11" i="8"/>
  <c r="BP11" i="8" s="1"/>
  <c r="BR11" i="8"/>
  <c r="BT11" i="8" s="1"/>
  <c r="AJ11" i="5"/>
  <c r="AP11" i="5" s="1"/>
  <c r="E11" i="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Q8" i="8"/>
  <c r="CR8" i="8" s="1"/>
  <c r="CB16" i="8"/>
  <c r="BZ9" i="8"/>
  <c r="CQ9" i="8" s="1"/>
  <c r="CR9" i="8" s="1"/>
  <c r="AG22" i="9"/>
  <c r="AR9" i="5"/>
  <c r="J12" i="2"/>
  <c r="AQ9" i="5"/>
  <c r="CZ13" i="5"/>
  <c r="CK9" i="8"/>
  <c r="AB13" i="1"/>
  <c r="DI13" i="5"/>
  <c r="C13" i="5"/>
  <c r="AC12" i="1"/>
  <c r="DA12" i="5"/>
  <c r="DG12" i="5" s="1" a="1"/>
  <c r="DG12" i="5" s="1"/>
  <c r="AH7" i="5"/>
  <c r="BU7" i="5"/>
  <c r="AF22" i="9"/>
  <c r="AJ22" i="9"/>
  <c r="AD84" i="9"/>
  <c r="B7" i="2"/>
  <c r="B7" i="1"/>
  <c r="BG7" i="1" s="1"/>
  <c r="B6" i="14"/>
  <c r="S15" i="2"/>
  <c r="P16" i="2"/>
  <c r="N16" i="2"/>
  <c r="R16" i="2"/>
  <c r="Q15" i="2"/>
  <c r="O17" i="2"/>
  <c r="M16" i="2"/>
  <c r="J17" i="10"/>
  <c r="N17" i="5" s="1"/>
  <c r="D15" i="12"/>
  <c r="F14" i="12"/>
  <c r="E14" i="12" s="1"/>
  <c r="AD14" i="1" l="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D11" i="8"/>
  <c r="CT11" i="8" s="1"/>
  <c r="CJ11" i="8"/>
  <c r="CN11" i="8" s="1"/>
  <c r="F19" i="8"/>
  <c r="CJ10" i="8"/>
  <c r="CN10" i="8" s="1"/>
  <c r="AO11" i="5"/>
  <c r="AV12" i="5"/>
  <c r="BP15" i="5" a="1"/>
  <c r="BP15" i="5" s="1"/>
  <c r="DA12" i="8"/>
  <c r="DB12" i="8" s="1"/>
  <c r="AG10" i="7"/>
  <c r="AI10" i="7" s="1"/>
  <c r="AG11" i="7"/>
  <c r="AI11" i="7" s="1"/>
  <c r="O20" i="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K10" i="8"/>
  <c r="BY10" i="8"/>
  <c r="AR10" i="5"/>
  <c r="AQ10" i="5"/>
  <c r="AC10" i="11"/>
  <c r="T10" i="8" s="1"/>
  <c r="N11" i="7"/>
  <c r="Q11" i="7"/>
  <c r="AA10" i="11"/>
  <c r="AK10" i="1" s="1"/>
  <c r="BU11" i="8"/>
  <c r="AD10" i="11"/>
  <c r="AI10" i="1" s="1"/>
  <c r="AB10" i="11"/>
  <c r="P10" i="8" s="1"/>
  <c r="BV11" i="8"/>
  <c r="Y10" i="11"/>
  <c r="AH10" i="1" s="1"/>
  <c r="CC11" i="8"/>
  <c r="CS11" i="8" s="1"/>
  <c r="BX11" i="8"/>
  <c r="CO11" i="8" s="1"/>
  <c r="CP11" i="8" s="1"/>
  <c r="Z10" i="11"/>
  <c r="BW11" i="8"/>
  <c r="CM11" i="8" s="1"/>
  <c r="BS11" i="8"/>
  <c r="BZ11" i="8" s="1"/>
  <c r="D12" i="9"/>
  <c r="AB12" i="8"/>
  <c r="BM12" i="8" s="1"/>
  <c r="E12" i="1"/>
  <c r="B12" i="7"/>
  <c r="Q12" i="7" s="1"/>
  <c r="A12" i="10"/>
  <c r="AA12" i="10" s="1"/>
  <c r="AI12" i="5"/>
  <c r="A12" i="11"/>
  <c r="N12" i="11" s="1"/>
  <c r="W12" i="8"/>
  <c r="CW12" i="8" s="1"/>
  <c r="CF12" i="8"/>
  <c r="BT12" i="5"/>
  <c r="AJ12" i="5"/>
  <c r="AP12" i="5" s="1"/>
  <c r="B12" i="9"/>
  <c r="X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B17" i="8"/>
  <c r="AG23" i="9"/>
  <c r="J13" i="2"/>
  <c r="CZ14" i="5"/>
  <c r="AC13" i="1"/>
  <c r="DA13" i="5"/>
  <c r="DG13" i="5" s="1" a="1"/>
  <c r="DG13" i="5" s="1"/>
  <c r="AB14" i="1"/>
  <c r="DI14" i="5"/>
  <c r="AF23" i="9"/>
  <c r="AJ23" i="9"/>
  <c r="AD85" i="9"/>
  <c r="B7" i="14"/>
  <c r="S16" i="2"/>
  <c r="P17" i="2"/>
  <c r="N17" i="2"/>
  <c r="R17" i="2"/>
  <c r="Q16" i="2"/>
  <c r="M17" i="2"/>
  <c r="F15" i="12"/>
  <c r="E15" i="12" s="1"/>
  <c r="D16" i="12"/>
  <c r="O18" i="2"/>
  <c r="J18" i="10"/>
  <c r="N18" i="5" s="1"/>
  <c r="AD15" i="1" l="1"/>
  <c r="CT17" i="5"/>
  <c r="CR17" i="5"/>
  <c r="CU17" i="5"/>
  <c r="CV17" i="5"/>
  <c r="CW17" i="5"/>
  <c r="CQ17" i="5"/>
  <c r="CS17" i="5"/>
  <c r="AY17" i="5" a="1"/>
  <c r="AY17" i="5" s="1"/>
  <c r="BL17" i="5" a="1"/>
  <c r="BL17" i="5" s="1"/>
  <c r="AZ17" i="5" a="1"/>
  <c r="AZ17" i="5" s="1"/>
  <c r="BM17" i="5" a="1"/>
  <c r="BM17" i="5" s="1"/>
  <c r="BQ17" i="5" a="1"/>
  <c r="BQ17" i="5" s="1"/>
  <c r="BQ18" i="5" s="1" a="1"/>
  <c r="BQ18" i="5" s="1"/>
  <c r="BO17" i="5" a="1"/>
  <c r="BO17" i="5" s="1"/>
  <c r="BO18" i="5" s="1" a="1"/>
  <c r="BO18" i="5" s="1"/>
  <c r="BC17" i="5" a="1"/>
  <c r="BC17" i="5" s="1"/>
  <c r="BC18" i="5" s="1" a="1"/>
  <c r="BC18" i="5" s="1"/>
  <c r="BG17" i="5" a="1"/>
  <c r="BG17" i="5" s="1"/>
  <c r="BG18" i="5" s="1" a="1"/>
  <c r="BG18" i="5" s="1"/>
  <c r="BD17" i="5" a="1"/>
  <c r="BD17" i="5" s="1"/>
  <c r="BD18" i="5" s="1" a="1"/>
  <c r="BD18" i="5" s="1"/>
  <c r="BB17" i="5" a="1"/>
  <c r="BB17" i="5" s="1"/>
  <c r="BJ17" i="5" a="1"/>
  <c r="BJ17" i="5" s="1"/>
  <c r="BF17" i="5" a="1"/>
  <c r="BF17" i="5" s="1"/>
  <c r="BH17" i="5" a="1"/>
  <c r="BH17" i="5" s="1"/>
  <c r="BH18" i="5" s="1" a="1"/>
  <c r="BH18" i="5" s="1"/>
  <c r="BN17" i="5" a="1"/>
  <c r="BN17" i="5" s="1"/>
  <c r="BE17" i="5" a="1"/>
  <c r="BE17" i="5" s="1"/>
  <c r="BA17" i="5" a="1"/>
  <c r="BA17" i="5" s="1"/>
  <c r="BA18" i="5" s="1" a="1"/>
  <c r="BA18" i="5" s="1"/>
  <c r="BK17" i="5" a="1"/>
  <c r="BK17" i="5" s="1"/>
  <c r="BK18" i="5" s="1" a="1"/>
  <c r="BK18" i="5" s="1"/>
  <c r="BI17" i="5" a="1"/>
  <c r="BI17" i="5" s="1"/>
  <c r="BI18" i="5" s="1" a="1"/>
  <c r="BI18" i="5" s="1"/>
  <c r="CU11" i="8"/>
  <c r="V15" i="2"/>
  <c r="CD12" i="8"/>
  <c r="CT12" i="8" s="1"/>
  <c r="CU12" i="8" s="1"/>
  <c r="CL10" i="8"/>
  <c r="CQ10" i="8"/>
  <c r="CR10" i="8" s="1"/>
  <c r="O10" i="8"/>
  <c r="F20" i="8"/>
  <c r="AO12" i="5"/>
  <c r="AV13" i="5"/>
  <c r="BP16" i="5" a="1"/>
  <c r="BP16" i="5" s="1"/>
  <c r="B13" i="9"/>
  <c r="X13" i="9" s="1"/>
  <c r="O21" i="1"/>
  <c r="BS12" i="8"/>
  <c r="BY12" i="8" s="1"/>
  <c r="BO12" i="8"/>
  <c r="BK12" i="8"/>
  <c r="BL12" i="8"/>
  <c r="BI12" i="8"/>
  <c r="BJ12" i="8"/>
  <c r="BG12" i="8"/>
  <c r="BH12" i="8"/>
  <c r="BF12" i="8"/>
  <c r="AC12" i="10"/>
  <c r="X12" i="10" s="1"/>
  <c r="AN12" i="5"/>
  <c r="AM12" i="5"/>
  <c r="AT16" i="5"/>
  <c r="AS16" i="5"/>
  <c r="E20" i="8"/>
  <c r="CA88" i="8"/>
  <c r="AH16" i="11"/>
  <c r="DF15" i="5"/>
  <c r="DE15" i="5"/>
  <c r="AK16" i="11"/>
  <c r="K18" i="11"/>
  <c r="A18" i="14"/>
  <c r="CA18" i="14" s="1"/>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K11" i="8"/>
  <c r="CL11" i="8" s="1"/>
  <c r="BY11" i="8"/>
  <c r="O11" i="8" s="1"/>
  <c r="AQ11" i="5"/>
  <c r="AE12" i="7"/>
  <c r="AF12" i="7" s="1"/>
  <c r="BT12" i="8"/>
  <c r="AB11" i="11"/>
  <c r="P11" i="8" s="1"/>
  <c r="AC11" i="11"/>
  <c r="T11" i="8" s="1"/>
  <c r="Z11" i="11"/>
  <c r="Y11" i="11"/>
  <c r="AH11" i="1" s="1"/>
  <c r="N12" i="7"/>
  <c r="AD11" i="11"/>
  <c r="AI11" i="1" s="1"/>
  <c r="BW12" i="8"/>
  <c r="CM12" i="8" s="1"/>
  <c r="AA11" i="11"/>
  <c r="AK11" i="1" s="1"/>
  <c r="BU12" i="8"/>
  <c r="BV12" i="8"/>
  <c r="BX12" i="8"/>
  <c r="CO12" i="8" s="1"/>
  <c r="CP12" i="8" s="1"/>
  <c r="A13" i="11"/>
  <c r="AA12" i="11" s="1"/>
  <c r="AK12" i="1" s="1"/>
  <c r="W13" i="8"/>
  <c r="CW13" i="8" s="1"/>
  <c r="A13" i="10"/>
  <c r="AA13" i="10" s="1"/>
  <c r="AB13" i="8"/>
  <c r="BM13" i="8" s="1"/>
  <c r="AJ13" i="5"/>
  <c r="AP13" i="5" s="1"/>
  <c r="BD13" i="8"/>
  <c r="BP13" i="8" s="1"/>
  <c r="B13" i="7"/>
  <c r="Q13" i="7" s="1"/>
  <c r="E13" i="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N19" i="5" s="1"/>
  <c r="AD16" i="1" l="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CY10" i="8"/>
  <c r="G10" i="1" s="1"/>
  <c r="M10" i="8" s="1"/>
  <c r="O12" i="8"/>
  <c r="CJ12" i="8"/>
  <c r="CN12" i="8" s="1"/>
  <c r="F21" i="8"/>
  <c r="AO13" i="5"/>
  <c r="AV14" i="5"/>
  <c r="BP17" i="5" a="1"/>
  <c r="BP17" i="5" s="1"/>
  <c r="AG12" i="7"/>
  <c r="AI12" i="7" s="1"/>
  <c r="O22" i="1"/>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BO19" i="5" s="1" a="1"/>
  <c r="BO19" i="5" s="1"/>
  <c r="AE15" i="1"/>
  <c r="W15" i="1" s="1"/>
  <c r="CQ11" i="8"/>
  <c r="CR11" i="8" s="1"/>
  <c r="CY11" i="8" s="1"/>
  <c r="G11" i="1" s="1"/>
  <c r="M11" i="8" s="1"/>
  <c r="AR12" i="5"/>
  <c r="AB12" i="11"/>
  <c r="P12" i="8" s="1"/>
  <c r="AQ12" i="5"/>
  <c r="Y12" i="11"/>
  <c r="AH12" i="1" s="1"/>
  <c r="AD12" i="11"/>
  <c r="AI12" i="1" s="1"/>
  <c r="AC12" i="11"/>
  <c r="T12" i="8" s="1"/>
  <c r="CK12" i="8"/>
  <c r="BT13" i="8"/>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AP14" i="5" s="1"/>
  <c r="BD14" i="8"/>
  <c r="AG25" i="9"/>
  <c r="AI14" i="5"/>
  <c r="B14" i="9"/>
  <c r="X14" i="9" s="1"/>
  <c r="AB14" i="8"/>
  <c r="BM14" i="8" s="1"/>
  <c r="E14" i="1"/>
  <c r="A14" i="10"/>
  <c r="AA14" i="10" s="1"/>
  <c r="J15" i="2"/>
  <c r="BT14" i="5"/>
  <c r="A14" i="11"/>
  <c r="B14" i="7"/>
  <c r="W14" i="8"/>
  <c r="CW14" i="8" s="1"/>
  <c r="CZ16" i="5"/>
  <c r="J16" i="2"/>
  <c r="AC15" i="1"/>
  <c r="DA15" i="5"/>
  <c r="DG15" i="5" s="1" a="1"/>
  <c r="DG15" i="5" s="1"/>
  <c r="DI16" i="5"/>
  <c r="AB16" i="1"/>
  <c r="AF25" i="9"/>
  <c r="AJ25" i="9"/>
  <c r="AD87" i="9"/>
  <c r="B9" i="14"/>
  <c r="S18" i="2"/>
  <c r="P19" i="2"/>
  <c r="N19" i="2"/>
  <c r="R19" i="2"/>
  <c r="Q18" i="2"/>
  <c r="M19" i="2"/>
  <c r="J20" i="10"/>
  <c r="N20" i="5" s="1"/>
  <c r="O20" i="2"/>
  <c r="BH19" i="5" l="1" a="1"/>
  <c r="BH19" i="5" s="1"/>
  <c r="BN19" i="5" a="1"/>
  <c r="BN19" i="5" s="1"/>
  <c r="CS19" i="5"/>
  <c r="CV19" i="5"/>
  <c r="CQ19" i="5"/>
  <c r="CW19" i="5"/>
  <c r="CT19" i="5"/>
  <c r="CR19" i="5"/>
  <c r="CU19" i="5"/>
  <c r="BL19" i="5" a="1"/>
  <c r="BL19" i="5" s="1"/>
  <c r="AY19" i="5" a="1"/>
  <c r="AY19" i="5" s="1"/>
  <c r="BB19" i="5" a="1"/>
  <c r="BB19" i="5" s="1"/>
  <c r="BB20" i="5" s="1" a="1"/>
  <c r="BB20" i="5" s="1"/>
  <c r="BE19" i="5" a="1"/>
  <c r="BE19" i="5" s="1"/>
  <c r="BJ19" i="5" a="1"/>
  <c r="BJ19" i="5" s="1"/>
  <c r="BJ20" i="5" s="1" a="1"/>
  <c r="BJ20"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L12" i="8"/>
  <c r="CY12" i="8" s="1"/>
  <c r="G12" i="1" s="1"/>
  <c r="M12" i="8" s="1"/>
  <c r="CJ13" i="8"/>
  <c r="CN13" i="8" s="1"/>
  <c r="F22" i="8"/>
  <c r="AO14" i="5"/>
  <c r="AV15" i="5"/>
  <c r="BP18" i="5" a="1"/>
  <c r="BP18" i="5" s="1"/>
  <c r="BD15" i="8"/>
  <c r="BP15" i="8" s="1"/>
  <c r="AG13" i="7"/>
  <c r="AI13" i="7" s="1"/>
  <c r="O23" i="1"/>
  <c r="BO14" i="8"/>
  <c r="BP14"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CA20" i="14" s="1"/>
  <c r="A20" i="7"/>
  <c r="R20" i="7" s="1"/>
  <c r="A20" i="5"/>
  <c r="A20" i="8"/>
  <c r="A20" i="9"/>
  <c r="A20" i="2"/>
  <c r="AK18" i="11"/>
  <c r="AF16" i="1"/>
  <c r="B13" i="14"/>
  <c r="AQ13" i="5"/>
  <c r="AR13" i="5"/>
  <c r="B15" i="9"/>
  <c r="X15" i="9" s="1"/>
  <c r="CU13" i="8"/>
  <c r="DA15" i="8"/>
  <c r="DB15" i="8" s="1"/>
  <c r="BY13" i="8"/>
  <c r="O13" i="8" s="1"/>
  <c r="CK13" i="8"/>
  <c r="D15" i="9"/>
  <c r="W15" i="8"/>
  <c r="CW15" i="8" s="1"/>
  <c r="AB15" i="8"/>
  <c r="BM15" i="8" s="1"/>
  <c r="AJ15" i="5"/>
  <c r="AP15" i="5" s="1"/>
  <c r="B15" i="7"/>
  <c r="Q15" i="7" s="1"/>
  <c r="A15" i="10"/>
  <c r="AA15" i="10" s="1"/>
  <c r="CF15" i="8"/>
  <c r="BT15" i="5"/>
  <c r="AI15" i="5"/>
  <c r="BE15" i="8"/>
  <c r="BN15" i="8" s="1"/>
  <c r="BR15" i="8"/>
  <c r="CC15" i="8" s="1"/>
  <c r="CS15" i="8" s="1"/>
  <c r="A15" i="11"/>
  <c r="N15" i="11" s="1"/>
  <c r="E15" i="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G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O21" i="2"/>
  <c r="AD18" i="1" l="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L13" i="8"/>
  <c r="O14" i="8"/>
  <c r="BO15" i="8"/>
  <c r="F23" i="8"/>
  <c r="BS15" i="8"/>
  <c r="BY15" i="8" s="1"/>
  <c r="AO15" i="5"/>
  <c r="AV16" i="5"/>
  <c r="BP19" i="5" a="1"/>
  <c r="BP19" i="5" s="1"/>
  <c r="AG14" i="7"/>
  <c r="AI14" i="7" s="1"/>
  <c r="O24" i="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CA21" i="14" s="1"/>
  <c r="A21" i="9"/>
  <c r="A21" i="8"/>
  <c r="A21" i="5"/>
  <c r="A21" i="2"/>
  <c r="A21" i="7"/>
  <c r="R21" i="7" s="1"/>
  <c r="AC14" i="11"/>
  <c r="T14" i="8" s="1"/>
  <c r="Y14" i="11"/>
  <c r="AH14" i="1" s="1"/>
  <c r="BT15" i="8"/>
  <c r="Z14" i="11"/>
  <c r="AB14" i="11"/>
  <c r="P14" i="8" s="1"/>
  <c r="AD14" i="11"/>
  <c r="AI14" i="1" s="1"/>
  <c r="CD15" i="8"/>
  <c r="CT15" i="8" s="1"/>
  <c r="CU15" i="8" s="1"/>
  <c r="BX15" i="8"/>
  <c r="CO15" i="8" s="1"/>
  <c r="CP15" i="8" s="1"/>
  <c r="BV15" i="8"/>
  <c r="BU15" i="8"/>
  <c r="N15" i="7"/>
  <c r="CQ13" i="8"/>
  <c r="CR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G27" i="9"/>
  <c r="AQ14" i="5"/>
  <c r="CK14" i="8"/>
  <c r="B14" i="14"/>
  <c r="AI16" i="5"/>
  <c r="W16" i="8"/>
  <c r="CW16" i="8" s="1"/>
  <c r="B16" i="9"/>
  <c r="X16" i="9" s="1"/>
  <c r="A16" i="11"/>
  <c r="AJ16" i="5"/>
  <c r="AP16" i="5" s="1"/>
  <c r="AB16" i="8"/>
  <c r="BM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N22" i="5" s="1"/>
  <c r="M21" i="2"/>
  <c r="AD19" i="1" l="1"/>
  <c r="CS21" i="5"/>
  <c r="CV21" i="5"/>
  <c r="CR21" i="5"/>
  <c r="CQ21" i="5"/>
  <c r="CW21" i="5"/>
  <c r="CU21" i="5"/>
  <c r="CT21" i="5"/>
  <c r="AY21" i="5" a="1"/>
  <c r="AY21" i="5" s="1"/>
  <c r="BL21" i="5" a="1"/>
  <c r="BL21" i="5" s="1"/>
  <c r="BO21" i="5" a="1"/>
  <c r="BO21" i="5" s="1"/>
  <c r="BA21" i="5" a="1"/>
  <c r="BA21" i="5" s="1"/>
  <c r="CY13" i="8"/>
  <c r="G13" i="1" s="1"/>
  <c r="M13" i="8" s="1"/>
  <c r="BB21" i="5" a="1"/>
  <c r="BB21" i="5" s="1"/>
  <c r="BB22" i="5" s="1" a="1"/>
  <c r="BB22" i="5" s="1"/>
  <c r="BH21" i="5" a="1"/>
  <c r="BH21" i="5" s="1"/>
  <c r="BH22" i="5" s="1" a="1"/>
  <c r="BH22" i="5" s="1"/>
  <c r="BM21" i="5" a="1"/>
  <c r="BM21" i="5" s="1"/>
  <c r="BM22" i="5" s="1" a="1"/>
  <c r="BM22" i="5" s="1"/>
  <c r="BN21" i="5" a="1"/>
  <c r="BN21" i="5" s="1"/>
  <c r="BN22" i="5" s="1" a="1"/>
  <c r="BN22" i="5" s="1"/>
  <c r="BQ21" i="5" a="1"/>
  <c r="BQ21" i="5" s="1"/>
  <c r="BK21" i="5" a="1"/>
  <c r="BK21" i="5" s="1"/>
  <c r="BD21" i="5" a="1"/>
  <c r="BD21" i="5" s="1"/>
  <c r="BF21" i="5" a="1"/>
  <c r="BF21" i="5" s="1"/>
  <c r="BJ21" i="5" a="1"/>
  <c r="BJ21" i="5" s="1"/>
  <c r="AZ21" i="5" a="1"/>
  <c r="AZ21" i="5" s="1"/>
  <c r="BC21" i="5" a="1"/>
  <c r="BC21" i="5" s="1"/>
  <c r="BI21" i="5" a="1"/>
  <c r="BI21" i="5" s="1"/>
  <c r="BE21" i="5" a="1"/>
  <c r="BE21" i="5" s="1"/>
  <c r="BE22" i="5" s="1" a="1"/>
  <c r="BE22" i="5" s="1"/>
  <c r="BG21" i="5" a="1"/>
  <c r="BG21" i="5" s="1"/>
  <c r="BG22" i="5" s="1" a="1"/>
  <c r="BG22" i="5" s="1"/>
  <c r="V19" i="2"/>
  <c r="BZ15" i="8"/>
  <c r="CQ15" i="8" s="1"/>
  <c r="CR15" i="8" s="1"/>
  <c r="O15" i="8"/>
  <c r="CJ15" i="8"/>
  <c r="CN15" i="8" s="1"/>
  <c r="F24" i="8"/>
  <c r="AO16" i="5"/>
  <c r="AV17" i="5"/>
  <c r="BP20" i="5" a="1"/>
  <c r="BP20" i="5" s="1"/>
  <c r="AG15" i="7"/>
  <c r="AI15" i="7" s="1"/>
  <c r="O25" i="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K15" i="8"/>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G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X17" i="9" s="1"/>
  <c r="AI17" i="5"/>
  <c r="A17" i="11"/>
  <c r="AB17" i="8"/>
  <c r="BM17" i="8" s="1"/>
  <c r="BT17" i="5"/>
  <c r="AJ17" i="5"/>
  <c r="AP17" i="5" s="1"/>
  <c r="W17" i="8"/>
  <c r="CW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O23" i="2"/>
  <c r="AD20" i="1" l="1"/>
  <c r="BA22" i="5" a="1"/>
  <c r="BA22" i="5" s="1"/>
  <c r="BA23" i="5" s="1" a="1"/>
  <c r="BA23" i="5" s="1"/>
  <c r="BO22" i="5" a="1"/>
  <c r="BO22" i="5" s="1"/>
  <c r="BO23" i="5" s="1" a="1"/>
  <c r="BO23" i="5" s="1"/>
  <c r="BI22" i="5" a="1"/>
  <c r="BI22" i="5" s="1"/>
  <c r="BI23" i="5" s="1" a="1"/>
  <c r="BI23" i="5" s="1"/>
  <c r="BC22" i="5" a="1"/>
  <c r="BC22" i="5" s="1"/>
  <c r="BC23" i="5" s="1" a="1"/>
  <c r="BC23" i="5" s="1"/>
  <c r="BN23" i="5" a="1"/>
  <c r="BN23" i="5" s="1"/>
  <c r="AZ22" i="5" a="1"/>
  <c r="AZ22" i="5" s="1"/>
  <c r="AZ23" i="5" s="1" a="1"/>
  <c r="AZ23" i="5" s="1"/>
  <c r="BJ22" i="5" a="1"/>
  <c r="BJ22" i="5" s="1"/>
  <c r="BJ23" i="5" s="1" a="1"/>
  <c r="BJ23" i="5" s="1"/>
  <c r="BF22" i="5" a="1"/>
  <c r="BF22" i="5" s="1"/>
  <c r="BF23" i="5" s="1" a="1"/>
  <c r="BF23" i="5" s="1"/>
  <c r="BB23" i="5" a="1"/>
  <c r="BB23" i="5" s="1"/>
  <c r="BD22" i="5" a="1"/>
  <c r="BD22" i="5" s="1"/>
  <c r="BD23" i="5" s="1" a="1"/>
  <c r="BD23" i="5" s="1"/>
  <c r="CT22" i="5"/>
  <c r="CR22" i="5"/>
  <c r="CQ22" i="5"/>
  <c r="CS22" i="5"/>
  <c r="CU22" i="5"/>
  <c r="CV22" i="5"/>
  <c r="CW22" i="5"/>
  <c r="AY22" i="5" a="1"/>
  <c r="AY22" i="5" s="1"/>
  <c r="BL22" i="5" a="1"/>
  <c r="BL22" i="5" s="1"/>
  <c r="AD21" i="1" s="1"/>
  <c r="BK22" i="5" a="1"/>
  <c r="BK22" i="5" s="1"/>
  <c r="BK23" i="5" s="1" a="1"/>
  <c r="BK23" i="5" s="1"/>
  <c r="BQ22" i="5" a="1"/>
  <c r="BQ22" i="5" s="1"/>
  <c r="BQ23" i="5" s="1" a="1"/>
  <c r="BQ23" i="5" s="1"/>
  <c r="V20" i="2"/>
  <c r="CL15" i="8"/>
  <c r="CY15" i="8" s="1"/>
  <c r="G15" i="1" s="1"/>
  <c r="M15" i="8" s="1"/>
  <c r="F25" i="8"/>
  <c r="AO17" i="5"/>
  <c r="AV18" i="5"/>
  <c r="BP21" i="5" a="1"/>
  <c r="BP21" i="5" s="1"/>
  <c r="AI18" i="5"/>
  <c r="AN18" i="5" s="1"/>
  <c r="AG16" i="7"/>
  <c r="AI16" i="7" s="1"/>
  <c r="O26" i="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CA23" i="14" s="1"/>
  <c r="A23" i="5"/>
  <c r="BH23" i="5" s="1" a="1"/>
  <c r="BH23" i="5" s="1"/>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CW18" i="8" s="1"/>
  <c r="AJ18" i="5"/>
  <c r="AP18" i="5" s="1"/>
  <c r="B18" i="9"/>
  <c r="X18" i="9" s="1"/>
  <c r="A18" i="10"/>
  <c r="BU20" i="5"/>
  <c r="B20" i="1"/>
  <c r="BG20" i="1" s="1"/>
  <c r="AH20" i="5"/>
  <c r="B20" i="2"/>
  <c r="E18" i="1"/>
  <c r="BT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BS17" i="8"/>
  <c r="BY17" i="8" s="1"/>
  <c r="N17" i="7"/>
  <c r="AG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F29" i="9"/>
  <c r="AJ29" i="9"/>
  <c r="AD91" i="9"/>
  <c r="B16" i="14"/>
  <c r="N5" i="1"/>
  <c r="S22" i="2"/>
  <c r="N23" i="2"/>
  <c r="R23" i="2"/>
  <c r="Q22" i="2"/>
  <c r="M23" i="2"/>
  <c r="P24" i="2"/>
  <c r="O24" i="2"/>
  <c r="J24" i="10"/>
  <c r="N24" i="5" s="1"/>
  <c r="BE23" i="5" l="1" a="1"/>
  <c r="BE23" i="5" s="1"/>
  <c r="BG23" i="5" a="1"/>
  <c r="BG23" i="5" s="1"/>
  <c r="BG24" i="5" s="1" a="1"/>
  <c r="BG24" i="5" s="1"/>
  <c r="CR23" i="5"/>
  <c r="CS23" i="5"/>
  <c r="CQ23" i="5"/>
  <c r="CU23" i="5"/>
  <c r="CT23" i="5"/>
  <c r="CV23" i="5"/>
  <c r="CW23" i="5"/>
  <c r="AY23" i="5" a="1"/>
  <c r="AY23" i="5" s="1"/>
  <c r="BL23" i="5" a="1"/>
  <c r="BL23" i="5" s="1"/>
  <c r="AD22" i="1" s="1"/>
  <c r="BM23" i="5" a="1"/>
  <c r="BM23" i="5" s="1"/>
  <c r="V21" i="2"/>
  <c r="O17" i="8"/>
  <c r="CQ16" i="8"/>
  <c r="CR16" i="8" s="1"/>
  <c r="O16" i="8"/>
  <c r="F26" i="8"/>
  <c r="AO18" i="5"/>
  <c r="AV19" i="5"/>
  <c r="AM18" i="5"/>
  <c r="BP22" i="5" a="1"/>
  <c r="BP22" i="5" s="1"/>
  <c r="AG17" i="7"/>
  <c r="AI17" i="7" s="1"/>
  <c r="O27" i="1"/>
  <c r="BO18" i="8"/>
  <c r="BK18" i="8"/>
  <c r="BL18" i="8"/>
  <c r="BI18" i="8"/>
  <c r="BJ18" i="8"/>
  <c r="BG18" i="8"/>
  <c r="BH18" i="8"/>
  <c r="BF18" i="8"/>
  <c r="AC18" i="10"/>
  <c r="AT22" i="5"/>
  <c r="AA18" i="10"/>
  <c r="AS22" i="5"/>
  <c r="AH22" i="11"/>
  <c r="E26" i="8"/>
  <c r="CA94"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J17" i="8"/>
  <c r="CN17" i="8" s="1"/>
  <c r="CU17" i="8"/>
  <c r="BZ17" i="8"/>
  <c r="CQ17" i="8" s="1"/>
  <c r="CR17" i="8" s="1"/>
  <c r="DA19" i="8"/>
  <c r="DB19" i="8" s="1"/>
  <c r="CF19" i="8"/>
  <c r="CB24" i="8"/>
  <c r="BR19" i="8"/>
  <c r="BD19" i="8"/>
  <c r="BE19" i="8"/>
  <c r="BN19" i="8" s="1"/>
  <c r="AG30" i="9"/>
  <c r="J20" i="2"/>
  <c r="E19" i="1"/>
  <c r="AI19" i="5"/>
  <c r="W19" i="8"/>
  <c r="CW19" i="8" s="1"/>
  <c r="B19" i="9"/>
  <c r="X19" i="9" s="1"/>
  <c r="A19" i="11"/>
  <c r="AB19" i="8"/>
  <c r="BM19" i="8" s="1"/>
  <c r="BT19" i="5"/>
  <c r="AJ19" i="5"/>
  <c r="AP19" i="5" s="1"/>
  <c r="A19" i="10"/>
  <c r="AA19" i="10" s="1"/>
  <c r="B19" i="7"/>
  <c r="C20" i="5"/>
  <c r="F20" i="5" s="1"/>
  <c r="AW20" i="5" s="1"/>
  <c r="AQ17" i="5"/>
  <c r="CZ21" i="5"/>
  <c r="CK17" i="8"/>
  <c r="AR17" i="5"/>
  <c r="C21" i="5"/>
  <c r="AC20" i="1"/>
  <c r="DA20" i="5"/>
  <c r="DG20" i="5" s="1" a="1"/>
  <c r="DG20" i="5" s="1"/>
  <c r="AB21" i="1"/>
  <c r="DI21" i="5"/>
  <c r="AF30" i="9"/>
  <c r="AJ30" i="9"/>
  <c r="AD92" i="9"/>
  <c r="N6" i="1"/>
  <c r="S23" i="2"/>
  <c r="N24" i="2"/>
  <c r="R24" i="2"/>
  <c r="Q23" i="2"/>
  <c r="J25" i="10"/>
  <c r="N25" i="5" s="1"/>
  <c r="O25" i="2"/>
  <c r="P25" i="2"/>
  <c r="M24" i="2"/>
  <c r="CQ24" i="5" l="1"/>
  <c r="CV24" i="5"/>
  <c r="CU24" i="5"/>
  <c r="CT24" i="5"/>
  <c r="CS24" i="5"/>
  <c r="CR24" i="5"/>
  <c r="CW24" i="5"/>
  <c r="BL24" i="5" a="1"/>
  <c r="BL24" i="5" s="1"/>
  <c r="AY24" i="5" a="1"/>
  <c r="AY24" i="5" s="1"/>
  <c r="BA24" i="5" a="1"/>
  <c r="BA24" i="5" s="1"/>
  <c r="BO24" i="5" a="1"/>
  <c r="BO24" i="5" s="1"/>
  <c r="BI24" i="5" a="1"/>
  <c r="BI24" i="5" s="1"/>
  <c r="BI25" i="5" s="1" a="1"/>
  <c r="BI25" i="5" s="1"/>
  <c r="BM24" i="5" a="1"/>
  <c r="BM24" i="5" s="1"/>
  <c r="BM25" i="5" s="1" a="1"/>
  <c r="BM25" i="5" s="1"/>
  <c r="BJ24" i="5" a="1"/>
  <c r="BJ24" i="5" s="1"/>
  <c r="BJ25" i="5" s="1" a="1"/>
  <c r="BJ25" i="5" s="1"/>
  <c r="BC24" i="5" a="1"/>
  <c r="BC24" i="5" s="1"/>
  <c r="BC25" i="5" s="1" a="1"/>
  <c r="BC25" i="5" s="1"/>
  <c r="BK24" i="5" a="1"/>
  <c r="BK24" i="5" s="1"/>
  <c r="BK25" i="5" s="1" a="1"/>
  <c r="BK25" i="5" s="1"/>
  <c r="BE24" i="5" a="1"/>
  <c r="BE24" i="5" s="1"/>
  <c r="BN24" i="5" a="1"/>
  <c r="BN24" i="5" s="1"/>
  <c r="BQ24" i="5" a="1"/>
  <c r="BQ24" i="5" s="1"/>
  <c r="AZ24" i="5" a="1"/>
  <c r="AZ24" i="5" s="1"/>
  <c r="BF24" i="5" a="1"/>
  <c r="BF24" i="5" s="1"/>
  <c r="BB24" i="5" a="1"/>
  <c r="BB24" i="5" s="1"/>
  <c r="BD24" i="5" a="1"/>
  <c r="BD24" i="5" s="1"/>
  <c r="BH24" i="5" a="1"/>
  <c r="BH24" i="5" s="1"/>
  <c r="V22" i="2"/>
  <c r="CY16" i="8"/>
  <c r="G16" i="1" s="1"/>
  <c r="M16" i="8" s="1"/>
  <c r="O18" i="8"/>
  <c r="CJ18" i="8"/>
  <c r="CN18" i="8" s="1"/>
  <c r="F27" i="8"/>
  <c r="AQ18" i="5"/>
  <c r="AO19" i="5"/>
  <c r="AV20" i="5"/>
  <c r="BP23" i="5" a="1"/>
  <c r="BP23" i="5" s="1"/>
  <c r="AG18" i="7"/>
  <c r="AI18" i="7" s="1"/>
  <c r="O28" i="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CA25" i="14" s="1"/>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K18" i="8"/>
  <c r="AR18" i="5"/>
  <c r="D20" i="9"/>
  <c r="CU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G31" i="9"/>
  <c r="AJ20" i="5"/>
  <c r="AP20" i="5" s="1"/>
  <c r="W20" i="8"/>
  <c r="CW20" i="8" s="1"/>
  <c r="B20" i="9"/>
  <c r="X20" i="9" s="1"/>
  <c r="AI20" i="5"/>
  <c r="A20" i="11"/>
  <c r="BT20" i="5"/>
  <c r="AB20" i="8"/>
  <c r="BM20" i="8" s="1"/>
  <c r="A20" i="10"/>
  <c r="AA20" i="10" s="1"/>
  <c r="B20" i="7"/>
  <c r="E20" i="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F31" i="9"/>
  <c r="AJ31" i="9"/>
  <c r="AD93" i="9"/>
  <c r="B17" i="14"/>
  <c r="N7" i="1"/>
  <c r="S24" i="2"/>
  <c r="N25" i="2"/>
  <c r="R25" i="2"/>
  <c r="Q24" i="2"/>
  <c r="P26" i="2"/>
  <c r="O26" i="2"/>
  <c r="M25" i="2"/>
  <c r="J26" i="10"/>
  <c r="N26" i="5" s="1"/>
  <c r="AD23" i="1" l="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L18" i="8"/>
  <c r="CY18" i="8" s="1"/>
  <c r="G18" i="1" s="1"/>
  <c r="M18" i="8" s="1"/>
  <c r="F28" i="8"/>
  <c r="AO20" i="5"/>
  <c r="AV21" i="5"/>
  <c r="BP24" i="5" a="1"/>
  <c r="BP24" i="5" s="1"/>
  <c r="DA21" i="8"/>
  <c r="DB21" i="8" s="1"/>
  <c r="AG19" i="7"/>
  <c r="AI19" i="7" s="1"/>
  <c r="O29" i="1"/>
  <c r="BO20" i="8"/>
  <c r="BK20" i="8"/>
  <c r="BL20" i="8"/>
  <c r="BI20" i="8"/>
  <c r="BJ20" i="8"/>
  <c r="BG20" i="8"/>
  <c r="BH20" i="8"/>
  <c r="BF20" i="8"/>
  <c r="AC20" i="10"/>
  <c r="X20" i="10" s="1"/>
  <c r="AM20" i="5"/>
  <c r="AN20" i="5"/>
  <c r="AH24" i="11"/>
  <c r="AS24" i="5"/>
  <c r="E28" i="8"/>
  <c r="CA96" i="8"/>
  <c r="AM24" i="1"/>
  <c r="AK24" i="11"/>
  <c r="DF23" i="5"/>
  <c r="DB23" i="5"/>
  <c r="DE23" i="5"/>
  <c r="K26" i="11"/>
  <c r="A26" i="14"/>
  <c r="CA26" i="14" s="1"/>
  <c r="A26" i="9"/>
  <c r="A26" i="2"/>
  <c r="A26" i="7"/>
  <c r="R26" i="7" s="1"/>
  <c r="A26" i="8"/>
  <c r="A26" i="5"/>
  <c r="BK26" i="5" s="1" a="1"/>
  <c r="BK26" i="5" s="1"/>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F21" i="8"/>
  <c r="BR21" i="8"/>
  <c r="BV21" i="8" s="1"/>
  <c r="B23" i="5"/>
  <c r="W21" i="8"/>
  <c r="CW21" i="8" s="1"/>
  <c r="BE21" i="8"/>
  <c r="BN21" i="8" s="1"/>
  <c r="B21" i="7"/>
  <c r="AE21" i="7" s="1"/>
  <c r="AF21" i="7" s="1"/>
  <c r="BD21" i="8"/>
  <c r="BP21" i="8" s="1"/>
  <c r="A21" i="10"/>
  <c r="AA21" i="10" s="1"/>
  <c r="B21" i="9"/>
  <c r="X21" i="9" s="1"/>
  <c r="AB21" i="8"/>
  <c r="BM21" i="8" s="1"/>
  <c r="AJ21" i="5"/>
  <c r="AP21" i="5" s="1"/>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B26" i="8"/>
  <c r="BY19" i="8"/>
  <c r="BS20" i="8"/>
  <c r="BY20" i="8" s="1"/>
  <c r="N20" i="7"/>
  <c r="AG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F32" i="9"/>
  <c r="AJ32" i="9"/>
  <c r="AD94" i="9"/>
  <c r="B18" i="14"/>
  <c r="N8" i="1"/>
  <c r="S25" i="2"/>
  <c r="N26" i="2"/>
  <c r="R26" i="2"/>
  <c r="Q25" i="2"/>
  <c r="M26" i="2"/>
  <c r="O27" i="2"/>
  <c r="J27" i="10"/>
  <c r="N27" i="5" s="1"/>
  <c r="P27" i="2"/>
  <c r="AD24" i="1" l="1"/>
  <c r="BQ26" i="5" a="1"/>
  <c r="BQ26" i="5" s="1"/>
  <c r="AZ26" i="5" a="1"/>
  <c r="AZ26" i="5" s="1"/>
  <c r="BE26" i="5" a="1"/>
  <c r="BE26" i="5" s="1"/>
  <c r="BF26" i="5" a="1"/>
  <c r="BF26" i="5" s="1"/>
  <c r="CR26" i="5"/>
  <c r="CQ26" i="5"/>
  <c r="CV26" i="5"/>
  <c r="CU26" i="5"/>
  <c r="CT26" i="5"/>
  <c r="CW26" i="5"/>
  <c r="CS26" i="5"/>
  <c r="AY26" i="5" a="1"/>
  <c r="AY26" i="5" s="1"/>
  <c r="BL26" i="5" a="1"/>
  <c r="BL26" i="5" s="1"/>
  <c r="BN26" i="5" a="1"/>
  <c r="BN26" i="5" s="1"/>
  <c r="BN27" i="5" s="1" a="1"/>
  <c r="BN27" i="5" s="1"/>
  <c r="BB26" i="5" a="1"/>
  <c r="BB26" i="5" s="1"/>
  <c r="BB27" i="5" s="1" a="1"/>
  <c r="BB27" i="5" s="1"/>
  <c r="BG26" i="5" a="1"/>
  <c r="BG26" i="5" s="1"/>
  <c r="BD26" i="5" a="1"/>
  <c r="BD26" i="5" s="1"/>
  <c r="BA26" i="5" a="1"/>
  <c r="BA26" i="5" s="1"/>
  <c r="BM26" i="5" a="1"/>
  <c r="BM26" i="5" s="1"/>
  <c r="BH26" i="5" a="1"/>
  <c r="BH26" i="5" s="1"/>
  <c r="BO26" i="5" a="1"/>
  <c r="BO26" i="5" s="1"/>
  <c r="BI26" i="5" a="1"/>
  <c r="BI26" i="5" s="1"/>
  <c r="BJ26" i="5" a="1"/>
  <c r="BJ26" i="5" s="1"/>
  <c r="BC26" i="5" a="1"/>
  <c r="BC26" i="5" s="1"/>
  <c r="V24" i="2"/>
  <c r="CD21" i="8"/>
  <c r="CT21" i="8" s="1"/>
  <c r="O20" i="8"/>
  <c r="CQ19" i="8"/>
  <c r="CR19" i="8" s="1"/>
  <c r="O19" i="8"/>
  <c r="F29" i="8"/>
  <c r="AO21" i="5"/>
  <c r="AV22" i="5"/>
  <c r="BP25" i="5" a="1"/>
  <c r="BP25" i="5" s="1"/>
  <c r="AG21" i="7"/>
  <c r="AI21" i="7" s="1"/>
  <c r="AG20" i="7"/>
  <c r="AI20" i="7" s="1"/>
  <c r="O30" i="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BU21" i="8"/>
  <c r="CK21" i="8" s="1"/>
  <c r="BX21" i="8"/>
  <c r="CO21" i="8" s="1"/>
  <c r="CP21" i="8" s="1"/>
  <c r="N21" i="7"/>
  <c r="CC21" i="8"/>
  <c r="CS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J20" i="8"/>
  <c r="CN20" i="8" s="1"/>
  <c r="CU20" i="8"/>
  <c r="DA22" i="8"/>
  <c r="DB22" i="8" s="1"/>
  <c r="BZ20" i="8"/>
  <c r="CQ20" i="8" s="1"/>
  <c r="CR20" i="8" s="1"/>
  <c r="CF22" i="8"/>
  <c r="CB27" i="8"/>
  <c r="BR22" i="8"/>
  <c r="BD22" i="8"/>
  <c r="BP22" i="8" s="1"/>
  <c r="BE22" i="8"/>
  <c r="BN22" i="8" s="1"/>
  <c r="AG33" i="9"/>
  <c r="AR20" i="5"/>
  <c r="AQ20" i="5"/>
  <c r="J23" i="2"/>
  <c r="CK20" i="8"/>
  <c r="AJ22" i="5"/>
  <c r="AP22" i="5" s="1"/>
  <c r="W22" i="8"/>
  <c r="CW22" i="8" s="1"/>
  <c r="E22" i="1"/>
  <c r="B22" i="9"/>
  <c r="X22" i="9" s="1"/>
  <c r="AI22" i="5"/>
  <c r="A22" i="11"/>
  <c r="AB22" i="8"/>
  <c r="BM22" i="8" s="1"/>
  <c r="BT22" i="5"/>
  <c r="A22" i="10"/>
  <c r="AA22" i="10" s="1"/>
  <c r="B22" i="7"/>
  <c r="CZ24" i="5"/>
  <c r="AB24" i="1"/>
  <c r="DI24" i="5"/>
  <c r="AC23" i="1"/>
  <c r="DA23" i="5"/>
  <c r="DG23" i="5" s="1" a="1"/>
  <c r="DG23" i="5" s="1"/>
  <c r="AF33" i="9"/>
  <c r="AJ33" i="9"/>
  <c r="AD95" i="9"/>
  <c r="B19" i="14"/>
  <c r="N9" i="1"/>
  <c r="S26" i="2"/>
  <c r="N27" i="2"/>
  <c r="R27" i="2"/>
  <c r="Q26" i="2"/>
  <c r="M27" i="2"/>
  <c r="O28" i="2"/>
  <c r="J28" i="10"/>
  <c r="N28" i="5" s="1"/>
  <c r="P28" i="2"/>
  <c r="AD25" i="1" l="1"/>
  <c r="BC27" i="5" a="1"/>
  <c r="BC27" i="5" s="1"/>
  <c r="CT27" i="5"/>
  <c r="CV27" i="5"/>
  <c r="CW27" i="5"/>
  <c r="CQ27" i="5"/>
  <c r="CR27" i="5"/>
  <c r="CU27" i="5"/>
  <c r="CS27" i="5"/>
  <c r="AY27" i="5" a="1"/>
  <c r="AY27" i="5" s="1"/>
  <c r="BL27" i="5" a="1"/>
  <c r="BL27" i="5" s="1"/>
  <c r="AD26" i="1" s="1"/>
  <c r="BJ27" i="5" a="1"/>
  <c r="BJ27" i="5" s="1"/>
  <c r="BJ28" i="5" s="1" a="1"/>
  <c r="BJ28" i="5" s="1"/>
  <c r="BI27" i="5" a="1"/>
  <c r="BI27" i="5" s="1"/>
  <c r="BO27" i="5" a="1"/>
  <c r="BO27" i="5" s="1"/>
  <c r="BO28" i="5" s="1" a="1"/>
  <c r="BO28" i="5" s="1"/>
  <c r="BN28" i="5" a="1"/>
  <c r="BN28"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U21" i="8"/>
  <c r="CY19" i="8"/>
  <c r="G19" i="1" s="1"/>
  <c r="M19" i="8" s="1"/>
  <c r="CJ21" i="8"/>
  <c r="CN21" i="8" s="1"/>
  <c r="F30" i="8"/>
  <c r="AO22" i="5"/>
  <c r="AV23" i="5"/>
  <c r="BP26" i="5" a="1"/>
  <c r="BP26" i="5" s="1"/>
  <c r="DA23" i="8"/>
  <c r="DB23" i="8" s="1"/>
  <c r="O31" i="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CW23" i="8" s="1"/>
  <c r="BE23" i="8"/>
  <c r="BN23" i="8" s="1"/>
  <c r="AJ23" i="5"/>
  <c r="AP23" i="5" s="1"/>
  <c r="BR23" i="8"/>
  <c r="BX23" i="8" s="1"/>
  <c r="CO23" i="8" s="1"/>
  <c r="CP23" i="8" s="1"/>
  <c r="AI23" i="5"/>
  <c r="AB23" i="8"/>
  <c r="BM23" i="8" s="1"/>
  <c r="A23" i="11"/>
  <c r="N23" i="11" s="1"/>
  <c r="E23" i="1"/>
  <c r="B23" i="9"/>
  <c r="X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D23" i="9"/>
  <c r="CD22" i="8"/>
  <c r="CT22" i="8" s="1"/>
  <c r="CB28" i="8"/>
  <c r="BS22" i="8"/>
  <c r="BY22" i="8" s="1"/>
  <c r="N22" i="7"/>
  <c r="AG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O29" i="2"/>
  <c r="M28" i="2"/>
  <c r="BI28" i="5" l="1"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AD27" i="1" s="1"/>
  <c r="BA28" i="5" a="1"/>
  <c r="BA28" i="5" s="1"/>
  <c r="BE28" i="5" a="1"/>
  <c r="BE28" i="5" s="1"/>
  <c r="BM28" i="5" a="1"/>
  <c r="BM28" i="5" s="1"/>
  <c r="BB28" i="5" a="1"/>
  <c r="BB28" i="5" s="1"/>
  <c r="BF28" i="5" a="1"/>
  <c r="BF28" i="5" s="1"/>
  <c r="BC28" i="5" a="1"/>
  <c r="BC28" i="5" s="1"/>
  <c r="BH28" i="5" a="1"/>
  <c r="BH28" i="5" s="1"/>
  <c r="BH29" i="5" s="1" a="1"/>
  <c r="BH29" i="5" s="1"/>
  <c r="V26" i="2"/>
  <c r="CL21" i="8"/>
  <c r="CD23" i="8"/>
  <c r="CT23" i="8" s="1"/>
  <c r="O22" i="8"/>
  <c r="F31" i="8"/>
  <c r="AO23" i="5"/>
  <c r="AV24" i="5"/>
  <c r="BP27" i="5" a="1"/>
  <c r="BP27" i="5" s="1"/>
  <c r="AG22" i="7"/>
  <c r="AI22" i="7" s="1"/>
  <c r="AG23" i="7"/>
  <c r="AI23" i="7" s="1"/>
  <c r="O32" i="1"/>
  <c r="BO23" i="8"/>
  <c r="AN23" i="5"/>
  <c r="BK23" i="8"/>
  <c r="BL23" i="8"/>
  <c r="BI23" i="8"/>
  <c r="BJ23" i="8"/>
  <c r="BG23" i="8"/>
  <c r="BH23" i="8"/>
  <c r="BF23" i="8"/>
  <c r="AC23" i="10"/>
  <c r="X23" i="10" s="1"/>
  <c r="AM23" i="5"/>
  <c r="AH27" i="11"/>
  <c r="AS27" i="5"/>
  <c r="E31" i="8"/>
  <c r="CA99" i="8"/>
  <c r="CQ21" i="8"/>
  <c r="CR21" i="8" s="1"/>
  <c r="DF26" i="5"/>
  <c r="AM27" i="1"/>
  <c r="DB26" i="5"/>
  <c r="DE26" i="5"/>
  <c r="AK27" i="11"/>
  <c r="AF25" i="1"/>
  <c r="K29" i="11"/>
  <c r="A29" i="14"/>
  <c r="CA29" i="14" s="1"/>
  <c r="A29" i="9"/>
  <c r="A29" i="7"/>
  <c r="R29" i="7" s="1"/>
  <c r="A29" i="2"/>
  <c r="A29" i="5"/>
  <c r="BN29" i="5" s="1" a="1"/>
  <c r="BN29" i="5" s="1"/>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BV23" i="8"/>
  <c r="BU23" i="8"/>
  <c r="BT23" i="8"/>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BR24" i="8"/>
  <c r="BD24" i="8"/>
  <c r="BE24" i="8"/>
  <c r="BN24" i="8" s="1"/>
  <c r="AG35" i="9"/>
  <c r="AR22" i="5"/>
  <c r="AI24" i="5"/>
  <c r="A24" i="11"/>
  <c r="E24" i="1"/>
  <c r="AB24" i="8"/>
  <c r="BM24" i="8" s="1"/>
  <c r="BT24" i="5"/>
  <c r="A24" i="10"/>
  <c r="AA24" i="10" s="1"/>
  <c r="B24" i="7"/>
  <c r="B24" i="9"/>
  <c r="X24" i="9" s="1"/>
  <c r="AJ24" i="5"/>
  <c r="AP24" i="5" s="1"/>
  <c r="W24" i="8"/>
  <c r="CW24" i="8" s="1"/>
  <c r="CZ26" i="5"/>
  <c r="J25" i="2"/>
  <c r="AQ22" i="5"/>
  <c r="CK22" i="8"/>
  <c r="AB26" i="1"/>
  <c r="DI26" i="5"/>
  <c r="AC25" i="1"/>
  <c r="DA25" i="5"/>
  <c r="DG25" i="5" s="1" a="1"/>
  <c r="DG25" i="5" s="1"/>
  <c r="AF35" i="9"/>
  <c r="AJ35" i="9"/>
  <c r="AD97" i="9"/>
  <c r="B21" i="14"/>
  <c r="N11" i="1"/>
  <c r="S28" i="2"/>
  <c r="N29" i="2"/>
  <c r="R29" i="2"/>
  <c r="Q28" i="2"/>
  <c r="O30" i="2"/>
  <c r="J30" i="10"/>
  <c r="N30" i="5" s="1"/>
  <c r="M29" i="2"/>
  <c r="P30" i="2"/>
  <c r="BO29" i="5" l="1"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AD28" i="1" s="1"/>
  <c r="BE29" i="5" a="1"/>
  <c r="BE29" i="5" s="1"/>
  <c r="BG29" i="5" a="1"/>
  <c r="BG29" i="5" s="1"/>
  <c r="BK29" i="5" a="1"/>
  <c r="BK29" i="5" s="1"/>
  <c r="BA29" i="5" a="1"/>
  <c r="BA29" i="5" s="1"/>
  <c r="BI29" i="5" a="1"/>
  <c r="BI29" i="5" s="1"/>
  <c r="CY21" i="8"/>
  <c r="G21" i="1" s="1"/>
  <c r="M21" i="8" s="1"/>
  <c r="V27" i="2"/>
  <c r="CU23" i="8"/>
  <c r="CJ23" i="8"/>
  <c r="CN23" i="8" s="1"/>
  <c r="F32" i="8"/>
  <c r="AO24" i="5"/>
  <c r="AV25" i="5"/>
  <c r="BP28" i="5" a="1"/>
  <c r="BP28" i="5" s="1"/>
  <c r="BE25" i="8"/>
  <c r="BN25" i="8" s="1"/>
  <c r="AT28" i="5"/>
  <c r="O33" i="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B25" i="9"/>
  <c r="X25" i="9" s="1"/>
  <c r="BY23" i="8"/>
  <c r="O23" i="8" s="1"/>
  <c r="AI25" i="5"/>
  <c r="DA25" i="8"/>
  <c r="DB25" i="8" s="1"/>
  <c r="E25" i="1"/>
  <c r="AJ25" i="5"/>
  <c r="AP25" i="5" s="1"/>
  <c r="BD25" i="8"/>
  <c r="BP25" i="8" s="1"/>
  <c r="BR25" i="8"/>
  <c r="BW25" i="8" s="1"/>
  <c r="CM25" i="8" s="1"/>
  <c r="D25" i="9"/>
  <c r="BT25" i="5"/>
  <c r="AB25" i="8"/>
  <c r="BM25" i="8" s="1"/>
  <c r="B25" i="7"/>
  <c r="Q25" i="7" s="1"/>
  <c r="W25" i="8"/>
  <c r="CW25" i="8" s="1"/>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G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F36" i="9"/>
  <c r="AJ36" i="9"/>
  <c r="AD98" i="9"/>
  <c r="B22" i="14"/>
  <c r="N12" i="1"/>
  <c r="S29" i="2"/>
  <c r="N30" i="2"/>
  <c r="R30" i="2"/>
  <c r="Q29" i="2"/>
  <c r="J31" i="10"/>
  <c r="N31" i="5" s="1"/>
  <c r="M30" i="2"/>
  <c r="O31" i="2"/>
  <c r="P31" i="2"/>
  <c r="BQ30" i="5" l="1"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L23" i="8"/>
  <c r="O24" i="8"/>
  <c r="F33" i="8"/>
  <c r="AO25" i="5"/>
  <c r="AV26" i="5"/>
  <c r="BP29" i="5" a="1"/>
  <c r="BP29" i="5" s="1"/>
  <c r="AG24" i="7"/>
  <c r="AI24" i="7" s="1"/>
  <c r="O34" i="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D30" i="8"/>
  <c r="AR30" i="8"/>
  <c r="AF27" i="1"/>
  <c r="Y27" i="1"/>
  <c r="DJ28" i="5"/>
  <c r="AJ29" i="1"/>
  <c r="AK29" i="11"/>
  <c r="AA24" i="11"/>
  <c r="AK24" i="1" s="1"/>
  <c r="AD24" i="11"/>
  <c r="AI24" i="1" s="1"/>
  <c r="Y24" i="11"/>
  <c r="AH24" i="1" s="1"/>
  <c r="CQ23" i="8"/>
  <c r="CR23" i="8" s="1"/>
  <c r="AC24" i="11"/>
  <c r="T24" i="8" s="1"/>
  <c r="AB24" i="11"/>
  <c r="P24" i="8" s="1"/>
  <c r="BU25" i="8"/>
  <c r="BX25" i="8"/>
  <c r="CO25" i="8" s="1"/>
  <c r="CP25" i="8" s="1"/>
  <c r="CD25" i="8"/>
  <c r="CT25" i="8" s="1"/>
  <c r="BV25" i="8"/>
  <c r="CC25" i="8"/>
  <c r="CS25" i="8" s="1"/>
  <c r="N25" i="7"/>
  <c r="BT25" i="8"/>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CF26" i="8"/>
  <c r="CB31" i="8"/>
  <c r="BR26" i="8"/>
  <c r="BD26" i="8"/>
  <c r="BE26" i="8"/>
  <c r="BN26" i="8" s="1"/>
  <c r="AG37" i="9"/>
  <c r="AR24" i="5"/>
  <c r="C27" i="5"/>
  <c r="F27" i="5" s="1"/>
  <c r="AW27" i="5" s="1"/>
  <c r="CZ28" i="5"/>
  <c r="CK24" i="8"/>
  <c r="AQ24" i="5"/>
  <c r="AJ26" i="5"/>
  <c r="AP26" i="5" s="1"/>
  <c r="AB26" i="8"/>
  <c r="BM26" i="8" s="1"/>
  <c r="BT26" i="5"/>
  <c r="A26" i="10"/>
  <c r="AA26" i="10" s="1"/>
  <c r="B26" i="7"/>
  <c r="W26" i="8"/>
  <c r="CW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O32" i="2"/>
  <c r="M31" i="2"/>
  <c r="AD29" i="1" l="1"/>
  <c r="BC31" i="5" a="1"/>
  <c r="BC31" i="5" s="1"/>
  <c r="BF31" i="5" a="1"/>
  <c r="BF31" i="5" s="1"/>
  <c r="BE31" i="5" a="1"/>
  <c r="BE31" i="5" s="1"/>
  <c r="BN31" i="5" a="1"/>
  <c r="BN31" i="5" s="1"/>
  <c r="AZ31" i="5" a="1"/>
  <c r="AZ31" i="5" s="1"/>
  <c r="BH31" i="5" a="1"/>
  <c r="BH31" i="5" s="1"/>
  <c r="BG31" i="5" a="1"/>
  <c r="BG31" i="5" s="1"/>
  <c r="BJ31" i="5" a="1"/>
  <c r="BJ31" i="5" s="1"/>
  <c r="BJ32" i="5" s="1" a="1"/>
  <c r="BJ32" i="5" s="1"/>
  <c r="BO31" i="5" a="1"/>
  <c r="BO31" i="5" s="1"/>
  <c r="BO32" i="5" s="1" a="1"/>
  <c r="BO32" i="5" s="1"/>
  <c r="BK31" i="5" a="1"/>
  <c r="BK31" i="5" s="1"/>
  <c r="BK32" i="5" s="1" a="1"/>
  <c r="BK32" i="5" s="1"/>
  <c r="CU31" i="5"/>
  <c r="CQ31" i="5"/>
  <c r="CT31" i="5"/>
  <c r="CR31" i="5"/>
  <c r="CS31" i="5"/>
  <c r="CW31" i="5"/>
  <c r="CV31" i="5"/>
  <c r="AY31" i="5" a="1"/>
  <c r="AY31" i="5" s="1"/>
  <c r="BL31" i="5" a="1"/>
  <c r="BL31" i="5" s="1"/>
  <c r="BD31" i="5" a="1"/>
  <c r="BD31" i="5" s="1"/>
  <c r="BA31" i="5" a="1"/>
  <c r="BA31" i="5" s="1"/>
  <c r="BA32" i="5" s="1" a="1"/>
  <c r="BA32" i="5" s="1"/>
  <c r="BB31" i="5" a="1"/>
  <c r="BB31" i="5" s="1"/>
  <c r="BB32" i="5" s="1" a="1"/>
  <c r="BB32" i="5" s="1"/>
  <c r="BI31" i="5" a="1"/>
  <c r="BI31" i="5" s="1"/>
  <c r="BI32" i="5" s="1" a="1"/>
  <c r="BI32" i="5" s="1"/>
  <c r="BM31" i="5" a="1"/>
  <c r="BM31" i="5" s="1"/>
  <c r="BM32" i="5" s="1" a="1"/>
  <c r="BM32" i="5" s="1"/>
  <c r="BQ31" i="5" a="1"/>
  <c r="BQ31" i="5" s="1"/>
  <c r="BQ32" i="5" s="1" a="1"/>
  <c r="BQ32" i="5" s="1"/>
  <c r="CY23" i="8"/>
  <c r="G23" i="1" s="1"/>
  <c r="M23" i="8" s="1"/>
  <c r="V29" i="2"/>
  <c r="CJ25" i="8"/>
  <c r="CN25" i="8" s="1"/>
  <c r="F34" i="8"/>
  <c r="AO26" i="5"/>
  <c r="AV27" i="5"/>
  <c r="BP30" i="5" a="1"/>
  <c r="BP30" i="5" s="1"/>
  <c r="AG25" i="7"/>
  <c r="AI25" i="7" s="1"/>
  <c r="O35" i="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CA32" i="14" s="1"/>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G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X27" i="9" s="1"/>
  <c r="B27" i="7"/>
  <c r="AJ27" i="5"/>
  <c r="AP27" i="5" s="1"/>
  <c r="AB27" i="8"/>
  <c r="BM27" i="8" s="1"/>
  <c r="BT27" i="5"/>
  <c r="AI27" i="5"/>
  <c r="W27" i="8"/>
  <c r="CW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N33" i="5" s="1"/>
  <c r="P33" i="2"/>
  <c r="M32" i="2"/>
  <c r="AD30" i="1" l="1"/>
  <c r="BQ33" i="5" a="1"/>
  <c r="BQ33" i="5" s="1"/>
  <c r="BG32" i="5" a="1"/>
  <c r="BG32" i="5" s="1"/>
  <c r="BH32" i="5" a="1"/>
  <c r="BH32" i="5" s="1"/>
  <c r="AZ32" i="5" a="1"/>
  <c r="AZ32" i="5" s="1"/>
  <c r="BD32" i="5" a="1"/>
  <c r="BD32" i="5" s="1"/>
  <c r="BN32" i="5" a="1"/>
  <c r="BN32" i="5" s="1"/>
  <c r="BN33" i="5" s="1" a="1"/>
  <c r="BN33" i="5" s="1"/>
  <c r="BE32" i="5" a="1"/>
  <c r="BE32" i="5" s="1"/>
  <c r="BE33" i="5" s="1" a="1"/>
  <c r="BE33" i="5" s="1"/>
  <c r="BF32" i="5" a="1"/>
  <c r="BF32" i="5" s="1"/>
  <c r="BF33" i="5" s="1" a="1"/>
  <c r="BF33" i="5" s="1"/>
  <c r="CV32" i="5"/>
  <c r="CT32" i="5"/>
  <c r="CS32" i="5"/>
  <c r="CR32" i="5"/>
  <c r="CU32" i="5"/>
  <c r="CQ32" i="5"/>
  <c r="CW32" i="5"/>
  <c r="AY32" i="5" a="1"/>
  <c r="AY32" i="5" s="1"/>
  <c r="BL32" i="5" a="1"/>
  <c r="BL32" i="5" s="1"/>
  <c r="BC32" i="5" a="1"/>
  <c r="BC32" i="5" s="1"/>
  <c r="V30" i="2"/>
  <c r="CL25" i="8"/>
  <c r="O26" i="8"/>
  <c r="F35" i="8"/>
  <c r="AO27" i="5"/>
  <c r="AV28" i="5"/>
  <c r="BP31" i="5" a="1"/>
  <c r="BP31" i="5" s="1"/>
  <c r="E28" i="1"/>
  <c r="AG26" i="7"/>
  <c r="AI26" i="7" s="1"/>
  <c r="O36" i="1"/>
  <c r="BS27" i="8"/>
  <c r="BY27" i="8" s="1"/>
  <c r="BO27" i="8"/>
  <c r="BK27" i="8"/>
  <c r="BL27" i="8"/>
  <c r="BI27" i="8"/>
  <c r="BJ27" i="8"/>
  <c r="BG27" i="8"/>
  <c r="BH27" i="8"/>
  <c r="BF27" i="8"/>
  <c r="AC27" i="10"/>
  <c r="X27" i="10" s="1"/>
  <c r="AN27" i="5"/>
  <c r="AM27" i="5"/>
  <c r="AH31" i="11"/>
  <c r="AS31" i="5"/>
  <c r="E35" i="8"/>
  <c r="CA103" i="8"/>
  <c r="CQ25" i="8"/>
  <c r="CR25" i="8" s="1"/>
  <c r="DE30" i="5"/>
  <c r="DF30" i="5"/>
  <c r="DB30" i="5"/>
  <c r="AJ31" i="1"/>
  <c r="DH30" i="5"/>
  <c r="AF29" i="1"/>
  <c r="AM31" i="1"/>
  <c r="AE29" i="1"/>
  <c r="W29" i="1" s="1"/>
  <c r="AR32" i="8"/>
  <c r="AD32" i="8"/>
  <c r="K33" i="11"/>
  <c r="A33" i="14"/>
  <c r="CA33" i="14" s="1"/>
  <c r="A33" i="8"/>
  <c r="A33" i="2"/>
  <c r="A33" i="5"/>
  <c r="BB33" i="5" s="1" a="1"/>
  <c r="BB33" i="5" s="1"/>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G39" i="9"/>
  <c r="AQ26" i="5"/>
  <c r="CK26" i="8"/>
  <c r="AR26" i="5"/>
  <c r="CZ30" i="5"/>
  <c r="J29" i="2"/>
  <c r="BU27" i="8"/>
  <c r="BX27" i="8"/>
  <c r="CO27" i="8" s="1"/>
  <c r="CP27" i="8" s="1"/>
  <c r="CC27" i="8"/>
  <c r="CS27" i="8" s="1"/>
  <c r="BW27" i="8"/>
  <c r="CM27" i="8" s="1"/>
  <c r="BT27" i="8"/>
  <c r="BV27" i="8"/>
  <c r="AC26" i="11"/>
  <c r="T26" i="8" s="1"/>
  <c r="AA26" i="11"/>
  <c r="AK26" i="1" s="1"/>
  <c r="Y26" i="11"/>
  <c r="AH26" i="1" s="1"/>
  <c r="N27" i="11"/>
  <c r="Z26" i="11"/>
  <c r="AB26" i="11"/>
  <c r="P26" i="8" s="1"/>
  <c r="AD26" i="11"/>
  <c r="AI26" i="1" s="1"/>
  <c r="AB28" i="8"/>
  <c r="BM28" i="8" s="1"/>
  <c r="BT28" i="5"/>
  <c r="AJ28" i="5"/>
  <c r="AP28" i="5" s="1"/>
  <c r="A28" i="10"/>
  <c r="AA28" i="10" s="1"/>
  <c r="B28" i="7"/>
  <c r="W28" i="8"/>
  <c r="CW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O34" i="2"/>
  <c r="M33" i="2"/>
  <c r="AD31" i="1" l="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AD32" i="1" s="1"/>
  <c r="BI33" i="5" a="1"/>
  <c r="BI33" i="5" s="1"/>
  <c r="BJ33" i="5" a="1"/>
  <c r="BJ33" i="5" s="1"/>
  <c r="BM33" i="5" a="1"/>
  <c r="BM33" i="5" s="1"/>
  <c r="BO33" i="5" a="1"/>
  <c r="BO33" i="5" s="1"/>
  <c r="BK33" i="5" a="1"/>
  <c r="BK33" i="5" s="1"/>
  <c r="CY25" i="8"/>
  <c r="G25" i="1" s="1"/>
  <c r="M25" i="8" s="1"/>
  <c r="V31" i="2"/>
  <c r="O27" i="8"/>
  <c r="F36" i="8"/>
  <c r="AO28" i="5"/>
  <c r="AV29" i="5"/>
  <c r="BP32" i="5" a="1"/>
  <c r="BP32" i="5" s="1"/>
  <c r="DA29" i="8"/>
  <c r="DB29" i="8" s="1"/>
  <c r="AG27" i="7"/>
  <c r="AI27" i="7" s="1"/>
  <c r="O37" i="1"/>
  <c r="BZ27" i="8"/>
  <c r="CQ27" i="8" s="1"/>
  <c r="CR27" i="8" s="1"/>
  <c r="BS28" i="8"/>
  <c r="BY28" i="8" s="1"/>
  <c r="BO28" i="8"/>
  <c r="BK28" i="8"/>
  <c r="BL28" i="8"/>
  <c r="BI28" i="8"/>
  <c r="BJ28" i="8"/>
  <c r="BG28" i="8"/>
  <c r="BH28" i="8"/>
  <c r="BF28" i="8"/>
  <c r="AC28" i="10"/>
  <c r="X28" i="10" s="1"/>
  <c r="AN28" i="5"/>
  <c r="AM28" i="5"/>
  <c r="AH32" i="11"/>
  <c r="AS32" i="5"/>
  <c r="E36" i="8"/>
  <c r="CA104" i="8"/>
  <c r="E29" i="1"/>
  <c r="DB31" i="5"/>
  <c r="DF31" i="5"/>
  <c r="AK32" i="11"/>
  <c r="AJ32" i="1"/>
  <c r="AR33" i="8"/>
  <c r="AD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BQ34" i="5" s="1" a="1"/>
  <c r="BQ34" i="5" s="1"/>
  <c r="A34" i="7"/>
  <c r="R34" i="7" s="1"/>
  <c r="A34" i="9"/>
  <c r="AM32" i="1"/>
  <c r="DH31" i="5"/>
  <c r="AE30" i="1"/>
  <c r="W30" i="1" s="1"/>
  <c r="Y30" i="1"/>
  <c r="DJ31" i="5"/>
  <c r="B29" i="9"/>
  <c r="X29" i="9" s="1"/>
  <c r="A29" i="10"/>
  <c r="AA29" i="10" s="1"/>
  <c r="BR29" i="8"/>
  <c r="CC29" i="8" s="1"/>
  <c r="CS29" i="8" s="1"/>
  <c r="BT29" i="5"/>
  <c r="AB29" i="8"/>
  <c r="BM29" i="8" s="1"/>
  <c r="CF29" i="8"/>
  <c r="A29" i="11"/>
  <c r="N29" i="11" s="1"/>
  <c r="AJ29" i="5"/>
  <c r="AP29" i="5" s="1"/>
  <c r="BE29" i="8"/>
  <c r="BN29" i="8" s="1"/>
  <c r="AI29" i="5"/>
  <c r="BD29" i="8"/>
  <c r="BP29" i="8" s="1"/>
  <c r="W29" i="8"/>
  <c r="CW29" i="8" s="1"/>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D29" i="9"/>
  <c r="CU27" i="8"/>
  <c r="CD28" i="8"/>
  <c r="CT28" i="8" s="1"/>
  <c r="CB34" i="8"/>
  <c r="N28" i="7"/>
  <c r="AG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O35" i="2"/>
  <c r="P35" i="2"/>
  <c r="BK34" i="5" l="1"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D29" i="8"/>
  <c r="CT29" i="8" s="1"/>
  <c r="CU29" i="8" s="1"/>
  <c r="O28" i="8"/>
  <c r="F37" i="8"/>
  <c r="AO29" i="5"/>
  <c r="AV30" i="5"/>
  <c r="BP33" i="5" a="1"/>
  <c r="BP33" i="5" s="1"/>
  <c r="DA30" i="8"/>
  <c r="DB30" i="8" s="1"/>
  <c r="AG28" i="7"/>
  <c r="AI28" i="7" s="1"/>
  <c r="AG29" i="7"/>
  <c r="AI29" i="7" s="1"/>
  <c r="O38" i="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BV29" i="8"/>
  <c r="BU29" i="8"/>
  <c r="BX29" i="8"/>
  <c r="CO29" i="8" s="1"/>
  <c r="CP29" i="8" s="1"/>
  <c r="BT29" i="8"/>
  <c r="AA28" i="11"/>
  <c r="AK28" i="1" s="1"/>
  <c r="N29" i="7"/>
  <c r="Y28" i="11"/>
  <c r="AH28" i="1" s="1"/>
  <c r="Z28" i="11"/>
  <c r="AD28" i="11"/>
  <c r="AI28" i="1" s="1"/>
  <c r="AC28" i="11"/>
  <c r="T28" i="8" s="1"/>
  <c r="AB28" i="11"/>
  <c r="P28" i="8" s="1"/>
  <c r="Q29" i="7"/>
  <c r="BS29" i="8"/>
  <c r="BY29" i="8" s="1"/>
  <c r="D30" i="9"/>
  <c r="W30" i="8"/>
  <c r="CW30" i="8" s="1"/>
  <c r="A30" i="10"/>
  <c r="AA30" i="10" s="1"/>
  <c r="BD30" i="8"/>
  <c r="BP30" i="8" s="1"/>
  <c r="AJ30" i="5"/>
  <c r="AP30" i="5" s="1"/>
  <c r="B30" i="7"/>
  <c r="Q30" i="7" s="1"/>
  <c r="A30" i="11"/>
  <c r="AA29" i="11" s="1"/>
  <c r="AK29" i="1" s="1"/>
  <c r="BT30" i="5"/>
  <c r="CF30" i="8"/>
  <c r="B30" i="9"/>
  <c r="X30" i="9" s="1"/>
  <c r="AB30" i="8"/>
  <c r="BM30" i="8" s="1"/>
  <c r="AI30" i="5"/>
  <c r="BE30" i="8"/>
  <c r="BN30" i="8" s="1"/>
  <c r="E30" i="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B35" i="8"/>
  <c r="AG41" i="9"/>
  <c r="B28" i="14"/>
  <c r="CK28" i="8"/>
  <c r="J31" i="2"/>
  <c r="AR28" i="5"/>
  <c r="AQ28" i="5"/>
  <c r="CZ32" i="5"/>
  <c r="C32" i="5"/>
  <c r="AC31" i="1"/>
  <c r="DA31" i="5"/>
  <c r="DG31" i="5" s="1" a="1"/>
  <c r="DG31" i="5" s="1"/>
  <c r="AB32" i="1"/>
  <c r="DI32" i="5"/>
  <c r="AF41" i="9"/>
  <c r="AJ41" i="9"/>
  <c r="AD103" i="9"/>
  <c r="B29" i="14"/>
  <c r="N17" i="1"/>
  <c r="S34" i="2"/>
  <c r="N35" i="2"/>
  <c r="R35" i="2"/>
  <c r="Q34" i="2"/>
  <c r="P36" i="2"/>
  <c r="J36" i="10"/>
  <c r="N36" i="5" s="1"/>
  <c r="M35" i="2"/>
  <c r="O36" i="2"/>
  <c r="AD33" i="1" l="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D30" i="8"/>
  <c r="CT30" i="8" s="1"/>
  <c r="CU30" i="8" s="1"/>
  <c r="O29" i="8"/>
  <c r="CJ29" i="8"/>
  <c r="CN29" i="8" s="1"/>
  <c r="F38" i="8"/>
  <c r="AO30" i="5"/>
  <c r="AV31" i="5"/>
  <c r="BP34" i="5" a="1"/>
  <c r="BP34" i="5" s="1"/>
  <c r="A31" i="10"/>
  <c r="AA31" i="10" s="1"/>
  <c r="O39" i="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K29" i="8"/>
  <c r="BZ29" i="8"/>
  <c r="CQ29" i="8" s="1"/>
  <c r="CR29" i="8" s="1"/>
  <c r="AR29" i="5"/>
  <c r="N30" i="7"/>
  <c r="DA31" i="8"/>
  <c r="DB31" i="8" s="1"/>
  <c r="D31" i="9"/>
  <c r="BS30" i="8"/>
  <c r="BY30" i="8" s="1"/>
  <c r="AC29" i="11"/>
  <c r="T29" i="8" s="1"/>
  <c r="Y29" i="11"/>
  <c r="AH29" i="1" s="1"/>
  <c r="Z29" i="11"/>
  <c r="BX30" i="8"/>
  <c r="CO30" i="8" s="1"/>
  <c r="CP30" i="8" s="1"/>
  <c r="BV30" i="8"/>
  <c r="AB29" i="11"/>
  <c r="P29" i="8" s="1"/>
  <c r="N30" i="11"/>
  <c r="BU30" i="8"/>
  <c r="BT30" i="8"/>
  <c r="AD29" i="11"/>
  <c r="AI29" i="1" s="1"/>
  <c r="AE30" i="7"/>
  <c r="AF30" i="7" s="1"/>
  <c r="F32" i="5"/>
  <c r="AW32" i="5" s="1"/>
  <c r="B31" i="9"/>
  <c r="X31" i="9" s="1"/>
  <c r="A31" i="11"/>
  <c r="AC30" i="11" s="1"/>
  <c r="T30" i="8" s="1"/>
  <c r="BW30" i="8"/>
  <c r="CM30" i="8" s="1"/>
  <c r="AI31" i="5"/>
  <c r="AJ31" i="5"/>
  <c r="AP31" i="5" s="1"/>
  <c r="BT31" i="5"/>
  <c r="AB31" i="8"/>
  <c r="BM31" i="8" s="1"/>
  <c r="W31" i="8"/>
  <c r="CW31" i="8" s="1"/>
  <c r="CF31" i="8"/>
  <c r="E31" i="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G42" i="9"/>
  <c r="J32" i="2"/>
  <c r="CZ33" i="5"/>
  <c r="AB33" i="1"/>
  <c r="DI33" i="5"/>
  <c r="AC32" i="1"/>
  <c r="DA32" i="5"/>
  <c r="DG32" i="5" s="1" a="1"/>
  <c r="DG32" i="5" s="1"/>
  <c r="AF42" i="9"/>
  <c r="AJ42" i="9"/>
  <c r="AD104" i="9"/>
  <c r="N18" i="1"/>
  <c r="S35" i="2"/>
  <c r="N36" i="2"/>
  <c r="R36" i="2"/>
  <c r="Q35" i="2"/>
  <c r="M36" i="2"/>
  <c r="O37" i="2"/>
  <c r="J37" i="10"/>
  <c r="N37" i="5" s="1"/>
  <c r="P37" i="2"/>
  <c r="AD34" i="1" l="1"/>
  <c r="CT36" i="5"/>
  <c r="CR36" i="5"/>
  <c r="CW36" i="5"/>
  <c r="CV36" i="5"/>
  <c r="CS36" i="5"/>
  <c r="CU36" i="5"/>
  <c r="CQ36" i="5"/>
  <c r="BL36" i="5" a="1"/>
  <c r="BL36" i="5" s="1"/>
  <c r="AY36" i="5" a="1"/>
  <c r="AY36" i="5" s="1"/>
  <c r="BQ36" i="5" a="1"/>
  <c r="BQ36" i="5" s="1"/>
  <c r="BO36" i="5" a="1"/>
  <c r="BO36" i="5" s="1"/>
  <c r="BF36" i="5" a="1"/>
  <c r="BF36" i="5" s="1"/>
  <c r="BN36" i="5" a="1"/>
  <c r="BN36" i="5" s="1"/>
  <c r="BN37" i="5" s="1" a="1"/>
  <c r="BN37" i="5" s="1"/>
  <c r="BA36" i="5" a="1"/>
  <c r="BA36" i="5" s="1"/>
  <c r="BM36" i="5" a="1"/>
  <c r="BM36" i="5" s="1"/>
  <c r="BM37" i="5" s="1" a="1"/>
  <c r="BM37" i="5" s="1"/>
  <c r="BK36" i="5" a="1"/>
  <c r="BK36" i="5" s="1"/>
  <c r="BK37" i="5" s="1" a="1"/>
  <c r="BK37" i="5" s="1"/>
  <c r="AZ36" i="5" a="1"/>
  <c r="AZ36" i="5" s="1"/>
  <c r="BJ36" i="5" a="1"/>
  <c r="BJ36" i="5" s="1"/>
  <c r="BH36" i="5" a="1"/>
  <c r="BH36" i="5" s="1"/>
  <c r="BG36" i="5" a="1"/>
  <c r="BG36" i="5" s="1"/>
  <c r="BI36" i="5" a="1"/>
  <c r="BI36" i="5" s="1"/>
  <c r="BC36" i="5" a="1"/>
  <c r="BC36" i="5" s="1"/>
  <c r="BD36" i="5" a="1"/>
  <c r="BD36" i="5" s="1"/>
  <c r="BE36" i="5" a="1"/>
  <c r="BE36" i="5" s="1"/>
  <c r="BB36" i="5" a="1"/>
  <c r="BB36" i="5" s="1"/>
  <c r="V34" i="2"/>
  <c r="CL29" i="8"/>
  <c r="CY29" i="8" s="1"/>
  <c r="G29" i="1" s="1"/>
  <c r="M29" i="8" s="1"/>
  <c r="O30" i="8"/>
  <c r="CJ30" i="8"/>
  <c r="CN30" i="8" s="1"/>
  <c r="F39" i="8"/>
  <c r="AO31" i="5"/>
  <c r="AV32" i="5"/>
  <c r="BP35" i="5" a="1"/>
  <c r="BP35" i="5" s="1"/>
  <c r="BD32" i="8"/>
  <c r="BP32" i="8" s="1"/>
  <c r="AG30" i="7"/>
  <c r="AI30" i="7" s="1"/>
  <c r="AG31" i="7"/>
  <c r="AI31" i="7" s="1"/>
  <c r="O40" i="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BZ30" i="8"/>
  <c r="CQ30" i="8" s="1"/>
  <c r="CR30" i="8" s="1"/>
  <c r="DA32" i="8"/>
  <c r="DB32" i="8" s="1"/>
  <c r="CD31" i="8"/>
  <c r="CT31" i="8" s="1"/>
  <c r="AR30" i="5"/>
  <c r="AQ30" i="5"/>
  <c r="CK30" i="8"/>
  <c r="W32" i="8"/>
  <c r="CW32" i="8" s="1"/>
  <c r="N31" i="11"/>
  <c r="AB32" i="8"/>
  <c r="BM32" i="8" s="1"/>
  <c r="AD30" i="11"/>
  <c r="AI30" i="1" s="1"/>
  <c r="E32" i="1"/>
  <c r="A32" i="11"/>
  <c r="AD31" i="11" s="1"/>
  <c r="AI31" i="1" s="1"/>
  <c r="A32" i="10"/>
  <c r="AA32" i="10" s="1"/>
  <c r="BE32" i="8"/>
  <c r="BN32" i="8" s="1"/>
  <c r="BR32" i="8"/>
  <c r="BX32" i="8" s="1"/>
  <c r="CO32" i="8" s="1"/>
  <c r="CP32" i="8" s="1"/>
  <c r="AA30" i="11"/>
  <c r="AK30" i="1" s="1"/>
  <c r="AB30" i="11"/>
  <c r="P30" i="8" s="1"/>
  <c r="B32" i="9"/>
  <c r="X32" i="9" s="1"/>
  <c r="AI32" i="5"/>
  <c r="Y30" i="11"/>
  <c r="AH30" i="1" s="1"/>
  <c r="AJ32" i="5"/>
  <c r="AP32" i="5" s="1"/>
  <c r="B32" i="7"/>
  <c r="AE32" i="7" s="1"/>
  <c r="AF32" i="7" s="1"/>
  <c r="CF32" i="8"/>
  <c r="BT32" i="5"/>
  <c r="N31" i="7"/>
  <c r="CC31" i="8"/>
  <c r="CS31" i="8" s="1"/>
  <c r="Q31" i="7"/>
  <c r="BU31" i="8"/>
  <c r="BW31" i="8"/>
  <c r="CM31" i="8" s="1"/>
  <c r="D32" i="9"/>
  <c r="BV31" i="8"/>
  <c r="BT31" i="8"/>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G43" i="9"/>
  <c r="C33" i="5"/>
  <c r="F33" i="5" s="1"/>
  <c r="AW33" i="5" s="1"/>
  <c r="J33" i="2"/>
  <c r="CZ34" i="5"/>
  <c r="AC33" i="1"/>
  <c r="DA33" i="5"/>
  <c r="DG33" i="5" s="1" a="1"/>
  <c r="DG33" i="5" s="1"/>
  <c r="AB34" i="1"/>
  <c r="DI34" i="5"/>
  <c r="AF43" i="9"/>
  <c r="AJ43" i="9"/>
  <c r="AD105" i="9"/>
  <c r="B31" i="14"/>
  <c r="N19" i="1"/>
  <c r="S36" i="2"/>
  <c r="N37" i="2"/>
  <c r="R37" i="2"/>
  <c r="Q36" i="2"/>
  <c r="J38" i="10"/>
  <c r="N38" i="5" s="1"/>
  <c r="O38" i="2"/>
  <c r="P38" i="2"/>
  <c r="M37" i="2"/>
  <c r="BA37" i="5" l="1" a="1"/>
  <c r="BA37" i="5" s="1"/>
  <c r="BF37" i="5" a="1"/>
  <c r="BF37" i="5" s="1"/>
  <c r="CS37" i="5"/>
  <c r="CV37" i="5"/>
  <c r="CR37" i="5"/>
  <c r="CT37" i="5"/>
  <c r="CQ37" i="5"/>
  <c r="CW37" i="5"/>
  <c r="CU37" i="5"/>
  <c r="AY37" i="5" a="1"/>
  <c r="AY37" i="5" s="1"/>
  <c r="BL37" i="5" a="1"/>
  <c r="BL37" i="5" s="1"/>
  <c r="AD36" i="1" s="1"/>
  <c r="BO37" i="5" a="1"/>
  <c r="BO37" i="5" s="1"/>
  <c r="BO38" i="5" s="1" a="1"/>
  <c r="BO38" i="5" s="1"/>
  <c r="AD35" i="1"/>
  <c r="BQ37" i="5" a="1"/>
  <c r="BQ37" i="5" s="1"/>
  <c r="BQ38" i="5" s="1" a="1"/>
  <c r="BQ38" i="5" s="1"/>
  <c r="BB37" i="5" a="1"/>
  <c r="BB37" i="5" s="1"/>
  <c r="BE37" i="5" a="1"/>
  <c r="BE37" i="5" s="1"/>
  <c r="BD37" i="5" a="1"/>
  <c r="BD37" i="5" s="1"/>
  <c r="BC37" i="5" a="1"/>
  <c r="BC37" i="5" s="1"/>
  <c r="BI37" i="5" a="1"/>
  <c r="BI37" i="5" s="1"/>
  <c r="BG37" i="5" a="1"/>
  <c r="BG37" i="5" s="1"/>
  <c r="BH37" i="5" a="1"/>
  <c r="BH37" i="5" s="1"/>
  <c r="BJ37" i="5" a="1"/>
  <c r="BJ37" i="5" s="1"/>
  <c r="AZ37" i="5" a="1"/>
  <c r="AZ37" i="5" s="1"/>
  <c r="V35" i="2"/>
  <c r="CL30" i="8"/>
  <c r="CY30" i="8" s="1"/>
  <c r="G30" i="1" s="1"/>
  <c r="M30" i="8" s="1"/>
  <c r="O31" i="8"/>
  <c r="CJ31" i="8"/>
  <c r="CN31" i="8" s="1"/>
  <c r="F40" i="8"/>
  <c r="AO32" i="5"/>
  <c r="AV33" i="5"/>
  <c r="BP36" i="5" a="1"/>
  <c r="BP36" i="5" s="1"/>
  <c r="BO32" i="8"/>
  <c r="BS32" i="8"/>
  <c r="BY32" i="8" s="1"/>
  <c r="D33" i="9"/>
  <c r="AG32" i="7"/>
  <c r="AI32" i="7" s="1"/>
  <c r="O41" i="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BN38" i="5" s="1" a="1"/>
  <c r="BN38" i="5" s="1"/>
  <c r="A38" i="9"/>
  <c r="A38" i="7"/>
  <c r="R38" i="7" s="1"/>
  <c r="A38" i="8"/>
  <c r="A38" i="2"/>
  <c r="AM36" i="1"/>
  <c r="Y34" i="1"/>
  <c r="DJ35" i="5"/>
  <c r="AD37" i="8"/>
  <c r="AR37" i="8"/>
  <c r="BT32"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CF33" i="8"/>
  <c r="CB38" i="8"/>
  <c r="BR33" i="8"/>
  <c r="BE33" i="8"/>
  <c r="BN33" i="8" s="1"/>
  <c r="AJ33" i="5"/>
  <c r="AP33" i="5" s="1"/>
  <c r="BD33" i="8"/>
  <c r="BP33" i="8" s="1"/>
  <c r="AG44" i="9"/>
  <c r="B33" i="9"/>
  <c r="X33" i="9" s="1"/>
  <c r="B33" i="7"/>
  <c r="A33" i="10"/>
  <c r="AA33" i="10" s="1"/>
  <c r="AB33" i="8"/>
  <c r="BM33" i="8" s="1"/>
  <c r="E33" i="1"/>
  <c r="BT33" i="5"/>
  <c r="A33" i="11"/>
  <c r="W33" i="8"/>
  <c r="CW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O39" i="2"/>
  <c r="AZ38" i="5" l="1" a="1"/>
  <c r="AZ38" i="5" s="1"/>
  <c r="BJ38" i="5" a="1"/>
  <c r="BJ38" i="5" s="1"/>
  <c r="BH38" i="5" a="1"/>
  <c r="BH38" i="5" s="1"/>
  <c r="BG38" i="5" a="1"/>
  <c r="BG38" i="5" s="1"/>
  <c r="CT38" i="5"/>
  <c r="CR38" i="5"/>
  <c r="CU38" i="5"/>
  <c r="CV38" i="5"/>
  <c r="CQ38" i="5"/>
  <c r="CS38" i="5"/>
  <c r="CW38" i="5"/>
  <c r="AY38" i="5" a="1"/>
  <c r="AY38" i="5" s="1"/>
  <c r="BL38" i="5" a="1"/>
  <c r="BL38" i="5" s="1"/>
  <c r="AD37" i="1" s="1"/>
  <c r="BI38" i="5" a="1"/>
  <c r="BI38" i="5" s="1"/>
  <c r="BC38" i="5" a="1"/>
  <c r="BC38" i="5" s="1"/>
  <c r="BK38" i="5" a="1"/>
  <c r="BK38" i="5" s="1"/>
  <c r="BD38" i="5" a="1"/>
  <c r="BD38" i="5" s="1"/>
  <c r="BE38" i="5" a="1"/>
  <c r="BE38" i="5" s="1"/>
  <c r="BF38" i="5" a="1"/>
  <c r="BF38" i="5" s="1"/>
  <c r="BB38" i="5" a="1"/>
  <c r="BB38" i="5" s="1"/>
  <c r="BA38" i="5" a="1"/>
  <c r="BA38" i="5" s="1"/>
  <c r="BM38" i="5" a="1"/>
  <c r="BM38" i="5" s="1"/>
  <c r="V36" i="2"/>
  <c r="CL31" i="8"/>
  <c r="CY31" i="8" s="1"/>
  <c r="G31" i="1" s="1"/>
  <c r="M31" i="8" s="1"/>
  <c r="BZ32" i="8"/>
  <c r="CQ32" i="8" s="1"/>
  <c r="CR32" i="8" s="1"/>
  <c r="O32" i="8"/>
  <c r="CJ32" i="8"/>
  <c r="CN32" i="8" s="1"/>
  <c r="F41" i="8"/>
  <c r="AO33" i="5"/>
  <c r="AV34" i="5"/>
  <c r="BP37" i="5" a="1"/>
  <c r="BP37" i="5" s="1"/>
  <c r="O42" i="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D38" i="8"/>
  <c r="AR38" i="8"/>
  <c r="CK32" i="8"/>
  <c r="CU32" i="8"/>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G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W34" i="8"/>
  <c r="CW34" i="8" s="1"/>
  <c r="B34" i="9"/>
  <c r="X34" i="9" s="1"/>
  <c r="AJ34" i="5"/>
  <c r="AP34" i="5" s="1"/>
  <c r="AI34" i="5"/>
  <c r="A34" i="11"/>
  <c r="AB34" i="8"/>
  <c r="BM34" i="8" s="1"/>
  <c r="BT34" i="5"/>
  <c r="J35" i="2"/>
  <c r="AC35" i="1"/>
  <c r="DA35" i="5"/>
  <c r="DG35" i="5" s="1" a="1"/>
  <c r="DG35" i="5" s="1"/>
  <c r="AB36" i="1"/>
  <c r="DI36" i="5"/>
  <c r="AF45" i="9"/>
  <c r="AJ45" i="9"/>
  <c r="AD107" i="9"/>
  <c r="N21" i="1"/>
  <c r="S38" i="2"/>
  <c r="N39" i="2"/>
  <c r="R39" i="2"/>
  <c r="Q38" i="2"/>
  <c r="J40" i="10"/>
  <c r="N40" i="5" s="1"/>
  <c r="P40" i="2"/>
  <c r="O40" i="2"/>
  <c r="M39" i="2"/>
  <c r="BM39" i="5" l="1" a="1"/>
  <c r="BM39" i="5" s="1"/>
  <c r="BA39" i="5" a="1"/>
  <c r="BA39" i="5" s="1"/>
  <c r="BB39" i="5" a="1"/>
  <c r="BB39" i="5" s="1"/>
  <c r="CQ39" i="5"/>
  <c r="CR39" i="5"/>
  <c r="CS39" i="5"/>
  <c r="CT39" i="5"/>
  <c r="CV39" i="5"/>
  <c r="CW39" i="5"/>
  <c r="CU39" i="5"/>
  <c r="AY39" i="5" a="1"/>
  <c r="AY39" i="5" s="1"/>
  <c r="BL39" i="5" a="1"/>
  <c r="BL39" i="5" s="1"/>
  <c r="BF39" i="5" a="1"/>
  <c r="BF39" i="5" s="1"/>
  <c r="BF40" i="5" s="1" a="1"/>
  <c r="BF40" i="5" s="1"/>
  <c r="BG39" i="5" a="1"/>
  <c r="BG39" i="5" s="1"/>
  <c r="BE39" i="5" a="1"/>
  <c r="BE39" i="5" s="1"/>
  <c r="BQ39" i="5" a="1"/>
  <c r="BQ39" i="5" s="1"/>
  <c r="BQ40" i="5" s="1" a="1"/>
  <c r="BQ40" i="5" s="1"/>
  <c r="BD39" i="5" a="1"/>
  <c r="BD39" i="5" s="1"/>
  <c r="BH39" i="5" a="1"/>
  <c r="BH39" i="5" s="1"/>
  <c r="BO39" i="5" a="1"/>
  <c r="BO39" i="5" s="1"/>
  <c r="BJ39" i="5" a="1"/>
  <c r="BJ39" i="5" s="1"/>
  <c r="BK39" i="5" a="1"/>
  <c r="BK39" i="5" s="1"/>
  <c r="AZ39" i="5" a="1"/>
  <c r="AZ39" i="5" s="1"/>
  <c r="BC39" i="5" a="1"/>
  <c r="BC39" i="5" s="1"/>
  <c r="BI39" i="5" a="1"/>
  <c r="BI39" i="5" s="1"/>
  <c r="BN39" i="5" a="1"/>
  <c r="BN39" i="5" s="1"/>
  <c r="V37" i="2"/>
  <c r="CL32" i="8"/>
  <c r="CY32" i="8" s="1"/>
  <c r="G32" i="1" s="1"/>
  <c r="M32" i="8" s="1"/>
  <c r="F42" i="8"/>
  <c r="AO34" i="5"/>
  <c r="AV35" i="5"/>
  <c r="BP38" i="5" a="1"/>
  <c r="BP38" i="5" s="1"/>
  <c r="DA35" i="8"/>
  <c r="DB35" i="8" s="1"/>
  <c r="AG33" i="7"/>
  <c r="AI33" i="7" s="1"/>
  <c r="O43" i="1"/>
  <c r="BS34" i="8"/>
  <c r="BY34" i="8" s="1"/>
  <c r="BO34" i="8"/>
  <c r="BK34" i="8"/>
  <c r="BL34" i="8"/>
  <c r="BI34" i="8"/>
  <c r="BJ34" i="8"/>
  <c r="BG34" i="8"/>
  <c r="BH34" i="8"/>
  <c r="BF34" i="8"/>
  <c r="AC34" i="10"/>
  <c r="X34" i="10" s="1"/>
  <c r="AM34" i="5"/>
  <c r="AN34" i="5"/>
  <c r="AS38" i="5"/>
  <c r="AK38" i="11"/>
  <c r="E42" i="8"/>
  <c r="CA110" i="8"/>
  <c r="DF37" i="5"/>
  <c r="AH38" i="11"/>
  <c r="DB37" i="5"/>
  <c r="DE37" i="5"/>
  <c r="K40" i="11"/>
  <c r="A40" i="14"/>
  <c r="CA40" i="14" s="1"/>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W35" i="8"/>
  <c r="CW35" i="8" s="1"/>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4" i="8"/>
  <c r="CT34" i="8" s="1"/>
  <c r="CB40" i="8"/>
  <c r="AQ33" i="5"/>
  <c r="AR33" i="5"/>
  <c r="BY33" i="8"/>
  <c r="N34" i="7"/>
  <c r="AG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N41" i="5" s="1"/>
  <c r="M40" i="2"/>
  <c r="AD38" i="1" l="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AZ41" i="5" s="1" a="1"/>
  <c r="AZ41" i="5" s="1"/>
  <c r="BK40" i="5" a="1"/>
  <c r="BK40" i="5" s="1"/>
  <c r="BJ40" i="5" a="1"/>
  <c r="BJ40" i="5" s="1"/>
  <c r="BO40" i="5" a="1"/>
  <c r="BO40" i="5" s="1"/>
  <c r="BB40" i="5" a="1"/>
  <c r="BB40" i="5" s="1"/>
  <c r="BH40" i="5" a="1"/>
  <c r="BH40" i="5" s="1"/>
  <c r="BA40" i="5" a="1"/>
  <c r="BA40" i="5" s="1"/>
  <c r="BD40" i="5" a="1"/>
  <c r="BD40" i="5" s="1"/>
  <c r="BM40" i="5" a="1"/>
  <c r="BM40" i="5" s="1"/>
  <c r="V38" i="2"/>
  <c r="AT39" i="5"/>
  <c r="CD35" i="8"/>
  <c r="CT35" i="8" s="1"/>
  <c r="O34" i="8"/>
  <c r="CQ33" i="8"/>
  <c r="CR33" i="8" s="1"/>
  <c r="O33" i="8"/>
  <c r="F43" i="8"/>
  <c r="AO35" i="5"/>
  <c r="AV36" i="5"/>
  <c r="BP39" i="5" a="1"/>
  <c r="BP39" i="5" s="1"/>
  <c r="AG35" i="7"/>
  <c r="AI35" i="7" s="1"/>
  <c r="AG34" i="7"/>
  <c r="AI34" i="7" s="1"/>
  <c r="O44" i="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BF41" i="5" s="1" a="1"/>
  <c r="BF41" i="5" s="1"/>
  <c r="A41" i="7"/>
  <c r="R41" i="7" s="1"/>
  <c r="AA34" i="11"/>
  <c r="AK34" i="1" s="1"/>
  <c r="AD34" i="11"/>
  <c r="AI34" i="1" s="1"/>
  <c r="BX35" i="8"/>
  <c r="CO35" i="8" s="1"/>
  <c r="CP35" i="8" s="1"/>
  <c r="BT35" i="8"/>
  <c r="BU35" i="8"/>
  <c r="CC35" i="8"/>
  <c r="CS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J34" i="8"/>
  <c r="CN34" i="8" s="1"/>
  <c r="CU34" i="8"/>
  <c r="DA36" i="8"/>
  <c r="DB36" i="8" s="1"/>
  <c r="CF36" i="8"/>
  <c r="CB41" i="8"/>
  <c r="BR36" i="8"/>
  <c r="BD36" i="8"/>
  <c r="BP36" i="8" s="1"/>
  <c r="BE36" i="8"/>
  <c r="BN36" i="8" s="1"/>
  <c r="AG47" i="9"/>
  <c r="B34" i="14"/>
  <c r="CK34" i="8"/>
  <c r="AQ34" i="5"/>
  <c r="AR34" i="5"/>
  <c r="J37" i="2"/>
  <c r="CZ38" i="5"/>
  <c r="AI36" i="5"/>
  <c r="BT36" i="5"/>
  <c r="AB36" i="8"/>
  <c r="BM36" i="8" s="1"/>
  <c r="A36" i="11"/>
  <c r="A36" i="10"/>
  <c r="AA36" i="10" s="1"/>
  <c r="B36" i="7"/>
  <c r="W36" i="8"/>
  <c r="CW36" i="8" s="1"/>
  <c r="E36" i="1"/>
  <c r="B36" i="9"/>
  <c r="X36" i="9" s="1"/>
  <c r="AJ36" i="5"/>
  <c r="AP36" i="5" s="1"/>
  <c r="J38" i="2"/>
  <c r="AC37" i="1"/>
  <c r="DA37" i="5"/>
  <c r="DG37" i="5" s="1" a="1"/>
  <c r="DG37" i="5" s="1"/>
  <c r="AB38" i="1"/>
  <c r="DI38" i="5"/>
  <c r="AF47" i="9"/>
  <c r="AJ47" i="9"/>
  <c r="AD109" i="9"/>
  <c r="B35" i="14"/>
  <c r="N23" i="1"/>
  <c r="S40" i="2"/>
  <c r="N41" i="2"/>
  <c r="R41" i="2"/>
  <c r="Q40" i="2"/>
  <c r="J42" i="10"/>
  <c r="N42" i="5" s="1"/>
  <c r="O42" i="2"/>
  <c r="M41" i="2"/>
  <c r="P42" i="2"/>
  <c r="AD39" i="1" l="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U35" i="8"/>
  <c r="CY33" i="8"/>
  <c r="G33" i="1" s="1"/>
  <c r="M33" i="8" s="1"/>
  <c r="CJ35" i="8"/>
  <c r="CN35" i="8" s="1"/>
  <c r="F44" i="8"/>
  <c r="AO36" i="5"/>
  <c r="AV37" i="5"/>
  <c r="BP40" i="5" a="1"/>
  <c r="BP40" i="5" s="1"/>
  <c r="A37" i="11"/>
  <c r="AD36" i="11" s="1"/>
  <c r="AI36" i="1" s="1"/>
  <c r="O45" i="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CA42" i="14" s="1"/>
  <c r="A42" i="5"/>
  <c r="AZ42" i="5" s="1" a="1"/>
  <c r="AZ42" i="5" s="1"/>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AI37" i="5"/>
  <c r="B37" i="7"/>
  <c r="AE37" i="7" s="1"/>
  <c r="AF37" i="7" s="1"/>
  <c r="AB37" i="8"/>
  <c r="BM37" i="8" s="1"/>
  <c r="W37" i="8"/>
  <c r="CW37" i="8" s="1"/>
  <c r="E37" i="1"/>
  <c r="BE37" i="8"/>
  <c r="BN37" i="8" s="1"/>
  <c r="BR37" i="8"/>
  <c r="CC37" i="8" s="1"/>
  <c r="CS37" i="8" s="1"/>
  <c r="BT37" i="5"/>
  <c r="AJ37" i="5"/>
  <c r="AP37" i="5" s="1"/>
  <c r="BD37" i="8"/>
  <c r="BP37" i="8" s="1"/>
  <c r="A37" i="10"/>
  <c r="AA37" i="10" s="1"/>
  <c r="B37" i="9"/>
  <c r="X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G48" i="9"/>
  <c r="AC35" i="11"/>
  <c r="T35" i="8" s="1"/>
  <c r="Y35" i="11"/>
  <c r="AH35" i="1" s="1"/>
  <c r="AD35" i="11"/>
  <c r="AI35" i="1" s="1"/>
  <c r="Z35" i="11"/>
  <c r="AA35" i="11"/>
  <c r="AK35" i="1" s="1"/>
  <c r="N36" i="11"/>
  <c r="AB35" i="11"/>
  <c r="P35" i="8" s="1"/>
  <c r="C38" i="5"/>
  <c r="F38" i="5" s="1"/>
  <c r="AW38" i="5" s="1"/>
  <c r="CZ39" i="5"/>
  <c r="BX36" i="8"/>
  <c r="CO36" i="8" s="1"/>
  <c r="CP36" i="8" s="1"/>
  <c r="CC36" i="8"/>
  <c r="CS36" i="8" s="1"/>
  <c r="BV36" i="8"/>
  <c r="BW36" i="8"/>
  <c r="CM36" i="8" s="1"/>
  <c r="BT36" i="8"/>
  <c r="BU36" i="8"/>
  <c r="AE36" i="7"/>
  <c r="AF36" i="7" s="1"/>
  <c r="Q36" i="7"/>
  <c r="AB39" i="1"/>
  <c r="DI39" i="5"/>
  <c r="C39" i="5"/>
  <c r="AC38" i="1"/>
  <c r="DA38" i="5"/>
  <c r="DG38" i="5" s="1" a="1"/>
  <c r="DG38" i="5" s="1"/>
  <c r="AF48" i="9"/>
  <c r="AJ48" i="9"/>
  <c r="AD110" i="9"/>
  <c r="N24" i="1"/>
  <c r="S41" i="2"/>
  <c r="N42" i="2"/>
  <c r="R42" i="2"/>
  <c r="Q41" i="2"/>
  <c r="O43" i="2"/>
  <c r="J43" i="10"/>
  <c r="N43" i="5" s="1"/>
  <c r="P43" i="2"/>
  <c r="M42" i="2"/>
  <c r="AD40" i="1" l="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L35" i="8"/>
  <c r="AB36" i="11"/>
  <c r="P36" i="8" s="1"/>
  <c r="AC36" i="11"/>
  <c r="T36" i="8" s="1"/>
  <c r="AA36" i="11"/>
  <c r="AK36" i="1" s="1"/>
  <c r="Z36" i="11"/>
  <c r="N37" i="11"/>
  <c r="O36" i="8"/>
  <c r="F45" i="8"/>
  <c r="AO37" i="5"/>
  <c r="AV38" i="5"/>
  <c r="BP41" i="5" a="1"/>
  <c r="BP41" i="5" s="1"/>
  <c r="AG36" i="7"/>
  <c r="AI36" i="7" s="1"/>
  <c r="AG37" i="7"/>
  <c r="AI37" i="7" s="1"/>
  <c r="O46" i="1"/>
  <c r="BZ36" i="8"/>
  <c r="CQ36" i="8" s="1"/>
  <c r="CR36" i="8" s="1"/>
  <c r="BO37" i="8"/>
  <c r="BK37" i="8"/>
  <c r="BL37" i="8"/>
  <c r="BI37" i="8"/>
  <c r="BJ37" i="8"/>
  <c r="BG37" i="8"/>
  <c r="BH37" i="8"/>
  <c r="BF37" i="8"/>
  <c r="AN37" i="5"/>
  <c r="AC37" i="10"/>
  <c r="X37" i="10" s="1"/>
  <c r="AM37" i="5"/>
  <c r="AH41" i="11"/>
  <c r="AK41" i="11"/>
  <c r="AS41" i="5"/>
  <c r="E45" i="8"/>
  <c r="CA113" i="8"/>
  <c r="CQ35" i="8"/>
  <c r="CR35" i="8" s="1"/>
  <c r="DE40" i="5"/>
  <c r="DB40" i="5"/>
  <c r="AJ41" i="1"/>
  <c r="DF40" i="5"/>
  <c r="K43" i="11"/>
  <c r="A43" i="14"/>
  <c r="CA43" i="14" s="1"/>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G49" i="9"/>
  <c r="CK36" i="8"/>
  <c r="AQ36" i="5"/>
  <c r="CZ40" i="5"/>
  <c r="W38" i="8"/>
  <c r="CW38" i="8" s="1"/>
  <c r="E38" i="1"/>
  <c r="AI38" i="5"/>
  <c r="B38" i="9"/>
  <c r="X38" i="9" s="1"/>
  <c r="A38" i="11"/>
  <c r="AB38" i="8"/>
  <c r="BM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O44" i="2"/>
  <c r="AD41" i="1" l="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Y35" i="8"/>
  <c r="G35" i="1" s="1"/>
  <c r="M35" i="8" s="1"/>
  <c r="O37" i="8"/>
  <c r="CJ37" i="8"/>
  <c r="CN37" i="8" s="1"/>
  <c r="F46" i="8"/>
  <c r="AO38" i="5"/>
  <c r="AV39" i="5"/>
  <c r="BP42" i="5" a="1"/>
  <c r="BP42" i="5" s="1"/>
  <c r="BD39" i="8"/>
  <c r="BP39" i="8" s="1"/>
  <c r="O47" i="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K37" i="8"/>
  <c r="B39" i="7"/>
  <c r="Q39" i="7" s="1"/>
  <c r="AR37" i="5"/>
  <c r="BZ37" i="8"/>
  <c r="CQ37" i="8" s="1"/>
  <c r="CR37" i="8" s="1"/>
  <c r="AI39" i="5"/>
  <c r="E39" i="1"/>
  <c r="BT39" i="5"/>
  <c r="A39" i="10"/>
  <c r="AA39" i="10" s="1"/>
  <c r="D39" i="9"/>
  <c r="B39" i="9"/>
  <c r="X39" i="9" s="1"/>
  <c r="AB39" i="8"/>
  <c r="BM39" i="8" s="1"/>
  <c r="CF39" i="8"/>
  <c r="DA39" i="8"/>
  <c r="DB39" i="8" s="1"/>
  <c r="AJ39" i="5"/>
  <c r="AP39" i="5" s="1"/>
  <c r="A39" i="11"/>
  <c r="N39" i="11" s="1"/>
  <c r="W39" i="8"/>
  <c r="CW39" i="8" s="1"/>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G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F50" i="9"/>
  <c r="AJ50" i="9"/>
  <c r="AD112" i="9"/>
  <c r="N26" i="1"/>
  <c r="S43" i="2"/>
  <c r="N44" i="2"/>
  <c r="R44" i="2"/>
  <c r="Q43" i="2"/>
  <c r="O45" i="2"/>
  <c r="J45" i="10"/>
  <c r="N45" i="5" s="1"/>
  <c r="P45" i="2"/>
  <c r="M44" i="2"/>
  <c r="AD42" i="1" l="1"/>
  <c r="AZ44" i="5" a="1"/>
  <c r="AZ44" i="5" s="1"/>
  <c r="BB44" i="5" a="1"/>
  <c r="BB44" i="5" s="1"/>
  <c r="CQ44" i="5"/>
  <c r="CR44" i="5"/>
  <c r="CV44" i="5"/>
  <c r="CW44" i="5"/>
  <c r="CS44" i="5"/>
  <c r="CT44" i="5"/>
  <c r="CU44" i="5"/>
  <c r="AY44" i="5" a="1"/>
  <c r="AY44" i="5" s="1"/>
  <c r="BL44" i="5" a="1"/>
  <c r="BL44" i="5" s="1"/>
  <c r="BQ44" i="5" a="1"/>
  <c r="BQ44" i="5" s="1"/>
  <c r="BQ45" i="5" s="1" a="1"/>
  <c r="BQ45" i="5" s="1"/>
  <c r="BJ44" i="5" a="1"/>
  <c r="BJ44" i="5" s="1"/>
  <c r="BJ45" i="5" s="1" a="1"/>
  <c r="BJ45" i="5" s="1"/>
  <c r="BC44" i="5" a="1"/>
  <c r="BC44" i="5" s="1"/>
  <c r="BC45" i="5" s="1" a="1"/>
  <c r="BC45" i="5" s="1"/>
  <c r="BH44" i="5" a="1"/>
  <c r="BH44" i="5" s="1"/>
  <c r="BH45" i="5" s="1" a="1"/>
  <c r="BH45"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BN45" i="5" s="1" a="1"/>
  <c r="BN45" i="5" s="1"/>
  <c r="V42" i="2"/>
  <c r="O38" i="8"/>
  <c r="CL37" i="8"/>
  <c r="CY37" i="8" s="1"/>
  <c r="G37" i="1" s="1"/>
  <c r="M37" i="8" s="1"/>
  <c r="F47" i="8"/>
  <c r="AO39" i="5"/>
  <c r="AV40" i="5"/>
  <c r="BP43" i="5" a="1"/>
  <c r="BP43" i="5" s="1"/>
  <c r="D40" i="9"/>
  <c r="BO39" i="8"/>
  <c r="BS39" i="8"/>
  <c r="BY39" i="8" s="1"/>
  <c r="BE40" i="8"/>
  <c r="BN40" i="8" s="1"/>
  <c r="AG38" i="7"/>
  <c r="AI38" i="7" s="1"/>
  <c r="O48" i="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P40" i="5" s="1"/>
  <c r="AA38" i="11"/>
  <c r="AK38" i="1" s="1"/>
  <c r="AB38" i="11"/>
  <c r="P38" i="8" s="1"/>
  <c r="Y38" i="11"/>
  <c r="AH38" i="1" s="1"/>
  <c r="Z38" i="11"/>
  <c r="AE39" i="7"/>
  <c r="AF39" i="7" s="1"/>
  <c r="W40" i="8"/>
  <c r="CW40" i="8" s="1"/>
  <c r="CD39" i="8"/>
  <c r="CT39" i="8" s="1"/>
  <c r="CU39" i="8" s="1"/>
  <c r="AB40" i="8"/>
  <c r="BM40" i="8" s="1"/>
  <c r="BT39" i="8"/>
  <c r="BX39" i="8"/>
  <c r="CO39" i="8" s="1"/>
  <c r="CP39" i="8" s="1"/>
  <c r="BU39" i="8"/>
  <c r="BV39" i="8"/>
  <c r="BW39" i="8"/>
  <c r="CM39" i="8" s="1"/>
  <c r="N39" i="7"/>
  <c r="E40" i="1"/>
  <c r="BD40" i="8"/>
  <c r="BP40" i="8" s="1"/>
  <c r="BT40" i="5"/>
  <c r="CU38" i="8"/>
  <c r="B40" i="9"/>
  <c r="X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G51" i="9"/>
  <c r="CK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N46" i="5" s="1"/>
  <c r="M45" i="2"/>
  <c r="AD43" i="1" l="1"/>
  <c r="BG45" i="5" a="1"/>
  <c r="BG45" i="5" s="1"/>
  <c r="BI45" i="5" a="1"/>
  <c r="BI45" i="5" s="1"/>
  <c r="BM45" i="5" a="1"/>
  <c r="BM45" i="5" s="1"/>
  <c r="BD45" i="5" a="1"/>
  <c r="BD45" i="5" s="1"/>
  <c r="BO45" i="5" a="1"/>
  <c r="BO45" i="5" s="1"/>
  <c r="CV45" i="5"/>
  <c r="CU45" i="5"/>
  <c r="CR45" i="5"/>
  <c r="CT45" i="5"/>
  <c r="CW45" i="5"/>
  <c r="CS45" i="5"/>
  <c r="CQ45" i="5"/>
  <c r="AY45" i="5" a="1"/>
  <c r="AY45" i="5" s="1"/>
  <c r="BL45" i="5" a="1"/>
  <c r="BL45" i="5" s="1"/>
  <c r="AD44" i="1" s="1"/>
  <c r="BA45" i="5" a="1"/>
  <c r="BA45" i="5" s="1"/>
  <c r="BF45" i="5" a="1"/>
  <c r="BF45" i="5" s="1"/>
  <c r="BK45" i="5" a="1"/>
  <c r="BK45" i="5" s="1"/>
  <c r="BB45" i="5" a="1"/>
  <c r="BB45" i="5" s="1"/>
  <c r="BE45" i="5" a="1"/>
  <c r="BE45" i="5" s="1"/>
  <c r="AZ45" i="5" a="1"/>
  <c r="AZ45" i="5" s="1"/>
  <c r="V43" i="2"/>
  <c r="O39" i="8"/>
  <c r="F48" i="8"/>
  <c r="CJ39" i="8"/>
  <c r="CN39" i="8" s="1"/>
  <c r="AO40" i="5"/>
  <c r="AV41" i="5"/>
  <c r="BP44" i="5" a="1"/>
  <c r="BP44" i="5" s="1"/>
  <c r="BZ39" i="8"/>
  <c r="CQ39" i="8" s="1"/>
  <c r="CR39" i="8" s="1"/>
  <c r="AG39" i="7"/>
  <c r="AI39" i="7" s="1"/>
  <c r="O49" i="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CA46" i="14" s="1"/>
  <c r="A46" i="5"/>
  <c r="BQ46" i="5" s="1" a="1"/>
  <c r="BQ46" i="5" s="1"/>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AQ39" i="5"/>
  <c r="B39" i="14"/>
  <c r="CK39" i="8"/>
  <c r="BV40" i="8"/>
  <c r="BW40" i="8"/>
  <c r="CM40" i="8" s="1"/>
  <c r="AR39" i="5"/>
  <c r="AE40" i="7"/>
  <c r="AF40" i="7" s="1"/>
  <c r="D41" i="9"/>
  <c r="Y39" i="11"/>
  <c r="AH39" i="1" s="1"/>
  <c r="N40" i="7"/>
  <c r="BS40" i="8"/>
  <c r="BY40" i="8" s="1"/>
  <c r="Z39" i="11"/>
  <c r="BU40" i="8"/>
  <c r="N40" i="11"/>
  <c r="AA39" i="11"/>
  <c r="AK39" i="1" s="1"/>
  <c r="BT40" i="8"/>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G52" i="9"/>
  <c r="C42" i="5"/>
  <c r="F42" i="5" s="1"/>
  <c r="AW42" i="5" s="1"/>
  <c r="CZ43" i="5"/>
  <c r="A41" i="11"/>
  <c r="BT41" i="5"/>
  <c r="AB41" i="8"/>
  <c r="BM41" i="8" s="1"/>
  <c r="A41" i="10"/>
  <c r="AA41" i="10" s="1"/>
  <c r="B41" i="7"/>
  <c r="AJ41" i="5"/>
  <c r="AP41" i="5" s="1"/>
  <c r="W41" i="8"/>
  <c r="CW41" i="8" s="1"/>
  <c r="E41" i="1"/>
  <c r="AI41" i="5"/>
  <c r="B41" i="9"/>
  <c r="X41" i="9" s="1"/>
  <c r="AB43" i="1"/>
  <c r="DI43" i="5"/>
  <c r="AC42" i="1"/>
  <c r="DA42" i="5"/>
  <c r="DG42" i="5" s="1" a="1"/>
  <c r="DG42" i="5" s="1"/>
  <c r="AF52" i="9"/>
  <c r="AJ52" i="9"/>
  <c r="AD114" i="9"/>
  <c r="N28" i="1"/>
  <c r="S45" i="2"/>
  <c r="N46" i="2"/>
  <c r="R46" i="2"/>
  <c r="Q45" i="2"/>
  <c r="M46" i="2"/>
  <c r="J47" i="10"/>
  <c r="N47" i="5" s="1"/>
  <c r="O47" i="2"/>
  <c r="P47" i="2"/>
  <c r="AZ46" i="5" l="1" a="1"/>
  <c r="AZ46" i="5" s="1"/>
  <c r="BE46" i="5" a="1"/>
  <c r="BE46" i="5" s="1"/>
  <c r="BO46" i="5" a="1"/>
  <c r="BO46" i="5" s="1"/>
  <c r="BB46" i="5" a="1"/>
  <c r="BB46" i="5" s="1"/>
  <c r="BD46" i="5" a="1"/>
  <c r="BD46" i="5" s="1"/>
  <c r="BK46" i="5" a="1"/>
  <c r="BK46" i="5" s="1"/>
  <c r="BM46" i="5" a="1"/>
  <c r="BM46" i="5" s="1"/>
  <c r="BF46" i="5" a="1"/>
  <c r="BF46" i="5" s="1"/>
  <c r="BI46" i="5" a="1"/>
  <c r="BI46" i="5" s="1"/>
  <c r="BC46" i="5" a="1"/>
  <c r="BC46" i="5" s="1"/>
  <c r="BC47" i="5" s="1" a="1"/>
  <c r="BC47" i="5" s="1"/>
  <c r="BH46" i="5" a="1"/>
  <c r="BH46" i="5" s="1"/>
  <c r="BH47" i="5" s="1" a="1"/>
  <c r="BH47" i="5" s="1"/>
  <c r="BA46" i="5" a="1"/>
  <c r="BA46" i="5" s="1"/>
  <c r="BG46" i="5" a="1"/>
  <c r="BG46" i="5" s="1"/>
  <c r="BG47" i="5" s="1" a="1"/>
  <c r="BG47" i="5" s="1"/>
  <c r="BN46" i="5" a="1"/>
  <c r="BN46" i="5" s="1"/>
  <c r="BN47" i="5" s="1" a="1"/>
  <c r="BN47" i="5" s="1"/>
  <c r="CV46" i="5"/>
  <c r="CT46" i="5"/>
  <c r="CQ46" i="5"/>
  <c r="CS46" i="5"/>
  <c r="CR46" i="5"/>
  <c r="CW46" i="5"/>
  <c r="CU46" i="5"/>
  <c r="AY46" i="5" a="1"/>
  <c r="AY46" i="5" s="1"/>
  <c r="BL46" i="5" a="1"/>
  <c r="BL46" i="5" s="1"/>
  <c r="BJ46" i="5" a="1"/>
  <c r="BJ46" i="5" s="1"/>
  <c r="CL39" i="8"/>
  <c r="CY39" i="8" s="1"/>
  <c r="G39" i="1" s="1"/>
  <c r="M39" i="8" s="1"/>
  <c r="V44" i="2"/>
  <c r="O40" i="8"/>
  <c r="CJ40" i="8"/>
  <c r="CN40" i="8" s="1"/>
  <c r="F49" i="8"/>
  <c r="AO41" i="5"/>
  <c r="AV42" i="5"/>
  <c r="BP45" i="5" a="1"/>
  <c r="BP45" i="5" s="1"/>
  <c r="AG40" i="7"/>
  <c r="AI40" i="7" s="1"/>
  <c r="O50" i="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D46" i="8"/>
  <c r="AR46" i="8"/>
  <c r="AE43" i="1"/>
  <c r="W43" i="1" s="1"/>
  <c r="AF43" i="1"/>
  <c r="DH44" i="5"/>
  <c r="AR40" i="5"/>
  <c r="B40" i="14"/>
  <c r="BZ40" i="8"/>
  <c r="CQ40" i="8" s="1"/>
  <c r="CR40" i="8" s="1"/>
  <c r="CK40" i="8"/>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G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AP42" i="5" s="1"/>
  <c r="W42" i="8"/>
  <c r="CW42" i="8" s="1"/>
  <c r="E42" i="1"/>
  <c r="AI42" i="5"/>
  <c r="B42" i="9"/>
  <c r="X42" i="9" s="1"/>
  <c r="CZ44" i="5"/>
  <c r="AD40" i="11"/>
  <c r="AI40" i="1" s="1"/>
  <c r="Z40" i="11"/>
  <c r="AC40" i="11"/>
  <c r="T40" i="8" s="1"/>
  <c r="N41" i="11"/>
  <c r="AB40" i="11"/>
  <c r="P40" i="8" s="1"/>
  <c r="AA40" i="11"/>
  <c r="AK40" i="1" s="1"/>
  <c r="Y40" i="11"/>
  <c r="AH40" i="1" s="1"/>
  <c r="C44" i="5"/>
  <c r="AC43" i="1"/>
  <c r="DA43" i="5"/>
  <c r="DG43" i="5" s="1" a="1"/>
  <c r="DG43" i="5" s="1"/>
  <c r="AB44" i="1"/>
  <c r="DI44" i="5"/>
  <c r="AF53" i="9"/>
  <c r="AJ53" i="9"/>
  <c r="AD115" i="9"/>
  <c r="N29" i="1"/>
  <c r="S46" i="2"/>
  <c r="N47" i="2"/>
  <c r="R47" i="2"/>
  <c r="Q46" i="2"/>
  <c r="J48" i="10"/>
  <c r="N48" i="5" s="1"/>
  <c r="O48" i="2"/>
  <c r="P48" i="2"/>
  <c r="M47" i="2"/>
  <c r="AD45" i="1" l="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AD46" i="1" s="1"/>
  <c r="BE47" i="5" a="1"/>
  <c r="BE47" i="5" s="1"/>
  <c r="AZ47" i="5" a="1"/>
  <c r="AZ47" i="5" s="1"/>
  <c r="BQ47" i="5" a="1"/>
  <c r="BQ47" i="5" s="1"/>
  <c r="V45" i="2"/>
  <c r="CL40" i="8"/>
  <c r="CY40" i="8" s="1"/>
  <c r="G40" i="1" s="1"/>
  <c r="M40" i="8" s="1"/>
  <c r="O41" i="8"/>
  <c r="F50" i="8"/>
  <c r="AO42" i="5"/>
  <c r="AV43" i="5"/>
  <c r="BP46" i="5" a="1"/>
  <c r="BP46" i="5" s="1"/>
  <c r="AG41" i="7"/>
  <c r="AI41" i="7" s="1"/>
  <c r="O51" i="1"/>
  <c r="BO42" i="8"/>
  <c r="BK42" i="8"/>
  <c r="BL42" i="8"/>
  <c r="BI42" i="8"/>
  <c r="BJ42" i="8"/>
  <c r="BG42" i="8"/>
  <c r="BH42" i="8"/>
  <c r="BF42" i="8"/>
  <c r="AC42" i="10"/>
  <c r="X42" i="10" s="1"/>
  <c r="AM42" i="5"/>
  <c r="AN42" i="5"/>
  <c r="AS46" i="5"/>
  <c r="E50" i="8"/>
  <c r="CA118" i="8"/>
  <c r="AK46" i="11"/>
  <c r="DB45" i="5"/>
  <c r="AH46" i="11"/>
  <c r="AM46" i="1"/>
  <c r="DF45" i="5"/>
  <c r="K48" i="11"/>
  <c r="A48" i="14"/>
  <c r="CA48" i="14" s="1"/>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BZ41" i="8"/>
  <c r="CQ41" i="8" s="1"/>
  <c r="CR41" i="8" s="1"/>
  <c r="CF43" i="8"/>
  <c r="CB48" i="8"/>
  <c r="BR43" i="8"/>
  <c r="BS42" i="8"/>
  <c r="BY42" i="8" s="1"/>
  <c r="N42" i="7"/>
  <c r="BD43" i="8"/>
  <c r="BP43" i="8" s="1"/>
  <c r="BE43" i="8"/>
  <c r="BN43" i="8" s="1"/>
  <c r="AG54" i="9"/>
  <c r="AE42" i="7"/>
  <c r="AF42" i="7" s="1"/>
  <c r="Q42" i="7"/>
  <c r="J44" i="2"/>
  <c r="AB43" i="8"/>
  <c r="BM43" i="8" s="1"/>
  <c r="BT43" i="5"/>
  <c r="A43" i="10"/>
  <c r="AA43" i="10" s="1"/>
  <c r="B43" i="7"/>
  <c r="AJ43" i="5"/>
  <c r="AP43" i="5" s="1"/>
  <c r="W43" i="8"/>
  <c r="CW43" i="8" s="1"/>
  <c r="E43" i="1"/>
  <c r="AI43" i="5"/>
  <c r="B43" i="9"/>
  <c r="X43" i="9" s="1"/>
  <c r="A43" i="11"/>
  <c r="CZ45" i="5"/>
  <c r="B41" i="14"/>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F54" i="9"/>
  <c r="AJ54" i="9"/>
  <c r="AD116" i="9"/>
  <c r="N30" i="1"/>
  <c r="S47" i="2"/>
  <c r="N48" i="2"/>
  <c r="R48" i="2"/>
  <c r="Q47" i="2"/>
  <c r="O49" i="2"/>
  <c r="M48" i="2"/>
  <c r="P49" i="2"/>
  <c r="J49" i="10"/>
  <c r="N49" i="5" s="1"/>
  <c r="CV48" i="5" l="1"/>
  <c r="CT48" i="5"/>
  <c r="CS48" i="5"/>
  <c r="CR48" i="5"/>
  <c r="CU48" i="5"/>
  <c r="CQ48" i="5"/>
  <c r="CW48" i="5"/>
  <c r="AY48" i="5" a="1"/>
  <c r="AY48" i="5" s="1"/>
  <c r="BL48" i="5" a="1"/>
  <c r="BL48" i="5" s="1"/>
  <c r="BO48" i="5" a="1"/>
  <c r="BO48" i="5" s="1"/>
  <c r="BQ48" i="5" a="1"/>
  <c r="BQ48" i="5" s="1"/>
  <c r="BB48" i="5" a="1"/>
  <c r="BB48" i="5" s="1"/>
  <c r="AZ48" i="5" a="1"/>
  <c r="AZ48" i="5" s="1"/>
  <c r="AZ49" i="5" s="1" a="1"/>
  <c r="AZ49" i="5" s="1"/>
  <c r="BD48" i="5" a="1"/>
  <c r="BD48" i="5" s="1"/>
  <c r="BK48" i="5" a="1"/>
  <c r="BK48" i="5" s="1"/>
  <c r="BK49" i="5" s="1" a="1"/>
  <c r="BK49"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O42" i="8"/>
  <c r="F51" i="8"/>
  <c r="AO43" i="5"/>
  <c r="AV44" i="5"/>
  <c r="BP47" i="5" a="1"/>
  <c r="BP47" i="5" s="1"/>
  <c r="W44" i="8"/>
  <c r="CW44" i="8" s="1"/>
  <c r="AG42" i="7"/>
  <c r="AI42" i="7" s="1"/>
  <c r="O52" i="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B44" i="8"/>
  <c r="BM44" i="8" s="1"/>
  <c r="BE44" i="8"/>
  <c r="BN44" i="8" s="1"/>
  <c r="A44" i="11"/>
  <c r="Y43" i="11" s="1"/>
  <c r="AH43" i="1" s="1"/>
  <c r="BR44" i="8"/>
  <c r="BU44" i="8" s="1"/>
  <c r="B44" i="7"/>
  <c r="Q44" i="7" s="1"/>
  <c r="A44" i="10"/>
  <c r="AA44" i="10" s="1"/>
  <c r="CF44" i="8"/>
  <c r="AJ44" i="5"/>
  <c r="AP44" i="5" s="1"/>
  <c r="BD44" i="8"/>
  <c r="BP44" i="8" s="1"/>
  <c r="B44" i="9"/>
  <c r="X44" i="9" s="1"/>
  <c r="BT44" i="5"/>
  <c r="AI44" i="5"/>
  <c r="E44" i="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G55" i="9"/>
  <c r="CK42" i="8"/>
  <c r="J45" i="2"/>
  <c r="BX43" i="8"/>
  <c r="CO43" i="8" s="1"/>
  <c r="CP43" i="8" s="1"/>
  <c r="BT43" i="8"/>
  <c r="CC43" i="8"/>
  <c r="CS43" i="8" s="1"/>
  <c r="BV43" i="8"/>
  <c r="BW43" i="8"/>
  <c r="CM43" i="8" s="1"/>
  <c r="BU43" i="8"/>
  <c r="AE43" i="7"/>
  <c r="AF43" i="7" s="1"/>
  <c r="Q43" i="7"/>
  <c r="AR42" i="5"/>
  <c r="AQ42" i="5"/>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F55" i="9"/>
  <c r="AJ55" i="9"/>
  <c r="AD117" i="9"/>
  <c r="N31" i="1"/>
  <c r="S48" i="2"/>
  <c r="N49" i="2"/>
  <c r="R49" i="2"/>
  <c r="Q48" i="2"/>
  <c r="M49" i="2"/>
  <c r="J50" i="10"/>
  <c r="N50" i="5" s="1"/>
  <c r="O50" i="2"/>
  <c r="P50" i="2"/>
  <c r="AD47" i="1" l="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BK50" i="5" s="1" a="1"/>
  <c r="BK50" i="5" s="1"/>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J43" i="8"/>
  <c r="CN43" i="8" s="1"/>
  <c r="CU43" i="8"/>
  <c r="DA45" i="8"/>
  <c r="DB45" i="8" s="1"/>
  <c r="CF45" i="8"/>
  <c r="CB50" i="8"/>
  <c r="BR45" i="8"/>
  <c r="BD45" i="8"/>
  <c r="BE45" i="8"/>
  <c r="BN45" i="8" s="1"/>
  <c r="AG56" i="9"/>
  <c r="CK43" i="8"/>
  <c r="C46" i="5"/>
  <c r="F46" i="5" s="1"/>
  <c r="AW46" i="5" s="1"/>
  <c r="J46" i="2"/>
  <c r="CZ47" i="5"/>
  <c r="B43" i="14"/>
  <c r="AQ43" i="5"/>
  <c r="AR43" i="5"/>
  <c r="A45" i="10"/>
  <c r="AA45" i="10" s="1"/>
  <c r="AJ45" i="5"/>
  <c r="AP45" i="5" s="1"/>
  <c r="B45" i="9"/>
  <c r="X45" i="9" s="1"/>
  <c r="AI45" i="5"/>
  <c r="A45" i="11"/>
  <c r="AB45" i="8"/>
  <c r="BM45" i="8" s="1"/>
  <c r="BT45" i="5"/>
  <c r="B45" i="7"/>
  <c r="W45" i="8"/>
  <c r="CW45" i="8" s="1"/>
  <c r="E45" i="1"/>
  <c r="AC46" i="1"/>
  <c r="DA46" i="5"/>
  <c r="DG46" i="5" s="1" a="1"/>
  <c r="DG46" i="5" s="1"/>
  <c r="AB47" i="1"/>
  <c r="DI47" i="5"/>
  <c r="AF56" i="9"/>
  <c r="AJ56" i="9"/>
  <c r="AD118" i="9"/>
  <c r="N32" i="1"/>
  <c r="S49" i="2"/>
  <c r="N50" i="2"/>
  <c r="R50" i="2"/>
  <c r="Q49" i="2"/>
  <c r="J51" i="10"/>
  <c r="N51" i="5" s="1"/>
  <c r="P51" i="2"/>
  <c r="O51" i="2"/>
  <c r="M50" i="2"/>
  <c r="AD48" i="1" l="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Q43" i="8"/>
  <c r="CR43" i="8" s="1"/>
  <c r="O43" i="8"/>
  <c r="CJ44" i="8"/>
  <c r="CN44" i="8" s="1"/>
  <c r="F53" i="8"/>
  <c r="AO45" i="5"/>
  <c r="AV46" i="5"/>
  <c r="BP49" i="5" a="1"/>
  <c r="BP49" i="5" s="1"/>
  <c r="AG44" i="7"/>
  <c r="O54" i="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B48" i="10"/>
  <c r="G49" i="5"/>
  <c r="D48" i="7"/>
  <c r="I49" i="5"/>
  <c r="D48" i="10"/>
  <c r="F48" i="7"/>
  <c r="DB48" i="5"/>
  <c r="L49" i="5"/>
  <c r="G48" i="10"/>
  <c r="I48" i="7"/>
  <c r="K49" i="5"/>
  <c r="F48" i="10"/>
  <c r="H48" i="7"/>
  <c r="DD48" i="5"/>
  <c r="H49" i="5"/>
  <c r="C48" i="10"/>
  <c r="E48" i="7"/>
  <c r="M49" i="5"/>
  <c r="H48" i="10"/>
  <c r="J48" i="7"/>
  <c r="J49" i="5"/>
  <c r="DC49" i="5" s="1"/>
  <c r="E48" i="10"/>
  <c r="G48" i="7"/>
  <c r="CL43" i="8"/>
  <c r="CD45" i="8"/>
  <c r="CT45" i="8" s="1"/>
  <c r="DA46" i="8"/>
  <c r="DB46" i="8" s="1"/>
  <c r="CB51" i="8"/>
  <c r="CF46" i="8"/>
  <c r="BR46" i="8"/>
  <c r="BE46" i="8"/>
  <c r="BN46" i="8" s="1"/>
  <c r="BS45" i="8"/>
  <c r="BY45" i="8" s="1"/>
  <c r="N45" i="7"/>
  <c r="BT46" i="5"/>
  <c r="BD46" i="8"/>
  <c r="BP46" i="8" s="1"/>
  <c r="AG57" i="9"/>
  <c r="AB46" i="8"/>
  <c r="BM46" i="8" s="1"/>
  <c r="AI46" i="5"/>
  <c r="AJ46" i="5"/>
  <c r="AP46" i="5" s="1"/>
  <c r="E46" i="1"/>
  <c r="W46" i="8"/>
  <c r="CW46" i="8" s="1"/>
  <c r="A46" i="11"/>
  <c r="Y45" i="11" s="1"/>
  <c r="AH45" i="1" s="1"/>
  <c r="B46" i="9"/>
  <c r="X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F57" i="9"/>
  <c r="AJ57" i="9"/>
  <c r="AD119" i="9"/>
  <c r="N33" i="1"/>
  <c r="S50" i="2"/>
  <c r="N51" i="2"/>
  <c r="R51" i="2"/>
  <c r="Q50" i="2"/>
  <c r="M51" i="2"/>
  <c r="O52" i="2"/>
  <c r="P52" i="2"/>
  <c r="J52" i="10"/>
  <c r="N52" i="5" s="1"/>
  <c r="BD51" i="5" l="1"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F52" i="5" s="1" a="1"/>
  <c r="BF52" i="5" s="1"/>
  <c r="BI51" i="5" a="1"/>
  <c r="BI51" i="5" s="1"/>
  <c r="BI52" i="5" s="1" a="1"/>
  <c r="BI52"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Y43" i="8"/>
  <c r="G43" i="1" s="1"/>
  <c r="M43" i="8" s="1"/>
  <c r="CL44" i="8"/>
  <c r="O45" i="8"/>
  <c r="F54" i="8"/>
  <c r="AO46" i="5"/>
  <c r="AV47" i="5"/>
  <c r="BP50" i="5" a="1"/>
  <c r="BP50" i="5" s="1"/>
  <c r="AG45" i="7"/>
  <c r="O55" i="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Q44" i="8"/>
  <c r="CR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BE47" i="8"/>
  <c r="BN47" i="8" s="1"/>
  <c r="BS46" i="8"/>
  <c r="BY46" i="8" s="1"/>
  <c r="N46" i="7"/>
  <c r="BD47" i="8"/>
  <c r="BP47" i="8" s="1"/>
  <c r="AG58" i="9"/>
  <c r="B47" i="7"/>
  <c r="Q47" i="7" s="1"/>
  <c r="AI47" i="5"/>
  <c r="A47" i="11"/>
  <c r="B47" i="9"/>
  <c r="X47" i="9" s="1"/>
  <c r="W47" i="8"/>
  <c r="CW47" i="8" s="1"/>
  <c r="A47" i="10"/>
  <c r="AA47" i="10" s="1"/>
  <c r="AQ45" i="5"/>
  <c r="BT47" i="5"/>
  <c r="E47" i="1"/>
  <c r="AE46" i="7"/>
  <c r="AF46" i="7" s="1"/>
  <c r="Q46" i="7"/>
  <c r="AC45" i="11"/>
  <c r="T45" i="8" s="1"/>
  <c r="AB45" i="11"/>
  <c r="P45" i="8" s="1"/>
  <c r="AD45" i="11"/>
  <c r="AI45" i="1" s="1"/>
  <c r="N46" i="11"/>
  <c r="Z45" i="11"/>
  <c r="AA45" i="11"/>
  <c r="AK45" i="1" s="1"/>
  <c r="AJ47" i="5"/>
  <c r="AP47" i="5" s="1"/>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F58" i="9"/>
  <c r="AJ58" i="9"/>
  <c r="AD120" i="9"/>
  <c r="N34" i="1"/>
  <c r="S51" i="2"/>
  <c r="N52" i="2"/>
  <c r="R52" i="2"/>
  <c r="Q51" i="2"/>
  <c r="O53" i="2"/>
  <c r="J53" i="10"/>
  <c r="N53" i="5" s="1"/>
  <c r="M52" i="2"/>
  <c r="P53" i="2"/>
  <c r="AD50" i="1" l="1"/>
  <c r="CY44" i="8"/>
  <c r="G44" i="1" s="1"/>
  <c r="M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O46" i="8"/>
  <c r="F55" i="8"/>
  <c r="AO47" i="5"/>
  <c r="AV48" i="5"/>
  <c r="BP51" i="5" a="1"/>
  <c r="BP51" i="5" s="1"/>
  <c r="AG46" i="7"/>
  <c r="O56" i="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G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A48" i="10"/>
  <c r="AA48" i="10" s="1"/>
  <c r="B48" i="7"/>
  <c r="A48" i="11"/>
  <c r="W48" i="8"/>
  <c r="CW48" i="8" s="1"/>
  <c r="E48" i="1"/>
  <c r="AJ48" i="5"/>
  <c r="AP48" i="5" s="1"/>
  <c r="B48" i="9"/>
  <c r="X48" i="9" s="1"/>
  <c r="AI48" i="5"/>
  <c r="AB48" i="8"/>
  <c r="BM48" i="8" s="1"/>
  <c r="BT48" i="5"/>
  <c r="CZ50" i="5"/>
  <c r="AB50" i="1"/>
  <c r="DI50" i="5"/>
  <c r="C50" i="5"/>
  <c r="AC49" i="1"/>
  <c r="DA49" i="5"/>
  <c r="DG49" i="5" s="1" a="1"/>
  <c r="DG49" i="5" s="1"/>
  <c r="AF59" i="9"/>
  <c r="AJ59" i="9"/>
  <c r="AD121" i="9"/>
  <c r="N35" i="1"/>
  <c r="S52" i="2"/>
  <c r="N53" i="2"/>
  <c r="R53" i="2"/>
  <c r="Q52" i="2"/>
  <c r="P54" i="2"/>
  <c r="O54" i="2"/>
  <c r="M53" i="2"/>
  <c r="J54" i="10"/>
  <c r="N54" i="5" s="1"/>
  <c r="AD51" i="1" l="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BK54" i="5" s="1" a="1"/>
  <c r="BK54"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BF54" i="5" s="1" a="1"/>
  <c r="BF54" i="5" s="1"/>
  <c r="V51" i="2"/>
  <c r="O47" i="8"/>
  <c r="F56" i="8"/>
  <c r="AO48" i="5"/>
  <c r="AV49" i="5"/>
  <c r="BP52" i="5" a="1"/>
  <c r="BP52" i="5" s="1"/>
  <c r="AG47" i="7"/>
  <c r="O57" i="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CA54" i="14" s="1"/>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X49" i="9" s="1"/>
  <c r="BD49" i="8"/>
  <c r="BP49" i="8" s="1"/>
  <c r="AG60" i="9"/>
  <c r="B47" i="14"/>
  <c r="CK47" i="8"/>
  <c r="AR47" i="5"/>
  <c r="AQ47" i="5"/>
  <c r="W49" i="8"/>
  <c r="CW49" i="8" s="1"/>
  <c r="B49" i="7"/>
  <c r="Q49" i="7" s="1"/>
  <c r="AJ49" i="5"/>
  <c r="AP49" i="5" s="1"/>
  <c r="AB49" i="8"/>
  <c r="BM49" i="8" s="1"/>
  <c r="A49" i="11"/>
  <c r="AA48" i="11" s="1"/>
  <c r="AK48" i="1" s="1"/>
  <c r="AI49" i="5"/>
  <c r="BT49" i="5"/>
  <c r="E49" i="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F60" i="9"/>
  <c r="AJ60" i="9"/>
  <c r="AD122" i="9"/>
  <c r="N36" i="1"/>
  <c r="S53" i="2"/>
  <c r="N54" i="2"/>
  <c r="R54" i="2"/>
  <c r="Q53" i="2"/>
  <c r="O55" i="2"/>
  <c r="P55" i="2"/>
  <c r="M54" i="2"/>
  <c r="J55" i="10"/>
  <c r="N55" i="5" s="1"/>
  <c r="AD52" i="1" l="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BB55" i="5" s="1" a="1"/>
  <c r="BB55"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U48" i="8"/>
  <c r="A50" i="10"/>
  <c r="AA50" i="10" s="1"/>
  <c r="B50" i="7"/>
  <c r="AE50" i="7" s="1"/>
  <c r="AF50" i="7" s="1"/>
  <c r="E50" i="1"/>
  <c r="BE50" i="8"/>
  <c r="BN50" i="8" s="1"/>
  <c r="AI50" i="5"/>
  <c r="B50" i="9"/>
  <c r="X50" i="9" s="1"/>
  <c r="W50" i="8"/>
  <c r="CW50" i="8" s="1"/>
  <c r="AJ50" i="5"/>
  <c r="AP50" i="5" s="1"/>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B55" i="8"/>
  <c r="BS49" i="8"/>
  <c r="BZ49" i="8" s="1"/>
  <c r="N49" i="7"/>
  <c r="AG61" i="9"/>
  <c r="B48" i="14"/>
  <c r="AE49" i="7"/>
  <c r="AF49" i="7" s="1"/>
  <c r="AB48" i="11"/>
  <c r="P48" i="8" s="1"/>
  <c r="AD48" i="11"/>
  <c r="AI48" i="1" s="1"/>
  <c r="Z48" i="11"/>
  <c r="AC48" i="11"/>
  <c r="T48" i="8" s="1"/>
  <c r="N49" i="11"/>
  <c r="Y48" i="11"/>
  <c r="AH48" i="1" s="1"/>
  <c r="BV49" i="8"/>
  <c r="BW49" i="8"/>
  <c r="CM49" i="8" s="1"/>
  <c r="BX49" i="8"/>
  <c r="CO49" i="8" s="1"/>
  <c r="CP49" i="8" s="1"/>
  <c r="CC49" i="8"/>
  <c r="CS49" i="8" s="1"/>
  <c r="BT49" i="8"/>
  <c r="BU49" i="8"/>
  <c r="AR48" i="5"/>
  <c r="AQ48" i="5"/>
  <c r="CZ52" i="5"/>
  <c r="J51" i="2"/>
  <c r="C51" i="5"/>
  <c r="F51" i="5" s="1"/>
  <c r="AW51" i="5" s="1"/>
  <c r="CK48" i="8"/>
  <c r="DI52" i="5"/>
  <c r="AB52" i="1"/>
  <c r="AC51" i="1"/>
  <c r="DA51" i="5"/>
  <c r="DG51" i="5" s="1" a="1"/>
  <c r="DG51" i="5" s="1"/>
  <c r="AQ5" i="5"/>
  <c r="AF61" i="9"/>
  <c r="AJ61" i="9"/>
  <c r="AD123" i="9"/>
  <c r="N37" i="1"/>
  <c r="S54" i="2"/>
  <c r="N55" i="2"/>
  <c r="R55" i="2"/>
  <c r="Q54" i="2"/>
  <c r="M55" i="2"/>
  <c r="J56" i="10"/>
  <c r="N56" i="5" s="1"/>
  <c r="P56" i="2"/>
  <c r="O56" i="2"/>
  <c r="AD53" i="1" l="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P49" i="8" s="1"/>
  <c r="Z49" i="11"/>
  <c r="AA49" i="11"/>
  <c r="AK49" i="1" s="1"/>
  <c r="AC49" i="11"/>
  <c r="T49" i="8" s="1"/>
  <c r="Y49" i="11"/>
  <c r="AH49" i="1" s="1"/>
  <c r="V53" i="2"/>
  <c r="CQ48" i="8"/>
  <c r="CR48" i="8" s="1"/>
  <c r="O48" i="8"/>
  <c r="F58" i="8"/>
  <c r="AO50" i="5"/>
  <c r="AV51" i="5"/>
  <c r="BP54" i="5" a="1"/>
  <c r="BP54" i="5" s="1"/>
  <c r="AG50" i="7"/>
  <c r="AG49" i="7"/>
  <c r="O59" i="1"/>
  <c r="BO50" i="8"/>
  <c r="BK50" i="8"/>
  <c r="BL50" i="8"/>
  <c r="BI50" i="8"/>
  <c r="BJ50" i="8"/>
  <c r="BG50" i="8"/>
  <c r="BH50" i="8"/>
  <c r="BF50" i="8"/>
  <c r="AC50" i="10"/>
  <c r="X50" i="10" s="1"/>
  <c r="AM50" i="5"/>
  <c r="AN50" i="5"/>
  <c r="AS54" i="5"/>
  <c r="E58" i="8"/>
  <c r="CA126" i="8"/>
  <c r="AH54" i="11"/>
  <c r="AJ54" i="1"/>
  <c r="DF53" i="5"/>
  <c r="DB53" i="5"/>
  <c r="AM54" i="1"/>
  <c r="DE53" i="5"/>
  <c r="K56" i="11"/>
  <c r="A56" i="14"/>
  <c r="CA56" i="14" s="1"/>
  <c r="A56" i="8"/>
  <c r="A56" i="2"/>
  <c r="A56" i="5"/>
  <c r="BB56" i="5" s="1" a="1"/>
  <c r="BB56" i="5" s="1"/>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H54" i="5"/>
  <c r="C53" i="10"/>
  <c r="E53" i="7"/>
  <c r="K54" i="5"/>
  <c r="F53" i="10"/>
  <c r="H53" i="7"/>
  <c r="DD53" i="5"/>
  <c r="CJ49" i="8"/>
  <c r="CN49" i="8" s="1"/>
  <c r="CU49" i="8"/>
  <c r="DA51" i="8"/>
  <c r="DB51" i="8" s="1"/>
  <c r="CF51" i="8"/>
  <c r="CB56" i="8"/>
  <c r="BY49" i="8"/>
  <c r="BR51" i="8"/>
  <c r="BD51" i="8"/>
  <c r="BP51" i="8" s="1"/>
  <c r="BE51" i="8"/>
  <c r="BN51" i="8" s="1"/>
  <c r="AG62" i="9"/>
  <c r="B49" i="14"/>
  <c r="AR49" i="5"/>
  <c r="AQ49" i="5"/>
  <c r="CK49" i="8"/>
  <c r="CZ53" i="5"/>
  <c r="A51" i="11"/>
  <c r="B51" i="7"/>
  <c r="W51" i="8"/>
  <c r="CW51" i="8" s="1"/>
  <c r="E51" i="1"/>
  <c r="AJ51" i="5"/>
  <c r="AP51" i="5" s="1"/>
  <c r="AI51" i="5"/>
  <c r="AB51" i="8"/>
  <c r="BM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N57" i="5" s="1"/>
  <c r="M56" i="2"/>
  <c r="AD54" i="1" l="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CY48" i="8"/>
  <c r="G48" i="1" s="1"/>
  <c r="M48" i="8" s="1"/>
  <c r="V54" i="2"/>
  <c r="CQ49" i="8"/>
  <c r="CR49" i="8" s="1"/>
  <c r="O49" i="8"/>
  <c r="CJ50" i="8"/>
  <c r="CN50" i="8" s="1"/>
  <c r="F59" i="8"/>
  <c r="AO51" i="5"/>
  <c r="AV52" i="5"/>
  <c r="BP55" i="5" a="1"/>
  <c r="BP55" i="5" s="1"/>
  <c r="O60" i="1"/>
  <c r="BO51" i="8"/>
  <c r="BK51" i="8"/>
  <c r="BL51" i="8"/>
  <c r="BI51" i="8"/>
  <c r="BJ51" i="8"/>
  <c r="BG51" i="8"/>
  <c r="BH51" i="8"/>
  <c r="BF51" i="8"/>
  <c r="AC51" i="10"/>
  <c r="X51" i="10" s="1"/>
  <c r="AM51" i="5"/>
  <c r="AN51" i="5"/>
  <c r="AS55" i="5"/>
  <c r="E59" i="8"/>
  <c r="CA127" i="8"/>
  <c r="AH55" i="11"/>
  <c r="AJ55" i="1"/>
  <c r="DE54" i="5"/>
  <c r="DF54" i="5"/>
  <c r="DB54" i="5"/>
  <c r="K57" i="11"/>
  <c r="A57" i="14"/>
  <c r="CA57" i="14" s="1"/>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BY50" i="8"/>
  <c r="AQ50" i="5"/>
  <c r="CL49" i="8"/>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CB57" i="8"/>
  <c r="CF52" i="8"/>
  <c r="BR52" i="8"/>
  <c r="BS51" i="8"/>
  <c r="BY51" i="8" s="1"/>
  <c r="N51" i="7"/>
  <c r="BD52" i="8"/>
  <c r="BP52" i="8" s="1"/>
  <c r="BE52" i="8"/>
  <c r="BN52" i="8" s="1"/>
  <c r="AG63" i="9"/>
  <c r="AI52" i="5"/>
  <c r="A52" i="11"/>
  <c r="AB52" i="8"/>
  <c r="BM52" i="8" s="1"/>
  <c r="BT52" i="5"/>
  <c r="A52" i="10"/>
  <c r="AA52" i="10" s="1"/>
  <c r="B52" i="7"/>
  <c r="W52" i="8"/>
  <c r="CW52" i="8" s="1"/>
  <c r="E52" i="1"/>
  <c r="AJ52" i="5"/>
  <c r="AP52" i="5" s="1"/>
  <c r="B52" i="9"/>
  <c r="X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F63" i="9"/>
  <c r="AJ63" i="9"/>
  <c r="AD125" i="9"/>
  <c r="N39" i="1"/>
  <c r="S56" i="2"/>
  <c r="N57" i="2"/>
  <c r="R57" i="2"/>
  <c r="Q56" i="2"/>
  <c r="P58" i="2"/>
  <c r="M57" i="2"/>
  <c r="O58" i="2"/>
  <c r="J58" i="10"/>
  <c r="N58" i="5" s="1"/>
  <c r="AD55" i="1" l="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BC58" i="5" s="1" a="1"/>
  <c r="BC58" i="5" s="1"/>
  <c r="CQ57" i="5"/>
  <c r="CW57" i="5"/>
  <c r="CR57" i="5"/>
  <c r="CV57" i="5"/>
  <c r="CT57" i="5"/>
  <c r="CU57" i="5"/>
  <c r="CS57" i="5"/>
  <c r="AY57" i="5" a="1"/>
  <c r="AY57" i="5" s="1"/>
  <c r="BL57" i="5" a="1"/>
  <c r="BL57" i="5" s="1"/>
  <c r="AZ57" i="5" a="1"/>
  <c r="AZ57" i="5" s="1"/>
  <c r="BB57" i="5" a="1"/>
  <c r="BB57" i="5" s="1"/>
  <c r="V55" i="2"/>
  <c r="CL50" i="8"/>
  <c r="CY49" i="8"/>
  <c r="G49" i="1" s="1"/>
  <c r="M49" i="8" s="1"/>
  <c r="O51" i="8"/>
  <c r="CQ50" i="8"/>
  <c r="CR50" i="8" s="1"/>
  <c r="O50" i="8"/>
  <c r="F60" i="8"/>
  <c r="AO52" i="5"/>
  <c r="AV53" i="5"/>
  <c r="BP56" i="5" a="1"/>
  <c r="BP56" i="5" s="1"/>
  <c r="AG51" i="7"/>
  <c r="O61" i="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CA58" i="14" s="1"/>
  <c r="A58" i="9"/>
  <c r="A58" i="2"/>
  <c r="A58" i="7"/>
  <c r="R58" i="7" s="1"/>
  <c r="A58" i="8"/>
  <c r="A58" i="5"/>
  <c r="AF54" i="1"/>
  <c r="AR57" i="8"/>
  <c r="AD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G64" i="9"/>
  <c r="B51" i="14"/>
  <c r="CK51" i="8"/>
  <c r="AR51" i="5"/>
  <c r="C54" i="5"/>
  <c r="F54" i="5" s="1"/>
  <c r="AW54" i="5" s="1"/>
  <c r="CZ55" i="5"/>
  <c r="CC52" i="8"/>
  <c r="CS52" i="8" s="1"/>
  <c r="BX52" i="8"/>
  <c r="CO52" i="8" s="1"/>
  <c r="CP52" i="8" s="1"/>
  <c r="BV52" i="8"/>
  <c r="BW52" i="8"/>
  <c r="CM52" i="8" s="1"/>
  <c r="BT52" i="8"/>
  <c r="BU52" i="8"/>
  <c r="AJ53" i="5"/>
  <c r="AP53" i="5" s="1"/>
  <c r="W53" i="8"/>
  <c r="CW53" i="8" s="1"/>
  <c r="AI53" i="5"/>
  <c r="A53" i="11"/>
  <c r="B53" i="9"/>
  <c r="X53" i="9" s="1"/>
  <c r="AB53" i="8"/>
  <c r="BM53" i="8" s="1"/>
  <c r="BT53" i="5"/>
  <c r="A53" i="10"/>
  <c r="AA53" i="10" s="1"/>
  <c r="B53" i="7"/>
  <c r="E53" i="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F64" i="9"/>
  <c r="AJ64" i="9"/>
  <c r="AD126" i="9"/>
  <c r="N40" i="1"/>
  <c r="S57" i="2"/>
  <c r="N58" i="2"/>
  <c r="R58" i="2"/>
  <c r="Q57" i="2"/>
  <c r="J59" i="10"/>
  <c r="N59" i="5" s="1"/>
  <c r="P59" i="2"/>
  <c r="O59" i="2"/>
  <c r="M58" i="2"/>
  <c r="AD56" i="1" l="1"/>
  <c r="BG58" i="5" a="1"/>
  <c r="BG58" i="5" s="1"/>
  <c r="BK58" i="5" a="1"/>
  <c r="BK58" i="5" s="1"/>
  <c r="BE58" i="5" a="1"/>
  <c r="BE58" i="5" s="1"/>
  <c r="BM58" i="5" a="1"/>
  <c r="BM58" i="5" s="1"/>
  <c r="BB58" i="5" a="1"/>
  <c r="BB58" i="5" s="1"/>
  <c r="BI58" i="5" a="1"/>
  <c r="BI58" i="5" s="1"/>
  <c r="AZ58" i="5" a="1"/>
  <c r="AZ58" i="5" s="1"/>
  <c r="AZ59" i="5" s="1" a="1"/>
  <c r="AZ59" i="5" s="1"/>
  <c r="BF58" i="5" a="1"/>
  <c r="BF58" i="5" s="1"/>
  <c r="BJ58" i="5" a="1"/>
  <c r="BJ58" i="5" s="1"/>
  <c r="BJ59" i="5" s="1" a="1"/>
  <c r="BJ59" i="5" s="1"/>
  <c r="CR58" i="5"/>
  <c r="CQ58" i="5"/>
  <c r="CV58" i="5"/>
  <c r="CU58" i="5"/>
  <c r="CT58" i="5"/>
  <c r="CW58" i="5"/>
  <c r="CS58" i="5"/>
  <c r="AY58" i="5" a="1"/>
  <c r="AY58" i="5" s="1"/>
  <c r="BL58" i="5" a="1"/>
  <c r="BL58" i="5" s="1"/>
  <c r="BN58" i="5" a="1"/>
  <c r="BN58" i="5" s="1"/>
  <c r="BN59" i="5" s="1" a="1"/>
  <c r="BN59" i="5" s="1"/>
  <c r="BH58" i="5" a="1"/>
  <c r="BH58" i="5" s="1"/>
  <c r="BA58" i="5" a="1"/>
  <c r="BA58" i="5" s="1"/>
  <c r="BO58" i="5" a="1"/>
  <c r="BO58" i="5" s="1"/>
  <c r="BQ58" i="5" a="1"/>
  <c r="BQ58" i="5" s="1"/>
  <c r="BQ59" i="5" s="1" a="1"/>
  <c r="BQ59" i="5" s="1"/>
  <c r="BD58" i="5" a="1"/>
  <c r="BD58" i="5" s="1"/>
  <c r="BD59" i="5" s="1" a="1"/>
  <c r="BD59" i="5" s="1"/>
  <c r="CY50" i="8"/>
  <c r="G50" i="1" s="1"/>
  <c r="M50" i="8" s="1"/>
  <c r="V56" i="2"/>
  <c r="O52" i="8"/>
  <c r="F61" i="8"/>
  <c r="AO53" i="5"/>
  <c r="AV54" i="5"/>
  <c r="BP57" i="5" a="1"/>
  <c r="BP57" i="5" s="1"/>
  <c r="AG52" i="7"/>
  <c r="O62" i="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CU52" i="8"/>
  <c r="CL51" i="8"/>
  <c r="CY51" i="8" s="1"/>
  <c r="G51" i="1" s="1"/>
  <c r="M51" i="8" s="1"/>
  <c r="CJ52" i="8"/>
  <c r="CN52" i="8" s="1"/>
  <c r="D54" i="9"/>
  <c r="CD53" i="8"/>
  <c r="CT53" i="8" s="1"/>
  <c r="DA54" i="8"/>
  <c r="DB54" i="8" s="1"/>
  <c r="CF54" i="8"/>
  <c r="CB59" i="8"/>
  <c r="BR54" i="8"/>
  <c r="BS53" i="8"/>
  <c r="BY53" i="8" s="1"/>
  <c r="N53" i="7"/>
  <c r="BD54" i="8"/>
  <c r="BP54" i="8" s="1"/>
  <c r="BE54" i="8"/>
  <c r="BN54" i="8" s="1"/>
  <c r="AG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AJ54" i="5"/>
  <c r="AP54" i="5" s="1"/>
  <c r="W54" i="8"/>
  <c r="CW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N60" i="5" s="1"/>
  <c r="AD57" i="1" l="1"/>
  <c r="BF59" i="5" a="1"/>
  <c r="BF59" i="5" s="1"/>
  <c r="BO59" i="5" a="1"/>
  <c r="BO59" i="5" s="1"/>
  <c r="BI59" i="5" a="1"/>
  <c r="BI59" i="5" s="1"/>
  <c r="BA59" i="5" a="1"/>
  <c r="BA59" i="5" s="1"/>
  <c r="BB59" i="5" a="1"/>
  <c r="BB59" i="5" s="1"/>
  <c r="BH59" i="5" a="1"/>
  <c r="BH59" i="5" s="1"/>
  <c r="BH60" i="5" s="1" a="1"/>
  <c r="BH60" i="5" s="1"/>
  <c r="BM59" i="5" a="1"/>
  <c r="BM59" i="5" s="1"/>
  <c r="BE59" i="5" a="1"/>
  <c r="BE59" i="5" s="1"/>
  <c r="BE60" i="5" s="1" a="1"/>
  <c r="BE60" i="5" s="1"/>
  <c r="BK59" i="5" a="1"/>
  <c r="BK59" i="5" s="1"/>
  <c r="CR59" i="5"/>
  <c r="CQ59" i="5"/>
  <c r="CT59" i="5"/>
  <c r="CV59" i="5"/>
  <c r="CW59" i="5"/>
  <c r="CU59" i="5"/>
  <c r="CS59" i="5"/>
  <c r="AY59" i="5" a="1"/>
  <c r="AY59" i="5" s="1"/>
  <c r="BL59" i="5" a="1"/>
  <c r="BL59" i="5" s="1"/>
  <c r="AD58" i="1" s="1"/>
  <c r="BG59" i="5" a="1"/>
  <c r="BG59" i="5" s="1"/>
  <c r="BC59" i="5" a="1"/>
  <c r="BC59" i="5" s="1"/>
  <c r="BC60" i="5" s="1" a="1"/>
  <c r="BC60" i="5" s="1"/>
  <c r="V57" i="2"/>
  <c r="O53" i="8"/>
  <c r="F62" i="8"/>
  <c r="AO54" i="5"/>
  <c r="AV55" i="5"/>
  <c r="BP58" i="5" a="1"/>
  <c r="BP58" i="5" s="1"/>
  <c r="A55" i="10"/>
  <c r="AA55" i="10" s="1"/>
  <c r="AG53" i="7"/>
  <c r="O63" i="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BN60" i="5" s="1" a="1"/>
  <c r="BN60" i="5" s="1"/>
  <c r="DH57" i="5"/>
  <c r="AR59" i="8"/>
  <c r="AD59" i="8"/>
  <c r="B55" i="9"/>
  <c r="X55" i="9" s="1"/>
  <c r="A55" i="11"/>
  <c r="N55" i="11" s="1"/>
  <c r="E55" i="1"/>
  <c r="BD55" i="8"/>
  <c r="BP55" i="8" s="1"/>
  <c r="CF55" i="8"/>
  <c r="BE55" i="8"/>
  <c r="BN55" i="8" s="1"/>
  <c r="AI55" i="5"/>
  <c r="W55" i="8"/>
  <c r="CW55" i="8" s="1"/>
  <c r="DA55" i="8"/>
  <c r="DB55" i="8" s="1"/>
  <c r="AJ55" i="5"/>
  <c r="AP55" i="5" s="1"/>
  <c r="AB55" i="8"/>
  <c r="BM55" i="8" s="1"/>
  <c r="B55" i="7"/>
  <c r="Q55" i="7" s="1"/>
  <c r="BR55" i="8"/>
  <c r="BT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N54" i="7"/>
  <c r="AG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F66" i="9"/>
  <c r="AJ66" i="9"/>
  <c r="AD128" i="9"/>
  <c r="N42" i="1"/>
  <c r="S59" i="2"/>
  <c r="N60" i="2"/>
  <c r="R60" i="2"/>
  <c r="Q59" i="2"/>
  <c r="O61" i="2"/>
  <c r="J61" i="10"/>
  <c r="N61" i="5" s="1"/>
  <c r="P61" i="2"/>
  <c r="M60" i="2"/>
  <c r="BK60" i="5" l="1" a="1"/>
  <c r="BK60" i="5" s="1"/>
  <c r="BM60" i="5" a="1"/>
  <c r="BM60" i="5" s="1"/>
  <c r="BG60" i="5" a="1"/>
  <c r="BG60" i="5" s="1"/>
  <c r="BB60" i="5" a="1"/>
  <c r="BB60" i="5" s="1"/>
  <c r="CU60" i="5"/>
  <c r="CW60" i="5"/>
  <c r="CQ60" i="5"/>
  <c r="CR60" i="5"/>
  <c r="CV60" i="5"/>
  <c r="CS60" i="5"/>
  <c r="CT60" i="5"/>
  <c r="BL60" i="5" a="1"/>
  <c r="BL60" i="5" s="1"/>
  <c r="AD59" i="1" s="1"/>
  <c r="AY60" i="5" a="1"/>
  <c r="AY60" i="5" s="1"/>
  <c r="BA60" i="5" a="1"/>
  <c r="BA60" i="5" s="1"/>
  <c r="BI60" i="5" a="1"/>
  <c r="BI60" i="5" s="1"/>
  <c r="BO60" i="5" a="1"/>
  <c r="BO60" i="5" s="1"/>
  <c r="AZ60" i="5" a="1"/>
  <c r="AZ60" i="5" s="1"/>
  <c r="BQ60" i="5" a="1"/>
  <c r="BQ60" i="5" s="1"/>
  <c r="BF60" i="5" a="1"/>
  <c r="BF60" i="5" s="1"/>
  <c r="BD60" i="5" a="1"/>
  <c r="BD60" i="5" s="1"/>
  <c r="BJ60" i="5" a="1"/>
  <c r="BJ60" i="5" s="1"/>
  <c r="V58" i="2"/>
  <c r="O54" i="8"/>
  <c r="CJ55" i="8"/>
  <c r="CN55" i="8" s="1"/>
  <c r="F63" i="8"/>
  <c r="AO55" i="5"/>
  <c r="AV56" i="5"/>
  <c r="BP59" i="5" a="1"/>
  <c r="BP59" i="5" s="1"/>
  <c r="AG54" i="7"/>
  <c r="O64" i="1"/>
  <c r="BZ54" i="8"/>
  <c r="CQ54" i="8" s="1"/>
  <c r="CR54" i="8" s="1"/>
  <c r="BO55" i="8"/>
  <c r="BK55" i="8"/>
  <c r="BL55" i="8"/>
  <c r="BI55" i="8"/>
  <c r="BJ55" i="8"/>
  <c r="BG55" i="8"/>
  <c r="BH55" i="8"/>
  <c r="BF55" i="8"/>
  <c r="AC55" i="10"/>
  <c r="X55" i="10" s="1"/>
  <c r="AM55" i="5"/>
  <c r="AN55" i="5"/>
  <c r="AS59" i="5"/>
  <c r="AH59" i="11"/>
  <c r="E63" i="8"/>
  <c r="CA131" i="8"/>
  <c r="DF58" i="5"/>
  <c r="DB58" i="5"/>
  <c r="K61" i="11"/>
  <c r="A61" i="14"/>
  <c r="CA61" i="14" s="1"/>
  <c r="A61" i="9"/>
  <c r="A61" i="7"/>
  <c r="R61" i="7" s="1"/>
  <c r="A61" i="2"/>
  <c r="A61" i="8"/>
  <c r="A61" i="5"/>
  <c r="AM59" i="1"/>
  <c r="AR60" i="8"/>
  <c r="AD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CU54" i="8"/>
  <c r="DA56" i="8"/>
  <c r="DB56" i="8" s="1"/>
  <c r="CF56" i="8"/>
  <c r="CB61" i="8"/>
  <c r="BR56" i="8"/>
  <c r="BD56" i="8"/>
  <c r="BP56" i="8" s="1"/>
  <c r="BE56" i="8"/>
  <c r="BN56" i="8" s="1"/>
  <c r="AG67" i="9"/>
  <c r="B54" i="14"/>
  <c r="AR54" i="5"/>
  <c r="AQ54" i="5"/>
  <c r="A56" i="11"/>
  <c r="AB56" i="8"/>
  <c r="BM56" i="8" s="1"/>
  <c r="BT56" i="5"/>
  <c r="W56" i="8"/>
  <c r="CW56" i="8" s="1"/>
  <c r="AJ56" i="5"/>
  <c r="AP56" i="5" s="1"/>
  <c r="A56" i="10"/>
  <c r="AA56" i="10" s="1"/>
  <c r="B56" i="7"/>
  <c r="E56" i="1"/>
  <c r="AI56" i="5"/>
  <c r="B56" i="9"/>
  <c r="X56" i="9" s="1"/>
  <c r="CZ58" i="5"/>
  <c r="C57" i="5"/>
  <c r="F57" i="5" s="1"/>
  <c r="AW57" i="5" s="1"/>
  <c r="CK54" i="8"/>
  <c r="AB58" i="1"/>
  <c r="DI58" i="5"/>
  <c r="AC57" i="1"/>
  <c r="DA57" i="5"/>
  <c r="DG57" i="5" s="1" a="1"/>
  <c r="DG57" i="5" s="1"/>
  <c r="AF67" i="9"/>
  <c r="AJ67" i="9"/>
  <c r="AD129" i="9"/>
  <c r="N43" i="1"/>
  <c r="S60" i="2"/>
  <c r="N61" i="2"/>
  <c r="R61" i="2"/>
  <c r="Q60" i="2"/>
  <c r="O62" i="2"/>
  <c r="J62" i="10"/>
  <c r="N62" i="5" s="1"/>
  <c r="M61" i="2"/>
  <c r="P62" i="2"/>
  <c r="CV61" i="5" l="1"/>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G62" i="5" s="1" a="1"/>
  <c r="BG62"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G68" i="9"/>
  <c r="AI57" i="5"/>
  <c r="A57" i="11"/>
  <c r="AB57" i="8"/>
  <c r="BM57" i="8" s="1"/>
  <c r="BT57" i="5"/>
  <c r="A57" i="10"/>
  <c r="AA57" i="10" s="1"/>
  <c r="B57" i="7"/>
  <c r="W57" i="8"/>
  <c r="CW57" i="8" s="1"/>
  <c r="E57" i="1"/>
  <c r="AJ57" i="5"/>
  <c r="AP57" i="5" s="1"/>
  <c r="B57" i="9"/>
  <c r="X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F68" i="9"/>
  <c r="AJ68" i="9"/>
  <c r="AD130" i="9"/>
  <c r="N44" i="1"/>
  <c r="S61" i="2"/>
  <c r="N62" i="2"/>
  <c r="R62" i="2"/>
  <c r="Q61" i="2"/>
  <c r="P63" i="2"/>
  <c r="J63" i="10"/>
  <c r="N63" i="5" s="1"/>
  <c r="M62" i="2"/>
  <c r="O63" i="2"/>
  <c r="AD60" i="1" l="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O56" i="8"/>
  <c r="F65" i="8"/>
  <c r="AO57" i="5"/>
  <c r="AV58" i="5"/>
  <c r="BP61" i="5" a="1"/>
  <c r="BP61" i="5" s="1"/>
  <c r="AG56" i="7"/>
  <c r="O66" i="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G69" i="9"/>
  <c r="B56" i="14"/>
  <c r="AQ56" i="5"/>
  <c r="AR56" i="5"/>
  <c r="CK56" i="8"/>
  <c r="C59" i="5"/>
  <c r="F59" i="5" s="1"/>
  <c r="AW59" i="5" s="1"/>
  <c r="CZ60" i="5"/>
  <c r="AI58" i="5"/>
  <c r="A58" i="11"/>
  <c r="B58" i="9"/>
  <c r="X58" i="9" s="1"/>
  <c r="AB58" i="8"/>
  <c r="BM58" i="8" s="1"/>
  <c r="BT58" i="5"/>
  <c r="AJ58" i="5"/>
  <c r="AP58" i="5" s="1"/>
  <c r="A58" i="10"/>
  <c r="AA58" i="10" s="1"/>
  <c r="B58" i="7"/>
  <c r="E58" i="1"/>
  <c r="W58" i="8"/>
  <c r="CW58" i="8" s="1"/>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N64" i="5" s="1"/>
  <c r="P64" i="2"/>
  <c r="M63" i="2"/>
  <c r="AD61" i="1" l="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M64" i="5" s="1" a="1"/>
  <c r="BM64"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BY57" i="8"/>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G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CW59" i="8" s="1"/>
  <c r="E59" i="1"/>
  <c r="AJ59" i="5"/>
  <c r="AP59" i="5" s="1"/>
  <c r="B59" i="9"/>
  <c r="X59" i="9" s="1"/>
  <c r="AI59" i="5"/>
  <c r="AC60" i="1"/>
  <c r="DA60" i="5"/>
  <c r="DG60" i="5" s="1" a="1"/>
  <c r="DG60" i="5" s="1"/>
  <c r="AB61" i="1"/>
  <c r="DI61" i="5"/>
  <c r="AF70" i="9"/>
  <c r="AJ70" i="9"/>
  <c r="AD132" i="9"/>
  <c r="N46" i="1"/>
  <c r="S63" i="2"/>
  <c r="N64" i="2"/>
  <c r="R64" i="2"/>
  <c r="Q63" i="2"/>
  <c r="J65" i="10"/>
  <c r="N65" i="5" s="1"/>
  <c r="P65" i="2"/>
  <c r="O65" i="2"/>
  <c r="M64" i="2"/>
  <c r="AD62" i="1" l="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C65" i="5" s="1" a="1"/>
  <c r="BC65" i="5" s="1"/>
  <c r="BB64" i="5" a="1"/>
  <c r="BB64" i="5" s="1"/>
  <c r="BE64" i="5" a="1"/>
  <c r="BE64" i="5" s="1"/>
  <c r="CV64" i="5"/>
  <c r="CT64" i="5"/>
  <c r="CS64" i="5"/>
  <c r="CR64" i="5"/>
  <c r="CU64" i="5"/>
  <c r="CQ64" i="5"/>
  <c r="CW64" i="5"/>
  <c r="BL64" i="5" a="1"/>
  <c r="BL64" i="5" s="1"/>
  <c r="AY64" i="5" a="1"/>
  <c r="AY64" i="5" s="1"/>
  <c r="BN64" i="5" a="1"/>
  <c r="BN64" i="5" s="1"/>
  <c r="BO64" i="5" a="1"/>
  <c r="BO64" i="5" s="1"/>
  <c r="V62" i="2"/>
  <c r="O58" i="8"/>
  <c r="CQ57" i="8"/>
  <c r="CR57" i="8" s="1"/>
  <c r="O57" i="8"/>
  <c r="F67" i="8"/>
  <c r="AO59" i="5"/>
  <c r="AV60" i="5"/>
  <c r="BP63" i="5" a="1"/>
  <c r="BP63" i="5" s="1"/>
  <c r="AG58" i="7"/>
  <c r="O68" i="1"/>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R64" i="8"/>
  <c r="AD64" i="8"/>
  <c r="CL57" i="8"/>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DA60" i="8"/>
  <c r="DB60" i="8" s="1"/>
  <c r="CF60" i="8"/>
  <c r="CB65" i="8"/>
  <c r="BR60" i="8"/>
  <c r="N59" i="7"/>
  <c r="BD60" i="8"/>
  <c r="BP60" i="8" s="1"/>
  <c r="BE60" i="8"/>
  <c r="BN60" i="8" s="1"/>
  <c r="AG71" i="9"/>
  <c r="B58" i="14"/>
  <c r="AQ58" i="5"/>
  <c r="AR58" i="5"/>
  <c r="AE59" i="7"/>
  <c r="AF59" i="7" s="1"/>
  <c r="Q59" i="7"/>
  <c r="AA58" i="11"/>
  <c r="AK58" i="1" s="1"/>
  <c r="Y58" i="11"/>
  <c r="AH58" i="1" s="1"/>
  <c r="N59" i="11"/>
  <c r="Z58" i="11"/>
  <c r="AB58" i="11"/>
  <c r="P58" i="8" s="1"/>
  <c r="AC58" i="11"/>
  <c r="T58" i="8" s="1"/>
  <c r="AD58" i="11"/>
  <c r="AI58" i="1" s="1"/>
  <c r="A60" i="10"/>
  <c r="AA60" i="10" s="1"/>
  <c r="B60" i="7"/>
  <c r="E60" i="1"/>
  <c r="A60" i="11"/>
  <c r="AI60" i="5"/>
  <c r="B60" i="9"/>
  <c r="X60" i="9" s="1"/>
  <c r="AJ60" i="5"/>
  <c r="AP60" i="5" s="1"/>
  <c r="AB60" i="8"/>
  <c r="BM60" i="8" s="1"/>
  <c r="BT60" i="5"/>
  <c r="W60" i="8"/>
  <c r="CW60" i="8" s="1"/>
  <c r="C61" i="5"/>
  <c r="F61" i="5" s="1"/>
  <c r="AW61" i="5" s="1"/>
  <c r="CZ62" i="5"/>
  <c r="CK58" i="8"/>
  <c r="J61" i="2"/>
  <c r="BX59" i="8"/>
  <c r="CO59" i="8" s="1"/>
  <c r="CP59" i="8" s="1"/>
  <c r="BV59" i="8"/>
  <c r="BW59" i="8"/>
  <c r="CM59" i="8" s="1"/>
  <c r="BT59" i="8"/>
  <c r="BU59" i="8"/>
  <c r="CC59" i="8"/>
  <c r="CS59" i="8" s="1"/>
  <c r="DI62" i="5"/>
  <c r="AB62" i="1"/>
  <c r="AC61" i="1"/>
  <c r="DA61" i="5"/>
  <c r="DG61" i="5" s="1" a="1"/>
  <c r="DG61" i="5" s="1"/>
  <c r="AF71" i="9"/>
  <c r="AJ71" i="9"/>
  <c r="AD133" i="9"/>
  <c r="N47" i="1"/>
  <c r="S64" i="2"/>
  <c r="N65" i="2"/>
  <c r="R65" i="2"/>
  <c r="Q64" i="2"/>
  <c r="J66" i="10"/>
  <c r="N66" i="5" s="1"/>
  <c r="O66" i="2"/>
  <c r="P66" i="2"/>
  <c r="M65" i="2"/>
  <c r="AD63" i="1" l="1"/>
  <c r="BE65" i="5" a="1"/>
  <c r="BE65" i="5" s="1"/>
  <c r="BB65" i="5" a="1"/>
  <c r="BB65" i="5" s="1"/>
  <c r="BJ65" i="5" a="1"/>
  <c r="BJ65" i="5" s="1"/>
  <c r="BG65" i="5" a="1"/>
  <c r="BG65" i="5" s="1"/>
  <c r="BO65" i="5" a="1"/>
  <c r="BO65" i="5" s="1"/>
  <c r="BK65" i="5" a="1"/>
  <c r="BK65" i="5" s="1"/>
  <c r="BK66" i="5" s="1" a="1"/>
  <c r="BK66" i="5" s="1"/>
  <c r="CW65" i="5"/>
  <c r="CR65" i="5"/>
  <c r="CT65" i="5"/>
  <c r="CU65" i="5"/>
  <c r="CV65" i="5"/>
  <c r="CQ65" i="5"/>
  <c r="CS65" i="5"/>
  <c r="BL65" i="5" a="1"/>
  <c r="BL65" i="5" s="1"/>
  <c r="AY65" i="5" a="1"/>
  <c r="AY65" i="5" s="1"/>
  <c r="BN65" i="5" a="1"/>
  <c r="BN65" i="5" s="1"/>
  <c r="BN66" i="5" s="1" a="1"/>
  <c r="BN66" i="5" s="1"/>
  <c r="BD65" i="5" a="1"/>
  <c r="BD65" i="5" s="1"/>
  <c r="AZ65" i="5" a="1"/>
  <c r="AZ65" i="5" s="1"/>
  <c r="BI65" i="5" a="1"/>
  <c r="BI65" i="5" s="1"/>
  <c r="BF65" i="5" a="1"/>
  <c r="BF65" i="5" s="1"/>
  <c r="BH65" i="5" a="1"/>
  <c r="BH65" i="5" s="1"/>
  <c r="BH66" i="5" s="1" a="1"/>
  <c r="BH66" i="5" s="1"/>
  <c r="BA65" i="5" a="1"/>
  <c r="BA65" i="5" s="1"/>
  <c r="BA66" i="5" s="1" a="1"/>
  <c r="BA66" i="5" s="1"/>
  <c r="BQ65" i="5" a="1"/>
  <c r="BQ65" i="5" s="1"/>
  <c r="BQ66" i="5" s="1" a="1"/>
  <c r="BQ66" i="5" s="1"/>
  <c r="BM65" i="5" a="1"/>
  <c r="BM65" i="5" s="1"/>
  <c r="BM66" i="5" s="1" a="1"/>
  <c r="BM66" i="5" s="1"/>
  <c r="V63" i="2"/>
  <c r="CY57" i="8"/>
  <c r="G57" i="1" s="1"/>
  <c r="M57" i="8" s="1"/>
  <c r="O59" i="8"/>
  <c r="F68" i="8"/>
  <c r="AO60" i="5"/>
  <c r="AV61" i="5"/>
  <c r="BP64" i="5" a="1"/>
  <c r="BP64" i="5" s="1"/>
  <c r="AG59" i="7"/>
  <c r="O69" i="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CA66" i="14" s="1"/>
  <c r="A66" i="8"/>
  <c r="A66" i="9"/>
  <c r="A66" i="2"/>
  <c r="A66" i="5"/>
  <c r="BC66" i="5" s="1" a="1"/>
  <c r="BC66" i="5" s="1"/>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G72" i="9"/>
  <c r="B59" i="14"/>
  <c r="CK59" i="8"/>
  <c r="CZ63" i="5"/>
  <c r="BT61" i="5"/>
  <c r="E61" i="1"/>
  <c r="AB61" i="8"/>
  <c r="BM61" i="8" s="1"/>
  <c r="B61" i="7"/>
  <c r="A61" i="10"/>
  <c r="AA61" i="10" s="1"/>
  <c r="AJ61" i="5"/>
  <c r="AP61" i="5" s="1"/>
  <c r="W61" i="8"/>
  <c r="CW61" i="8" s="1"/>
  <c r="AI61" i="5"/>
  <c r="B61" i="9"/>
  <c r="X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AC62" i="1"/>
  <c r="DA62" i="5"/>
  <c r="DG62" i="5" s="1" a="1"/>
  <c r="DG62" i="5" s="1"/>
  <c r="AB63" i="1"/>
  <c r="DI63" i="5"/>
  <c r="AF72" i="9"/>
  <c r="AJ72" i="9"/>
  <c r="AD134" i="9"/>
  <c r="N48" i="1"/>
  <c r="S65" i="2"/>
  <c r="N66" i="2"/>
  <c r="R66" i="2"/>
  <c r="Q65" i="2"/>
  <c r="O67" i="2"/>
  <c r="J67" i="10"/>
  <c r="N67" i="5" s="1"/>
  <c r="M66" i="2"/>
  <c r="P67" i="2"/>
  <c r="AD64" i="1" l="1"/>
  <c r="BF66" i="5" a="1"/>
  <c r="BF66" i="5" s="1"/>
  <c r="BO66" i="5" a="1"/>
  <c r="BO66" i="5" s="1"/>
  <c r="BI66" i="5" a="1"/>
  <c r="BI66" i="5" s="1"/>
  <c r="BG66" i="5" a="1"/>
  <c r="BG66" i="5" s="1"/>
  <c r="BJ66" i="5" a="1"/>
  <c r="BJ66" i="5" s="1"/>
  <c r="AZ66" i="5" a="1"/>
  <c r="AZ66" i="5" s="1"/>
  <c r="AZ67" i="5" s="1" a="1"/>
  <c r="AZ67" i="5" s="1"/>
  <c r="BB66" i="5" a="1"/>
  <c r="BB66" i="5" s="1"/>
  <c r="BB67" i="5" s="1" a="1"/>
  <c r="BB67" i="5" s="1"/>
  <c r="CS66" i="5"/>
  <c r="CU66" i="5"/>
  <c r="CT66" i="5"/>
  <c r="CW66" i="5"/>
  <c r="CV66" i="5"/>
  <c r="CR66" i="5"/>
  <c r="CQ66" i="5"/>
  <c r="AY66" i="5" a="1"/>
  <c r="AY66" i="5" s="1"/>
  <c r="BL66" i="5" a="1"/>
  <c r="BL66" i="5" s="1"/>
  <c r="AD65" i="1" s="1"/>
  <c r="BD66" i="5" a="1"/>
  <c r="BD66" i="5" s="1"/>
  <c r="BE66" i="5" a="1"/>
  <c r="BE66" i="5" s="1"/>
  <c r="V64" i="2"/>
  <c r="O60" i="8"/>
  <c r="F69" i="8"/>
  <c r="AO61" i="5"/>
  <c r="AV62" i="5"/>
  <c r="BP65" i="5" a="1"/>
  <c r="BP65" i="5" s="1"/>
  <c r="AG60" i="7"/>
  <c r="AI60" i="7" s="1"/>
  <c r="O70" i="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BA67" i="5" s="1" a="1"/>
  <c r="BA67" i="5" s="1"/>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G73" i="9"/>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C63" i="5"/>
  <c r="F63" i="5" s="1"/>
  <c r="AW63" i="5" s="1"/>
  <c r="B62" i="9"/>
  <c r="X62" i="9" s="1"/>
  <c r="AI62" i="5"/>
  <c r="A62" i="11"/>
  <c r="AB62" i="8"/>
  <c r="BM62" i="8" s="1"/>
  <c r="BT62" i="5"/>
  <c r="A62" i="10"/>
  <c r="AA62" i="10" s="1"/>
  <c r="B62" i="7"/>
  <c r="W62" i="8"/>
  <c r="CW62" i="8" s="1"/>
  <c r="E62" i="1"/>
  <c r="AJ62" i="5"/>
  <c r="AP62" i="5" s="1"/>
  <c r="AQ60" i="5"/>
  <c r="AB64" i="1"/>
  <c r="DI64" i="5"/>
  <c r="AC63" i="1"/>
  <c r="DA63" i="5"/>
  <c r="DG63" i="5" s="1" a="1"/>
  <c r="DG63" i="5" s="1"/>
  <c r="AF73" i="9"/>
  <c r="AJ73" i="9"/>
  <c r="AD135" i="9"/>
  <c r="N49" i="1"/>
  <c r="S66" i="2"/>
  <c r="N67" i="2"/>
  <c r="R67" i="2"/>
  <c r="Q66" i="2"/>
  <c r="P68" i="2"/>
  <c r="O68" i="2"/>
  <c r="J68" i="10"/>
  <c r="N68" i="5" s="1"/>
  <c r="M67" i="2"/>
  <c r="BJ67" i="5" l="1"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BY61" i="8"/>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G74" i="9"/>
  <c r="AJ63" i="5"/>
  <c r="AP63" i="5" s="1"/>
  <c r="W63" i="8"/>
  <c r="CW63" i="8" s="1"/>
  <c r="E63" i="1"/>
  <c r="A63" i="10"/>
  <c r="AA63" i="10" s="1"/>
  <c r="B63" i="7"/>
  <c r="AI63" i="5"/>
  <c r="B63" i="9"/>
  <c r="X63" i="9" s="1"/>
  <c r="A63" i="11"/>
  <c r="AB63" i="8"/>
  <c r="BM63" i="8" s="1"/>
  <c r="BT63" i="5"/>
  <c r="B61" i="14"/>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O69" i="2"/>
  <c r="P69" i="2"/>
  <c r="AD66" i="1" l="1"/>
  <c r="BH68" i="5" a="1"/>
  <c r="BH68" i="5" s="1"/>
  <c r="BK68" i="5" a="1"/>
  <c r="BK68" i="5" s="1"/>
  <c r="BC68" i="5" a="1"/>
  <c r="BC68" i="5" s="1"/>
  <c r="BF68" i="5" a="1"/>
  <c r="BF68" i="5" s="1"/>
  <c r="BN68" i="5" a="1"/>
  <c r="BN68" i="5" s="1"/>
  <c r="BD68" i="5" a="1"/>
  <c r="BD68" i="5" s="1"/>
  <c r="BD69" i="5" s="1" a="1"/>
  <c r="BD69"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G69" i="5" s="1" a="1"/>
  <c r="BG69" i="5" s="1"/>
  <c r="BB68" i="5" a="1"/>
  <c r="BB68" i="5" s="1"/>
  <c r="BJ68" i="5" a="1"/>
  <c r="BJ68" i="5" s="1"/>
  <c r="AZ68" i="5" a="1"/>
  <c r="AZ68" i="5" s="1"/>
  <c r="BA68" i="5" a="1"/>
  <c r="BA68" i="5" s="1"/>
  <c r="V66" i="2"/>
  <c r="O62" i="8"/>
  <c r="CQ61" i="8"/>
  <c r="CR61" i="8" s="1"/>
  <c r="O61" i="8"/>
  <c r="F71" i="8"/>
  <c r="AO63" i="5"/>
  <c r="AV64" i="5"/>
  <c r="BP67" i="5" a="1"/>
  <c r="BP67" i="5" s="1"/>
  <c r="AG62" i="7"/>
  <c r="AI62" i="7" s="1"/>
  <c r="O72" i="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CA69" i="14" s="1"/>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L61" i="8"/>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G75" i="9"/>
  <c r="AQ62" i="5"/>
  <c r="AR62" i="5"/>
  <c r="CK62" i="8"/>
  <c r="AA62" i="11"/>
  <c r="AK62" i="1" s="1"/>
  <c r="Z62" i="11"/>
  <c r="AB62" i="11"/>
  <c r="P62" i="8" s="1"/>
  <c r="AD62" i="11"/>
  <c r="AI62" i="1" s="1"/>
  <c r="AC62" i="11"/>
  <c r="T62" i="8" s="1"/>
  <c r="Y62" i="11"/>
  <c r="AH62" i="1" s="1"/>
  <c r="N63" i="11"/>
  <c r="BV63" i="8"/>
  <c r="BW63" i="8"/>
  <c r="CM63" i="8" s="1"/>
  <c r="BT63" i="8"/>
  <c r="BU63" i="8"/>
  <c r="BX63" i="8"/>
  <c r="CO63" i="8" s="1"/>
  <c r="CP63" i="8" s="1"/>
  <c r="CC63" i="8"/>
  <c r="CS63" i="8" s="1"/>
  <c r="B62" i="14"/>
  <c r="J65" i="2"/>
  <c r="Q63" i="7"/>
  <c r="AE63" i="7"/>
  <c r="AF63" i="7" s="1"/>
  <c r="CZ66" i="5"/>
  <c r="AI64" i="5"/>
  <c r="B64" i="9"/>
  <c r="X64" i="9" s="1"/>
  <c r="B64" i="7"/>
  <c r="A64" i="11"/>
  <c r="A64" i="10"/>
  <c r="AA64" i="10" s="1"/>
  <c r="AB64" i="8"/>
  <c r="BM64" i="8" s="1"/>
  <c r="BT64" i="5"/>
  <c r="AJ64" i="5"/>
  <c r="AP64" i="5" s="1"/>
  <c r="W64" i="8"/>
  <c r="CW64" i="8" s="1"/>
  <c r="E64" i="1"/>
  <c r="AB66" i="1"/>
  <c r="DI66" i="5"/>
  <c r="C66" i="5"/>
  <c r="AC65" i="1"/>
  <c r="DA65" i="5"/>
  <c r="DG65" i="5" s="1" a="1"/>
  <c r="DG65" i="5" s="1"/>
  <c r="AF75" i="9"/>
  <c r="AJ75" i="9"/>
  <c r="N51" i="1"/>
  <c r="S68" i="2"/>
  <c r="N69" i="2"/>
  <c r="R69" i="2"/>
  <c r="Q68" i="2"/>
  <c r="O70" i="2"/>
  <c r="M69" i="2"/>
  <c r="J70" i="10"/>
  <c r="N70" i="5" s="1"/>
  <c r="P70" i="2"/>
  <c r="AD67" i="1" l="1"/>
  <c r="BA69" i="5" a="1"/>
  <c r="BA69" i="5" s="1"/>
  <c r="BE69" i="5" a="1"/>
  <c r="BE69" i="5" s="1"/>
  <c r="AZ69" i="5" a="1"/>
  <c r="AZ69" i="5" s="1"/>
  <c r="BQ69" i="5" a="1"/>
  <c r="BQ69" i="5" s="1"/>
  <c r="BJ69" i="5" a="1"/>
  <c r="BJ69" i="5" s="1"/>
  <c r="BO69" i="5" a="1"/>
  <c r="BO69" i="5" s="1"/>
  <c r="BB69" i="5" a="1"/>
  <c r="BB69" i="5" s="1"/>
  <c r="BM69" i="5" a="1"/>
  <c r="BM69" i="5" s="1"/>
  <c r="BN69" i="5" a="1"/>
  <c r="BN69" i="5" s="1"/>
  <c r="BN70" i="5" s="1" a="1"/>
  <c r="BN70" i="5" s="1"/>
  <c r="BI69" i="5" a="1"/>
  <c r="BI69" i="5" s="1"/>
  <c r="BI70" i="5" s="1" a="1"/>
  <c r="BI70" i="5" s="1"/>
  <c r="BF69" i="5" a="1"/>
  <c r="BF69" i="5" s="1"/>
  <c r="BC69" i="5" a="1"/>
  <c r="BC69" i="5" s="1"/>
  <c r="BC70" i="5" s="1" a="1"/>
  <c r="BC70" i="5" s="1"/>
  <c r="CT69" i="5"/>
  <c r="CS69" i="5"/>
  <c r="CV69" i="5"/>
  <c r="CR69" i="5"/>
  <c r="CQ69" i="5"/>
  <c r="CW69" i="5"/>
  <c r="CU69" i="5"/>
  <c r="AY69" i="5" a="1"/>
  <c r="AY69" i="5" s="1"/>
  <c r="BL69" i="5" a="1"/>
  <c r="BL69" i="5" s="1"/>
  <c r="BK69" i="5" a="1"/>
  <c r="BK69" i="5" s="1"/>
  <c r="BH69" i="5" a="1"/>
  <c r="BH69" i="5" s="1"/>
  <c r="V67" i="2"/>
  <c r="CY61" i="8"/>
  <c r="G61" i="1" s="1"/>
  <c r="M61" i="8" s="1"/>
  <c r="O63" i="8"/>
  <c r="F72" i="8"/>
  <c r="AO64" i="5"/>
  <c r="AV65" i="5"/>
  <c r="BP68" i="5" a="1"/>
  <c r="BP68" i="5" s="1"/>
  <c r="AG63" i="7"/>
  <c r="AI63" i="7" s="1"/>
  <c r="O73" i="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BD70" i="5" s="1" a="1"/>
  <c r="BD70" i="5" s="1"/>
  <c r="A70" i="9"/>
  <c r="A70" i="7"/>
  <c r="R70" i="7" s="1"/>
  <c r="A70" i="2"/>
  <c r="A70" i="8"/>
  <c r="AF66" i="1"/>
  <c r="AK68" i="11"/>
  <c r="AB65" i="8"/>
  <c r="BM65" i="8" s="1"/>
  <c r="BR65" i="8"/>
  <c r="BV65" i="8" s="1"/>
  <c r="AI65" i="5"/>
  <c r="CL62" i="8"/>
  <c r="CY62" i="8" s="1"/>
  <c r="G62" i="1" s="1"/>
  <c r="M62" i="8" s="1"/>
  <c r="B65" i="9"/>
  <c r="X65" i="9" s="1"/>
  <c r="AJ65" i="5"/>
  <c r="AP65" i="5" s="1"/>
  <c r="BE65" i="8"/>
  <c r="BN65" i="8" s="1"/>
  <c r="B65" i="7"/>
  <c r="Q65" i="7" s="1"/>
  <c r="BD65" i="8"/>
  <c r="BP65" i="8" s="1"/>
  <c r="BT65" i="5"/>
  <c r="A65" i="10"/>
  <c r="AA65" i="10" s="1"/>
  <c r="DA65" i="8"/>
  <c r="DB65" i="8" s="1"/>
  <c r="F66" i="5"/>
  <c r="AW66" i="5" s="1"/>
  <c r="CF65" i="8"/>
  <c r="E65" i="1"/>
  <c r="A65" i="11"/>
  <c r="AB64" i="11" s="1"/>
  <c r="P64" i="8" s="1"/>
  <c r="W65" i="8"/>
  <c r="CW65" i="8" s="1"/>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G76" i="9"/>
  <c r="CK63" i="8"/>
  <c r="AQ63" i="5"/>
  <c r="J66" i="2"/>
  <c r="AR63" i="5"/>
  <c r="AD63" i="11"/>
  <c r="AI63" i="1" s="1"/>
  <c r="AB63" i="11"/>
  <c r="P63" i="8" s="1"/>
  <c r="AC63" i="11"/>
  <c r="T63" i="8" s="1"/>
  <c r="Y63" i="11"/>
  <c r="AH63" i="1" s="1"/>
  <c r="N64" i="11"/>
  <c r="Z63" i="11"/>
  <c r="AA63" i="11"/>
  <c r="AK63" i="1" s="1"/>
  <c r="Q64" i="7"/>
  <c r="AE64" i="7"/>
  <c r="AF64" i="7" s="1"/>
  <c r="CZ67" i="5"/>
  <c r="B63" i="14"/>
  <c r="BT64" i="8"/>
  <c r="BU64" i="8"/>
  <c r="CC64" i="8"/>
  <c r="CS64" i="8" s="1"/>
  <c r="BX64" i="8"/>
  <c r="CO64" i="8" s="1"/>
  <c r="CP64" i="8" s="1"/>
  <c r="BV64" i="8"/>
  <c r="BW64" i="8"/>
  <c r="CM64" i="8" s="1"/>
  <c r="AC66" i="1"/>
  <c r="DA66" i="5"/>
  <c r="DG66" i="5" s="1" a="1"/>
  <c r="DG66" i="5" s="1"/>
  <c r="AB67" i="1"/>
  <c r="DI67" i="5"/>
  <c r="AF76" i="9"/>
  <c r="AJ76" i="9"/>
  <c r="N52" i="1"/>
  <c r="S69" i="2"/>
  <c r="N70" i="2"/>
  <c r="R70" i="2"/>
  <c r="Q69" i="2"/>
  <c r="J71" i="10"/>
  <c r="N71" i="5" s="1"/>
  <c r="O71" i="2"/>
  <c r="P71" i="2"/>
  <c r="M70" i="2"/>
  <c r="AD68" i="1" l="1"/>
  <c r="BC71" i="5" a="1"/>
  <c r="BC71" i="5" s="1"/>
  <c r="BF70" i="5" a="1"/>
  <c r="BF70" i="5" s="1"/>
  <c r="BG70" i="5" a="1"/>
  <c r="BG70" i="5" s="1"/>
  <c r="BH70" i="5" a="1"/>
  <c r="BH70" i="5" s="1"/>
  <c r="BK70" i="5" a="1"/>
  <c r="BK70" i="5" s="1"/>
  <c r="BM70" i="5" a="1"/>
  <c r="BM70" i="5" s="1"/>
  <c r="BB70" i="5" a="1"/>
  <c r="BB70" i="5" s="1"/>
  <c r="BO70" i="5" a="1"/>
  <c r="BO70" i="5" s="1"/>
  <c r="BJ70" i="5" a="1"/>
  <c r="BJ70" i="5" s="1"/>
  <c r="BQ70" i="5" a="1"/>
  <c r="BQ70" i="5" s="1"/>
  <c r="BQ71" i="5" s="1" a="1"/>
  <c r="BQ71" i="5" s="1"/>
  <c r="AZ70" i="5" a="1"/>
  <c r="AZ70" i="5" s="1"/>
  <c r="BN71" i="5" a="1"/>
  <c r="BN71" i="5" s="1"/>
  <c r="CW70" i="5"/>
  <c r="CT70" i="5"/>
  <c r="CR70" i="5"/>
  <c r="CS70" i="5"/>
  <c r="CQ70" i="5"/>
  <c r="CU70" i="5"/>
  <c r="CV70" i="5"/>
  <c r="BL70" i="5" a="1"/>
  <c r="BL70" i="5" s="1"/>
  <c r="AD69" i="1" s="1"/>
  <c r="AY70" i="5" a="1"/>
  <c r="AY70" i="5" s="1"/>
  <c r="BE70" i="5" a="1"/>
  <c r="BE70" i="5" s="1"/>
  <c r="BA70" i="5" a="1"/>
  <c r="BA70" i="5" s="1"/>
  <c r="V68" i="2"/>
  <c r="F73" i="8"/>
  <c r="BY64" i="8"/>
  <c r="O64" i="8" s="1"/>
  <c r="AV66" i="5"/>
  <c r="AO65" i="5"/>
  <c r="BP69" i="5" a="1"/>
  <c r="BP69" i="5" s="1"/>
  <c r="AG64" i="7"/>
  <c r="AI64" i="7" s="1"/>
  <c r="O74" i="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BI71" i="5" s="1" a="1"/>
  <c r="BI71" i="5" s="1"/>
  <c r="A71" i="9"/>
  <c r="A71" i="2"/>
  <c r="A71" i="7"/>
  <c r="R71" i="7" s="1"/>
  <c r="A71" i="8"/>
  <c r="DH68" i="5"/>
  <c r="BT65" i="8"/>
  <c r="BW65" i="8"/>
  <c r="CM65" i="8" s="1"/>
  <c r="E66" i="1"/>
  <c r="BX65" i="8"/>
  <c r="CO65" i="8" s="1"/>
  <c r="CP65" i="8" s="1"/>
  <c r="BU65" i="8"/>
  <c r="CK65" i="8" s="1"/>
  <c r="B66" i="7"/>
  <c r="AE66" i="7" s="1"/>
  <c r="AF66" i="7" s="1"/>
  <c r="B66" i="9"/>
  <c r="X66" i="9" s="1"/>
  <c r="CC65" i="8"/>
  <c r="CS65" i="8" s="1"/>
  <c r="BE66" i="8"/>
  <c r="BN66" i="8" s="1"/>
  <c r="DA66" i="8"/>
  <c r="DB66" i="8" s="1"/>
  <c r="W66" i="8"/>
  <c r="CW66" i="8" s="1"/>
  <c r="A66" i="11"/>
  <c r="Y65" i="11" s="1"/>
  <c r="AH65" i="1" s="1"/>
  <c r="A66" i="10"/>
  <c r="AA66" i="10" s="1"/>
  <c r="AJ66" i="5"/>
  <c r="AP66" i="5" s="1"/>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G77" i="9"/>
  <c r="AR64" i="5"/>
  <c r="AQ64" i="5"/>
  <c r="CK64" i="8"/>
  <c r="J67" i="2"/>
  <c r="CZ68" i="5"/>
  <c r="B64" i="14"/>
  <c r="C67" i="5"/>
  <c r="F67" i="5" s="1"/>
  <c r="AW67" i="5" s="1"/>
  <c r="AB68" i="1"/>
  <c r="DI68" i="5"/>
  <c r="AC67" i="1"/>
  <c r="DA67" i="5"/>
  <c r="DG67" i="5" s="1" a="1"/>
  <c r="DG67" i="5" s="1"/>
  <c r="AF77" i="9"/>
  <c r="AJ77" i="9"/>
  <c r="N53" i="1"/>
  <c r="S70" i="2"/>
  <c r="N71" i="2"/>
  <c r="R71" i="2"/>
  <c r="Q70" i="2"/>
  <c r="O72" i="2"/>
  <c r="M71" i="2"/>
  <c r="J72" i="10"/>
  <c r="N72" i="5" s="1"/>
  <c r="P72" i="2"/>
  <c r="AZ71" i="5" l="1" a="1"/>
  <c r="AZ71" i="5" s="1"/>
  <c r="BJ71" i="5" a="1"/>
  <c r="BJ71" i="5" s="1"/>
  <c r="BO71" i="5" a="1"/>
  <c r="BO71" i="5" s="1"/>
  <c r="BA71" i="5" a="1"/>
  <c r="BA71" i="5" s="1"/>
  <c r="BB71" i="5" a="1"/>
  <c r="BB71" i="5" s="1"/>
  <c r="BE71" i="5" a="1"/>
  <c r="BE71" i="5" s="1"/>
  <c r="BM71" i="5" a="1"/>
  <c r="BM71" i="5" s="1"/>
  <c r="BK71" i="5" a="1"/>
  <c r="BK71" i="5" s="1"/>
  <c r="BH71" i="5" a="1"/>
  <c r="BH71" i="5" s="1"/>
  <c r="BH72" i="5" s="1" a="1"/>
  <c r="BH72" i="5" s="1"/>
  <c r="CW71" i="5"/>
  <c r="CR71" i="5"/>
  <c r="CQ71" i="5"/>
  <c r="CU71" i="5"/>
  <c r="CS71" i="5"/>
  <c r="CT71" i="5"/>
  <c r="CV71" i="5"/>
  <c r="AY71" i="5" a="1"/>
  <c r="AY71" i="5" s="1"/>
  <c r="BL71" i="5" a="1"/>
  <c r="BL71" i="5" s="1"/>
  <c r="AD70" i="1" s="1"/>
  <c r="BG71" i="5" a="1"/>
  <c r="BG71" i="5" s="1"/>
  <c r="BF71" i="5" a="1"/>
  <c r="BF71" i="5" s="1"/>
  <c r="BD71" i="5" a="1"/>
  <c r="BD71" i="5" s="1"/>
  <c r="V69" i="2"/>
  <c r="CQ64" i="8"/>
  <c r="CR64" i="8" s="1"/>
  <c r="O65" i="8"/>
  <c r="CJ65" i="8"/>
  <c r="CN65" i="8" s="1"/>
  <c r="F74" i="8"/>
  <c r="AO66" i="5"/>
  <c r="AV67" i="5"/>
  <c r="BP70" i="5" a="1"/>
  <c r="BP70" i="5" s="1"/>
  <c r="AG65" i="7"/>
  <c r="AI65" i="7" s="1"/>
  <c r="AG66" i="7"/>
  <c r="AI66" i="7" s="1"/>
  <c r="O75" i="1"/>
  <c r="BS66" i="8"/>
  <c r="BZ66" i="8" s="1"/>
  <c r="BO66" i="8"/>
  <c r="BK66" i="8"/>
  <c r="BL66" i="8"/>
  <c r="BI66" i="8"/>
  <c r="BJ66" i="8"/>
  <c r="BG66" i="8"/>
  <c r="BH66" i="8"/>
  <c r="BF66" i="8"/>
  <c r="AC66" i="10"/>
  <c r="X66" i="10" s="1"/>
  <c r="AM66" i="5"/>
  <c r="AN66" i="5"/>
  <c r="AH70" i="11"/>
  <c r="AR65" i="5"/>
  <c r="AS70" i="5"/>
  <c r="E74" i="8"/>
  <c r="BW66" i="8"/>
  <c r="CM66" i="8" s="1"/>
  <c r="BT66" i="8"/>
  <c r="BU66" i="8"/>
  <c r="BX66" i="8"/>
  <c r="CO66" i="8" s="1"/>
  <c r="CP66" i="8" s="1"/>
  <c r="DB69" i="5"/>
  <c r="BV66" i="8"/>
  <c r="DF69" i="5"/>
  <c r="DE69" i="5"/>
  <c r="AD71" i="8"/>
  <c r="AR71" i="8"/>
  <c r="AE68" i="1"/>
  <c r="W68" i="1" s="1"/>
  <c r="K72" i="11"/>
  <c r="A72" i="14"/>
  <c r="CA72" i="14" s="1"/>
  <c r="A72" i="8"/>
  <c r="A72" i="2"/>
  <c r="A72" i="7"/>
  <c r="R72" i="7" s="1"/>
  <c r="A72" i="9"/>
  <c r="A72" i="5"/>
  <c r="BQ72" i="5" s="1" a="1"/>
  <c r="BQ72" i="5" s="1"/>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CL64" i="8"/>
  <c r="B69" i="5"/>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G78" i="9"/>
  <c r="J68" i="2"/>
  <c r="C68" i="5"/>
  <c r="F68" i="5" s="1"/>
  <c r="AW68" i="5" s="1"/>
  <c r="CZ69" i="5"/>
  <c r="AI67" i="5"/>
  <c r="B67" i="9"/>
  <c r="X67" i="9" s="1"/>
  <c r="A67" i="11"/>
  <c r="AB67" i="8"/>
  <c r="BM67" i="8" s="1"/>
  <c r="BT67" i="5"/>
  <c r="B67" i="7"/>
  <c r="W67" i="8"/>
  <c r="CW67" i="8" s="1"/>
  <c r="E67" i="1"/>
  <c r="A67" i="10"/>
  <c r="AA67" i="10" s="1"/>
  <c r="AJ67" i="5"/>
  <c r="AP67" i="5" s="1"/>
  <c r="AC68" i="1"/>
  <c r="DA68" i="5"/>
  <c r="DG68" i="5" s="1" a="1"/>
  <c r="DG68" i="5" s="1"/>
  <c r="AB69" i="1"/>
  <c r="DI69" i="5"/>
  <c r="AF78" i="9"/>
  <c r="AJ78" i="9"/>
  <c r="N54" i="1"/>
  <c r="S71" i="2"/>
  <c r="N72" i="2"/>
  <c r="R72" i="2"/>
  <c r="Q71" i="2"/>
  <c r="M72" i="2"/>
  <c r="P73" i="2"/>
  <c r="J73" i="10"/>
  <c r="N73" i="5" s="1"/>
  <c r="O73" i="2"/>
  <c r="BK72" i="5" l="1" a="1"/>
  <c r="BK72" i="5" s="1"/>
  <c r="BD72" i="5" a="1"/>
  <c r="BD72" i="5" s="1"/>
  <c r="CW72" i="5"/>
  <c r="CS72" i="5"/>
  <c r="CV72" i="5"/>
  <c r="CR72" i="5"/>
  <c r="CU72" i="5"/>
  <c r="CT72" i="5"/>
  <c r="CQ72" i="5"/>
  <c r="BL72" i="5" a="1"/>
  <c r="BL72" i="5" s="1"/>
  <c r="AY72" i="5" a="1"/>
  <c r="AY72" i="5" s="1"/>
  <c r="BC72" i="5" a="1"/>
  <c r="BC72" i="5" s="1"/>
  <c r="BC73" i="5" s="1" a="1"/>
  <c r="BC73" i="5" s="1"/>
  <c r="BM72" i="5" a="1"/>
  <c r="BM72" i="5" s="1"/>
  <c r="BM73" i="5" s="1" a="1"/>
  <c r="BM73" i="5" s="1"/>
  <c r="BF72" i="5" a="1"/>
  <c r="BF72" i="5" s="1"/>
  <c r="BF73" i="5" s="1" a="1"/>
  <c r="BF73" i="5" s="1"/>
  <c r="BE72" i="5" a="1"/>
  <c r="BE72" i="5" s="1"/>
  <c r="BE73" i="5" s="1" a="1"/>
  <c r="BE73" i="5" s="1"/>
  <c r="BG72" i="5" a="1"/>
  <c r="BG72" i="5" s="1"/>
  <c r="BB72" i="5" a="1"/>
  <c r="BB72" i="5" s="1"/>
  <c r="BA72" i="5" a="1"/>
  <c r="BA72" i="5" s="1"/>
  <c r="BO72" i="5" a="1"/>
  <c r="BO72" i="5" s="1"/>
  <c r="BJ72" i="5" a="1"/>
  <c r="BJ72" i="5" s="1"/>
  <c r="BJ73" i="5" s="1" a="1"/>
  <c r="BJ73" i="5" s="1"/>
  <c r="AZ72" i="5" a="1"/>
  <c r="AZ72" i="5" s="1"/>
  <c r="BN72" i="5" a="1"/>
  <c r="BN72" i="5" s="1"/>
  <c r="BI72" i="5" a="1"/>
  <c r="BI72" i="5" s="1"/>
  <c r="CY64" i="8"/>
  <c r="G64" i="1" s="1"/>
  <c r="M64" i="8" s="1"/>
  <c r="V70" i="2"/>
  <c r="CL65" i="8"/>
  <c r="CY65" i="8" s="1"/>
  <c r="G65" i="1" s="1"/>
  <c r="M65" i="8" s="1"/>
  <c r="F75" i="8"/>
  <c r="CJ66" i="8"/>
  <c r="CN66" i="8" s="1"/>
  <c r="AO67" i="5"/>
  <c r="AV68" i="5"/>
  <c r="BP71" i="5" a="1"/>
  <c r="BP71" i="5" s="1"/>
  <c r="O76" i="1"/>
  <c r="BY66" i="8"/>
  <c r="BO67" i="8"/>
  <c r="BP67" i="8"/>
  <c r="AH71" i="11"/>
  <c r="BK67" i="8"/>
  <c r="BL67" i="8"/>
  <c r="BI67" i="8"/>
  <c r="BJ67" i="8"/>
  <c r="BG67" i="8"/>
  <c r="BH67" i="8"/>
  <c r="BF67" i="8"/>
  <c r="AC67" i="10"/>
  <c r="X67" i="10" s="1"/>
  <c r="AM67" i="5"/>
  <c r="AN67" i="5"/>
  <c r="AJ71" i="1"/>
  <c r="AS71" i="5"/>
  <c r="E75" i="8"/>
  <c r="CK66" i="8"/>
  <c r="AR66" i="5"/>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R72" i="8"/>
  <c r="AD72" i="8"/>
  <c r="AQ66" i="5"/>
  <c r="D68" i="9"/>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G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CW68" i="8" s="1"/>
  <c r="AI68" i="5"/>
  <c r="A68" i="11"/>
  <c r="BT68" i="5"/>
  <c r="A68" i="10"/>
  <c r="AA68" i="10" s="1"/>
  <c r="B68" i="7"/>
  <c r="E68" i="1"/>
  <c r="AJ68" i="5"/>
  <c r="AP68" i="5" s="1"/>
  <c r="B68" i="9"/>
  <c r="X68" i="9" s="1"/>
  <c r="BV67" i="8"/>
  <c r="BW67" i="8"/>
  <c r="CM67" i="8" s="1"/>
  <c r="BT67" i="8"/>
  <c r="BU67" i="8"/>
  <c r="BX67" i="8"/>
  <c r="CO67" i="8" s="1"/>
  <c r="CP67" i="8" s="1"/>
  <c r="CC67" i="8"/>
  <c r="CS67" i="8" s="1"/>
  <c r="AB70" i="1"/>
  <c r="DI70" i="5"/>
  <c r="C70" i="5"/>
  <c r="AC69" i="1"/>
  <c r="DA69" i="5"/>
  <c r="DG69" i="5" s="1" a="1"/>
  <c r="DG69" i="5" s="1"/>
  <c r="AF79" i="9"/>
  <c r="AJ79" i="9"/>
  <c r="N55" i="1"/>
  <c r="S72" i="2"/>
  <c r="N73" i="2"/>
  <c r="R73" i="2"/>
  <c r="Q72" i="2"/>
  <c r="P74" i="2"/>
  <c r="O74" i="2"/>
  <c r="M73" i="2"/>
  <c r="J74" i="10"/>
  <c r="N74" i="5" s="1"/>
  <c r="AD71" i="1" l="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L66" i="8"/>
  <c r="CQ66" i="8"/>
  <c r="CR66" i="8" s="1"/>
  <c r="O66" i="8"/>
  <c r="AO68" i="5"/>
  <c r="AV69" i="5"/>
  <c r="BP72" i="5" a="1"/>
  <c r="BP72" i="5" s="1"/>
  <c r="AG67" i="7"/>
  <c r="AI67" i="7" s="1"/>
  <c r="O77" i="1"/>
  <c r="AH72" i="1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BY67" i="8"/>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G80" i="9"/>
  <c r="A69" i="10"/>
  <c r="AA69" i="10" s="1"/>
  <c r="AQ67" i="5"/>
  <c r="CU67" i="8"/>
  <c r="E69" i="1"/>
  <c r="W69" i="8"/>
  <c r="CW69" i="8" s="1"/>
  <c r="BT69" i="5"/>
  <c r="AJ69" i="5"/>
  <c r="AP69" i="5" s="1"/>
  <c r="AB69" i="8"/>
  <c r="BM69" i="8" s="1"/>
  <c r="A69" i="11"/>
  <c r="AA68" i="11" s="1"/>
  <c r="AK68" i="1" s="1"/>
  <c r="AR67" i="5"/>
  <c r="B69" i="9"/>
  <c r="X69" i="9" s="1"/>
  <c r="AI69" i="5"/>
  <c r="CZ71" i="5"/>
  <c r="AE68" i="7"/>
  <c r="AF68" i="7" s="1"/>
  <c r="Q68" i="7"/>
  <c r="BW68" i="8"/>
  <c r="CM68" i="8" s="1"/>
  <c r="BT68" i="8"/>
  <c r="BU68" i="8"/>
  <c r="CC68" i="8"/>
  <c r="CS68" i="8" s="1"/>
  <c r="BX68" i="8"/>
  <c r="CO68" i="8" s="1"/>
  <c r="CP68" i="8" s="1"/>
  <c r="BV68" i="8"/>
  <c r="B67" i="14"/>
  <c r="AB67" i="11"/>
  <c r="P67" i="8" s="1"/>
  <c r="Z67" i="11"/>
  <c r="AA67" i="11"/>
  <c r="AK67" i="1" s="1"/>
  <c r="AC67" i="11"/>
  <c r="T67" i="8" s="1"/>
  <c r="Y67" i="11"/>
  <c r="AH67" i="1" s="1"/>
  <c r="AD67" i="11"/>
  <c r="AI67" i="1" s="1"/>
  <c r="N68" i="11"/>
  <c r="J70" i="2"/>
  <c r="CK67" i="8"/>
  <c r="CD68" i="8"/>
  <c r="CT68" i="8" s="1"/>
  <c r="AC70" i="1"/>
  <c r="DA70" i="5"/>
  <c r="DG70" i="5" s="1" a="1"/>
  <c r="DG70" i="5" s="1"/>
  <c r="AB71" i="1"/>
  <c r="DI71" i="5"/>
  <c r="AF80" i="9"/>
  <c r="AJ80" i="9"/>
  <c r="N56" i="1"/>
  <c r="S73" i="2"/>
  <c r="N74" i="2"/>
  <c r="R74" i="2"/>
  <c r="Q73" i="2"/>
  <c r="J75" i="10"/>
  <c r="N75" i="5" s="1"/>
  <c r="O75" i="2"/>
  <c r="M74" i="2"/>
  <c r="P75" i="2"/>
  <c r="AD72" i="1" l="1"/>
  <c r="CR74" i="5"/>
  <c r="CQ74" i="5"/>
  <c r="CV74" i="5"/>
  <c r="CU74" i="5"/>
  <c r="CT74" i="5"/>
  <c r="CW74" i="5"/>
  <c r="CS74" i="5"/>
  <c r="AY74" i="5" a="1"/>
  <c r="AY74" i="5" s="1"/>
  <c r="BL74" i="5" a="1"/>
  <c r="BL74" i="5" s="1"/>
  <c r="BQ74" i="5" a="1"/>
  <c r="BQ74" i="5" s="1"/>
  <c r="BE74" i="5" a="1"/>
  <c r="BE74" i="5" s="1"/>
  <c r="BE75" i="5" s="1" a="1"/>
  <c r="BE75" i="5" s="1"/>
  <c r="BK74" i="5" a="1"/>
  <c r="BK74" i="5" s="1"/>
  <c r="BA74" i="5" a="1"/>
  <c r="BA74" i="5" s="1"/>
  <c r="BA75" i="5" s="1" a="1"/>
  <c r="BA75" i="5" s="1"/>
  <c r="BG74" i="5" a="1"/>
  <c r="BG74" i="5" s="1"/>
  <c r="BG75" i="5" s="1" a="1"/>
  <c r="BG75" i="5" s="1"/>
  <c r="BO74" i="5" a="1"/>
  <c r="BO74" i="5" s="1"/>
  <c r="BO75" i="5" s="1" a="1"/>
  <c r="BO75" i="5" s="1"/>
  <c r="BD74" i="5" a="1"/>
  <c r="BD74" i="5" s="1"/>
  <c r="BD75" i="5" s="1" a="1"/>
  <c r="BD75" i="5" s="1"/>
  <c r="BJ74" i="5" a="1"/>
  <c r="BJ74" i="5" s="1"/>
  <c r="BB74" i="5" a="1"/>
  <c r="BB74" i="5" s="1"/>
  <c r="AZ74" i="5" a="1"/>
  <c r="AZ74" i="5" s="1"/>
  <c r="BM74" i="5" a="1"/>
  <c r="BM74" i="5" s="1"/>
  <c r="BF74" i="5" a="1"/>
  <c r="BF74" i="5" s="1"/>
  <c r="BH74" i="5" a="1"/>
  <c r="BH74" i="5" s="1"/>
  <c r="BN74" i="5" a="1"/>
  <c r="BN74" i="5" s="1"/>
  <c r="BI74" i="5" a="1"/>
  <c r="BI74" i="5" s="1"/>
  <c r="BC74" i="5" a="1"/>
  <c r="BC74" i="5" s="1"/>
  <c r="CY66" i="8"/>
  <c r="G66" i="1" s="1"/>
  <c r="M66" i="8" s="1"/>
  <c r="V72" i="2"/>
  <c r="O68" i="8"/>
  <c r="CQ67" i="8"/>
  <c r="CR67" i="8" s="1"/>
  <c r="O67" i="8"/>
  <c r="F77" i="8"/>
  <c r="AO69" i="5"/>
  <c r="AV70" i="5"/>
  <c r="BP73" i="5" a="1"/>
  <c r="BP73" i="5" s="1"/>
  <c r="AG68" i="7"/>
  <c r="AI68" i="7" s="1"/>
  <c r="O78" i="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R74" i="8"/>
  <c r="AD74" i="8"/>
  <c r="DE72" i="5"/>
  <c r="Y71" i="1"/>
  <c r="DJ72" i="5"/>
  <c r="AE71" i="1"/>
  <c r="W71" i="1" s="1"/>
  <c r="AJ73" i="1"/>
  <c r="CL67" i="8"/>
  <c r="W70" i="8"/>
  <c r="CW70" i="8" s="1"/>
  <c r="B70" i="9"/>
  <c r="X70" i="9" s="1"/>
  <c r="AB70" i="8"/>
  <c r="BM70" i="8" s="1"/>
  <c r="B70" i="7"/>
  <c r="AE70" i="7" s="1"/>
  <c r="AF70" i="7" s="1"/>
  <c r="B72" i="5"/>
  <c r="BT70" i="5"/>
  <c r="DA70" i="8"/>
  <c r="DB70" i="8" s="1"/>
  <c r="AJ70" i="5"/>
  <c r="AP70" i="5" s="1"/>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D70" i="9"/>
  <c r="CB75" i="8"/>
  <c r="BS69" i="8"/>
  <c r="BY69" i="8" s="1"/>
  <c r="N69" i="7"/>
  <c r="AG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B68" i="14"/>
  <c r="J71" i="2"/>
  <c r="CZ72" i="5"/>
  <c r="C71" i="5"/>
  <c r="F71" i="5" s="1"/>
  <c r="AW71" i="5" s="1"/>
  <c r="AB72" i="1"/>
  <c r="DI72" i="5"/>
  <c r="C72" i="5"/>
  <c r="AC71" i="1"/>
  <c r="DA71" i="5"/>
  <c r="DG71" i="5" s="1" a="1"/>
  <c r="DG71" i="5" s="1"/>
  <c r="AF81" i="9"/>
  <c r="AJ81" i="9"/>
  <c r="L51" i="11"/>
  <c r="AS51" i="8"/>
  <c r="L39" i="11"/>
  <c r="AS39" i="8"/>
  <c r="L37" i="11"/>
  <c r="AS37" i="8"/>
  <c r="L40" i="11"/>
  <c r="AS40" i="8"/>
  <c r="B15" i="14"/>
  <c r="N57" i="1"/>
  <c r="S74" i="2"/>
  <c r="N75" i="2"/>
  <c r="R75" i="2"/>
  <c r="Q74" i="2"/>
  <c r="O76" i="2"/>
  <c r="J76" i="10"/>
  <c r="N76" i="5" s="1"/>
  <c r="P76" i="2"/>
  <c r="M75" i="2"/>
  <c r="AD73" i="1" l="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CY67" i="8"/>
  <c r="G67" i="1" s="1"/>
  <c r="M67" i="8" s="1"/>
  <c r="O69" i="8"/>
  <c r="F78" i="8"/>
  <c r="AO70" i="5"/>
  <c r="AV71" i="5"/>
  <c r="BP74" i="5" a="1"/>
  <c r="BP74" i="5" s="1"/>
  <c r="AG69" i="7"/>
  <c r="AI69" i="7" s="1"/>
  <c r="AG70" i="7"/>
  <c r="AI70" i="7" s="1"/>
  <c r="O79" i="1"/>
  <c r="BO70" i="8"/>
  <c r="BK70" i="8"/>
  <c r="BL70" i="8"/>
  <c r="BI70" i="8"/>
  <c r="BJ70" i="8"/>
  <c r="BG70" i="8"/>
  <c r="BH70" i="8"/>
  <c r="BF70" i="8"/>
  <c r="AC70" i="10"/>
  <c r="X70" i="10" s="1"/>
  <c r="AM70" i="5"/>
  <c r="AN70" i="5"/>
  <c r="BU70" i="8"/>
  <c r="BT70" i="8"/>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BO76" i="5" s="1" a="1"/>
  <c r="BO76" i="5" s="1"/>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G82" i="9"/>
  <c r="CU69" i="8"/>
  <c r="CK69" i="8"/>
  <c r="AQ69" i="5"/>
  <c r="AR69" i="5"/>
  <c r="CZ73" i="5"/>
  <c r="A71" i="11"/>
  <c r="W71" i="8"/>
  <c r="CW71" i="8" s="1"/>
  <c r="B71" i="9"/>
  <c r="X71" i="9" s="1"/>
  <c r="E71" i="1"/>
  <c r="AJ71" i="5"/>
  <c r="AP71" i="5" s="1"/>
  <c r="AI71" i="5"/>
  <c r="AB71" i="8"/>
  <c r="BM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6" i="4"/>
  <c r="Q75" i="2"/>
  <c r="J77" i="10"/>
  <c r="N77" i="5" s="1"/>
  <c r="B38" i="4"/>
  <c r="O77" i="2"/>
  <c r="M76" i="2"/>
  <c r="P77" i="2"/>
  <c r="B39" i="4"/>
  <c r="AD74" i="1" l="1"/>
  <c r="BF76" i="5" a="1"/>
  <c r="BF76" i="5"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O70" i="8"/>
  <c r="CJ70" i="8"/>
  <c r="CN70" i="8" s="1"/>
  <c r="F79" i="8"/>
  <c r="AO71" i="5"/>
  <c r="AV72" i="5"/>
  <c r="BP75" i="5" a="1"/>
  <c r="BP75" i="5" s="1"/>
  <c r="DA72" i="8"/>
  <c r="DB72" i="8" s="1"/>
  <c r="O80" i="1"/>
  <c r="BS71" i="8"/>
  <c r="BY71" i="8" s="1"/>
  <c r="BO71" i="8"/>
  <c r="BK71" i="8"/>
  <c r="BL71" i="8"/>
  <c r="BI71" i="8"/>
  <c r="BJ71" i="8"/>
  <c r="BG71" i="8"/>
  <c r="BH71" i="8"/>
  <c r="BF71" i="8"/>
  <c r="AC71" i="10"/>
  <c r="X71" i="10" s="1"/>
  <c r="AM71" i="5"/>
  <c r="AN71" i="5"/>
  <c r="CK70" i="8"/>
  <c r="CU70" i="8"/>
  <c r="AM75" i="1"/>
  <c r="AS75" i="5"/>
  <c r="E79" i="8"/>
  <c r="AH75" i="11"/>
  <c r="DF74" i="5"/>
  <c r="AK75" i="11"/>
  <c r="DB74" i="5"/>
  <c r="AR76" i="8"/>
  <c r="AD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BZ70" i="8"/>
  <c r="CQ70" i="8" s="1"/>
  <c r="CR70" i="8" s="1"/>
  <c r="AQ70" i="5"/>
  <c r="E72" i="1"/>
  <c r="W72" i="8"/>
  <c r="CW72" i="8" s="1"/>
  <c r="BE72" i="8"/>
  <c r="BN72" i="8" s="1"/>
  <c r="BR72" i="8"/>
  <c r="BV72" i="8" s="1"/>
  <c r="A72" i="11"/>
  <c r="AA71" i="11" s="1"/>
  <c r="AK71" i="1" s="1"/>
  <c r="BD72" i="8"/>
  <c r="BP72" i="8" s="1"/>
  <c r="B72" i="7"/>
  <c r="AE72" i="7" s="1"/>
  <c r="AF72" i="7" s="1"/>
  <c r="B72" i="9"/>
  <c r="X72" i="9" s="1"/>
  <c r="AI72" i="5"/>
  <c r="A72" i="10"/>
  <c r="AA72" i="10" s="1"/>
  <c r="AJ72" i="5"/>
  <c r="AP72" i="5" s="1"/>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G83" i="9"/>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F83" i="9"/>
  <c r="AJ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N78" i="5" s="1"/>
  <c r="P78" i="2"/>
  <c r="AD75" i="1" l="1"/>
  <c r="CV77" i="5"/>
  <c r="CU77" i="5"/>
  <c r="CS77" i="5"/>
  <c r="CR77" i="5"/>
  <c r="CT77" i="5"/>
  <c r="CW77" i="5"/>
  <c r="CQ77" i="5"/>
  <c r="AY77" i="5" a="1"/>
  <c r="AY77" i="5" s="1"/>
  <c r="BL77" i="5" a="1"/>
  <c r="BL77" i="5" s="1"/>
  <c r="BK77" i="5" a="1"/>
  <c r="BK77" i="5" s="1"/>
  <c r="BI77" i="5" a="1"/>
  <c r="BI77" i="5" s="1"/>
  <c r="BI78" i="5" s="1" a="1"/>
  <c r="BI78" i="5" s="1"/>
  <c r="BE77" i="5" a="1"/>
  <c r="BE77" i="5" s="1"/>
  <c r="BE78" i="5" s="1" a="1"/>
  <c r="BE78" i="5" s="1"/>
  <c r="AZ77" i="5" a="1"/>
  <c r="AZ77" i="5" s="1"/>
  <c r="AZ78" i="5" s="1" a="1"/>
  <c r="AZ78" i="5" s="1"/>
  <c r="BC77" i="5" a="1"/>
  <c r="BC77" i="5" s="1"/>
  <c r="BC78" i="5" s="1" a="1"/>
  <c r="BC78" i="5" s="1"/>
  <c r="BN77" i="5" a="1"/>
  <c r="BN77" i="5" s="1"/>
  <c r="BN78" i="5" s="1" a="1"/>
  <c r="BN78"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L70" i="8"/>
  <c r="CY70" i="8" s="1"/>
  <c r="G70" i="1" s="1"/>
  <c r="M70" i="8" s="1"/>
  <c r="CD72" i="8"/>
  <c r="CT72" i="8" s="1"/>
  <c r="O71" i="8"/>
  <c r="F80" i="8"/>
  <c r="AO72" i="5"/>
  <c r="AV73" i="5"/>
  <c r="BP76" i="5" a="1"/>
  <c r="BP76" i="5" s="1"/>
  <c r="AG72" i="7"/>
  <c r="AI72" i="7" s="1"/>
  <c r="AG71" i="7"/>
  <c r="AI71" i="7" s="1"/>
  <c r="O81" i="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D77" i="8"/>
  <c r="AR77" i="8"/>
  <c r="DH75" i="5"/>
  <c r="E63" i="4"/>
  <c r="BU72" i="8"/>
  <c r="CK72" i="8" s="1"/>
  <c r="CC72" i="8"/>
  <c r="CS72" i="8" s="1"/>
  <c r="BT72" i="8"/>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X73" i="9" s="1"/>
  <c r="AJ73" i="5"/>
  <c r="AP73" i="5" s="1"/>
  <c r="A73" i="10"/>
  <c r="AA73" i="10" s="1"/>
  <c r="AB73" i="8"/>
  <c r="BM73" i="8" s="1"/>
  <c r="A73" i="11"/>
  <c r="Z72" i="11" s="1"/>
  <c r="E73" i="1"/>
  <c r="BT73" i="5"/>
  <c r="BE73" i="8"/>
  <c r="BN73" i="8" s="1"/>
  <c r="W73" i="8"/>
  <c r="CW73" i="8" s="1"/>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G84" i="9"/>
  <c r="AQ71" i="5"/>
  <c r="AR71" i="5"/>
  <c r="CK71" i="8"/>
  <c r="CU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N79" i="5" s="1"/>
  <c r="O79" i="2"/>
  <c r="P79" i="2"/>
  <c r="AD76" i="1" l="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D77" i="1" s="1"/>
  <c r="AY78" i="5" a="1"/>
  <c r="AY78" i="5" s="1"/>
  <c r="BG78" i="5" a="1"/>
  <c r="BG78" i="5" s="1"/>
  <c r="BH78" i="5" a="1"/>
  <c r="BH78" i="5" s="1"/>
  <c r="BD78" i="5" a="1"/>
  <c r="BD78" i="5" s="1"/>
  <c r="BQ78" i="5" a="1"/>
  <c r="BQ78" i="5" s="1"/>
  <c r="V76" i="2"/>
  <c r="CU72" i="8"/>
  <c r="O72" i="8"/>
  <c r="CJ72" i="8"/>
  <c r="CN72" i="8" s="1"/>
  <c r="F81" i="8"/>
  <c r="AO73" i="5"/>
  <c r="AV74" i="5"/>
  <c r="BP77" i="5" a="1"/>
  <c r="BP77" i="5" s="1"/>
  <c r="E65" i="4"/>
  <c r="AG73" i="7"/>
  <c r="AI73" i="7" s="1"/>
  <c r="O82" i="1"/>
  <c r="BZ72" i="8"/>
  <c r="CQ72" i="8" s="1"/>
  <c r="CR72" i="8"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BE79" i="5" s="1" a="1"/>
  <c r="BE79" i="5" s="1"/>
  <c r="A79" i="7"/>
  <c r="R79" i="7" s="1"/>
  <c r="A79" i="2"/>
  <c r="A79" i="9"/>
  <c r="A79" i="8"/>
  <c r="Y75" i="1"/>
  <c r="DJ76" i="5"/>
  <c r="E66" i="4"/>
  <c r="E61" i="4"/>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G85" i="9"/>
  <c r="J75" i="2"/>
  <c r="CZ76" i="5"/>
  <c r="B74" i="9"/>
  <c r="X74" i="9" s="1"/>
  <c r="BT74" i="5"/>
  <c r="W74" i="8"/>
  <c r="CW74" i="8" s="1"/>
  <c r="E74" i="1"/>
  <c r="AB74" i="8"/>
  <c r="BM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O80" i="2"/>
  <c r="BM79" i="5" l="1" a="1"/>
  <c r="BM79" i="5" s="1"/>
  <c r="BB79" i="5" a="1"/>
  <c r="BB79" i="5" s="1"/>
  <c r="BQ79" i="5" a="1"/>
  <c r="BQ79" i="5" s="1"/>
  <c r="BD79" i="5" a="1"/>
  <c r="BD79" i="5" s="1"/>
  <c r="BJ79" i="5" a="1"/>
  <c r="BJ79" i="5" s="1"/>
  <c r="BI79" i="5" a="1"/>
  <c r="BI79" i="5" s="1"/>
  <c r="BH79" i="5" a="1"/>
  <c r="BH79" i="5" s="1"/>
  <c r="BA79" i="5" a="1"/>
  <c r="BA79" i="5" s="1"/>
  <c r="BG79" i="5" a="1"/>
  <c r="BG79" i="5" s="1"/>
  <c r="BG80" i="5" s="1" a="1"/>
  <c r="BG80" i="5" s="1"/>
  <c r="BF79" i="5" a="1"/>
  <c r="BF79" i="5" s="1"/>
  <c r="BO79" i="5" a="1"/>
  <c r="BO79" i="5" s="1"/>
  <c r="BO80" i="5" s="1" a="1"/>
  <c r="BO80" i="5" s="1"/>
  <c r="BK79" i="5" a="1"/>
  <c r="BK79" i="5" s="1"/>
  <c r="BK80" i="5" s="1" a="1"/>
  <c r="BK80" i="5" s="1"/>
  <c r="CV79" i="5"/>
  <c r="CU79" i="5"/>
  <c r="CQ79" i="5"/>
  <c r="CT79" i="5"/>
  <c r="CR79" i="5"/>
  <c r="CS79" i="5"/>
  <c r="CW79" i="5"/>
  <c r="BL79" i="5" a="1"/>
  <c r="BL79" i="5" s="1"/>
  <c r="AY79" i="5" a="1"/>
  <c r="AY79" i="5" s="1"/>
  <c r="BC79" i="5" a="1"/>
  <c r="BC79" i="5" s="1"/>
  <c r="AZ79" i="5" a="1"/>
  <c r="AZ79" i="5" s="1"/>
  <c r="BN79" i="5" a="1"/>
  <c r="BN79" i="5" s="1"/>
  <c r="V77" i="2"/>
  <c r="CL72" i="8"/>
  <c r="CY72" i="8" s="1"/>
  <c r="G72" i="1" s="1"/>
  <c r="M72" i="8" s="1"/>
  <c r="O73" i="8"/>
  <c r="F82" i="8"/>
  <c r="CJ73" i="8"/>
  <c r="CN73" i="8" s="1"/>
  <c r="AO74" i="5"/>
  <c r="AV75" i="5"/>
  <c r="BP78" i="5" a="1"/>
  <c r="BP78" i="5" s="1"/>
  <c r="O83" i="1"/>
  <c r="BZ73" i="8"/>
  <c r="CQ73" i="8" s="1"/>
  <c r="CR73" i="8" s="1"/>
  <c r="BS74" i="8"/>
  <c r="BY74" i="8" s="1"/>
  <c r="BO74" i="8"/>
  <c r="BK74" i="8"/>
  <c r="BL74" i="8"/>
  <c r="BI74" i="8"/>
  <c r="BJ74" i="8"/>
  <c r="BG74" i="8"/>
  <c r="BH74" i="8"/>
  <c r="BF74" i="8"/>
  <c r="AC74" i="10"/>
  <c r="X74" i="10" s="1"/>
  <c r="AN74" i="5"/>
  <c r="AM74" i="5"/>
  <c r="AS78" i="5"/>
  <c r="E82" i="8"/>
  <c r="CF75" i="8"/>
  <c r="CK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D79" i="8"/>
  <c r="AR79" i="8"/>
  <c r="AR73" i="5"/>
  <c r="AB75" i="8"/>
  <c r="BM75" i="8" s="1"/>
  <c r="AQ73" i="5"/>
  <c r="BD75" i="8"/>
  <c r="BP75" i="8" s="1"/>
  <c r="AJ75" i="5"/>
  <c r="AP75" i="5" s="1"/>
  <c r="B75" i="7"/>
  <c r="AE75" i="7" s="1"/>
  <c r="AF75" i="7" s="1"/>
  <c r="B75" i="9"/>
  <c r="X75" i="9" s="1"/>
  <c r="BT75" i="5"/>
  <c r="E75" i="1"/>
  <c r="A75" i="11"/>
  <c r="N75" i="11" s="1"/>
  <c r="BR75" i="8"/>
  <c r="BT75" i="8" s="1"/>
  <c r="W75" i="8"/>
  <c r="CW75" i="8" s="1"/>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G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F86" i="9"/>
  <c r="AJ86" i="9"/>
  <c r="L55" i="11"/>
  <c r="AS55" i="8"/>
  <c r="B60" i="14"/>
  <c r="N62" i="1"/>
  <c r="S79" i="2"/>
  <c r="N80" i="2"/>
  <c r="R80" i="2"/>
  <c r="Q79" i="2"/>
  <c r="O81" i="2"/>
  <c r="P81" i="2"/>
  <c r="J81" i="10"/>
  <c r="N81" i="5" s="1"/>
  <c r="M80" i="2"/>
  <c r="AD78" i="1" l="1"/>
  <c r="BF80" i="5" a="1"/>
  <c r="BF80" i="5" s="1"/>
  <c r="CV80" i="5"/>
  <c r="CT80" i="5"/>
  <c r="CQ80" i="5"/>
  <c r="CW80" i="5"/>
  <c r="CS80" i="5"/>
  <c r="CU80" i="5"/>
  <c r="CR80" i="5"/>
  <c r="AY80" i="5" a="1"/>
  <c r="AY80" i="5" s="1"/>
  <c r="BL80" i="5" a="1"/>
  <c r="BL80" i="5" s="1"/>
  <c r="BN80" i="5" a="1"/>
  <c r="BN80" i="5" s="1"/>
  <c r="BN81" i="5" s="1" a="1"/>
  <c r="BN81" i="5" s="1"/>
  <c r="BA80" i="5" a="1"/>
  <c r="BA80" i="5" s="1"/>
  <c r="BA81" i="5" s="1" a="1"/>
  <c r="BA81" i="5" s="1"/>
  <c r="AZ80" i="5" a="1"/>
  <c r="AZ80" i="5" s="1"/>
  <c r="BH80" i="5" a="1"/>
  <c r="BH80" i="5" s="1"/>
  <c r="BH81" i="5" s="1" a="1"/>
  <c r="BH81" i="5" s="1"/>
  <c r="BO81" i="5" a="1"/>
  <c r="BO81" i="5" s="1"/>
  <c r="BC80" i="5" a="1"/>
  <c r="BC80" i="5" s="1"/>
  <c r="BI80" i="5" a="1"/>
  <c r="BI80" i="5" s="1"/>
  <c r="BJ80" i="5" a="1"/>
  <c r="BJ80" i="5" s="1"/>
  <c r="BD80" i="5" a="1"/>
  <c r="BD80" i="5" s="1"/>
  <c r="BQ80" i="5" a="1"/>
  <c r="BQ80" i="5" s="1"/>
  <c r="BB80" i="5" a="1"/>
  <c r="BB80" i="5" s="1"/>
  <c r="BM80" i="5" a="1"/>
  <c r="BM80" i="5" s="1"/>
  <c r="BE80" i="5" a="1"/>
  <c r="BE80" i="5" s="1"/>
  <c r="V78" i="2"/>
  <c r="CL73" i="8"/>
  <c r="CY73" i="8" s="1"/>
  <c r="G73" i="1" s="1"/>
  <c r="M73" i="8" s="1"/>
  <c r="O74" i="8"/>
  <c r="CJ75" i="8"/>
  <c r="CN75" i="8" s="1"/>
  <c r="F83" i="8"/>
  <c r="AO75" i="5"/>
  <c r="AV76" i="5"/>
  <c r="BP79" i="5" a="1"/>
  <c r="BP79" i="5" s="1"/>
  <c r="AG74" i="7"/>
  <c r="AI74" i="7" s="1"/>
  <c r="AG75" i="7"/>
  <c r="AI75" i="7" s="1"/>
  <c r="O84" i="1"/>
  <c r="BZ74" i="8"/>
  <c r="CQ74" i="8" s="1"/>
  <c r="CR74"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G87" i="9"/>
  <c r="CU74" i="8"/>
  <c r="AJ76" i="5"/>
  <c r="AP76" i="5" s="1"/>
  <c r="AB76" i="8"/>
  <c r="BM76" i="8" s="1"/>
  <c r="BT76" i="5"/>
  <c r="E47" i="4" s="1"/>
  <c r="I51" i="4" s="1"/>
  <c r="A76" i="10"/>
  <c r="AA76" i="10" s="1"/>
  <c r="B76" i="7"/>
  <c r="AI76" i="5"/>
  <c r="A76" i="11"/>
  <c r="W76" i="8"/>
  <c r="CW76" i="8" s="1"/>
  <c r="E76" i="1"/>
  <c r="B76" i="9"/>
  <c r="X76" i="9" s="1"/>
  <c r="J77" i="2"/>
  <c r="B74" i="14"/>
  <c r="J78" i="2"/>
  <c r="CZ78" i="5"/>
  <c r="AQ74" i="5"/>
  <c r="CK74" i="8"/>
  <c r="AR74" i="5"/>
  <c r="AB78" i="1"/>
  <c r="DI78" i="5"/>
  <c r="C78" i="5"/>
  <c r="AC77" i="1"/>
  <c r="DA77" i="5"/>
  <c r="DG77" i="5" s="1" a="1"/>
  <c r="DG77" i="5" s="1"/>
  <c r="AH55" i="5"/>
  <c r="BU55" i="5"/>
  <c r="AF87" i="9"/>
  <c r="AJ87" i="9"/>
  <c r="B55" i="2"/>
  <c r="B55" i="1"/>
  <c r="BG55" i="1" s="1"/>
  <c r="B66" i="14"/>
  <c r="N63" i="1"/>
  <c r="S80" i="2"/>
  <c r="N81" i="2"/>
  <c r="R81" i="2"/>
  <c r="Q80" i="2"/>
  <c r="M81" i="2"/>
  <c r="P82" i="2"/>
  <c r="J82" i="10"/>
  <c r="N82" i="5" s="1"/>
  <c r="O82" i="2"/>
  <c r="I50" i="4" l="1"/>
  <c r="F67" i="4"/>
  <c r="D78" i="4" s="1"/>
  <c r="AD79" i="1"/>
  <c r="AZ81" i="5" a="1"/>
  <c r="AZ81" i="5" s="1"/>
  <c r="CW81" i="5"/>
  <c r="CS81" i="5"/>
  <c r="CR81" i="5"/>
  <c r="CT81" i="5"/>
  <c r="CU81" i="5"/>
  <c r="CV81" i="5"/>
  <c r="CQ81" i="5"/>
  <c r="AY81" i="5" a="1"/>
  <c r="AY81" i="5" s="1"/>
  <c r="BL81" i="5" a="1"/>
  <c r="BL81" i="5" s="1"/>
  <c r="AD80" i="1" s="1"/>
  <c r="BE81" i="5" a="1"/>
  <c r="BE81" i="5" s="1"/>
  <c r="BE82" i="5" s="1" a="1"/>
  <c r="BE82" i="5" s="1"/>
  <c r="BA82" i="5" a="1"/>
  <c r="BA82" i="5" s="1"/>
  <c r="BM81" i="5" a="1"/>
  <c r="BM81" i="5" s="1"/>
  <c r="BM82" i="5" s="1" a="1"/>
  <c r="BM82" i="5" s="1"/>
  <c r="BB81" i="5" a="1"/>
  <c r="BB81" i="5" s="1"/>
  <c r="BQ81" i="5" a="1"/>
  <c r="BQ81" i="5" s="1"/>
  <c r="BD81" i="5" a="1"/>
  <c r="BD81" i="5" s="1"/>
  <c r="BJ81" i="5" a="1"/>
  <c r="BJ81" i="5" s="1"/>
  <c r="BK81" i="5" a="1"/>
  <c r="BK81" i="5" s="1"/>
  <c r="BI81" i="5" a="1"/>
  <c r="BI81" i="5" s="1"/>
  <c r="BG81" i="5" a="1"/>
  <c r="BG81" i="5" s="1"/>
  <c r="BC81" i="5" a="1"/>
  <c r="BC81" i="5" s="1"/>
  <c r="BF81" i="5" a="1"/>
  <c r="BF81" i="5" s="1"/>
  <c r="BF82" i="5" s="1" a="1"/>
  <c r="BF82" i="5" s="1"/>
  <c r="V79" i="2"/>
  <c r="O75" i="8"/>
  <c r="F84" i="8"/>
  <c r="AO76" i="5"/>
  <c r="AV77" i="5"/>
  <c r="BP80" i="5" a="1"/>
  <c r="BP80" i="5" s="1"/>
  <c r="BE77" i="8"/>
  <c r="BN77" i="8" s="1"/>
  <c r="O85" i="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A77" i="8"/>
  <c r="DB77" i="8" s="1"/>
  <c r="B77" i="7"/>
  <c r="Q77" i="7" s="1"/>
  <c r="BD77" i="8"/>
  <c r="BP77" i="8" s="1"/>
  <c r="A77" i="11"/>
  <c r="AB76" i="11" s="1"/>
  <c r="P76" i="8" s="1"/>
  <c r="E77" i="1"/>
  <c r="CF77" i="8"/>
  <c r="W77" i="8"/>
  <c r="CW77" i="8" s="1"/>
  <c r="A77" i="10"/>
  <c r="AA77" i="10" s="1"/>
  <c r="AI77" i="5"/>
  <c r="BT77" i="5"/>
  <c r="BR77" i="8"/>
  <c r="CC77" i="8" s="1"/>
  <c r="CS77" i="8" s="1"/>
  <c r="AJ77" i="5"/>
  <c r="AP77" i="5" s="1"/>
  <c r="AB77" i="8"/>
  <c r="BM77" i="8" s="1"/>
  <c r="AR75" i="5"/>
  <c r="CU75" i="8"/>
  <c r="CK75" i="8"/>
  <c r="CL75" i="8" s="1"/>
  <c r="AQ75" i="5"/>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G88" i="9"/>
  <c r="F61" i="4"/>
  <c r="F69" i="4"/>
  <c r="J50" i="4"/>
  <c r="F56" i="4"/>
  <c r="F58" i="4"/>
  <c r="F60" i="4"/>
  <c r="F63" i="4"/>
  <c r="C80" i="4" s="1"/>
  <c r="B24" i="4" s="1"/>
  <c r="C38" i="4" s="1"/>
  <c r="F64" i="4"/>
  <c r="F53" i="4"/>
  <c r="F49" i="4"/>
  <c r="F66" i="4"/>
  <c r="F62" i="4"/>
  <c r="F59" i="4"/>
  <c r="F55" i="4"/>
  <c r="F52" i="4"/>
  <c r="F50" i="4"/>
  <c r="F48" i="4"/>
  <c r="D85" i="4"/>
  <c r="B52" i="4"/>
  <c r="F65" i="4"/>
  <c r="E68" i="4"/>
  <c r="F68"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F88" i="9"/>
  <c r="AJ88" i="9"/>
  <c r="L35" i="11"/>
  <c r="AS35" i="8"/>
  <c r="D77" i="4"/>
  <c r="C25" i="4" s="1"/>
  <c r="D79" i="4"/>
  <c r="C77" i="4"/>
  <c r="D76" i="4"/>
  <c r="D81" i="4"/>
  <c r="B71" i="14"/>
  <c r="N64" i="1"/>
  <c r="S81" i="2"/>
  <c r="N82" i="2"/>
  <c r="R82" i="2"/>
  <c r="Q81" i="2"/>
  <c r="O83" i="2"/>
  <c r="P83" i="2"/>
  <c r="J83" i="10"/>
  <c r="N83" i="5" s="1"/>
  <c r="M82" i="2"/>
  <c r="C82" i="4" l="1"/>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O76" i="8"/>
  <c r="F85" i="8"/>
  <c r="AO77" i="5"/>
  <c r="AV78" i="5"/>
  <c r="BP81" i="5" a="1"/>
  <c r="BP81" i="5" s="1"/>
  <c r="AG76" i="7"/>
  <c r="AI76" i="7" s="1"/>
  <c r="O86" i="1"/>
  <c r="B25" i="4"/>
  <c r="C39" i="4"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D77" i="8"/>
  <c r="CT77" i="8" s="1"/>
  <c r="CU77" i="8" s="1"/>
  <c r="BT77" i="8"/>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P78" i="5" s="1"/>
  <c r="AB78" i="8"/>
  <c r="BM78" i="8" s="1"/>
  <c r="CY75" i="8"/>
  <c r="G75" i="1" s="1"/>
  <c r="M75" i="8" s="1"/>
  <c r="BU77" i="8"/>
  <c r="DA78" i="8"/>
  <c r="DB78" i="8" s="1"/>
  <c r="E78" i="1"/>
  <c r="B80" i="5"/>
  <c r="B78" i="7"/>
  <c r="AE78" i="7" s="1"/>
  <c r="AF78" i="7" s="1"/>
  <c r="B78" i="9"/>
  <c r="X78" i="9" s="1"/>
  <c r="A78" i="11"/>
  <c r="AC77" i="11" s="1"/>
  <c r="T77" i="8" s="1"/>
  <c r="AI78" i="5"/>
  <c r="BD78" i="8"/>
  <c r="BP78" i="8" s="1"/>
  <c r="CF78" i="8"/>
  <c r="W78" i="8"/>
  <c r="CW78" i="8" s="1"/>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G89" i="9"/>
  <c r="D80" i="4"/>
  <c r="C24" i="4" s="1"/>
  <c r="AQ76" i="5"/>
  <c r="I61" i="4" s="1"/>
  <c r="CK76" i="8"/>
  <c r="CU76" i="8"/>
  <c r="AR76" i="5"/>
  <c r="CZ80" i="5"/>
  <c r="B76" i="14"/>
  <c r="C79" i="5"/>
  <c r="F79" i="5" s="1"/>
  <c r="AW79" i="5" s="1"/>
  <c r="AB80" i="1"/>
  <c r="DI80" i="5"/>
  <c r="AC79" i="1"/>
  <c r="DA79" i="5"/>
  <c r="DG79" i="5" s="1" a="1"/>
  <c r="DG79" i="5" s="1"/>
  <c r="AH35" i="5"/>
  <c r="BU35" i="5"/>
  <c r="AF89" i="9"/>
  <c r="AJ89" i="9"/>
  <c r="B35" i="2"/>
  <c r="B35" i="1"/>
  <c r="BG35" i="1" s="1"/>
  <c r="L56" i="11"/>
  <c r="AS56" i="8"/>
  <c r="B75" i="14"/>
  <c r="N65" i="1"/>
  <c r="S82" i="2"/>
  <c r="N83" i="2"/>
  <c r="R83" i="2"/>
  <c r="Q82" i="2"/>
  <c r="P84" i="2"/>
  <c r="J84" i="10"/>
  <c r="N84" i="5" s="1"/>
  <c r="O84" i="2"/>
  <c r="M83" i="2"/>
  <c r="AD81" i="1" l="1"/>
  <c r="CT83" i="5"/>
  <c r="CS83" i="5"/>
  <c r="CV83" i="5"/>
  <c r="CW83" i="5"/>
  <c r="CR83" i="5"/>
  <c r="CU83" i="5"/>
  <c r="CQ83" i="5"/>
  <c r="AY83" i="5" a="1"/>
  <c r="AY83" i="5" s="1"/>
  <c r="BL83" i="5" a="1"/>
  <c r="BL83" i="5" s="1"/>
  <c r="BO83" i="5" a="1"/>
  <c r="BO83" i="5" s="1"/>
  <c r="AZ83" i="5" a="1"/>
  <c r="AZ83" i="5" s="1"/>
  <c r="AZ84" i="5" s="1" a="1"/>
  <c r="AZ84" i="5" s="1"/>
  <c r="BI83" i="5" a="1"/>
  <c r="BI83" i="5" s="1"/>
  <c r="BI84" i="5" s="1" a="1"/>
  <c r="BI84"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J77" i="8"/>
  <c r="CN77" i="8" s="1"/>
  <c r="F86" i="8"/>
  <c r="AO78" i="5"/>
  <c r="AV79" i="5"/>
  <c r="BP82" i="5" a="1"/>
  <c r="BP82" i="5" s="1"/>
  <c r="AG78" i="7"/>
  <c r="AI78" i="7" s="1"/>
  <c r="AG77" i="7"/>
  <c r="AI77" i="7" s="1"/>
  <c r="O87" i="1"/>
  <c r="F39" i="4"/>
  <c r="H39" i="4" s="1"/>
  <c r="F37" i="4"/>
  <c r="H37" i="4" s="1"/>
  <c r="F38" i="4"/>
  <c r="H38" i="4" s="1"/>
  <c r="BY77" i="8"/>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DE81" i="5"/>
  <c r="AK82" i="11"/>
  <c r="AJ82" i="1"/>
  <c r="DB81" i="5"/>
  <c r="K84" i="11"/>
  <c r="A84" i="14"/>
  <c r="CA84" i="14" s="1"/>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G90" i="9"/>
  <c r="J80" i="2"/>
  <c r="CZ81" i="5"/>
  <c r="C80" i="5"/>
  <c r="F80" i="5" s="1"/>
  <c r="AW80" i="5" s="1"/>
  <c r="AJ79" i="5"/>
  <c r="AP79" i="5" s="1"/>
  <c r="AB79" i="8"/>
  <c r="BM79" i="8" s="1"/>
  <c r="AI79" i="5"/>
  <c r="A79" i="10"/>
  <c r="AA79" i="10" s="1"/>
  <c r="BT79" i="5"/>
  <c r="W79" i="8"/>
  <c r="CW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O85" i="2"/>
  <c r="P85" i="2"/>
  <c r="M84" i="2"/>
  <c r="C40" i="4"/>
  <c r="I48" i="4" s="1"/>
  <c r="AD82" i="1" l="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L77" i="8"/>
  <c r="CQ77" i="8"/>
  <c r="CR77" i="8" s="1"/>
  <c r="O77" i="8"/>
  <c r="CJ78" i="8"/>
  <c r="CN78" i="8" s="1"/>
  <c r="F87" i="8"/>
  <c r="AO79" i="5"/>
  <c r="AV80" i="5"/>
  <c r="BP83" i="5" a="1"/>
  <c r="BP83" i="5" s="1"/>
  <c r="O88" i="1"/>
  <c r="F40" i="4"/>
  <c r="I49" i="4" s="1"/>
  <c r="S4" i="8"/>
  <c r="V4" i="8" s="1"/>
  <c r="U4" i="8"/>
  <c r="BY78" i="8"/>
  <c r="AH83" i="11"/>
  <c r="BO79" i="8"/>
  <c r="BP79" i="8"/>
  <c r="BK79" i="8"/>
  <c r="BL79" i="8"/>
  <c r="BI79" i="8"/>
  <c r="BJ79" i="8"/>
  <c r="BG79" i="8"/>
  <c r="BH79" i="8"/>
  <c r="BF79" i="8"/>
  <c r="AC79" i="10"/>
  <c r="X79" i="10" s="1"/>
  <c r="AN79" i="5"/>
  <c r="AM79" i="5"/>
  <c r="AS83" i="5"/>
  <c r="E87" i="8"/>
  <c r="CK78" i="8"/>
  <c r="CU78" i="8"/>
  <c r="DE82" i="5"/>
  <c r="DF82" i="5"/>
  <c r="AK83" i="11"/>
  <c r="DB82" i="5"/>
  <c r="AJ83" i="1"/>
  <c r="AE81" i="1"/>
  <c r="W81" i="1" s="1"/>
  <c r="DH82" i="5"/>
  <c r="AR84" i="8"/>
  <c r="AD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G91" i="9"/>
  <c r="B55" i="4"/>
  <c r="BU79" i="8"/>
  <c r="BV79" i="8"/>
  <c r="BX79" i="8"/>
  <c r="CO79" i="8" s="1"/>
  <c r="CP79" i="8" s="1"/>
  <c r="CC79" i="8"/>
  <c r="CS79" i="8" s="1"/>
  <c r="BW79" i="8"/>
  <c r="CM79" i="8" s="1"/>
  <c r="BT79" i="8"/>
  <c r="W80" i="8"/>
  <c r="CW80" i="8" s="1"/>
  <c r="AJ80" i="5"/>
  <c r="AP80" i="5" s="1"/>
  <c r="B80" i="9"/>
  <c r="X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F91" i="9"/>
  <c r="AJ91" i="9"/>
  <c r="N67" i="1"/>
  <c r="S84" i="2"/>
  <c r="N85" i="2"/>
  <c r="R85" i="2"/>
  <c r="Q84" i="2"/>
  <c r="P86" i="2"/>
  <c r="O86" i="2"/>
  <c r="J86" i="10"/>
  <c r="N86" i="5" s="1"/>
  <c r="M85" i="2"/>
  <c r="BC85" i="5" l="1" a="1"/>
  <c r="BC85" i="5" s="1"/>
  <c r="CT85" i="5"/>
  <c r="CS85" i="5"/>
  <c r="CV85" i="5"/>
  <c r="CR85" i="5"/>
  <c r="CQ85" i="5"/>
  <c r="CW85" i="5"/>
  <c r="CU85" i="5"/>
  <c r="AY85" i="5" a="1"/>
  <c r="AY85" i="5" s="1"/>
  <c r="BL85" i="5" a="1"/>
  <c r="BL85" i="5" s="1"/>
  <c r="BG85" i="5" a="1"/>
  <c r="BG85" i="5" s="1"/>
  <c r="BG86" i="5" s="1" a="1"/>
  <c r="BG86" i="5" s="1"/>
  <c r="BH85" i="5" a="1"/>
  <c r="BH85" i="5" s="1"/>
  <c r="BJ85" i="5" a="1"/>
  <c r="BJ85" i="5" s="1"/>
  <c r="BJ86" i="5" s="1" a="1"/>
  <c r="BJ86" i="5" s="1"/>
  <c r="BQ85" i="5" a="1"/>
  <c r="BQ85" i="5" s="1"/>
  <c r="BQ86" i="5" s="1" a="1"/>
  <c r="BQ86" i="5" s="1"/>
  <c r="AZ85" i="5" a="1"/>
  <c r="AZ85" i="5" s="1"/>
  <c r="AZ86" i="5" s="1" a="1"/>
  <c r="AZ86"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BN86" i="5" s="1" a="1"/>
  <c r="BN86" i="5" s="1"/>
  <c r="CY77" i="8"/>
  <c r="G77" i="1" s="1"/>
  <c r="M77" i="8" s="1"/>
  <c r="V83" i="2"/>
  <c r="CL78" i="8"/>
  <c r="O79" i="8"/>
  <c r="CQ78" i="8"/>
  <c r="CR78" i="8" s="1"/>
  <c r="O78" i="8"/>
  <c r="F88" i="8"/>
  <c r="AO80" i="5"/>
  <c r="AV81" i="5"/>
  <c r="BP84" i="5" a="1"/>
  <c r="BP84" i="5" s="1"/>
  <c r="AG79" i="7"/>
  <c r="AI79" i="7" s="1"/>
  <c r="O89" i="1"/>
  <c r="BS80" i="8"/>
  <c r="BY80" i="8" s="1"/>
  <c r="BO80" i="8"/>
  <c r="BK80" i="8"/>
  <c r="BL80" i="8"/>
  <c r="BI80" i="8"/>
  <c r="BJ80" i="8"/>
  <c r="BG80" i="8"/>
  <c r="BH80" i="8"/>
  <c r="BF80" i="8"/>
  <c r="AC80" i="10"/>
  <c r="X80" i="10" s="1"/>
  <c r="AN80" i="5"/>
  <c r="AM80" i="5"/>
  <c r="AS84" i="5"/>
  <c r="E88" i="8"/>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G92" i="9"/>
  <c r="C82" i="5"/>
  <c r="F82" i="5" s="1"/>
  <c r="AW82" i="5" s="1"/>
  <c r="B79" i="14"/>
  <c r="BW80" i="8"/>
  <c r="CM80" i="8" s="1"/>
  <c r="BX80" i="8"/>
  <c r="CO80" i="8" s="1"/>
  <c r="CP80" i="8" s="1"/>
  <c r="CC80" i="8"/>
  <c r="CS80" i="8" s="1"/>
  <c r="BV80" i="8"/>
  <c r="BT80" i="8"/>
  <c r="BU80" i="8"/>
  <c r="AQ79" i="5"/>
  <c r="CD80" i="8"/>
  <c r="CT80" i="8" s="1"/>
  <c r="AR79" i="5"/>
  <c r="Q80" i="7"/>
  <c r="AE80" i="7"/>
  <c r="AF80" i="7" s="1"/>
  <c r="AD79" i="11"/>
  <c r="AI79" i="1" s="1"/>
  <c r="AC79" i="11"/>
  <c r="T79" i="8" s="1"/>
  <c r="Z79" i="11"/>
  <c r="AB79" i="11"/>
  <c r="P79" i="8" s="1"/>
  <c r="Y79" i="11"/>
  <c r="AH79" i="1" s="1"/>
  <c r="N80" i="11"/>
  <c r="AA79" i="11"/>
  <c r="AK79" i="1" s="1"/>
  <c r="CU79" i="8"/>
  <c r="CZ83" i="5"/>
  <c r="A81" i="10"/>
  <c r="AA81" i="10" s="1"/>
  <c r="BT81" i="5"/>
  <c r="A81" i="11"/>
  <c r="AJ81" i="5"/>
  <c r="AP81" i="5" s="1"/>
  <c r="W81" i="8"/>
  <c r="CW81" i="8" s="1"/>
  <c r="B81" i="7"/>
  <c r="E81" i="1"/>
  <c r="B81" i="9"/>
  <c r="X81" i="9" s="1"/>
  <c r="AI81" i="5"/>
  <c r="AB81" i="8"/>
  <c r="BM81" i="8" s="1"/>
  <c r="J82" i="2"/>
  <c r="CK79" i="8"/>
  <c r="AC82" i="1"/>
  <c r="DA82" i="5"/>
  <c r="DG82" i="5" s="1" a="1"/>
  <c r="DG82" i="5" s="1"/>
  <c r="AB83" i="1"/>
  <c r="DI83" i="5"/>
  <c r="AF92" i="9"/>
  <c r="AJ92" i="9"/>
  <c r="N68" i="1"/>
  <c r="S85" i="2"/>
  <c r="N86" i="2"/>
  <c r="R86" i="2"/>
  <c r="Q85" i="2"/>
  <c r="J87" i="10"/>
  <c r="N87" i="5" s="1"/>
  <c r="P87" i="2"/>
  <c r="M86" i="2"/>
  <c r="O87" i="2"/>
  <c r="AD84" i="1" l="1"/>
  <c r="BH86" i="5" a="1"/>
  <c r="BH86" i="5" s="1"/>
  <c r="BM86" i="5" a="1"/>
  <c r="BM86" i="5" s="1"/>
  <c r="CW86" i="5"/>
  <c r="CT86" i="5"/>
  <c r="CR86" i="5"/>
  <c r="CQ86" i="5"/>
  <c r="CV86" i="5"/>
  <c r="CS86" i="5"/>
  <c r="CU86" i="5"/>
  <c r="AY86" i="5" a="1"/>
  <c r="AY86" i="5" s="1"/>
  <c r="BL86" i="5" a="1"/>
  <c r="BL86" i="5" s="1"/>
  <c r="AD85" i="1" s="1"/>
  <c r="BB86" i="5" a="1"/>
  <c r="BB86" i="5" s="1"/>
  <c r="BB87" i="5" s="1" a="1"/>
  <c r="BB87" i="5" s="1"/>
  <c r="BA87" i="5" a="1"/>
  <c r="BA87" i="5" s="1"/>
  <c r="BE86" i="5" a="1"/>
  <c r="BE86" i="5" s="1"/>
  <c r="BO86" i="5" a="1"/>
  <c r="BO86" i="5" s="1"/>
  <c r="BD86" i="5" a="1"/>
  <c r="BD86" i="5" s="1"/>
  <c r="BK86" i="5" a="1"/>
  <c r="BK86" i="5" s="1"/>
  <c r="BK87" i="5" s="1" a="1"/>
  <c r="BK87" i="5" s="1"/>
  <c r="BI86" i="5" a="1"/>
  <c r="BI86" i="5" s="1"/>
  <c r="BF86" i="5" a="1"/>
  <c r="BF86" i="5" s="1"/>
  <c r="BC86" i="5" a="1"/>
  <c r="BC86" i="5" s="1"/>
  <c r="CY78" i="8"/>
  <c r="G78" i="1" s="1"/>
  <c r="M78" i="8" s="1"/>
  <c r="V84" i="2"/>
  <c r="O80" i="8"/>
  <c r="F89" i="8"/>
  <c r="AO81" i="5"/>
  <c r="AV82" i="5"/>
  <c r="BP85" i="5" a="1"/>
  <c r="BP85" i="5" s="1"/>
  <c r="AG80" i="7"/>
  <c r="AI80" i="7" s="1"/>
  <c r="O90" i="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CA87" i="14" s="1"/>
  <c r="A87" i="5"/>
  <c r="BN87" i="5" s="1" a="1"/>
  <c r="BN87" i="5" s="1"/>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G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AP82" i="5" s="1"/>
  <c r="E82" i="1"/>
  <c r="AI82" i="5"/>
  <c r="B82" i="9"/>
  <c r="X82" i="9" s="1"/>
  <c r="A82" i="11"/>
  <c r="W82" i="8"/>
  <c r="CW82" i="8" s="1"/>
  <c r="AB80" i="11"/>
  <c r="P80" i="8" s="1"/>
  <c r="Y80" i="11"/>
  <c r="AH80" i="1" s="1"/>
  <c r="AD80" i="11"/>
  <c r="AI80" i="1" s="1"/>
  <c r="N81" i="11"/>
  <c r="Z80" i="11"/>
  <c r="AA80" i="11"/>
  <c r="AK80" i="1" s="1"/>
  <c r="AC80" i="11"/>
  <c r="T80" i="8" s="1"/>
  <c r="CD81" i="8"/>
  <c r="CT81" i="8" s="1"/>
  <c r="AB84" i="1"/>
  <c r="DI84" i="5"/>
  <c r="J84" i="2"/>
  <c r="AC83" i="1"/>
  <c r="DA83" i="5"/>
  <c r="DG83" i="5" s="1" a="1"/>
  <c r="DG83" i="5" s="1"/>
  <c r="AF93" i="9"/>
  <c r="AJ93" i="9"/>
  <c r="N69" i="1"/>
  <c r="S86" i="2"/>
  <c r="N87" i="2"/>
  <c r="R87" i="2"/>
  <c r="Q86" i="2"/>
  <c r="M87" i="2"/>
  <c r="J88" i="10"/>
  <c r="N88" i="5" s="1"/>
  <c r="P88" i="2"/>
  <c r="O88" i="2"/>
  <c r="BC87" i="5" l="1"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AD86" i="1" s="1"/>
  <c r="BO87" i="5" a="1"/>
  <c r="BO87" i="5" s="1"/>
  <c r="BJ87" i="5" a="1"/>
  <c r="BJ87" i="5" s="1"/>
  <c r="BE87" i="5" a="1"/>
  <c r="BE87" i="5" s="1"/>
  <c r="BH87" i="5" a="1"/>
  <c r="BH87" i="5" s="1"/>
  <c r="BG87" i="5" a="1"/>
  <c r="BG87" i="5" s="1"/>
  <c r="AZ87" i="5" a="1"/>
  <c r="AZ87" i="5" s="1"/>
  <c r="V85" i="2"/>
  <c r="O81" i="8"/>
  <c r="F90" i="8"/>
  <c r="AO82" i="5"/>
  <c r="AV83" i="5"/>
  <c r="BP86" i="5" a="1"/>
  <c r="BP86" i="5" s="1"/>
  <c r="AG81" i="7"/>
  <c r="AI81" i="7" s="1"/>
  <c r="O91" i="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BK88" i="5" s="1" a="1"/>
  <c r="BK88" i="5" s="1"/>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G94" i="9"/>
  <c r="AJ83" i="5"/>
  <c r="AP83" i="5" s="1"/>
  <c r="AB83" i="8"/>
  <c r="BM83" i="8" s="1"/>
  <c r="E83" i="1"/>
  <c r="B83" i="7"/>
  <c r="AI83" i="5"/>
  <c r="A83" i="10"/>
  <c r="AA83" i="10" s="1"/>
  <c r="B83" i="9"/>
  <c r="X83" i="9" s="1"/>
  <c r="BT83" i="5"/>
  <c r="W83" i="8"/>
  <c r="CW83" i="8" s="1"/>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B81" i="14"/>
  <c r="AR81" i="5"/>
  <c r="BV82" i="8"/>
  <c r="BW82" i="8"/>
  <c r="CM82" i="8" s="1"/>
  <c r="BT82" i="8"/>
  <c r="BU82" i="8"/>
  <c r="BX82" i="8"/>
  <c r="CO82" i="8" s="1"/>
  <c r="CP82" i="8" s="1"/>
  <c r="CC82" i="8"/>
  <c r="CS82" i="8" s="1"/>
  <c r="C85" i="5"/>
  <c r="AC84" i="1"/>
  <c r="DA84" i="5"/>
  <c r="DG84" i="5" s="1" a="1"/>
  <c r="DG84" i="5" s="1"/>
  <c r="AB85" i="1"/>
  <c r="DI85" i="5"/>
  <c r="AF94" i="9"/>
  <c r="AJ94" i="9"/>
  <c r="N70" i="1"/>
  <c r="S87" i="2"/>
  <c r="N88" i="2"/>
  <c r="R88" i="2"/>
  <c r="Q87" i="2"/>
  <c r="P89" i="2"/>
  <c r="J89" i="10"/>
  <c r="N89" i="5" s="1"/>
  <c r="O89" i="2"/>
  <c r="M88" i="2"/>
  <c r="AZ88" i="5" l="1"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BF89" i="5" s="1" a="1"/>
  <c r="BF89"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BY82" i="8"/>
  <c r="BS83" i="8"/>
  <c r="BZ83" i="8" s="1"/>
  <c r="BO83" i="8"/>
  <c r="BK83" i="8"/>
  <c r="BL83" i="8"/>
  <c r="BI83" i="8"/>
  <c r="BJ83" i="8"/>
  <c r="BG83" i="8"/>
  <c r="BH83" i="8"/>
  <c r="BF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G95" i="9"/>
  <c r="CU82" i="8"/>
  <c r="CD83" i="8"/>
  <c r="CT83" i="8" s="1"/>
  <c r="BT83" i="8"/>
  <c r="BU83" i="8"/>
  <c r="BX83" i="8"/>
  <c r="CO83" i="8" s="1"/>
  <c r="CP83" i="8" s="1"/>
  <c r="BV83" i="8"/>
  <c r="CC83" i="8"/>
  <c r="CS83" i="8" s="1"/>
  <c r="BW83" i="8"/>
  <c r="CM83" i="8" s="1"/>
  <c r="CK82" i="8"/>
  <c r="Q83" i="7"/>
  <c r="AE83" i="7"/>
  <c r="AF83" i="7" s="1"/>
  <c r="AQ82" i="5"/>
  <c r="AR82" i="5"/>
  <c r="B82" i="14"/>
  <c r="J85" i="2"/>
  <c r="B84" i="9"/>
  <c r="X84" i="9" s="1"/>
  <c r="AI84" i="5"/>
  <c r="A84" i="11"/>
  <c r="AB84" i="8"/>
  <c r="BM84" i="8" s="1"/>
  <c r="BT84" i="5"/>
  <c r="A84" i="10"/>
  <c r="AA84" i="10" s="1"/>
  <c r="B84" i="7"/>
  <c r="W84" i="8"/>
  <c r="CW84" i="8" s="1"/>
  <c r="E84" i="1"/>
  <c r="AJ84" i="5"/>
  <c r="AP84" i="5" s="1"/>
  <c r="CZ86" i="5"/>
  <c r="AB86" i="1"/>
  <c r="DI86" i="5"/>
  <c r="J86" i="2"/>
  <c r="AC85" i="1"/>
  <c r="DA85" i="5"/>
  <c r="DG85" i="5" s="1" a="1"/>
  <c r="DG85" i="5" s="1"/>
  <c r="AF95" i="9"/>
  <c r="AJ95" i="9"/>
  <c r="N71" i="1"/>
  <c r="S88" i="2"/>
  <c r="N89" i="2"/>
  <c r="R89" i="2"/>
  <c r="Q88" i="2"/>
  <c r="O90" i="2"/>
  <c r="J90" i="10"/>
  <c r="N90" i="5" s="1"/>
  <c r="P90" i="2"/>
  <c r="U1269" i="14"/>
  <c r="U1270" i="14" s="1"/>
  <c r="M89" i="2"/>
  <c r="AD87" i="1" l="1"/>
  <c r="CQ89" i="5"/>
  <c r="CW89" i="5"/>
  <c r="CR89" i="5"/>
  <c r="CV89" i="5"/>
  <c r="CS89" i="5"/>
  <c r="CT89" i="5"/>
  <c r="CU89" i="5"/>
  <c r="AY89" i="5" a="1"/>
  <c r="AY89" i="5" s="1"/>
  <c r="BL89" i="5" a="1"/>
  <c r="BL89" i="5" s="1"/>
  <c r="BF90" i="5" a="1"/>
  <c r="BF90" i="5" s="1"/>
  <c r="BJ89" i="5" a="1"/>
  <c r="BJ89" i="5" s="1"/>
  <c r="BJ90" i="5" s="1" a="1"/>
  <c r="BJ90" i="5" s="1"/>
  <c r="BI89" i="5" a="1"/>
  <c r="BI89" i="5" s="1"/>
  <c r="BI90" i="5" s="1" a="1"/>
  <c r="BI90" i="5" s="1"/>
  <c r="BN89" i="5" a="1"/>
  <c r="BN89" i="5" s="1"/>
  <c r="BE89" i="5" a="1"/>
  <c r="BE89" i="5" s="1"/>
  <c r="BE90" i="5" s="1" a="1"/>
  <c r="BE90" i="5" s="1"/>
  <c r="BB89" i="5" a="1"/>
  <c r="BB89" i="5" s="1"/>
  <c r="BB90" i="5" s="1" a="1"/>
  <c r="BB90"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Q82" i="8"/>
  <c r="CR82" i="8" s="1"/>
  <c r="O82" i="8"/>
  <c r="F92" i="8"/>
  <c r="AO84" i="5"/>
  <c r="AV85" i="5"/>
  <c r="BP88" i="5" a="1"/>
  <c r="BP88" i="5" s="1"/>
  <c r="BT85" i="5"/>
  <c r="AG83" i="7"/>
  <c r="AI83" i="7" s="1"/>
  <c r="O93" i="1"/>
  <c r="BY83"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R89" i="8"/>
  <c r="AD89" i="8"/>
  <c r="AB85" i="8"/>
  <c r="BM85" i="8" s="1"/>
  <c r="BR85" i="8"/>
  <c r="BU85" i="8" s="1"/>
  <c r="A85" i="10"/>
  <c r="AA85" i="10" s="1"/>
  <c r="W85" i="8"/>
  <c r="CW85" i="8" s="1"/>
  <c r="AJ85" i="5"/>
  <c r="AP85" i="5" s="1"/>
  <c r="AI85" i="5"/>
  <c r="BD85" i="8"/>
  <c r="BP85" i="8" s="1"/>
  <c r="E85" i="1"/>
  <c r="DA85" i="8"/>
  <c r="DB85" i="8" s="1"/>
  <c r="A85" i="11"/>
  <c r="Y84" i="11" s="1"/>
  <c r="AH84" i="1" s="1"/>
  <c r="BE85" i="8"/>
  <c r="BN85" i="8" s="1"/>
  <c r="B85" i="7"/>
  <c r="AE85" i="7" s="1"/>
  <c r="AF85" i="7" s="1"/>
  <c r="CF85" i="8"/>
  <c r="B85" i="9"/>
  <c r="X85" i="9" s="1"/>
  <c r="B87" i="5"/>
  <c r="AH87" i="5"/>
  <c r="BU87" i="5"/>
  <c r="B87" i="2"/>
  <c r="B87" i="1"/>
  <c r="BG87" i="1" s="1"/>
  <c r="BY89" i="11"/>
  <c r="AA88" i="7"/>
  <c r="AE88" i="8" s="1"/>
  <c r="AS88" i="8" s="1"/>
  <c r="K88" i="10"/>
  <c r="L88" i="11"/>
  <c r="H88" i="5"/>
  <c r="C87" i="10"/>
  <c r="E87" i="7"/>
  <c r="CL82" i="8"/>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G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F96" i="9"/>
  <c r="AJ96" i="9"/>
  <c r="N72" i="1"/>
  <c r="S89" i="2"/>
  <c r="N90" i="2"/>
  <c r="R90" i="2"/>
  <c r="Q89" i="2"/>
  <c r="J91" i="10"/>
  <c r="N91" i="5" s="1"/>
  <c r="P91" i="2"/>
  <c r="M90" i="2"/>
  <c r="O91" i="2"/>
  <c r="AD88" i="1" l="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Y82" i="8"/>
  <c r="G82" i="1" s="1"/>
  <c r="M82" i="8" s="1"/>
  <c r="O84" i="8"/>
  <c r="CQ83" i="8"/>
  <c r="CR83" i="8" s="1"/>
  <c r="O83" i="8"/>
  <c r="F93" i="8"/>
  <c r="AO85" i="5"/>
  <c r="AV86" i="5"/>
  <c r="BP89" i="5" a="1"/>
  <c r="BP89" i="5" s="1"/>
  <c r="AG85" i="7"/>
  <c r="AI85" i="7" s="1"/>
  <c r="AG84" i="7"/>
  <c r="AI84" i="7" s="1"/>
  <c r="O94" i="1"/>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BI91" i="5" s="1" a="1"/>
  <c r="BI91" i="5" s="1"/>
  <c r="A91" i="8"/>
  <c r="AE87" i="1"/>
  <c r="W87" i="1" s="1"/>
  <c r="AR90" i="8"/>
  <c r="AD90" i="8"/>
  <c r="Y87" i="1"/>
  <c r="DJ88" i="5"/>
  <c r="BW85" i="8"/>
  <c r="CM85" i="8" s="1"/>
  <c r="F87" i="5"/>
  <c r="AW87" i="5" s="1"/>
  <c r="BT85" i="8"/>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J84" i="8"/>
  <c r="CN84" i="8" s="1"/>
  <c r="DA86" i="8"/>
  <c r="DB86" i="8" s="1"/>
  <c r="CF86" i="8"/>
  <c r="CB91" i="8"/>
  <c r="BR86" i="8"/>
  <c r="BD86" i="8"/>
  <c r="BP86" i="8" s="1"/>
  <c r="BE86" i="8"/>
  <c r="BN86" i="8" s="1"/>
  <c r="AG97" i="9"/>
  <c r="CU84" i="8"/>
  <c r="J87" i="2"/>
  <c r="CK84" i="8"/>
  <c r="AQ84" i="5"/>
  <c r="CZ88" i="5"/>
  <c r="AR84" i="5"/>
  <c r="B84" i="14"/>
  <c r="W86" i="8"/>
  <c r="CW86" i="8" s="1"/>
  <c r="E86" i="1"/>
  <c r="AI86" i="5"/>
  <c r="B86" i="9"/>
  <c r="X86" i="9" s="1"/>
  <c r="A86" i="11"/>
  <c r="AJ86" i="5"/>
  <c r="AP86" i="5" s="1"/>
  <c r="AB86" i="8"/>
  <c r="BM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O92" i="2"/>
  <c r="P92" i="2"/>
  <c r="AD89" i="1" l="1"/>
  <c r="BH91" i="5" a="1"/>
  <c r="BH91" i="5" s="1"/>
  <c r="CS91" i="5"/>
  <c r="CR91" i="5"/>
  <c r="CQ91" i="5"/>
  <c r="CT91" i="5"/>
  <c r="CV91" i="5"/>
  <c r="CW91" i="5"/>
  <c r="CU91" i="5"/>
  <c r="AY91" i="5" a="1"/>
  <c r="AY91" i="5" s="1"/>
  <c r="BL91" i="5" a="1"/>
  <c r="BL91" i="5" s="1"/>
  <c r="BC91" i="5" a="1"/>
  <c r="BC91" i="5" s="1"/>
  <c r="BC92" i="5" s="1" a="1"/>
  <c r="BC92" i="5" s="1"/>
  <c r="BJ91" i="5" a="1"/>
  <c r="BJ91" i="5" s="1"/>
  <c r="BJ92" i="5" s="1" a="1"/>
  <c r="BJ92" i="5" s="1"/>
  <c r="BD91" i="5" a="1"/>
  <c r="BD91" i="5" s="1"/>
  <c r="BD92" i="5" s="1" a="1"/>
  <c r="BD92" i="5" s="1"/>
  <c r="BQ91" i="5" a="1"/>
  <c r="BQ91" i="5" s="1"/>
  <c r="BQ92" i="5" s="1" a="1"/>
  <c r="BQ92" i="5" s="1"/>
  <c r="AZ91" i="5" a="1"/>
  <c r="AZ91" i="5" s="1"/>
  <c r="BO91" i="5" a="1"/>
  <c r="BO91" i="5" s="1"/>
  <c r="BK91" i="5" a="1"/>
  <c r="BK91" i="5" s="1"/>
  <c r="BA91" i="5" a="1"/>
  <c r="BA91" i="5" s="1"/>
  <c r="BF91" i="5" a="1"/>
  <c r="BF91" i="5" s="1"/>
  <c r="BF92" i="5" s="1" a="1"/>
  <c r="BF92" i="5" s="1"/>
  <c r="BM91" i="5" a="1"/>
  <c r="BM91" i="5" s="1"/>
  <c r="BM92" i="5" s="1" a="1"/>
  <c r="BM92" i="5" s="1"/>
  <c r="BN91" i="5" a="1"/>
  <c r="BN91" i="5" s="1"/>
  <c r="BN92" i="5" s="1" a="1"/>
  <c r="BN92" i="5" s="1"/>
  <c r="BG91" i="5" a="1"/>
  <c r="BG91" i="5" s="1"/>
  <c r="BG92" i="5" s="1" a="1"/>
  <c r="BG92" i="5" s="1"/>
  <c r="BB91" i="5" a="1"/>
  <c r="BB91" i="5" s="1"/>
  <c r="BB92" i="5" s="1" a="1"/>
  <c r="BB92" i="5" s="1"/>
  <c r="BE91" i="5" a="1"/>
  <c r="BE91" i="5" s="1"/>
  <c r="BE92" i="5" s="1" a="1"/>
  <c r="BE92" i="5" s="1"/>
  <c r="V89" i="2"/>
  <c r="CY83" i="8"/>
  <c r="G83" i="1" s="1"/>
  <c r="M83" i="8" s="1"/>
  <c r="CJ85" i="8"/>
  <c r="CN85" i="8" s="1"/>
  <c r="F94" i="8"/>
  <c r="AO86" i="5"/>
  <c r="AV87" i="5"/>
  <c r="BP90" i="5" a="1"/>
  <c r="BP90" i="5" s="1"/>
  <c r="AB87" i="8"/>
  <c r="BM87" i="8" s="1"/>
  <c r="O95" i="1"/>
  <c r="BY85" i="8"/>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W87" i="8"/>
  <c r="CW87" i="8" s="1"/>
  <c r="B87" i="9"/>
  <c r="X87" i="9" s="1"/>
  <c r="DA87" i="8"/>
  <c r="DB87" i="8" s="1"/>
  <c r="BE87" i="8"/>
  <c r="BN87" i="8" s="1"/>
  <c r="A87" i="10"/>
  <c r="AA87" i="10" s="1"/>
  <c r="AR85" i="5"/>
  <c r="AJ87" i="5"/>
  <c r="AP87" i="5" s="1"/>
  <c r="BR87" i="8"/>
  <c r="BV87" i="8" s="1"/>
  <c r="BD87" i="8"/>
  <c r="BP87" i="8" s="1"/>
  <c r="CU85" i="8"/>
  <c r="AQ85" i="5"/>
  <c r="CL84" i="8"/>
  <c r="CY84" i="8" s="1"/>
  <c r="G84" i="1" s="1"/>
  <c r="M84" i="8" s="1"/>
  <c r="B89" i="5"/>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G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F98" i="9"/>
  <c r="AJ98" i="9"/>
  <c r="N74" i="1"/>
  <c r="S91" i="2"/>
  <c r="N92" i="2"/>
  <c r="R92" i="2"/>
  <c r="Q91" i="2"/>
  <c r="P93" i="2"/>
  <c r="O93" i="2"/>
  <c r="M92" i="2"/>
  <c r="J93" i="10"/>
  <c r="N93" i="5" s="1"/>
  <c r="AD90" i="1" l="1"/>
  <c r="CT92" i="5"/>
  <c r="CU92" i="5"/>
  <c r="CW92" i="5"/>
  <c r="CQ92" i="5"/>
  <c r="CV92" i="5"/>
  <c r="CR92" i="5"/>
  <c r="CS92" i="5"/>
  <c r="BL92" i="5" a="1"/>
  <c r="BL92" i="5" s="1"/>
  <c r="AD91" i="1" s="1"/>
  <c r="AY92" i="5" a="1"/>
  <c r="AY92" i="5" s="1"/>
  <c r="BA92" i="5" a="1"/>
  <c r="BA92" i="5" s="1"/>
  <c r="BK92" i="5" a="1"/>
  <c r="BK92" i="5" s="1"/>
  <c r="BH92" i="5" a="1"/>
  <c r="BH92" i="5" s="1"/>
  <c r="BO92" i="5" a="1"/>
  <c r="BO92" i="5" s="1"/>
  <c r="AZ92" i="5" a="1"/>
  <c r="AZ92" i="5" s="1"/>
  <c r="BI92" i="5" a="1"/>
  <c r="BI92" i="5" s="1"/>
  <c r="V90" i="2"/>
  <c r="CL85" i="8"/>
  <c r="O86" i="8"/>
  <c r="CQ85" i="8"/>
  <c r="CR85" i="8" s="1"/>
  <c r="O85" i="8"/>
  <c r="F95" i="8"/>
  <c r="BL87" i="8"/>
  <c r="BK87" i="8"/>
  <c r="N87" i="7"/>
  <c r="BF87" i="8"/>
  <c r="AO87" i="5"/>
  <c r="BI87" i="8"/>
  <c r="AV88" i="5"/>
  <c r="BH87" i="8"/>
  <c r="BG87" i="8"/>
  <c r="BP91" i="5" a="1"/>
  <c r="BP91" i="5" s="1"/>
  <c r="BJ87" i="8"/>
  <c r="AG86" i="7"/>
  <c r="AI86" i="7" s="1"/>
  <c r="AG87" i="7"/>
  <c r="AI87" i="7" s="1"/>
  <c r="O96" i="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BM93" i="5" s="1" a="1"/>
  <c r="BM93" i="5" s="1"/>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BU87" i="8"/>
  <c r="CK87" i="8" s="1"/>
  <c r="CC87" i="8"/>
  <c r="CS87"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G99" i="9"/>
  <c r="W88" i="8"/>
  <c r="CW88" i="8" s="1"/>
  <c r="E88" i="1"/>
  <c r="B88" i="9"/>
  <c r="X88" i="9" s="1"/>
  <c r="AJ88" i="5"/>
  <c r="AP88" i="5" s="1"/>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F99" i="9"/>
  <c r="AJ99" i="9"/>
  <c r="AF1269" i="14"/>
  <c r="AF1270" i="14" s="1"/>
  <c r="N75" i="1"/>
  <c r="S92" i="2"/>
  <c r="N93" i="2"/>
  <c r="R93" i="2"/>
  <c r="Q92" i="2"/>
  <c r="J94" i="10"/>
  <c r="N94" i="5" s="1"/>
  <c r="M93" i="2"/>
  <c r="O94" i="2"/>
  <c r="P94" i="2"/>
  <c r="BI93" i="5" l="1" a="1"/>
  <c r="BI93" i="5" s="1"/>
  <c r="AZ93" i="5" a="1"/>
  <c r="AZ93" i="5" s="1"/>
  <c r="BF93" i="5" a="1"/>
  <c r="BF93" i="5" s="1"/>
  <c r="CV93" i="5"/>
  <c r="CU93" i="5"/>
  <c r="CR93" i="5"/>
  <c r="CS93" i="5"/>
  <c r="CT93" i="5"/>
  <c r="CW93" i="5"/>
  <c r="CQ93" i="5"/>
  <c r="AY93" i="5" a="1"/>
  <c r="AY93" i="5" s="1"/>
  <c r="BL93" i="5" a="1"/>
  <c r="BL93" i="5" s="1"/>
  <c r="BD93" i="5" a="1"/>
  <c r="BD93" i="5" s="1"/>
  <c r="BN93" i="5" a="1"/>
  <c r="BN93" i="5" s="1"/>
  <c r="BN94" i="5" s="1" a="1"/>
  <c r="BN94"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Y85" i="8"/>
  <c r="G85" i="1" s="1"/>
  <c r="M85" i="8" s="1"/>
  <c r="O87" i="8"/>
  <c r="CJ87" i="8"/>
  <c r="CN87" i="8" s="1"/>
  <c r="F96" i="8"/>
  <c r="AO88" i="5"/>
  <c r="AV89" i="5"/>
  <c r="BP92" i="5" a="1"/>
  <c r="BP92" i="5" s="1"/>
  <c r="O97" i="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B91" i="5"/>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G100" i="9"/>
  <c r="A89" i="11"/>
  <c r="A89" i="10"/>
  <c r="AA89" i="10" s="1"/>
  <c r="B89" i="7"/>
  <c r="B89" i="9"/>
  <c r="X89" i="9" s="1"/>
  <c r="AB89" i="8"/>
  <c r="BM89" i="8" s="1"/>
  <c r="BT89" i="5"/>
  <c r="AJ89" i="5"/>
  <c r="AP89" i="5" s="1"/>
  <c r="W89" i="8"/>
  <c r="CW89" i="8" s="1"/>
  <c r="E89" i="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F100" i="9"/>
  <c r="AJ100" i="9"/>
  <c r="N1269" i="14"/>
  <c r="N1270" i="14" s="1"/>
  <c r="N76" i="1"/>
  <c r="S93" i="2"/>
  <c r="N94" i="2"/>
  <c r="R94" i="2"/>
  <c r="Q93" i="2"/>
  <c r="M94" i="2"/>
  <c r="J95" i="10"/>
  <c r="N95" i="5" s="1"/>
  <c r="P95" i="2"/>
  <c r="O95" i="2"/>
  <c r="AD92" i="1" l="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D93" i="1" s="1"/>
  <c r="AY94" i="5" a="1"/>
  <c r="AY94" i="5" s="1"/>
  <c r="BH94" i="5" a="1"/>
  <c r="BH94" i="5" s="1"/>
  <c r="AZ94" i="5" a="1"/>
  <c r="AZ94" i="5" s="1"/>
  <c r="BG94" i="5" a="1"/>
  <c r="BG94" i="5" s="1"/>
  <c r="BI94" i="5" a="1"/>
  <c r="BI94" i="5" s="1"/>
  <c r="BO94" i="5" a="1"/>
  <c r="BO94" i="5" s="1"/>
  <c r="BM94" i="5" a="1"/>
  <c r="BM94" i="5" s="1"/>
  <c r="V92" i="2"/>
  <c r="CL87" i="8"/>
  <c r="CY87" i="8" s="1"/>
  <c r="G87" i="1" s="1"/>
  <c r="M87" i="8" s="1"/>
  <c r="O88" i="8"/>
  <c r="F97" i="8"/>
  <c r="AO89" i="5"/>
  <c r="AV90" i="5"/>
  <c r="BP93" i="5" a="1"/>
  <c r="BP93" i="5" s="1"/>
  <c r="AG88" i="7"/>
  <c r="AI88" i="7" s="1"/>
  <c r="O98" i="1"/>
  <c r="BS89" i="8"/>
  <c r="BZ89" i="8" s="1"/>
  <c r="BO89" i="8"/>
  <c r="BK89" i="8"/>
  <c r="BL89" i="8"/>
  <c r="BI89" i="8"/>
  <c r="BJ89" i="8"/>
  <c r="AN89" i="5"/>
  <c r="BG89" i="8"/>
  <c r="BH89" i="8"/>
  <c r="BF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G101" i="9"/>
  <c r="AQ88" i="5"/>
  <c r="CK88" i="8"/>
  <c r="AR88" i="5"/>
  <c r="J91" i="2"/>
  <c r="B88" i="14"/>
  <c r="CZ92" i="5"/>
  <c r="AE89" i="7"/>
  <c r="AF89" i="7" s="1"/>
  <c r="Q89" i="7"/>
  <c r="CD89" i="8"/>
  <c r="CT89" i="8" s="1"/>
  <c r="BT90" i="5"/>
  <c r="AB90" i="8"/>
  <c r="BM90" i="8" s="1"/>
  <c r="A90" i="10"/>
  <c r="AA90" i="10" s="1"/>
  <c r="B90" i="7"/>
  <c r="E90" i="1"/>
  <c r="AJ90" i="5"/>
  <c r="AP90" i="5" s="1"/>
  <c r="W90" i="8"/>
  <c r="CW90" i="8" s="1"/>
  <c r="AI90" i="5"/>
  <c r="B90" i="9"/>
  <c r="X90" i="9" s="1"/>
  <c r="A90" i="11"/>
  <c r="Y88" i="11"/>
  <c r="AH88" i="1" s="1"/>
  <c r="AA88" i="11"/>
  <c r="AK88" i="1" s="1"/>
  <c r="AC88" i="11"/>
  <c r="T88" i="8" s="1"/>
  <c r="AD88" i="11"/>
  <c r="AI88" i="1" s="1"/>
  <c r="Z88" i="11"/>
  <c r="N89" i="11"/>
  <c r="AB88" i="11"/>
  <c r="P88" i="8" s="1"/>
  <c r="BT89" i="8"/>
  <c r="BW89" i="8"/>
  <c r="CM89" i="8" s="1"/>
  <c r="BU89" i="8"/>
  <c r="CC89" i="8"/>
  <c r="CS89" i="8" s="1"/>
  <c r="BV89" i="8"/>
  <c r="BX89" i="8"/>
  <c r="CO89" i="8" s="1"/>
  <c r="CP89" i="8" s="1"/>
  <c r="CU88" i="8"/>
  <c r="AB92" i="1"/>
  <c r="DI92" i="5"/>
  <c r="AC91" i="1"/>
  <c r="DA91" i="5"/>
  <c r="DG91" i="5" s="1" a="1"/>
  <c r="DG91" i="5" s="1"/>
  <c r="AF101" i="9"/>
  <c r="AJ101" i="9"/>
  <c r="B65" i="4"/>
  <c r="N77" i="1"/>
  <c r="S94" i="2"/>
  <c r="N95" i="2"/>
  <c r="R95" i="2"/>
  <c r="Q94" i="2"/>
  <c r="O96" i="2"/>
  <c r="J96" i="10"/>
  <c r="N96" i="5" s="1"/>
  <c r="P96" i="2"/>
  <c r="M95" i="2"/>
  <c r="BF95" i="5" l="1" a="1"/>
  <c r="BF95" i="5" s="1"/>
  <c r="CV95" i="5"/>
  <c r="CU95" i="5"/>
  <c r="CQ95" i="5"/>
  <c r="CT95" i="5"/>
  <c r="CR95" i="5"/>
  <c r="CS95" i="5"/>
  <c r="CW95" i="5"/>
  <c r="AY95" i="5" a="1"/>
  <c r="AY95" i="5" s="1"/>
  <c r="BL95" i="5" a="1"/>
  <c r="BL95" i="5" s="1"/>
  <c r="BM95" i="5" a="1"/>
  <c r="BM95" i="5" s="1"/>
  <c r="BM96" i="5" s="1" a="1"/>
  <c r="BM96" i="5" s="1"/>
  <c r="BB95" i="5" a="1"/>
  <c r="BB95" i="5" s="1"/>
  <c r="BB96" i="5" s="1" a="1"/>
  <c r="BB96" i="5" s="1"/>
  <c r="BO95" i="5" a="1"/>
  <c r="BO95" i="5" s="1"/>
  <c r="BO96" i="5" s="1" a="1"/>
  <c r="BO96" i="5" s="1"/>
  <c r="BK95" i="5" a="1"/>
  <c r="BK95" i="5" s="1"/>
  <c r="BK96" i="5" s="1" a="1"/>
  <c r="BK96" i="5" s="1"/>
  <c r="BI95" i="5" a="1"/>
  <c r="BI95" i="5" s="1"/>
  <c r="BI96" i="5" s="1" a="1"/>
  <c r="BI96" i="5" s="1"/>
  <c r="BD95" i="5" a="1"/>
  <c r="BD95" i="5" s="1"/>
  <c r="BG95" i="5" a="1"/>
  <c r="BG95" i="5" s="1"/>
  <c r="BE95" i="5" a="1"/>
  <c r="BE95" i="5" s="1"/>
  <c r="AZ95" i="5" a="1"/>
  <c r="AZ95" i="5" s="1"/>
  <c r="BA95" i="5" a="1"/>
  <c r="BA95" i="5" s="1"/>
  <c r="BH95" i="5" a="1"/>
  <c r="BH95" i="5" s="1"/>
  <c r="BC95" i="5" a="1"/>
  <c r="BC95" i="5" s="1"/>
  <c r="BC96" i="5" s="1" a="1"/>
  <c r="BC96" i="5" s="1"/>
  <c r="BJ95" i="5" a="1"/>
  <c r="BJ95" i="5" s="1"/>
  <c r="BQ95" i="5" a="1"/>
  <c r="BQ95" i="5" s="1"/>
  <c r="BQ96" i="5" s="1" a="1"/>
  <c r="BQ96" i="5" s="1"/>
  <c r="BN95" i="5" a="1"/>
  <c r="BN95" i="5" s="1"/>
  <c r="BN96" i="5" s="1" a="1"/>
  <c r="BN96" i="5" s="1"/>
  <c r="V93" i="2"/>
  <c r="F98" i="8"/>
  <c r="AO90" i="5"/>
  <c r="AV91" i="5"/>
  <c r="BP94" i="5" a="1"/>
  <c r="BP94" i="5" s="1"/>
  <c r="AG89" i="7"/>
  <c r="AI89" i="7" s="1"/>
  <c r="O99" i="1"/>
  <c r="BY89" i="8"/>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B91" i="9"/>
  <c r="X91" i="9" s="1"/>
  <c r="AB91" i="8"/>
  <c r="BM91" i="8" s="1"/>
  <c r="DA91" i="8"/>
  <c r="DB91" i="8" s="1"/>
  <c r="A91" i="10"/>
  <c r="AA91" i="10" s="1"/>
  <c r="BE91" i="8"/>
  <c r="BN91" i="8" s="1"/>
  <c r="A91" i="11"/>
  <c r="Y90" i="11" s="1"/>
  <c r="AH90" i="1" s="1"/>
  <c r="AJ91" i="5"/>
  <c r="AP91" i="5" s="1"/>
  <c r="AI91" i="5"/>
  <c r="W91" i="8"/>
  <c r="CW91" i="8" s="1"/>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G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CD90" i="8"/>
  <c r="CT90" i="8" s="1"/>
  <c r="CC90" i="8"/>
  <c r="CS90" i="8" s="1"/>
  <c r="BX90" i="8"/>
  <c r="CO90" i="8" s="1"/>
  <c r="CP90" i="8" s="1"/>
  <c r="BV90" i="8"/>
  <c r="BW90" i="8"/>
  <c r="CM90" i="8" s="1"/>
  <c r="BT90" i="8"/>
  <c r="BU90" i="8"/>
  <c r="C93" i="5"/>
  <c r="AC92" i="1"/>
  <c r="DA92" i="5"/>
  <c r="DG92" i="5" s="1" a="1"/>
  <c r="DG92" i="5" s="1"/>
  <c r="AB93" i="1"/>
  <c r="DI93" i="5"/>
  <c r="AF102" i="9"/>
  <c r="AJ102" i="9"/>
  <c r="N78" i="1"/>
  <c r="S95" i="2"/>
  <c r="N96" i="2"/>
  <c r="R96" i="2"/>
  <c r="Q95" i="2"/>
  <c r="P97" i="2"/>
  <c r="J97" i="10"/>
  <c r="N97" i="5" s="1"/>
  <c r="M96" i="2"/>
  <c r="O97" i="2"/>
  <c r="AD94" i="1" l="1"/>
  <c r="BJ96" i="5" a="1"/>
  <c r="BJ96" i="5" s="1"/>
  <c r="BH96" i="5" a="1"/>
  <c r="BH96" i="5" s="1"/>
  <c r="BA96" i="5" a="1"/>
  <c r="BA96" i="5" s="1"/>
  <c r="AZ96" i="5" a="1"/>
  <c r="AZ96" i="5" s="1"/>
  <c r="AZ97" i="5" s="1" a="1"/>
  <c r="AZ97" i="5" s="1"/>
  <c r="BE96" i="5" a="1"/>
  <c r="BE96" i="5" s="1"/>
  <c r="BE97" i="5" s="1" a="1"/>
  <c r="BE97" i="5" s="1"/>
  <c r="BG96" i="5" a="1"/>
  <c r="BG96" i="5" s="1"/>
  <c r="BG97" i="5" s="1" a="1"/>
  <c r="BG97" i="5" s="1"/>
  <c r="BF96" i="5" a="1"/>
  <c r="BF96" i="5" s="1"/>
  <c r="BF97" i="5" s="1" a="1"/>
  <c r="BF97" i="5" s="1"/>
  <c r="CV96" i="5"/>
  <c r="CT96" i="5"/>
  <c r="CS96" i="5"/>
  <c r="CR96" i="5"/>
  <c r="CU96" i="5"/>
  <c r="CQ96" i="5"/>
  <c r="CW96" i="5"/>
  <c r="AY96" i="5" a="1"/>
  <c r="AY96" i="5" s="1"/>
  <c r="BL96" i="5" a="1"/>
  <c r="BL96" i="5" s="1"/>
  <c r="AD95" i="1" s="1"/>
  <c r="BD96" i="5" a="1"/>
  <c r="BD96" i="5" s="1"/>
  <c r="BD97" i="5" s="1" a="1"/>
  <c r="BD97" i="5" s="1"/>
  <c r="V94" i="2"/>
  <c r="CQ89" i="8"/>
  <c r="CR89" i="8" s="1"/>
  <c r="O89" i="8"/>
  <c r="F99" i="8"/>
  <c r="AO91" i="5"/>
  <c r="AV92" i="5"/>
  <c r="BP95" i="5" a="1"/>
  <c r="BP95" i="5" s="1"/>
  <c r="AG91" i="7"/>
  <c r="AI91" i="7" s="1"/>
  <c r="AG90" i="7"/>
  <c r="AI90" i="7" s="1"/>
  <c r="O100" i="1"/>
  <c r="BS91" i="8"/>
  <c r="BY91" i="8" s="1"/>
  <c r="BO91" i="8"/>
  <c r="BK91" i="8"/>
  <c r="BL91" i="8"/>
  <c r="BI91" i="8"/>
  <c r="BJ91" i="8"/>
  <c r="BG91" i="8"/>
  <c r="BH91" i="8"/>
  <c r="BF91" i="8"/>
  <c r="AC91" i="10"/>
  <c r="X91" i="10" s="1"/>
  <c r="AM91" i="5"/>
  <c r="AN91" i="5"/>
  <c r="AS95" i="5"/>
  <c r="E99" i="8"/>
  <c r="AK95" i="11"/>
  <c r="BU91" i="8"/>
  <c r="BV91" i="8"/>
  <c r="BT91" i="8"/>
  <c r="CC91" i="8"/>
  <c r="CS91" i="8" s="1"/>
  <c r="DB94" i="5"/>
  <c r="BW91" i="8"/>
  <c r="CM91" i="8" s="1"/>
  <c r="DF94" i="5"/>
  <c r="DE94" i="5"/>
  <c r="AM95" i="1"/>
  <c r="K97" i="11"/>
  <c r="A97" i="14"/>
  <c r="CA97" i="14" s="1"/>
  <c r="A97" i="8"/>
  <c r="A97" i="2"/>
  <c r="A97" i="5"/>
  <c r="BM97" i="5" s="1" a="1"/>
  <c r="BM97" i="5" s="1"/>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F92" i="8"/>
  <c r="CB97" i="8"/>
  <c r="BR92" i="8"/>
  <c r="CC92" i="8" s="1"/>
  <c r="CS92" i="8" s="1"/>
  <c r="BE92" i="8"/>
  <c r="BN92" i="8" s="1"/>
  <c r="BT92" i="5"/>
  <c r="BD92" i="8"/>
  <c r="BP92" i="8" s="1"/>
  <c r="AG103" i="9"/>
  <c r="A92" i="11"/>
  <c r="Y91" i="11" s="1"/>
  <c r="AH91" i="1" s="1"/>
  <c r="AI92" i="5"/>
  <c r="B92" i="9"/>
  <c r="X92" i="9" s="1"/>
  <c r="B92" i="7"/>
  <c r="Q92" i="7" s="1"/>
  <c r="AB92" i="8"/>
  <c r="BM92" i="8" s="1"/>
  <c r="A92" i="10"/>
  <c r="AA92" i="10" s="1"/>
  <c r="CU90" i="8"/>
  <c r="AR90" i="5"/>
  <c r="AJ92" i="5"/>
  <c r="AP92" i="5" s="1"/>
  <c r="W92" i="8"/>
  <c r="CW92" i="8" s="1"/>
  <c r="E92" i="1"/>
  <c r="J93" i="2"/>
  <c r="CK90" i="8"/>
  <c r="B90" i="14"/>
  <c r="CZ94" i="5"/>
  <c r="AQ90" i="5"/>
  <c r="AB94" i="1"/>
  <c r="DI94" i="5"/>
  <c r="C94" i="5"/>
  <c r="AC93" i="1"/>
  <c r="DA93" i="5"/>
  <c r="DG93" i="5" s="1" a="1"/>
  <c r="DG93" i="5" s="1"/>
  <c r="AF103" i="9"/>
  <c r="AJ103" i="9"/>
  <c r="N79" i="1"/>
  <c r="S96" i="2"/>
  <c r="N97" i="2"/>
  <c r="R97" i="2"/>
  <c r="Q96" i="2"/>
  <c r="O98" i="2"/>
  <c r="M97" i="2"/>
  <c r="J98" i="10"/>
  <c r="N98" i="5" s="1"/>
  <c r="P98" i="2"/>
  <c r="BA97" i="5" l="1"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CY89" i="8"/>
  <c r="G89" i="1" s="1"/>
  <c r="M89" i="8" s="1"/>
  <c r="V95" i="2"/>
  <c r="O91" i="8"/>
  <c r="CQ90" i="8"/>
  <c r="CR90" i="8" s="1"/>
  <c r="O90" i="8"/>
  <c r="CJ91" i="8"/>
  <c r="CN91" i="8" s="1"/>
  <c r="F100" i="8"/>
  <c r="AO92" i="5"/>
  <c r="AV93" i="5"/>
  <c r="BP96" i="5" a="1"/>
  <c r="BP96" i="5" s="1"/>
  <c r="O101" i="1"/>
  <c r="BZ91" i="8"/>
  <c r="CQ91" i="8" s="1"/>
  <c r="CR91" i="8" s="1"/>
  <c r="BS92" i="8"/>
  <c r="BZ92" i="8" s="1"/>
  <c r="BO92" i="8"/>
  <c r="BK92" i="8"/>
  <c r="BL92" i="8"/>
  <c r="BI92" i="8"/>
  <c r="BJ92" i="8"/>
  <c r="BG92" i="8"/>
  <c r="BH92" i="8"/>
  <c r="BF92" i="8"/>
  <c r="AC92" i="10"/>
  <c r="X92" i="10" s="1"/>
  <c r="AM92" i="5"/>
  <c r="AN92" i="5"/>
  <c r="AS96" i="5"/>
  <c r="E100" i="8"/>
  <c r="AK96" i="11"/>
  <c r="CU91" i="8"/>
  <c r="CK91" i="8"/>
  <c r="DB95" i="5"/>
  <c r="DE95" i="5"/>
  <c r="BR93" i="8"/>
  <c r="BX93" i="8" s="1"/>
  <c r="CO93" i="8" s="1"/>
  <c r="CP93" i="8" s="1"/>
  <c r="DF95" i="5"/>
  <c r="AE94" i="1"/>
  <c r="W94" i="1" s="1"/>
  <c r="AJ96" i="1"/>
  <c r="AR97" i="8"/>
  <c r="AD97" i="8"/>
  <c r="DH95" i="5"/>
  <c r="K98" i="11"/>
  <c r="A98" i="14"/>
  <c r="CA98" i="14" s="1"/>
  <c r="A98" i="8"/>
  <c r="A98" i="9"/>
  <c r="A98" i="5"/>
  <c r="BF98" i="5" s="1" a="1"/>
  <c r="BF98" i="5" s="1"/>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D93" i="8"/>
  <c r="BP93" i="8" s="1"/>
  <c r="W93" i="8"/>
  <c r="CW93" i="8" s="1"/>
  <c r="BT93" i="5"/>
  <c r="B93" i="7"/>
  <c r="AE93" i="7" s="1"/>
  <c r="AF93" i="7" s="1"/>
  <c r="A93" i="10"/>
  <c r="AA93" i="10" s="1"/>
  <c r="A93" i="11"/>
  <c r="N93" i="11" s="1"/>
  <c r="AI93" i="5"/>
  <c r="AJ93" i="5"/>
  <c r="AP93" i="5" s="1"/>
  <c r="DA93" i="8"/>
  <c r="DB93" i="8" s="1"/>
  <c r="E93" i="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D93" i="9"/>
  <c r="CB98" i="8"/>
  <c r="N92" i="7"/>
  <c r="AG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F104" i="9"/>
  <c r="AJ104" i="9"/>
  <c r="N80" i="1"/>
  <c r="S97" i="2"/>
  <c r="N98" i="2"/>
  <c r="R98" i="2"/>
  <c r="Q97" i="2"/>
  <c r="M98" i="2"/>
  <c r="J99" i="10"/>
  <c r="N99" i="5" s="1"/>
  <c r="P99" i="2"/>
  <c r="O99" i="2"/>
  <c r="AD96" i="1" l="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BE99" i="5" s="1" a="1"/>
  <c r="BE99" i="5" s="1"/>
  <c r="AZ98" i="5" a="1"/>
  <c r="AZ98" i="5" s="1"/>
  <c r="AZ99" i="5" s="1" a="1"/>
  <c r="AZ99" i="5" s="1"/>
  <c r="BG98" i="5" a="1"/>
  <c r="BG98" i="5" s="1"/>
  <c r="BG99" i="5" s="1" a="1"/>
  <c r="BG99" i="5" s="1"/>
  <c r="BM98" i="5" a="1"/>
  <c r="BM98" i="5" s="1"/>
  <c r="BM99" i="5" s="1" a="1"/>
  <c r="BM99" i="5" s="1"/>
  <c r="V96" i="2"/>
  <c r="CL91" i="8"/>
  <c r="CY91" i="8" s="1"/>
  <c r="G91" i="1" s="1"/>
  <c r="M91" i="8" s="1"/>
  <c r="CY90" i="8"/>
  <c r="G90" i="1" s="1"/>
  <c r="M90" i="8" s="1"/>
  <c r="F101" i="8"/>
  <c r="AO93" i="5"/>
  <c r="AV94" i="5"/>
  <c r="BP97" i="5" a="1"/>
  <c r="BP97" i="5" s="1"/>
  <c r="B94" i="7"/>
  <c r="AE94" i="7" s="1"/>
  <c r="AF94" i="7" s="1"/>
  <c r="AG93" i="7"/>
  <c r="AI93" i="7" s="1"/>
  <c r="AG92" i="7"/>
  <c r="AI92" i="7" s="1"/>
  <c r="O102" i="1"/>
  <c r="BY92" i="8"/>
  <c r="BS93" i="8"/>
  <c r="BZ93" i="8" s="1"/>
  <c r="BO93" i="8"/>
  <c r="BK93" i="8"/>
  <c r="BL93" i="8"/>
  <c r="BI93" i="8"/>
  <c r="BJ93" i="8"/>
  <c r="BG93" i="8"/>
  <c r="BH93" i="8"/>
  <c r="BF93" i="8"/>
  <c r="AC93" i="10"/>
  <c r="X93" i="10" s="1"/>
  <c r="AN93" i="5"/>
  <c r="AM93" i="5"/>
  <c r="AS97" i="5"/>
  <c r="E101" i="8"/>
  <c r="AK97" i="11"/>
  <c r="BV93" i="8"/>
  <c r="BW93" i="8"/>
  <c r="CM93" i="8" s="1"/>
  <c r="BT93" i="8"/>
  <c r="BU93" i="8"/>
  <c r="CC93" i="8"/>
  <c r="CS93" i="8" s="1"/>
  <c r="AH97" i="11"/>
  <c r="AJ97" i="1"/>
  <c r="DF96" i="5"/>
  <c r="DE96" i="5"/>
  <c r="AR98" i="8"/>
  <c r="AD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AI94" i="5"/>
  <c r="W94" i="8"/>
  <c r="CW94" i="8" s="1"/>
  <c r="B94" i="9"/>
  <c r="X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G105" i="9"/>
  <c r="CK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O100" i="2"/>
  <c r="M99" i="2"/>
  <c r="AD97" i="1" l="1"/>
  <c r="BO99" i="5" a="1"/>
  <c r="BO99" i="5" s="1"/>
  <c r="BC99" i="5" a="1"/>
  <c r="BC99" i="5" s="1"/>
  <c r="CT99" i="5"/>
  <c r="CS99" i="5"/>
  <c r="CU99" i="5"/>
  <c r="CQ99" i="5"/>
  <c r="CR99" i="5"/>
  <c r="CV99" i="5"/>
  <c r="CW99" i="5"/>
  <c r="BL99" i="5" a="1"/>
  <c r="BL99" i="5" s="1"/>
  <c r="AY99" i="5" a="1"/>
  <c r="AY99" i="5" s="1"/>
  <c r="BJ99" i="5" a="1"/>
  <c r="BJ99" i="5" s="1"/>
  <c r="BJ100" i="5" s="1" a="1"/>
  <c r="BJ100"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Q92" i="8"/>
  <c r="CR92" i="8" s="1"/>
  <c r="O92" i="8"/>
  <c r="CJ93" i="8"/>
  <c r="CN93" i="8" s="1"/>
  <c r="F102" i="8"/>
  <c r="AO94" i="5"/>
  <c r="AV95" i="5"/>
  <c r="BP98" i="5" a="1"/>
  <c r="BP98" i="5" s="1"/>
  <c r="AG94" i="7"/>
  <c r="AI94" i="7" s="1"/>
  <c r="O103" i="1"/>
  <c r="BY93" i="8"/>
  <c r="BS94" i="8"/>
  <c r="BZ94" i="8" s="1"/>
  <c r="BO94" i="8"/>
  <c r="BK94" i="8"/>
  <c r="BL94" i="8"/>
  <c r="BI94" i="8"/>
  <c r="BJ94" i="8"/>
  <c r="BG94" i="8"/>
  <c r="BH94" i="8"/>
  <c r="BF94" i="8"/>
  <c r="AC94" i="10"/>
  <c r="X94" i="10" s="1"/>
  <c r="AN94" i="5"/>
  <c r="AM94" i="5"/>
  <c r="AS98" i="5"/>
  <c r="E102" i="8"/>
  <c r="AM98" i="1"/>
  <c r="CU93" i="8"/>
  <c r="CK93" i="8"/>
  <c r="AH98" i="11"/>
  <c r="DB97" i="5"/>
  <c r="DF97" i="5"/>
  <c r="DE97" i="5"/>
  <c r="AF96" i="1"/>
  <c r="AD99" i="8"/>
  <c r="AR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BW94" i="8"/>
  <c r="CM94" i="8" s="1"/>
  <c r="BV94" i="8"/>
  <c r="BX94" i="8"/>
  <c r="CO94" i="8" s="1"/>
  <c r="CP94" i="8" s="1"/>
  <c r="CD94" i="8"/>
  <c r="CT94" i="8" s="1"/>
  <c r="CU94" i="8" s="1"/>
  <c r="D95" i="9"/>
  <c r="CL92" i="8"/>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G106" i="9"/>
  <c r="AJ95" i="5"/>
  <c r="AP95" i="5" s="1"/>
  <c r="AB95" i="8"/>
  <c r="BM95" i="8" s="1"/>
  <c r="E95" i="1"/>
  <c r="BT95" i="5"/>
  <c r="A95" i="11"/>
  <c r="W95" i="8"/>
  <c r="CW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N101" i="5" s="1"/>
  <c r="AD98" i="1" l="1"/>
  <c r="BF100" i="5" a="1"/>
  <c r="BF100" i="5" s="1"/>
  <c r="CS100" i="5"/>
  <c r="CT100" i="5"/>
  <c r="CR100" i="5"/>
  <c r="CV100" i="5"/>
  <c r="CW100" i="5"/>
  <c r="CQ100" i="5"/>
  <c r="CU100" i="5"/>
  <c r="AY100" i="5" a="1"/>
  <c r="AY100" i="5" s="1"/>
  <c r="BL100" i="5" a="1"/>
  <c r="BL100" i="5" s="1"/>
  <c r="BI100" i="5" a="1"/>
  <c r="BI100" i="5" s="1"/>
  <c r="BI101" i="5" s="1" a="1"/>
  <c r="BI101" i="5" s="1"/>
  <c r="BB100" i="5" a="1"/>
  <c r="BB100" i="5" s="1"/>
  <c r="BN100" i="5" a="1"/>
  <c r="BN100" i="5" s="1"/>
  <c r="BN101" i="5" s="1" a="1"/>
  <c r="BN101" i="5" s="1"/>
  <c r="BC100" i="5" a="1"/>
  <c r="BC100" i="5" s="1"/>
  <c r="BC101" i="5" s="1" a="1"/>
  <c r="BC101" i="5" s="1"/>
  <c r="BH100" i="5" a="1"/>
  <c r="BH100" i="5" s="1"/>
  <c r="BE100" i="5" a="1"/>
  <c r="BE100" i="5" s="1"/>
  <c r="BE101" i="5" s="1" a="1"/>
  <c r="BE101" i="5" s="1"/>
  <c r="BQ100" i="5" a="1"/>
  <c r="BQ100" i="5" s="1"/>
  <c r="BO100" i="5" a="1"/>
  <c r="BO100" i="5" s="1"/>
  <c r="BD100" i="5" a="1"/>
  <c r="BD100" i="5" s="1"/>
  <c r="AZ100" i="5" a="1"/>
  <c r="AZ100" i="5" s="1"/>
  <c r="BK100" i="5" a="1"/>
  <c r="BK100" i="5" s="1"/>
  <c r="BG100" i="5" a="1"/>
  <c r="BG100" i="5" s="1"/>
  <c r="BA100" i="5" a="1"/>
  <c r="BA100" i="5" s="1"/>
  <c r="BM100" i="5" a="1"/>
  <c r="BM100" i="5" s="1"/>
  <c r="V98" i="2"/>
  <c r="CY92" i="8"/>
  <c r="G92" i="1" s="1"/>
  <c r="M92" i="8" s="1"/>
  <c r="CL93" i="8"/>
  <c r="CQ93" i="8"/>
  <c r="CR93" i="8" s="1"/>
  <c r="O93" i="8"/>
  <c r="F103" i="8"/>
  <c r="CJ94" i="8"/>
  <c r="CN94" i="8" s="1"/>
  <c r="AO95" i="5"/>
  <c r="AV96" i="5"/>
  <c r="BP99" i="5" a="1"/>
  <c r="BP99" i="5" s="1"/>
  <c r="AJ96" i="5"/>
  <c r="AP96" i="5" s="1"/>
  <c r="O104" i="1"/>
  <c r="AN95" i="5"/>
  <c r="BY94" i="8"/>
  <c r="O94" i="8" s="1"/>
  <c r="BS95" i="8"/>
  <c r="BY95" i="8" s="1"/>
  <c r="BO95" i="8"/>
  <c r="BK95" i="8"/>
  <c r="BL95" i="8"/>
  <c r="BI95" i="8"/>
  <c r="BJ95" i="8"/>
  <c r="BG95" i="8"/>
  <c r="BH95" i="8"/>
  <c r="BF95" i="8"/>
  <c r="AC95" i="10"/>
  <c r="X95" i="10" s="1"/>
  <c r="AM95" i="5"/>
  <c r="AS99" i="5"/>
  <c r="E103" i="8"/>
  <c r="AH99" i="11"/>
  <c r="DA96" i="8"/>
  <c r="DB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B96" i="7"/>
  <c r="Q96" i="7" s="1"/>
  <c r="CF96" i="8"/>
  <c r="A96" i="10"/>
  <c r="AA96" i="10" s="1"/>
  <c r="A96" i="11"/>
  <c r="N96" i="11" s="1"/>
  <c r="AI96" i="5"/>
  <c r="AB96" i="8"/>
  <c r="BM96" i="8" s="1"/>
  <c r="BE96" i="8"/>
  <c r="BN96" i="8" s="1"/>
  <c r="BR96" i="8"/>
  <c r="BW96" i="8" s="1"/>
  <c r="CM96" i="8" s="1"/>
  <c r="B96" i="9"/>
  <c r="X96" i="9" s="1"/>
  <c r="W96" i="8"/>
  <c r="CW96" i="8" s="1"/>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G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O102" i="2"/>
  <c r="AD99" i="1" l="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AD100" i="1" s="1"/>
  <c r="BO101" i="5" a="1"/>
  <c r="BO101" i="5" s="1"/>
  <c r="BQ101" i="5" a="1"/>
  <c r="BQ101" i="5" s="1"/>
  <c r="BF101" i="5" a="1"/>
  <c r="BF101" i="5" s="1"/>
  <c r="BH101" i="5" a="1"/>
  <c r="BH101" i="5" s="1"/>
  <c r="BJ101" i="5" a="1"/>
  <c r="BJ101" i="5" s="1"/>
  <c r="BJ102" i="5" s="1" a="1"/>
  <c r="BJ102" i="5" s="1"/>
  <c r="V99" i="2"/>
  <c r="CY93" i="8"/>
  <c r="G93" i="1" s="1"/>
  <c r="M93" i="8" s="1"/>
  <c r="CL94" i="8"/>
  <c r="O95" i="8"/>
  <c r="F104" i="8"/>
  <c r="AV97" i="5"/>
  <c r="AC96" i="10"/>
  <c r="X96" i="10" s="1"/>
  <c r="AO96" i="5"/>
  <c r="BP100" i="5" a="1"/>
  <c r="BP100" i="5" s="1"/>
  <c r="AG95" i="7"/>
  <c r="AI95" i="7" s="1"/>
  <c r="O105" i="1"/>
  <c r="CQ94" i="8"/>
  <c r="CR94" i="8" s="1"/>
  <c r="BZ95" i="8"/>
  <c r="CQ95" i="8" s="1"/>
  <c r="CR95" i="8" s="1"/>
  <c r="BS96" i="8"/>
  <c r="BY96" i="8" s="1"/>
  <c r="BO96" i="8"/>
  <c r="BK96" i="8"/>
  <c r="BL96" i="8"/>
  <c r="BI96" i="8"/>
  <c r="BJ96" i="8"/>
  <c r="BG96" i="8"/>
  <c r="BH96" i="8"/>
  <c r="BF96" i="8"/>
  <c r="AM96" i="5"/>
  <c r="AN96" i="5"/>
  <c r="AR96" i="5" s="1"/>
  <c r="AS100" i="5"/>
  <c r="E104" i="8"/>
  <c r="AK100" i="11"/>
  <c r="AH100" i="11"/>
  <c r="CD96" i="8"/>
  <c r="CT96" i="8" s="1"/>
  <c r="BR97" i="8"/>
  <c r="BX97" i="8" s="1"/>
  <c r="CO97" i="8" s="1"/>
  <c r="CP97" i="8" s="1"/>
  <c r="DF99" i="5"/>
  <c r="AJ100" i="1"/>
  <c r="DB99" i="5"/>
  <c r="AM100" i="1"/>
  <c r="DE99" i="5"/>
  <c r="AD101" i="8"/>
  <c r="AR101" i="8"/>
  <c r="K102" i="11"/>
  <c r="A102" i="14"/>
  <c r="CA102" i="14" s="1"/>
  <c r="A102" i="5"/>
  <c r="BC102" i="5" s="1" a="1"/>
  <c r="BC102" i="5" s="1"/>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BU96" i="8"/>
  <c r="BX96" i="8"/>
  <c r="CO96" i="8" s="1"/>
  <c r="CP96" i="8" s="1"/>
  <c r="D97" i="9"/>
  <c r="A97" i="10"/>
  <c r="AA97" i="10" s="1"/>
  <c r="AI97" i="5"/>
  <c r="AJ97" i="5"/>
  <c r="AP97" i="5" s="1"/>
  <c r="BT97" i="5"/>
  <c r="B97" i="9"/>
  <c r="X97" i="9" s="1"/>
  <c r="E97" i="1"/>
  <c r="A97" i="11"/>
  <c r="AB96" i="11" s="1"/>
  <c r="P96" i="8" s="1"/>
  <c r="W97" i="8"/>
  <c r="CW97" i="8" s="1"/>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G108" i="9"/>
  <c r="AR95" i="5"/>
  <c r="AQ95" i="5"/>
  <c r="CK95" i="8"/>
  <c r="CU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O103" i="2"/>
  <c r="M102" i="2"/>
  <c r="BD102" i="5" l="1"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O103" i="5" s="1" a="1"/>
  <c r="BO103" i="5" s="1"/>
  <c r="BM102" i="5" a="1"/>
  <c r="BM102" i="5" s="1"/>
  <c r="CV102" i="5"/>
  <c r="CW102" i="5"/>
  <c r="CT102" i="5"/>
  <c r="CR102" i="5"/>
  <c r="CQ102" i="5"/>
  <c r="CS102" i="5"/>
  <c r="CU102" i="5"/>
  <c r="AY102" i="5" a="1"/>
  <c r="AY102" i="5" s="1"/>
  <c r="BL102" i="5" a="1"/>
  <c r="BL102" i="5" s="1"/>
  <c r="BI102" i="5" a="1"/>
  <c r="BI102" i="5" s="1"/>
  <c r="BB102" i="5" a="1"/>
  <c r="BB102" i="5" s="1"/>
  <c r="BN102" i="5" a="1"/>
  <c r="BN102" i="5" s="1"/>
  <c r="CY94" i="8"/>
  <c r="G94" i="1" s="1"/>
  <c r="M94" i="8" s="1"/>
  <c r="V100" i="2"/>
  <c r="AQ96" i="5"/>
  <c r="O96" i="8"/>
  <c r="CJ96" i="8"/>
  <c r="CN96" i="8" s="1"/>
  <c r="F105" i="8"/>
  <c r="AO97" i="5"/>
  <c r="AV98" i="5"/>
  <c r="BP101" i="5" a="1"/>
  <c r="BP101" i="5" s="1"/>
  <c r="AG97" i="7"/>
  <c r="AI97" i="7" s="1"/>
  <c r="AG96" i="7"/>
  <c r="AI96" i="7" s="1"/>
  <c r="O106" i="1"/>
  <c r="BZ96" i="8"/>
  <c r="CQ96" i="8" s="1"/>
  <c r="CR96" i="8" s="1"/>
  <c r="BS97" i="8"/>
  <c r="BZ97" i="8" s="1"/>
  <c r="BO97" i="8"/>
  <c r="BK97" i="8"/>
  <c r="BL97" i="8"/>
  <c r="BI97" i="8"/>
  <c r="BJ97" i="8"/>
  <c r="BG97" i="8"/>
  <c r="BH97" i="8"/>
  <c r="BF97" i="8"/>
  <c r="AC97" i="10"/>
  <c r="X97" i="10" s="1"/>
  <c r="AM97" i="5"/>
  <c r="AN97" i="5"/>
  <c r="AS101" i="5"/>
  <c r="E105" i="8"/>
  <c r="CU96" i="8"/>
  <c r="AH101" i="11"/>
  <c r="DE100" i="5"/>
  <c r="CC97" i="8"/>
  <c r="CS97" i="8" s="1"/>
  <c r="BT97" i="8"/>
  <c r="BV97" i="8"/>
  <c r="BW97" i="8"/>
  <c r="CM97" i="8" s="1"/>
  <c r="BU97" i="8"/>
  <c r="DB100" i="5"/>
  <c r="DF100" i="5"/>
  <c r="AM101" i="1"/>
  <c r="K103" i="11"/>
  <c r="A103" i="14"/>
  <c r="CA103" i="14" s="1"/>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B97" i="14"/>
  <c r="Z96" i="11"/>
  <c r="N97" i="7"/>
  <c r="AD96" i="11"/>
  <c r="AI96" i="1" s="1"/>
  <c r="N97" i="11"/>
  <c r="Q97" i="7"/>
  <c r="AA96" i="11"/>
  <c r="AK96" i="1" s="1"/>
  <c r="CD97" i="8"/>
  <c r="CT97" i="8" s="1"/>
  <c r="AC96" i="11"/>
  <c r="T96" i="8" s="1"/>
  <c r="Y96" i="11"/>
  <c r="AH96" i="1" s="1"/>
  <c r="AB98" i="8"/>
  <c r="BM98" i="8" s="1"/>
  <c r="D98" i="9"/>
  <c r="B98" i="9"/>
  <c r="X98" i="9" s="1"/>
  <c r="BR98" i="8"/>
  <c r="BW98" i="8" s="1"/>
  <c r="CM98" i="8" s="1"/>
  <c r="AJ98" i="5"/>
  <c r="AP98" i="5" s="1"/>
  <c r="B100" i="5"/>
  <c r="E98" i="1"/>
  <c r="BE98" i="8"/>
  <c r="BN98" i="8" s="1"/>
  <c r="W98" i="8"/>
  <c r="CW98" i="8" s="1"/>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G109" i="9"/>
  <c r="J99" i="2"/>
  <c r="CZ100" i="5"/>
  <c r="C99" i="5"/>
  <c r="F99" i="5" s="1"/>
  <c r="AW99" i="5" s="1"/>
  <c r="AB100" i="1"/>
  <c r="DI100" i="5"/>
  <c r="C100" i="5"/>
  <c r="AC99" i="1"/>
  <c r="DA99" i="5"/>
  <c r="DG99" i="5" s="1" a="1"/>
  <c r="DG99" i="5" s="1"/>
  <c r="AF109" i="9"/>
  <c r="AJ109" i="9"/>
  <c r="N85" i="1"/>
  <c r="S102" i="2"/>
  <c r="N103" i="2"/>
  <c r="R103" i="2"/>
  <c r="Q102" i="2"/>
  <c r="J104" i="10"/>
  <c r="N104" i="5" s="1"/>
  <c r="O104" i="2"/>
  <c r="M103" i="2"/>
  <c r="P104" i="2"/>
  <c r="AD101" i="1" l="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L96" i="8"/>
  <c r="CY96" i="8" s="1"/>
  <c r="G96" i="1" s="1"/>
  <c r="M96" i="8" s="1"/>
  <c r="CJ97" i="8"/>
  <c r="CN97" i="8" s="1"/>
  <c r="F106" i="8"/>
  <c r="AV99" i="5"/>
  <c r="AO98" i="5"/>
  <c r="BP102" i="5" a="1"/>
  <c r="BP102" i="5" s="1"/>
  <c r="O107" i="1"/>
  <c r="BY97" i="8"/>
  <c r="BS98" i="8"/>
  <c r="BZ98" i="8" s="1"/>
  <c r="BO98" i="8"/>
  <c r="BK98" i="8"/>
  <c r="BL98" i="8"/>
  <c r="BI98" i="8"/>
  <c r="BJ98" i="8"/>
  <c r="BG98" i="8"/>
  <c r="BH98" i="8"/>
  <c r="BF98" i="8"/>
  <c r="AM98" i="5"/>
  <c r="AN98" i="5"/>
  <c r="AC98" i="10"/>
  <c r="X98" i="10" s="1"/>
  <c r="AS102" i="5"/>
  <c r="E106" i="8"/>
  <c r="AH102" i="11"/>
  <c r="CK97" i="8"/>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CA104" i="14" s="1"/>
  <c r="A104" i="8"/>
  <c r="A104" i="2"/>
  <c r="A104" i="7"/>
  <c r="R104" i="7" s="1"/>
  <c r="A104" i="9"/>
  <c r="A104" i="5"/>
  <c r="AJ102" i="1"/>
  <c r="AQ97" i="5"/>
  <c r="AR97" i="5"/>
  <c r="N98" i="7"/>
  <c r="AD97" i="11"/>
  <c r="AI97" i="1" s="1"/>
  <c r="CC98" i="8"/>
  <c r="CS98" i="8" s="1"/>
  <c r="CD98" i="8"/>
  <c r="CT98" i="8" s="1"/>
  <c r="BX98" i="8"/>
  <c r="CO98" i="8" s="1"/>
  <c r="CP98" i="8" s="1"/>
  <c r="BT98" i="8"/>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G110" i="9"/>
  <c r="CZ101" i="5"/>
  <c r="AB99" i="8"/>
  <c r="BM99" i="8" s="1"/>
  <c r="BT99" i="5"/>
  <c r="AJ99" i="5"/>
  <c r="AP99" i="5" s="1"/>
  <c r="A99" i="10"/>
  <c r="AA99" i="10" s="1"/>
  <c r="B99" i="7"/>
  <c r="W99" i="8"/>
  <c r="CW99" i="8" s="1"/>
  <c r="E99" i="1"/>
  <c r="A99" i="11"/>
  <c r="AI99" i="5"/>
  <c r="B99" i="9"/>
  <c r="X99" i="9" s="1"/>
  <c r="J100" i="2"/>
  <c r="AC100" i="1"/>
  <c r="DA100" i="5"/>
  <c r="DG100" i="5" s="1" a="1"/>
  <c r="DG100" i="5" s="1"/>
  <c r="AB101" i="1"/>
  <c r="DI101" i="5"/>
  <c r="AF110" i="9"/>
  <c r="AJ110" i="9"/>
  <c r="N86" i="1"/>
  <c r="S103" i="2"/>
  <c r="N104" i="2"/>
  <c r="R104" i="2"/>
  <c r="Q103" i="2"/>
  <c r="O105" i="2"/>
  <c r="J105" i="10"/>
  <c r="N105" i="5" s="1"/>
  <c r="M104" i="2"/>
  <c r="P105" i="2"/>
  <c r="AD102" i="1" l="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I105" i="5" s="1" a="1"/>
  <c r="BI105" i="5" s="1"/>
  <c r="BO104" i="5" a="1"/>
  <c r="BO104" i="5" s="1"/>
  <c r="BO105" i="5" s="1" a="1"/>
  <c r="BO105"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L97" i="8"/>
  <c r="CQ97" i="8"/>
  <c r="CR97" i="8" s="1"/>
  <c r="O97" i="8"/>
  <c r="CJ98" i="8"/>
  <c r="CN98" i="8" s="1"/>
  <c r="F107" i="8"/>
  <c r="AO99" i="5"/>
  <c r="AV100" i="5"/>
  <c r="BP103" i="5" a="1"/>
  <c r="BP103" i="5" s="1"/>
  <c r="DA100" i="8"/>
  <c r="DB100" i="8" s="1"/>
  <c r="AG98" i="7"/>
  <c r="AI98" i="7" s="1"/>
  <c r="O108" i="1"/>
  <c r="BY98" i="8"/>
  <c r="BO99" i="8"/>
  <c r="BP99" i="8"/>
  <c r="BK99" i="8"/>
  <c r="BL99" i="8"/>
  <c r="BI99" i="8"/>
  <c r="BJ99" i="8"/>
  <c r="BG99" i="8"/>
  <c r="BH99" i="8"/>
  <c r="BF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CA105" i="14" s="1"/>
  <c r="A105" i="8"/>
  <c r="A105" i="2"/>
  <c r="A105" i="9"/>
  <c r="A105" i="5"/>
  <c r="A105" i="7"/>
  <c r="R105" i="7" s="1"/>
  <c r="AE101" i="1"/>
  <c r="W101" i="1" s="1"/>
  <c r="AI100" i="5"/>
  <c r="B100" i="9"/>
  <c r="X100" i="9" s="1"/>
  <c r="BE100" i="8"/>
  <c r="BN100" i="8" s="1"/>
  <c r="AJ100" i="5"/>
  <c r="AP100" i="5" s="1"/>
  <c r="A100" i="11"/>
  <c r="N100" i="11" s="1"/>
  <c r="BD100" i="8"/>
  <c r="BP100" i="8" s="1"/>
  <c r="W100" i="8"/>
  <c r="CW100" i="8" s="1"/>
  <c r="BR100" i="8"/>
  <c r="CC100" i="8" s="1"/>
  <c r="CS100" i="8" s="1"/>
  <c r="A100" i="10"/>
  <c r="AA100" i="10" s="1"/>
  <c r="BT100" i="5"/>
  <c r="CF100" i="8"/>
  <c r="E100" i="1"/>
  <c r="AB100" i="8"/>
  <c r="BM100" i="8" s="1"/>
  <c r="B100" i="7"/>
  <c r="AE100" i="7" s="1"/>
  <c r="AF100" i="7" s="1"/>
  <c r="B98" i="14"/>
  <c r="CU98" i="8"/>
  <c r="AQ98" i="5"/>
  <c r="CK98" i="8"/>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G111" i="9"/>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O106" i="2"/>
  <c r="AD103" i="1" l="1"/>
  <c r="BD105" i="5" a="1"/>
  <c r="BD105" i="5" s="1"/>
  <c r="CQ105" i="5"/>
  <c r="CW105" i="5"/>
  <c r="CR105" i="5"/>
  <c r="CV105" i="5"/>
  <c r="CT105" i="5"/>
  <c r="CU105" i="5"/>
  <c r="CS105" i="5"/>
  <c r="AY105" i="5" a="1"/>
  <c r="AY105" i="5" s="1"/>
  <c r="BL105" i="5" a="1"/>
  <c r="BL105" i="5" s="1"/>
  <c r="BE105" i="5" a="1"/>
  <c r="BE105" i="5" s="1"/>
  <c r="BK105" i="5" a="1"/>
  <c r="BK105" i="5" s="1"/>
  <c r="BC105" i="5" a="1"/>
  <c r="BC105" i="5" s="1"/>
  <c r="BC106" i="5" s="1" a="1"/>
  <c r="BC106" i="5" s="1"/>
  <c r="BM105" i="5" a="1"/>
  <c r="BM105" i="5" s="1"/>
  <c r="BM106" i="5" s="1" a="1"/>
  <c r="BM106"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L98" i="8"/>
  <c r="CY97" i="8"/>
  <c r="G97" i="1" s="1"/>
  <c r="M97" i="8" s="1"/>
  <c r="V103" i="2"/>
  <c r="CD100" i="8"/>
  <c r="CT100" i="8" s="1"/>
  <c r="CU100" i="8" s="1"/>
  <c r="CQ98" i="8"/>
  <c r="CR98" i="8" s="1"/>
  <c r="O98" i="8"/>
  <c r="F108" i="8"/>
  <c r="AO100" i="5"/>
  <c r="AV101" i="5"/>
  <c r="BP104" i="5" a="1"/>
  <c r="BP104" i="5" s="1"/>
  <c r="AG100" i="7"/>
  <c r="AI100" i="7" s="1"/>
  <c r="AG99" i="7"/>
  <c r="AI99" i="7" s="1"/>
  <c r="O109" i="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J99" i="8"/>
  <c r="CN99" i="8" s="1"/>
  <c r="DA101" i="8"/>
  <c r="DB101" i="8" s="1"/>
  <c r="CF101" i="8"/>
  <c r="CB106" i="8"/>
  <c r="BR101" i="8"/>
  <c r="BE101" i="8"/>
  <c r="BN101" i="8" s="1"/>
  <c r="BD101" i="8"/>
  <c r="BP101" i="8" s="1"/>
  <c r="AG112" i="9"/>
  <c r="B101" i="7"/>
  <c r="AI101" i="5"/>
  <c r="A101" i="10"/>
  <c r="AA101" i="10" s="1"/>
  <c r="E101" i="1"/>
  <c r="BT101" i="5"/>
  <c r="W101" i="8"/>
  <c r="CW101" i="8" s="1"/>
  <c r="AB101" i="8"/>
  <c r="BM101" i="8" s="1"/>
  <c r="AJ101" i="5"/>
  <c r="AP101" i="5" s="1"/>
  <c r="A101" i="11"/>
  <c r="CK99" i="8"/>
  <c r="B101" i="9"/>
  <c r="X101" i="9" s="1"/>
  <c r="CZ103" i="5"/>
  <c r="AR99" i="5"/>
  <c r="J102" i="2"/>
  <c r="CU99" i="8"/>
  <c r="B99" i="14"/>
  <c r="AQ99" i="5"/>
  <c r="AC102" i="1"/>
  <c r="DA102" i="5"/>
  <c r="DG102" i="5" s="1" a="1"/>
  <c r="DG102" i="5" s="1"/>
  <c r="AB103" i="1"/>
  <c r="DI103" i="5"/>
  <c r="AF112" i="9"/>
  <c r="AJ112" i="9"/>
  <c r="N88" i="1"/>
  <c r="S105" i="2"/>
  <c r="N106" i="2"/>
  <c r="R106" i="2"/>
  <c r="Q105" i="2"/>
  <c r="P107" i="2"/>
  <c r="M106" i="2"/>
  <c r="J107" i="10"/>
  <c r="N107" i="5" s="1"/>
  <c r="O107" i="2"/>
  <c r="CY98" i="8" l="1"/>
  <c r="G98" i="1" s="1"/>
  <c r="M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G107" i="5" s="1" a="1"/>
  <c r="BG107" i="5" s="1"/>
  <c r="BM107" i="5" a="1"/>
  <c r="BM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BI107" i="5" s="1" a="1"/>
  <c r="BI107" i="5" s="1"/>
  <c r="V104" i="2"/>
  <c r="CQ99" i="8"/>
  <c r="CR99" i="8" s="1"/>
  <c r="O99" i="8"/>
  <c r="F109" i="8"/>
  <c r="CJ100" i="8"/>
  <c r="CN100" i="8" s="1"/>
  <c r="AO101" i="5"/>
  <c r="AV102" i="5"/>
  <c r="BP105" i="5" a="1"/>
  <c r="BP105" i="5" s="1"/>
  <c r="O110" i="1"/>
  <c r="BY100" i="8"/>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CA107" i="14" s="1"/>
  <c r="A107" i="7"/>
  <c r="R107" i="7" s="1"/>
  <c r="A107" i="8"/>
  <c r="A107" i="9"/>
  <c r="A107" i="5"/>
  <c r="BC107" i="5" s="1" a="1"/>
  <c r="BC107" i="5" s="1"/>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AR100" i="5"/>
  <c r="BD102" i="8"/>
  <c r="BP102" i="8" s="1"/>
  <c r="A102" i="11"/>
  <c r="Y101" i="11" s="1"/>
  <c r="AH101" i="1" s="1"/>
  <c r="CL99" i="8"/>
  <c r="BT102" i="5"/>
  <c r="AI102" i="5"/>
  <c r="B102" i="7"/>
  <c r="AE102" i="7" s="1"/>
  <c r="AF102" i="7" s="1"/>
  <c r="A102" i="10"/>
  <c r="AA102" i="10" s="1"/>
  <c r="DA102" i="8"/>
  <c r="DB102" i="8" s="1"/>
  <c r="AB102" i="8"/>
  <c r="BM102" i="8" s="1"/>
  <c r="B102" i="9"/>
  <c r="X102" i="9" s="1"/>
  <c r="CF102" i="8"/>
  <c r="W102" i="8"/>
  <c r="CW102" i="8" s="1"/>
  <c r="AJ102" i="5"/>
  <c r="AP102" i="5" s="1"/>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D101" i="8"/>
  <c r="CT101" i="8" s="1"/>
  <c r="CB107" i="8"/>
  <c r="BS101" i="8"/>
  <c r="BY101" i="8" s="1"/>
  <c r="N101" i="7"/>
  <c r="AG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N108" i="5" s="1"/>
  <c r="P108" i="2"/>
  <c r="AD105" i="1" l="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L100" i="8"/>
  <c r="CY99" i="8"/>
  <c r="G99" i="1" s="1"/>
  <c r="M99" i="8" s="1"/>
  <c r="O101" i="8"/>
  <c r="CQ100" i="8"/>
  <c r="CR100" i="8" s="1"/>
  <c r="O100" i="8"/>
  <c r="F110" i="8"/>
  <c r="AO102" i="5"/>
  <c r="AV103" i="5"/>
  <c r="BP106" i="5" a="1"/>
  <c r="BP106" i="5" s="1"/>
  <c r="AG101" i="7"/>
  <c r="AI101" i="7" s="1"/>
  <c r="AG102" i="7"/>
  <c r="AI102" i="7" s="1"/>
  <c r="O111" i="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BR103" i="8"/>
  <c r="BE103" i="8"/>
  <c r="BN103" i="8" s="1"/>
  <c r="BZ101" i="8"/>
  <c r="CQ101" i="8" s="1"/>
  <c r="CR101" i="8" s="1"/>
  <c r="AJ103" i="5"/>
  <c r="AP103" i="5" s="1"/>
  <c r="BD103" i="8"/>
  <c r="BP103" i="8" s="1"/>
  <c r="AG114" i="9"/>
  <c r="AR101" i="5"/>
  <c r="B101" i="14"/>
  <c r="CK101" i="8"/>
  <c r="AQ101" i="5"/>
  <c r="W103" i="8"/>
  <c r="CW103" i="8" s="1"/>
  <c r="E103" i="1"/>
  <c r="B103" i="9"/>
  <c r="X103" i="9" s="1"/>
  <c r="AI103" i="5"/>
  <c r="A103" i="11"/>
  <c r="AB103" i="8"/>
  <c r="BM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O109" i="2"/>
  <c r="P109" i="2"/>
  <c r="AD106" i="1" l="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BD109" i="5" s="1" a="1"/>
  <c r="BD109" i="5" s="1"/>
  <c r="AZ108" i="5" a="1"/>
  <c r="AZ108" i="5" s="1"/>
  <c r="BM108" i="5" a="1"/>
  <c r="BM108" i="5" s="1"/>
  <c r="BM109" i="5" s="1" a="1"/>
  <c r="BM109" i="5" s="1"/>
  <c r="BA108" i="5" a="1"/>
  <c r="BA108" i="5" s="1"/>
  <c r="BA109" i="5" s="1" a="1"/>
  <c r="BA109"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BC109" i="5" s="1" a="1"/>
  <c r="BC109" i="5" s="1"/>
  <c r="CY100" i="8"/>
  <c r="G100" i="1" s="1"/>
  <c r="M100" i="8" s="1"/>
  <c r="V106" i="2"/>
  <c r="CJ102" i="8"/>
  <c r="CN102" i="8" s="1"/>
  <c r="F111" i="8"/>
  <c r="AO103" i="5"/>
  <c r="AV104" i="5"/>
  <c r="BP107" i="5" a="1"/>
  <c r="BP107" i="5" s="1"/>
  <c r="DA104" i="8"/>
  <c r="DB104" i="8" s="1"/>
  <c r="O112" i="1"/>
  <c r="BY102" i="8"/>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F104" i="8"/>
  <c r="W104" i="8"/>
  <c r="CW104" i="8" s="1"/>
  <c r="A104" i="10"/>
  <c r="AA104" i="10" s="1"/>
  <c r="BE104" i="8"/>
  <c r="BN104" i="8" s="1"/>
  <c r="B104" i="9"/>
  <c r="X104" i="9" s="1"/>
  <c r="AB104" i="8"/>
  <c r="BM104" i="8" s="1"/>
  <c r="BD104" i="8"/>
  <c r="BP104" i="8" s="1"/>
  <c r="BR104" i="8"/>
  <c r="BW104" i="8" s="1"/>
  <c r="CM104" i="8" s="1"/>
  <c r="E104" i="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B109" i="8"/>
  <c r="N103" i="7"/>
  <c r="AG115" i="9"/>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F115" i="9"/>
  <c r="AJ115" i="9"/>
  <c r="N91" i="1"/>
  <c r="S108" i="2"/>
  <c r="N109" i="2"/>
  <c r="R109" i="2"/>
  <c r="Q108" i="2"/>
  <c r="M109" i="2"/>
  <c r="P110" i="2"/>
  <c r="O110" i="2"/>
  <c r="J110" i="10"/>
  <c r="N110" i="5" s="1"/>
  <c r="AD107" i="1" l="1"/>
  <c r="AZ109" i="5" a="1"/>
  <c r="AZ109" i="5" s="1"/>
  <c r="BB109" i="5" a="1"/>
  <c r="BB109" i="5" s="1"/>
  <c r="BQ109" i="5" a="1"/>
  <c r="BQ109" i="5" s="1"/>
  <c r="BE109" i="5" a="1"/>
  <c r="BE109" i="5" s="1"/>
  <c r="BE110" i="5" s="1" a="1"/>
  <c r="BE110" i="5" s="1"/>
  <c r="CV109" i="5"/>
  <c r="CU109" i="5"/>
  <c r="CS109" i="5"/>
  <c r="CW109" i="5"/>
  <c r="CT109" i="5"/>
  <c r="CR109" i="5"/>
  <c r="CQ109" i="5"/>
  <c r="AY109" i="5" a="1"/>
  <c r="AY109" i="5" s="1"/>
  <c r="BL109" i="5" a="1"/>
  <c r="BL109" i="5" s="1"/>
  <c r="BK109" i="5" a="1"/>
  <c r="BK109" i="5" s="1"/>
  <c r="BK110" i="5" s="1" a="1"/>
  <c r="BK110" i="5" s="1"/>
  <c r="BG109" i="5" a="1"/>
  <c r="BG109" i="5" s="1"/>
  <c r="BG110" i="5" s="1" a="1"/>
  <c r="BG110" i="5" s="1"/>
  <c r="BN109" i="5" a="1"/>
  <c r="BN109" i="5" s="1"/>
  <c r="BI109" i="5" a="1"/>
  <c r="BI109" i="5" s="1"/>
  <c r="BI110" i="5" s="1" a="1"/>
  <c r="BI110" i="5" s="1"/>
  <c r="BC110" i="5" a="1"/>
  <c r="BC110" i="5" s="1"/>
  <c r="BF109" i="5" a="1"/>
  <c r="BF109" i="5" s="1"/>
  <c r="BF110" i="5" s="1" a="1"/>
  <c r="BF110" i="5" s="1"/>
  <c r="BH110" i="5" a="1"/>
  <c r="BH110" i="5" s="1"/>
  <c r="BO109" i="5" a="1"/>
  <c r="BO109" i="5" s="1"/>
  <c r="BO110" i="5" s="1" a="1"/>
  <c r="BO110" i="5" s="1"/>
  <c r="V107" i="2"/>
  <c r="CD104" i="8"/>
  <c r="CT104" i="8" s="1"/>
  <c r="CL102" i="8"/>
  <c r="O103" i="8"/>
  <c r="CQ102" i="8"/>
  <c r="CR102" i="8" s="1"/>
  <c r="O102" i="8"/>
  <c r="F112" i="8"/>
  <c r="AO104" i="5"/>
  <c r="AV105" i="5"/>
  <c r="BP108" i="5" a="1"/>
  <c r="BP108" i="5" s="1"/>
  <c r="AG103" i="7"/>
  <c r="AI103" i="7" s="1"/>
  <c r="O113" i="1"/>
  <c r="BZ103" i="8"/>
  <c r="CQ103" i="8" s="1"/>
  <c r="CR103" i="8" s="1"/>
  <c r="BS104" i="8"/>
  <c r="BY104" i="8" s="1"/>
  <c r="BO104" i="8"/>
  <c r="BK104" i="8"/>
  <c r="BL104" i="8"/>
  <c r="BI104" i="8"/>
  <c r="BJ104" i="8"/>
  <c r="BG104" i="8"/>
  <c r="BH104" i="8"/>
  <c r="BF104" i="8"/>
  <c r="AC104" i="10"/>
  <c r="X104" i="10" s="1"/>
  <c r="AM104" i="5"/>
  <c r="AN104" i="5"/>
  <c r="AS108" i="5"/>
  <c r="E112" i="8"/>
  <c r="AK108" i="11"/>
  <c r="CF105" i="8"/>
  <c r="DF107" i="5"/>
  <c r="AH108" i="11"/>
  <c r="DB107" i="5"/>
  <c r="DE107" i="5"/>
  <c r="AE106" i="1"/>
  <c r="W106" i="1" s="1"/>
  <c r="K110" i="11"/>
  <c r="A110" i="14"/>
  <c r="CA110" i="14" s="1"/>
  <c r="A110" i="5"/>
  <c r="BJ110" i="5" s="1" a="1"/>
  <c r="BJ110" i="5" s="1"/>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D105" i="9"/>
  <c r="N104" i="7"/>
  <c r="AB105" i="8"/>
  <c r="BM105" i="8" s="1"/>
  <c r="W105" i="8"/>
  <c r="CW105" i="8" s="1"/>
  <c r="AI105" i="5"/>
  <c r="B105" i="9"/>
  <c r="X105" i="9" s="1"/>
  <c r="B105" i="7"/>
  <c r="AE105" i="7" s="1"/>
  <c r="AF105" i="7" s="1"/>
  <c r="BT104" i="8"/>
  <c r="BU104" i="8"/>
  <c r="BX104" i="8"/>
  <c r="CO104" i="8" s="1"/>
  <c r="CP104" i="8" s="1"/>
  <c r="BV104" i="8"/>
  <c r="AD103" i="11"/>
  <c r="AI103" i="1" s="1"/>
  <c r="AC103" i="11"/>
  <c r="T103" i="8" s="1"/>
  <c r="Y103" i="11"/>
  <c r="AH103" i="1" s="1"/>
  <c r="AA103" i="11"/>
  <c r="AK103" i="1" s="1"/>
  <c r="AB103" i="11"/>
  <c r="P103" i="8" s="1"/>
  <c r="Z103" i="11"/>
  <c r="E105" i="1"/>
  <c r="A105" i="11"/>
  <c r="AD104" i="11" s="1"/>
  <c r="AI104" i="1" s="1"/>
  <c r="A105" i="10"/>
  <c r="AA105" i="10" s="1"/>
  <c r="AJ105" i="5"/>
  <c r="AP105" i="5" s="1"/>
  <c r="DA105" i="8"/>
  <c r="DB105" i="8" s="1"/>
  <c r="BE105" i="8"/>
  <c r="BN105" i="8" s="1"/>
  <c r="BR105" i="8"/>
  <c r="BT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G116" i="9"/>
  <c r="J106" i="2"/>
  <c r="CU103" i="8"/>
  <c r="CK103" i="8"/>
  <c r="B103" i="14"/>
  <c r="CZ107" i="5"/>
  <c r="C107" i="5"/>
  <c r="AC106" i="1"/>
  <c r="DA106" i="5"/>
  <c r="DG106" i="5" s="1" a="1"/>
  <c r="DG106" i="5" s="1"/>
  <c r="AB107" i="1"/>
  <c r="DI107" i="5"/>
  <c r="AF116" i="9"/>
  <c r="AJ116" i="9"/>
  <c r="N92" i="1"/>
  <c r="S109" i="2"/>
  <c r="N110" i="2"/>
  <c r="R110" i="2"/>
  <c r="Q109" i="2"/>
  <c r="O111" i="2"/>
  <c r="P111" i="2"/>
  <c r="J111" i="10"/>
  <c r="N111" i="5" s="1"/>
  <c r="M110" i="2"/>
  <c r="AD108" i="1" l="1"/>
  <c r="BN110" i="5" a="1"/>
  <c r="BN110" i="5" s="1"/>
  <c r="BQ110" i="5" a="1"/>
  <c r="BQ110" i="5" s="1"/>
  <c r="BA110" i="5" a="1"/>
  <c r="BA110" i="5" s="1"/>
  <c r="BA111" i="5" s="1" a="1"/>
  <c r="BA111" i="5" s="1"/>
  <c r="BD110" i="5" a="1"/>
  <c r="BD110" i="5" s="1"/>
  <c r="BB110" i="5" a="1"/>
  <c r="BB110" i="5" s="1"/>
  <c r="BB111" i="5" s="1" a="1"/>
  <c r="BB111" i="5" s="1"/>
  <c r="CU110" i="5"/>
  <c r="CV110" i="5"/>
  <c r="CT110" i="5"/>
  <c r="CQ110" i="5"/>
  <c r="CS110" i="5"/>
  <c r="CR110" i="5"/>
  <c r="CW110" i="5"/>
  <c r="AY110" i="5" a="1"/>
  <c r="AY110" i="5" s="1"/>
  <c r="BL110" i="5" a="1"/>
  <c r="BL110" i="5" s="1"/>
  <c r="BM110" i="5" a="1"/>
  <c r="BM110" i="5" s="1"/>
  <c r="AZ110" i="5" a="1"/>
  <c r="AZ110" i="5" s="1"/>
  <c r="CU104" i="8"/>
  <c r="V108" i="2"/>
  <c r="CY102" i="8"/>
  <c r="G102" i="1" s="1"/>
  <c r="M102" i="8" s="1"/>
  <c r="O104" i="8"/>
  <c r="F113" i="8"/>
  <c r="CJ105" i="8"/>
  <c r="CN105" i="8" s="1"/>
  <c r="CJ104" i="8"/>
  <c r="CN104" i="8" s="1"/>
  <c r="AO105" i="5"/>
  <c r="AV106" i="5"/>
  <c r="BP109" i="5" a="1"/>
  <c r="BP109" i="5" s="1"/>
  <c r="A106" i="10"/>
  <c r="AA106" i="10" s="1"/>
  <c r="AG105" i="7"/>
  <c r="AI105" i="7" s="1"/>
  <c r="AG104" i="7"/>
  <c r="AI104" i="7" s="1"/>
  <c r="O114" i="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CA111" i="14" s="1"/>
  <c r="A111" i="5"/>
  <c r="BK111" i="5" s="1" a="1"/>
  <c r="BK111" i="5" s="1"/>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B106" i="8"/>
  <c r="BM106" i="8" s="1"/>
  <c r="BE106" i="8"/>
  <c r="BN106" i="8" s="1"/>
  <c r="CF106" i="8"/>
  <c r="AQ104" i="5"/>
  <c r="AA104" i="11"/>
  <c r="AK104" i="1" s="1"/>
  <c r="W106" i="8"/>
  <c r="CW106" i="8" s="1"/>
  <c r="BD106" i="8"/>
  <c r="BP106" i="8" s="1"/>
  <c r="DA106" i="8"/>
  <c r="DB106" i="8" s="1"/>
  <c r="B106" i="9"/>
  <c r="X106" i="9" s="1"/>
  <c r="BT106" i="5"/>
  <c r="AJ106" i="5"/>
  <c r="AP106" i="5" s="1"/>
  <c r="A106" i="11"/>
  <c r="AA105" i="11" s="1"/>
  <c r="AK105" i="1" s="1"/>
  <c r="AI106" i="5"/>
  <c r="BR106" i="8"/>
  <c r="BX106" i="8" s="1"/>
  <c r="CO106" i="8" s="1"/>
  <c r="CP106" i="8" s="1"/>
  <c r="B104" i="14"/>
  <c r="Y104" i="11"/>
  <c r="AH104" i="1" s="1"/>
  <c r="CD105" i="8"/>
  <c r="CT105" i="8" s="1"/>
  <c r="Q105" i="7"/>
  <c r="B105" i="14"/>
  <c r="CK104" i="8"/>
  <c r="N105" i="7"/>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G117" i="9"/>
  <c r="J107" i="2"/>
  <c r="CZ108" i="5"/>
  <c r="AB108" i="1"/>
  <c r="DI108" i="5"/>
  <c r="C108" i="5"/>
  <c r="AC107" i="1"/>
  <c r="DA107" i="5"/>
  <c r="DG107" i="5" s="1" a="1"/>
  <c r="DG107" i="5" s="1"/>
  <c r="AF117" i="9"/>
  <c r="AJ117" i="9"/>
  <c r="N93" i="1"/>
  <c r="S110" i="2"/>
  <c r="N111" i="2"/>
  <c r="R111" i="2"/>
  <c r="Q110" i="2"/>
  <c r="J112" i="10"/>
  <c r="N112" i="5" s="1"/>
  <c r="P112" i="2"/>
  <c r="M111" i="2"/>
  <c r="O112" i="2"/>
  <c r="AD109" i="1" l="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L104" i="8"/>
  <c r="CY104" i="8" s="1"/>
  <c r="G104" i="1" s="1"/>
  <c r="M104" i="8" s="1"/>
  <c r="O105" i="8"/>
  <c r="F114" i="8"/>
  <c r="AO106" i="5"/>
  <c r="AV107" i="5"/>
  <c r="BP110" i="5" a="1"/>
  <c r="BP110" i="5" s="1"/>
  <c r="BE107" i="8"/>
  <c r="BN107" i="8" s="1"/>
  <c r="AG106" i="7"/>
  <c r="AI106" i="7" s="1"/>
  <c r="O115" i="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AC105" i="11"/>
  <c r="T105" i="8" s="1"/>
  <c r="D107" i="9"/>
  <c r="CD106" i="8"/>
  <c r="CT106" i="8" s="1"/>
  <c r="N106" i="11"/>
  <c r="AB105" i="11"/>
  <c r="P105" i="8" s="1"/>
  <c r="Y105" i="11"/>
  <c r="AH105" i="1" s="1"/>
  <c r="Z105" i="11"/>
  <c r="AD105" i="11"/>
  <c r="AI105" i="1" s="1"/>
  <c r="CU105" i="8"/>
  <c r="AR105" i="5"/>
  <c r="B107" i="9"/>
  <c r="X107" i="9" s="1"/>
  <c r="CK105" i="8"/>
  <c r="CL105" i="8" s="1"/>
  <c r="AI107" i="5"/>
  <c r="BT107" i="5"/>
  <c r="W107" i="8"/>
  <c r="CW107" i="8" s="1"/>
  <c r="B107" i="7"/>
  <c r="AE107" i="7" s="1"/>
  <c r="AF107" i="7" s="1"/>
  <c r="BD107" i="8"/>
  <c r="BP107" i="8" s="1"/>
  <c r="AJ107" i="5"/>
  <c r="AP107" i="5" s="1"/>
  <c r="A107" i="10"/>
  <c r="AA107" i="10" s="1"/>
  <c r="DA107" i="8"/>
  <c r="DB107" i="8" s="1"/>
  <c r="AB107" i="8"/>
  <c r="BM107" i="8" s="1"/>
  <c r="CF107" i="8"/>
  <c r="A107" i="11"/>
  <c r="AD106" i="11" s="1"/>
  <c r="AI106" i="1" s="1"/>
  <c r="E107" i="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G118" i="9"/>
  <c r="CZ109" i="5"/>
  <c r="J108" i="2"/>
  <c r="AC108" i="1"/>
  <c r="DA108" i="5"/>
  <c r="DG108" i="5" s="1" a="1"/>
  <c r="DG108" i="5" s="1"/>
  <c r="AB109" i="1"/>
  <c r="DI109" i="5"/>
  <c r="AF118" i="9"/>
  <c r="AJ118" i="9"/>
  <c r="N94" i="1"/>
  <c r="S111" i="2"/>
  <c r="N112" i="2"/>
  <c r="R112" i="2"/>
  <c r="Q111" i="2"/>
  <c r="M112" i="2"/>
  <c r="O113" i="2"/>
  <c r="P113" i="2"/>
  <c r="J113" i="10"/>
  <c r="N113" i="5" s="1"/>
  <c r="AD110" i="1" l="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J106" i="8"/>
  <c r="CN106" i="8" s="1"/>
  <c r="F115" i="8"/>
  <c r="AO107" i="5"/>
  <c r="AV108" i="5"/>
  <c r="BP111" i="5" a="1"/>
  <c r="BP111" i="5" s="1"/>
  <c r="AG107" i="7"/>
  <c r="AI107" i="7" s="1"/>
  <c r="O116" i="1"/>
  <c r="AR106" i="5"/>
  <c r="BY106" i="8"/>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R112" i="8"/>
  <c r="AD112" i="8"/>
  <c r="BW107" i="8"/>
  <c r="CM107" i="8" s="1"/>
  <c r="BT107" i="8"/>
  <c r="BV107" i="8"/>
  <c r="BU107" i="8"/>
  <c r="CC107" i="8"/>
  <c r="CS107" i="8" s="1"/>
  <c r="CU106" i="8"/>
  <c r="CK106" i="8"/>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X108" i="9" s="1"/>
  <c r="N107" i="7"/>
  <c r="E108" i="1"/>
  <c r="W108" i="8"/>
  <c r="CW108" i="8" s="1"/>
  <c r="BE108" i="8"/>
  <c r="BN108" i="8" s="1"/>
  <c r="AI108" i="5"/>
  <c r="BR108" i="8"/>
  <c r="BU108" i="8" s="1"/>
  <c r="BD108" i="8"/>
  <c r="BP108" i="8" s="1"/>
  <c r="AJ108" i="5"/>
  <c r="AP108" i="5" s="1"/>
  <c r="AB108" i="8"/>
  <c r="BM108" i="8" s="1"/>
  <c r="BY112" i="11"/>
  <c r="AA111" i="7"/>
  <c r="AE111" i="8" s="1"/>
  <c r="AS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B113" i="8"/>
  <c r="AG119" i="9"/>
  <c r="J109" i="2"/>
  <c r="CZ110" i="5"/>
  <c r="C109" i="5"/>
  <c r="F109" i="5" s="1"/>
  <c r="AW109" i="5" s="1"/>
  <c r="AB110" i="1"/>
  <c r="DI110" i="5"/>
  <c r="AC109" i="1"/>
  <c r="DA109" i="5"/>
  <c r="DG109" i="5" s="1" a="1"/>
  <c r="DG109" i="5" s="1"/>
  <c r="AF119" i="9"/>
  <c r="AJ119" i="9"/>
  <c r="N95" i="1"/>
  <c r="S112" i="2"/>
  <c r="N113" i="2"/>
  <c r="R113" i="2"/>
  <c r="Q112" i="2"/>
  <c r="O114" i="2"/>
  <c r="J114" i="10"/>
  <c r="N114" i="5" s="1"/>
  <c r="M113" i="2"/>
  <c r="P114" i="2"/>
  <c r="AD111" i="1" l="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L106" i="8"/>
  <c r="V111" i="2"/>
  <c r="O107" i="8"/>
  <c r="CQ106" i="8"/>
  <c r="CR106" i="8" s="1"/>
  <c r="O106" i="8"/>
  <c r="CJ107" i="8"/>
  <c r="CN107" i="8" s="1"/>
  <c r="F116" i="8"/>
  <c r="AO108" i="5"/>
  <c r="AV109" i="5"/>
  <c r="BP112" i="5" a="1"/>
  <c r="BP112" i="5" s="1"/>
  <c r="AG108" i="7"/>
  <c r="AI108" i="7" s="1"/>
  <c r="O117" i="1"/>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U107" i="8"/>
  <c r="AQ107" i="5"/>
  <c r="AR107" i="5"/>
  <c r="AA107" i="11"/>
  <c r="AK107" i="1" s="1"/>
  <c r="AB107" i="11"/>
  <c r="P107" i="8" s="1"/>
  <c r="B108" i="14"/>
  <c r="Q108" i="7"/>
  <c r="AC107" i="11"/>
  <c r="T107" i="8" s="1"/>
  <c r="BT108"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G120" i="9"/>
  <c r="CZ111" i="5"/>
  <c r="BT109" i="5"/>
  <c r="A109" i="10"/>
  <c r="AA109" i="10" s="1"/>
  <c r="B109" i="7"/>
  <c r="AJ109" i="5"/>
  <c r="AP109" i="5" s="1"/>
  <c r="W109" i="8"/>
  <c r="CW109" i="8" s="1"/>
  <c r="E109" i="1"/>
  <c r="AI109" i="5"/>
  <c r="B109" i="9"/>
  <c r="X109" i="9" s="1"/>
  <c r="A109" i="11"/>
  <c r="AB109" i="8"/>
  <c r="BM109" i="8" s="1"/>
  <c r="J110" i="2"/>
  <c r="C110" i="5"/>
  <c r="F110" i="5" s="1"/>
  <c r="AW110" i="5" s="1"/>
  <c r="AC110" i="1"/>
  <c r="DA110" i="5"/>
  <c r="DG110" i="5" s="1" a="1"/>
  <c r="DG110" i="5" s="1"/>
  <c r="AB111" i="1"/>
  <c r="DI111" i="5"/>
  <c r="AF120" i="9"/>
  <c r="AJ120" i="9"/>
  <c r="N96" i="1"/>
  <c r="S113" i="2"/>
  <c r="N114" i="2"/>
  <c r="R114" i="2"/>
  <c r="Q113" i="2"/>
  <c r="M114" i="2"/>
  <c r="J115" i="10"/>
  <c r="N115" i="5" s="1"/>
  <c r="O115" i="2"/>
  <c r="P115" i="2"/>
  <c r="AD112" i="1" l="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CY106" i="8"/>
  <c r="G106" i="1" s="1"/>
  <c r="M106" i="8" s="1"/>
  <c r="V112" i="2"/>
  <c r="CL107" i="8"/>
  <c r="CY107" i="8" s="1"/>
  <c r="G107" i="1" s="1"/>
  <c r="M107" i="8" s="1"/>
  <c r="O108" i="8"/>
  <c r="CJ108" i="8"/>
  <c r="CN108" i="8" s="1"/>
  <c r="F117" i="8"/>
  <c r="AO109" i="5"/>
  <c r="AV110" i="5"/>
  <c r="BP113" i="5" a="1"/>
  <c r="BP113" i="5" s="1"/>
  <c r="O118" i="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U108" i="8"/>
  <c r="AQ108" i="5"/>
  <c r="BZ108" i="8"/>
  <c r="CQ108" i="8" s="1"/>
  <c r="CR108" i="8" s="1"/>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G121" i="9"/>
  <c r="AB110" i="8"/>
  <c r="BM110" i="8" s="1"/>
  <c r="BT110" i="5"/>
  <c r="A110" i="10"/>
  <c r="AA110" i="10" s="1"/>
  <c r="B110" i="7"/>
  <c r="W110" i="8"/>
  <c r="CW110" i="8" s="1"/>
  <c r="E110" i="1"/>
  <c r="AJ110" i="5"/>
  <c r="AP110" i="5" s="1"/>
  <c r="AI110" i="5"/>
  <c r="B110" i="9"/>
  <c r="X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F121" i="9"/>
  <c r="AJ121" i="9"/>
  <c r="N97" i="1"/>
  <c r="S114" i="2"/>
  <c r="N115" i="2"/>
  <c r="R115" i="2"/>
  <c r="Q114" i="2"/>
  <c r="P116" i="2"/>
  <c r="J116" i="10"/>
  <c r="N116" i="5" s="1"/>
  <c r="M115" i="2"/>
  <c r="O116" i="2"/>
  <c r="AD113" i="1" l="1"/>
  <c r="BK115" i="5" a="1"/>
  <c r="BK115" i="5" s="1"/>
  <c r="BQ115" i="5" a="1"/>
  <c r="BQ115" i="5" s="1"/>
  <c r="BA115" i="5" a="1"/>
  <c r="BA115" i="5" s="1"/>
  <c r="BG115" i="5" a="1"/>
  <c r="BG115" i="5" s="1"/>
  <c r="BM115" i="5" a="1"/>
  <c r="BM115" i="5" s="1"/>
  <c r="BF115" i="5" a="1"/>
  <c r="BF115" i="5" s="1"/>
  <c r="BF116" i="5" s="1" a="1"/>
  <c r="BF116"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L108" i="8"/>
  <c r="CY108" i="8" s="1"/>
  <c r="G108" i="1" s="1"/>
  <c r="M108" i="8" s="1"/>
  <c r="O109" i="8"/>
  <c r="F118" i="8"/>
  <c r="AO110" i="5"/>
  <c r="AV111" i="5"/>
  <c r="BP114" i="5" a="1"/>
  <c r="BP114" i="5" s="1"/>
  <c r="AG109" i="7"/>
  <c r="AI109" i="7" s="1"/>
  <c r="O119" i="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D115" i="8"/>
  <c r="AR115" i="8"/>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G122" i="9"/>
  <c r="AQ109" i="5"/>
  <c r="AR109" i="5"/>
  <c r="CK109" i="8"/>
  <c r="CU109" i="8"/>
  <c r="AB109" i="11"/>
  <c r="P109" i="8" s="1"/>
  <c r="Y109" i="11"/>
  <c r="AH109" i="1" s="1"/>
  <c r="N110" i="11"/>
  <c r="AA109" i="11"/>
  <c r="AK109" i="1" s="1"/>
  <c r="AD109" i="11"/>
  <c r="AI109" i="1" s="1"/>
  <c r="Z109" i="11"/>
  <c r="AC109" i="11"/>
  <c r="T109" i="8" s="1"/>
  <c r="B109" i="14"/>
  <c r="CD110" i="8"/>
  <c r="CT110" i="8" s="1"/>
  <c r="Q110" i="7"/>
  <c r="AE110" i="7"/>
  <c r="AF110" i="7" s="1"/>
  <c r="J112" i="2"/>
  <c r="CZ113" i="5"/>
  <c r="AJ111" i="5"/>
  <c r="AP111" i="5" s="1"/>
  <c r="W111" i="8"/>
  <c r="CW111" i="8" s="1"/>
  <c r="E111" i="1"/>
  <c r="B111" i="9"/>
  <c r="X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F122" i="9"/>
  <c r="AJ122" i="9"/>
  <c r="N98" i="1"/>
  <c r="S115" i="2"/>
  <c r="N116" i="2"/>
  <c r="R116" i="2"/>
  <c r="Q115" i="2"/>
  <c r="P117" i="2"/>
  <c r="J117" i="10"/>
  <c r="N117" i="5" s="1"/>
  <c r="O117" i="2"/>
  <c r="M116" i="2"/>
  <c r="AD114" i="1" l="1"/>
  <c r="CS116" i="5"/>
  <c r="CT116" i="5"/>
  <c r="CR116" i="5"/>
  <c r="CQ116" i="5"/>
  <c r="CU116" i="5"/>
  <c r="CW116" i="5"/>
  <c r="CV116" i="5"/>
  <c r="AY116" i="5" a="1"/>
  <c r="AY116" i="5" s="1"/>
  <c r="BL116" i="5" a="1"/>
  <c r="BL116" i="5" s="1"/>
  <c r="BC116" i="5" a="1"/>
  <c r="BC116" i="5" s="1"/>
  <c r="AZ116" i="5" a="1"/>
  <c r="AZ116" i="5" s="1"/>
  <c r="BJ116" i="5" a="1"/>
  <c r="BJ116" i="5" s="1"/>
  <c r="BJ117" i="5" s="1" a="1"/>
  <c r="BJ117" i="5" s="1"/>
  <c r="BH116" i="5" a="1"/>
  <c r="BH116" i="5" s="1"/>
  <c r="BH117" i="5" s="1" a="1"/>
  <c r="BH117" i="5" s="1"/>
  <c r="BE116" i="5" a="1"/>
  <c r="BE116" i="5" s="1"/>
  <c r="BI116" i="5" a="1"/>
  <c r="BI116" i="5" s="1"/>
  <c r="BI117" i="5" s="1" a="1"/>
  <c r="BI117" i="5" s="1"/>
  <c r="BO116" i="5" a="1"/>
  <c r="BO116" i="5" s="1"/>
  <c r="BO117" i="5" s="1" a="1"/>
  <c r="BO117" i="5" s="1"/>
  <c r="BN116" i="5" a="1"/>
  <c r="BN116" i="5" s="1"/>
  <c r="BB116" i="5" a="1"/>
  <c r="BB116" i="5" s="1"/>
  <c r="BB117" i="5" s="1" a="1"/>
  <c r="BB117"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CA117" i="14" s="1"/>
  <c r="A117" i="9"/>
  <c r="A117" i="8"/>
  <c r="A117" i="2"/>
  <c r="A117" i="5"/>
  <c r="A117" i="7"/>
  <c r="R117" i="7" s="1"/>
  <c r="AI112" i="5"/>
  <c r="BT112" i="5"/>
  <c r="BE112" i="8"/>
  <c r="BN112" i="8" s="1"/>
  <c r="CL109" i="8"/>
  <c r="CY109" i="8" s="1"/>
  <c r="G109" i="1" s="1"/>
  <c r="M109" i="8" s="1"/>
  <c r="E112" i="1"/>
  <c r="B112" i="7"/>
  <c r="AE112" i="7" s="1"/>
  <c r="AF112" i="7" s="1"/>
  <c r="W112" i="8"/>
  <c r="CW112" i="8" s="1"/>
  <c r="BD112" i="8"/>
  <c r="BP112" i="8" s="1"/>
  <c r="A112" i="10"/>
  <c r="AA112" i="10" s="1"/>
  <c r="DA112" i="8"/>
  <c r="DB112" i="8" s="1"/>
  <c r="B112" i="9"/>
  <c r="X112" i="9" s="1"/>
  <c r="AB112" i="8"/>
  <c r="BM112" i="8" s="1"/>
  <c r="CF112" i="8"/>
  <c r="AJ112" i="5"/>
  <c r="AP112" i="5"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B117" i="8"/>
  <c r="N111" i="7"/>
  <c r="AG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B114" i="1"/>
  <c r="DI114" i="5"/>
  <c r="AC113" i="1"/>
  <c r="DA113" i="5"/>
  <c r="DG113" i="5" s="1" a="1"/>
  <c r="DG113" i="5" s="1"/>
  <c r="AF123" i="9"/>
  <c r="AJ123" i="9"/>
  <c r="N99" i="1"/>
  <c r="S116" i="2"/>
  <c r="N117" i="2"/>
  <c r="R117" i="2"/>
  <c r="Q116" i="2"/>
  <c r="J118" i="10"/>
  <c r="N118" i="5" s="1"/>
  <c r="M117" i="2"/>
  <c r="P118" i="2"/>
  <c r="O118" i="2"/>
  <c r="AD115" i="1" l="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BD117" i="5" a="1"/>
  <c r="BD117" i="5" s="1"/>
  <c r="BN117" i="5" a="1"/>
  <c r="BN117" i="5" s="1"/>
  <c r="V115" i="2"/>
  <c r="O111" i="8"/>
  <c r="CQ110" i="8"/>
  <c r="CR110" i="8" s="1"/>
  <c r="O110" i="8"/>
  <c r="F120" i="8"/>
  <c r="AO112" i="5"/>
  <c r="AV113" i="5"/>
  <c r="BP116" i="5" a="1"/>
  <c r="BP116" i="5" s="1"/>
  <c r="AG112" i="7"/>
  <c r="AI112" i="7" s="1"/>
  <c r="AG111" i="7"/>
  <c r="AI111" i="7" s="1"/>
  <c r="O121" i="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D117" i="8"/>
  <c r="AR117" i="8"/>
  <c r="CD112" i="8"/>
  <c r="CT112" i="8" s="1"/>
  <c r="AC111" i="11"/>
  <c r="T111" i="8" s="1"/>
  <c r="B112" i="14"/>
  <c r="N112" i="7"/>
  <c r="D113" i="9"/>
  <c r="Q112" i="7"/>
  <c r="CL110" i="8"/>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CF113" i="8"/>
  <c r="CB118" i="8"/>
  <c r="BR113" i="8"/>
  <c r="BE113" i="8"/>
  <c r="BN113" i="8" s="1"/>
  <c r="AB113" i="8"/>
  <c r="BM113" i="8" s="1"/>
  <c r="BD113" i="8"/>
  <c r="BP113" i="8" s="1"/>
  <c r="AG124" i="9"/>
  <c r="B113" i="9"/>
  <c r="X113" i="9" s="1"/>
  <c r="AQ111" i="5"/>
  <c r="A113" i="10"/>
  <c r="AA113" i="10" s="1"/>
  <c r="BT113" i="5"/>
  <c r="A113" i="11"/>
  <c r="AI113" i="5"/>
  <c r="B113" i="7"/>
  <c r="AJ113" i="5"/>
  <c r="AP113" i="5" s="1"/>
  <c r="AR111" i="5"/>
  <c r="W113" i="8"/>
  <c r="CW113" i="8" s="1"/>
  <c r="E113" i="1"/>
  <c r="CU111" i="8"/>
  <c r="J114" i="2"/>
  <c r="C114" i="5"/>
  <c r="F114" i="5" s="1"/>
  <c r="AW114" i="5" s="1"/>
  <c r="CZ115" i="5"/>
  <c r="CK111" i="8"/>
  <c r="B111" i="14"/>
  <c r="C115" i="5"/>
  <c r="AC114" i="1"/>
  <c r="DA114" i="5"/>
  <c r="DG114" i="5" s="1" a="1"/>
  <c r="DG114" i="5" s="1"/>
  <c r="AB115" i="1"/>
  <c r="DI115" i="5"/>
  <c r="AF124" i="9"/>
  <c r="AJ124" i="9"/>
  <c r="N100" i="1"/>
  <c r="S117" i="2"/>
  <c r="N118" i="2"/>
  <c r="R118" i="2"/>
  <c r="Q117" i="2"/>
  <c r="M118" i="2"/>
  <c r="O119" i="2"/>
  <c r="P119" i="2"/>
  <c r="J119" i="10"/>
  <c r="N119" i="5" s="1"/>
  <c r="AD116" i="1" l="1"/>
  <c r="CV118" i="5"/>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J119" i="5" s="1" a="1"/>
  <c r="BJ119"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CY110" i="8"/>
  <c r="G110" i="1" s="1"/>
  <c r="M110" i="8" s="1"/>
  <c r="V116" i="2"/>
  <c r="CJ112" i="8"/>
  <c r="CN112" i="8" s="1"/>
  <c r="F121" i="8"/>
  <c r="AO113" i="5"/>
  <c r="AV114" i="5"/>
  <c r="BP117" i="5" a="1"/>
  <c r="BP117" i="5" s="1"/>
  <c r="O122" i="1"/>
  <c r="BY112" i="8"/>
  <c r="BS113" i="8"/>
  <c r="BY113" i="8" s="1"/>
  <c r="BO113" i="8"/>
  <c r="BK113" i="8"/>
  <c r="BL113" i="8"/>
  <c r="BI113" i="8"/>
  <c r="BJ113" i="8"/>
  <c r="BG113" i="8"/>
  <c r="BH113" i="8"/>
  <c r="BF113" i="8"/>
  <c r="AC113" i="10"/>
  <c r="X113" i="10" s="1"/>
  <c r="AM113" i="5"/>
  <c r="AN113" i="5"/>
  <c r="AS117" i="5"/>
  <c r="CK112" i="8"/>
  <c r="CU112" i="8"/>
  <c r="E121" i="8"/>
  <c r="AK117" i="11"/>
  <c r="DE116" i="5"/>
  <c r="DB116" i="5"/>
  <c r="DF116" i="5"/>
  <c r="DH116" i="5"/>
  <c r="AE115" i="1"/>
  <c r="W115" i="1" s="1"/>
  <c r="AM117" i="1"/>
  <c r="K119" i="11"/>
  <c r="A119" i="14"/>
  <c r="CA119" i="14" s="1"/>
  <c r="A119" i="5"/>
  <c r="A119" i="8"/>
  <c r="A119" i="2"/>
  <c r="A119" i="9"/>
  <c r="A119" i="7"/>
  <c r="R119" i="7" s="1"/>
  <c r="AD118" i="8"/>
  <c r="AR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X114" i="9" s="1"/>
  <c r="BD114" i="8"/>
  <c r="BP114" i="8" s="1"/>
  <c r="AG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AB114" i="8"/>
  <c r="BM114" i="8" s="1"/>
  <c r="B114" i="7"/>
  <c r="AJ114" i="5"/>
  <c r="AP114" i="5" s="1"/>
  <c r="A114" i="10"/>
  <c r="AA114" i="10" s="1"/>
  <c r="W114" i="8"/>
  <c r="CW114" i="8" s="1"/>
  <c r="A114" i="11"/>
  <c r="J115" i="2"/>
  <c r="CZ116" i="5"/>
  <c r="AB116" i="1"/>
  <c r="DI116" i="5"/>
  <c r="C116" i="5"/>
  <c r="AC115" i="1"/>
  <c r="DA115" i="5"/>
  <c r="DG115" i="5" s="1" a="1"/>
  <c r="DG115" i="5" s="1"/>
  <c r="AF125" i="9"/>
  <c r="AJ125" i="9"/>
  <c r="N101" i="1"/>
  <c r="S118" i="2"/>
  <c r="N119" i="2"/>
  <c r="R119" i="2"/>
  <c r="Q118" i="2"/>
  <c r="J120" i="10"/>
  <c r="N120" i="5" s="1"/>
  <c r="O120" i="2"/>
  <c r="P120" i="2"/>
  <c r="M119" i="2"/>
  <c r="AD117" i="1" l="1"/>
  <c r="BQ119" i="5" a="1"/>
  <c r="BQ119" i="5" s="1"/>
  <c r="BF119" i="5" a="1"/>
  <c r="BF119" i="5" s="1"/>
  <c r="CW119" i="5"/>
  <c r="CQ119" i="5"/>
  <c r="CT119" i="5"/>
  <c r="CR119" i="5"/>
  <c r="CU119" i="5"/>
  <c r="CS119" i="5"/>
  <c r="CV119" i="5"/>
  <c r="AY119" i="5" a="1"/>
  <c r="AY119" i="5" s="1"/>
  <c r="BL119" i="5" a="1"/>
  <c r="BL119" i="5" s="1"/>
  <c r="BD119" i="5" a="1"/>
  <c r="BD119" i="5" s="1"/>
  <c r="BB119" i="5" a="1"/>
  <c r="BB119" i="5" s="1"/>
  <c r="BB120" i="5" s="1" a="1"/>
  <c r="BB120" i="5" s="1"/>
  <c r="BI119" i="5" a="1"/>
  <c r="BI119" i="5" s="1"/>
  <c r="BI120" i="5" s="1" a="1"/>
  <c r="BI120"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L112" i="8"/>
  <c r="O113" i="8"/>
  <c r="CQ112" i="8"/>
  <c r="CR112" i="8" s="1"/>
  <c r="O112" i="8"/>
  <c r="F122" i="8"/>
  <c r="AO114" i="5"/>
  <c r="AV115" i="5"/>
  <c r="BP118" i="5" a="1"/>
  <c r="BP118" i="5" s="1"/>
  <c r="BD115" i="8"/>
  <c r="BP115" i="8" s="1"/>
  <c r="AG113" i="7"/>
  <c r="AI113" i="7" s="1"/>
  <c r="O123" i="1"/>
  <c r="BZ113" i="8"/>
  <c r="CQ113" i="8" s="1"/>
  <c r="CR113" i="8" s="1"/>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R115" i="8"/>
  <c r="BX115" i="8" s="1"/>
  <c r="CO115" i="8" s="1"/>
  <c r="CP115" i="8" s="1"/>
  <c r="AJ115" i="5"/>
  <c r="AP115" i="5" s="1"/>
  <c r="CF115" i="8"/>
  <c r="E115" i="1"/>
  <c r="A115" i="10"/>
  <c r="AA115" i="10" s="1"/>
  <c r="AB115" i="8"/>
  <c r="BM115" i="8" s="1"/>
  <c r="BT115" i="5"/>
  <c r="DA115" i="8"/>
  <c r="DB115" i="8" s="1"/>
  <c r="B115" i="9"/>
  <c r="X115" i="9" s="1"/>
  <c r="BE115" i="8"/>
  <c r="BN115" i="8" s="1"/>
  <c r="W115" i="8"/>
  <c r="CW115" i="8" s="1"/>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CB120" i="8"/>
  <c r="BS114" i="8"/>
  <c r="BY114" i="8" s="1"/>
  <c r="N114" i="7"/>
  <c r="AG126" i="9"/>
  <c r="AR113" i="5"/>
  <c r="AQ113" i="5"/>
  <c r="CU113" i="8"/>
  <c r="CK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N121" i="5" s="1"/>
  <c r="AD118" i="1" l="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CY112" i="8"/>
  <c r="G112" i="1" s="1"/>
  <c r="M112" i="8" s="1"/>
  <c r="V118" i="2"/>
  <c r="D116" i="9"/>
  <c r="BS115" i="8"/>
  <c r="BY115" i="8" s="1"/>
  <c r="O114" i="8"/>
  <c r="F123" i="8"/>
  <c r="BO115" i="8"/>
  <c r="AO115" i="5"/>
  <c r="AV116" i="5"/>
  <c r="BP119" i="5" a="1"/>
  <c r="BP119" i="5" s="1"/>
  <c r="AG114" i="7"/>
  <c r="AI114" i="7" s="1"/>
  <c r="AG115" i="7"/>
  <c r="AI115" i="7" s="1"/>
  <c r="O124" i="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CA121" i="14" s="1"/>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E116" i="1"/>
  <c r="A116" i="11"/>
  <c r="AC115" i="11" s="1"/>
  <c r="T115" i="8" s="1"/>
  <c r="CC115" i="8"/>
  <c r="CS115" i="8" s="1"/>
  <c r="CD115" i="8"/>
  <c r="CT115" i="8" s="1"/>
  <c r="BW115" i="8"/>
  <c r="CM115" i="8" s="1"/>
  <c r="BV115" i="8"/>
  <c r="BU115" i="8"/>
  <c r="DA116" i="8"/>
  <c r="DB116" i="8" s="1"/>
  <c r="W116" i="8"/>
  <c r="CW116" i="8" s="1"/>
  <c r="BD116" i="8"/>
  <c r="BP116" i="8" s="1"/>
  <c r="BR116" i="8"/>
  <c r="BX116" i="8" s="1"/>
  <c r="CO116" i="8" s="1"/>
  <c r="CP116" i="8" s="1"/>
  <c r="B116" i="7"/>
  <c r="AE116" i="7" s="1"/>
  <c r="AF116" i="7" s="1"/>
  <c r="AI116" i="5"/>
  <c r="BT116" i="5"/>
  <c r="B116" i="9"/>
  <c r="X116" i="9" s="1"/>
  <c r="AB116" i="8"/>
  <c r="BM116" i="8" s="1"/>
  <c r="AJ116" i="5"/>
  <c r="AP116" i="5" s="1"/>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G127" i="9"/>
  <c r="CU114" i="8"/>
  <c r="AR114" i="5"/>
  <c r="AQ114" i="5"/>
  <c r="CK114" i="8"/>
  <c r="B114" i="14"/>
  <c r="J117" i="2"/>
  <c r="CZ118" i="5"/>
  <c r="AB118" i="1"/>
  <c r="DI118" i="5"/>
  <c r="AC117" i="1"/>
  <c r="DA117" i="5"/>
  <c r="DG117" i="5" s="1" a="1"/>
  <c r="DG117" i="5" s="1"/>
  <c r="AF127" i="9"/>
  <c r="AJ127" i="9"/>
  <c r="N103" i="1"/>
  <c r="S120" i="2"/>
  <c r="N121" i="2"/>
  <c r="R121" i="2"/>
  <c r="Q120" i="2"/>
  <c r="O122" i="2"/>
  <c r="J122" i="10"/>
  <c r="N122" i="5" s="1"/>
  <c r="M121" i="2"/>
  <c r="P122" i="2"/>
  <c r="BQ121" i="5" l="1"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BZ115" i="8"/>
  <c r="CQ115" i="8" s="1"/>
  <c r="CR115" i="8" s="1"/>
  <c r="V119" i="2"/>
  <c r="O115" i="8"/>
  <c r="CJ115" i="8"/>
  <c r="CN115" i="8" s="1"/>
  <c r="F124" i="8"/>
  <c r="AO116" i="5"/>
  <c r="AV117" i="5"/>
  <c r="BP120" i="5" a="1"/>
  <c r="BP120" i="5" s="1"/>
  <c r="DA117" i="8"/>
  <c r="DB117" i="8" s="1"/>
  <c r="AG116" i="7"/>
  <c r="AI116" i="7" s="1"/>
  <c r="O125" i="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CA122" i="14" s="1"/>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AB117" i="8"/>
  <c r="BM117" i="8" s="1"/>
  <c r="CU115" i="8"/>
  <c r="CD116" i="8"/>
  <c r="CT116" i="8" s="1"/>
  <c r="N116" i="7"/>
  <c r="AR115" i="5"/>
  <c r="B117" i="9"/>
  <c r="X117" i="9" s="1"/>
  <c r="AI117" i="5"/>
  <c r="W117" i="8"/>
  <c r="CW117" i="8" s="1"/>
  <c r="E117" i="1"/>
  <c r="B117" i="7"/>
  <c r="AE117" i="7" s="1"/>
  <c r="AF117" i="7" s="1"/>
  <c r="A117" i="10"/>
  <c r="AA117" i="10" s="1"/>
  <c r="CL114" i="8"/>
  <c r="CY114" i="8" s="1"/>
  <c r="G114" i="1" s="1"/>
  <c r="M114" i="8" s="1"/>
  <c r="D117" i="9"/>
  <c r="B116" i="14"/>
  <c r="Q116" i="7"/>
  <c r="BW116" i="8"/>
  <c r="CM116" i="8" s="1"/>
  <c r="BR117" i="8"/>
  <c r="BT117" i="8" s="1"/>
  <c r="BE117" i="8"/>
  <c r="BN117" i="8" s="1"/>
  <c r="AJ117" i="5"/>
  <c r="AP117" i="5" s="1"/>
  <c r="A117" i="11"/>
  <c r="Z116" i="11" s="1"/>
  <c r="CF117" i="8"/>
  <c r="BT116" i="8"/>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O123" i="2"/>
  <c r="P123" i="2"/>
  <c r="BD122" i="5" l="1"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BH123" i="5" s="1" a="1"/>
  <c r="BH123"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L115" i="8"/>
  <c r="CY115" i="8" s="1"/>
  <c r="G115" i="1" s="1"/>
  <c r="M115" i="8" s="1"/>
  <c r="CD117" i="8"/>
  <c r="CT117" i="8" s="1"/>
  <c r="CJ117" i="8"/>
  <c r="CN117" i="8" s="1"/>
  <c r="CJ116" i="8"/>
  <c r="CN116" i="8" s="1"/>
  <c r="F125" i="8"/>
  <c r="AO117" i="5"/>
  <c r="AV118" i="5"/>
  <c r="BP121" i="5" a="1"/>
  <c r="BP121" i="5" s="1"/>
  <c r="AG117" i="7"/>
  <c r="AI117" i="7" s="1"/>
  <c r="O126" i="1"/>
  <c r="BY116" i="8"/>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CA123" i="14" s="1"/>
  <c r="A123" i="7"/>
  <c r="R123" i="7" s="1"/>
  <c r="A123" i="5"/>
  <c r="A123" i="9"/>
  <c r="A123" i="2"/>
  <c r="A123" i="8"/>
  <c r="Y119" i="1"/>
  <c r="DJ120" i="5"/>
  <c r="AF119" i="1"/>
  <c r="CU116" i="8"/>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AA116" i="11"/>
  <c r="AK116" i="1" s="1"/>
  <c r="N117" i="11"/>
  <c r="F119" i="5"/>
  <c r="AW119" i="5" s="1"/>
  <c r="CK116" i="8"/>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G129" i="9"/>
  <c r="J119" i="2"/>
  <c r="A118" i="10"/>
  <c r="AA118" i="10" s="1"/>
  <c r="B118" i="7"/>
  <c r="W118" i="8"/>
  <c r="CW118" i="8" s="1"/>
  <c r="E118" i="1"/>
  <c r="AJ118" i="5"/>
  <c r="AP118" i="5" s="1"/>
  <c r="B118" i="9"/>
  <c r="X118" i="9" s="1"/>
  <c r="AI118" i="5"/>
  <c r="A118" i="11"/>
  <c r="AB118" i="8"/>
  <c r="BM118" i="8" s="1"/>
  <c r="BT118" i="5"/>
  <c r="CZ120" i="5"/>
  <c r="AB120" i="1"/>
  <c r="DI120" i="5"/>
  <c r="AC119" i="1"/>
  <c r="DA119" i="5"/>
  <c r="DG119" i="5" s="1" a="1"/>
  <c r="DG119" i="5" s="1"/>
  <c r="AF129" i="9"/>
  <c r="AJ129" i="9"/>
  <c r="N105" i="1"/>
  <c r="S122" i="2"/>
  <c r="N123" i="2"/>
  <c r="R123" i="2"/>
  <c r="Q122" i="2"/>
  <c r="M123" i="2"/>
  <c r="O124" i="2"/>
  <c r="P124" i="2"/>
  <c r="J124" i="10"/>
  <c r="N124" i="5" s="1"/>
  <c r="AD121" i="1" l="1"/>
  <c r="BM123" i="5" a="1"/>
  <c r="BM123" i="5" s="1"/>
  <c r="BQ123" i="5" a="1"/>
  <c r="BQ123" i="5" s="1"/>
  <c r="BE123" i="5" a="1"/>
  <c r="BE123" i="5" s="1"/>
  <c r="BN123" i="5" a="1"/>
  <c r="BN123" i="5" s="1"/>
  <c r="BO123" i="5" a="1"/>
  <c r="BO123" i="5" s="1"/>
  <c r="BO124" i="5" s="1" a="1"/>
  <c r="BO124" i="5" s="1"/>
  <c r="CR123" i="5"/>
  <c r="CU123" i="5"/>
  <c r="CS123" i="5"/>
  <c r="CQ123" i="5"/>
  <c r="CT123" i="5"/>
  <c r="CV123" i="5"/>
  <c r="CW123" i="5"/>
  <c r="AY123" i="5" a="1"/>
  <c r="AY123" i="5" s="1"/>
  <c r="BL123" i="5" a="1"/>
  <c r="BL123" i="5" s="1"/>
  <c r="BG123" i="5" a="1"/>
  <c r="BG123" i="5" s="1"/>
  <c r="BG124" i="5" s="1" a="1"/>
  <c r="BG124" i="5" s="1"/>
  <c r="BB123" i="5" a="1"/>
  <c r="BB123" i="5" s="1"/>
  <c r="BJ123" i="5" a="1"/>
  <c r="BJ123" i="5" s="1"/>
  <c r="AZ123" i="5" a="1"/>
  <c r="AZ123" i="5" s="1"/>
  <c r="BA123" i="5" a="1"/>
  <c r="BA123" i="5" s="1"/>
  <c r="BF123" i="5" a="1"/>
  <c r="BF123" i="5" s="1"/>
  <c r="BF124" i="5" s="1" a="1"/>
  <c r="BF124" i="5" s="1"/>
  <c r="BC123" i="5" a="1"/>
  <c r="BC123" i="5" s="1"/>
  <c r="BC124" i="5" s="1" a="1"/>
  <c r="BC124" i="5" s="1"/>
  <c r="BK123" i="5" a="1"/>
  <c r="BK123" i="5" s="1"/>
  <c r="BK124" i="5" s="1" a="1"/>
  <c r="BK124" i="5" s="1"/>
  <c r="BI123" i="5" a="1"/>
  <c r="BI123" i="5" s="1"/>
  <c r="BI124" i="5" s="1" a="1"/>
  <c r="BI124" i="5" s="1"/>
  <c r="BD123" i="5" a="1"/>
  <c r="BD123" i="5" s="1"/>
  <c r="BD124" i="5" s="1" a="1"/>
  <c r="BD124" i="5" s="1"/>
  <c r="V121" i="2"/>
  <c r="CU117" i="8"/>
  <c r="CL116" i="8"/>
  <c r="O117" i="8"/>
  <c r="CQ116" i="8"/>
  <c r="CR116" i="8" s="1"/>
  <c r="O116" i="8"/>
  <c r="F126" i="8"/>
  <c r="AO118" i="5"/>
  <c r="AV119" i="5"/>
  <c r="BP122" i="5" a="1"/>
  <c r="BP122" i="5" s="1"/>
  <c r="O127" i="1"/>
  <c r="BZ117" i="8"/>
  <c r="CQ117" i="8" s="1"/>
  <c r="CR117" i="8" s="1"/>
  <c r="BS118" i="8"/>
  <c r="BZ118" i="8" s="1"/>
  <c r="BO118" i="8"/>
  <c r="BK118" i="8"/>
  <c r="BL118" i="8"/>
  <c r="BI118" i="8"/>
  <c r="BJ118" i="8"/>
  <c r="BG118" i="8"/>
  <c r="BH118" i="8"/>
  <c r="BF118" i="8"/>
  <c r="AC118" i="10"/>
  <c r="X118" i="10" s="1"/>
  <c r="AN118" i="5"/>
  <c r="AM118" i="5"/>
  <c r="AK122" i="11"/>
  <c r="AS122" i="5"/>
  <c r="E126" i="8"/>
  <c r="DE121" i="5"/>
  <c r="DB121" i="5"/>
  <c r="CF119" i="8"/>
  <c r="AJ122" i="1"/>
  <c r="AF120" i="1"/>
  <c r="DH121" i="5"/>
  <c r="K124" i="11"/>
  <c r="A124" i="14"/>
  <c r="CA124" i="14" s="1"/>
  <c r="A124" i="7"/>
  <c r="R124" i="7" s="1"/>
  <c r="A124" i="5"/>
  <c r="A124" i="9"/>
  <c r="A124" i="2"/>
  <c r="A124" i="8"/>
  <c r="AR123" i="8"/>
  <c r="AD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BE119" i="8"/>
  <c r="BN119" i="8" s="1"/>
  <c r="A119" i="10"/>
  <c r="AA119" i="10" s="1"/>
  <c r="A119" i="11"/>
  <c r="N119" i="11" s="1"/>
  <c r="E119" i="1"/>
  <c r="AI119" i="5"/>
  <c r="B119" i="9"/>
  <c r="X119" i="9" s="1"/>
  <c r="BR119" i="8"/>
  <c r="BW119" i="8" s="1"/>
  <c r="CM119" i="8" s="1"/>
  <c r="B119" i="7"/>
  <c r="AE119" i="7" s="1"/>
  <c r="AF119" i="7" s="1"/>
  <c r="AJ119" i="5"/>
  <c r="AP119" i="5" s="1"/>
  <c r="AB119" i="8"/>
  <c r="BM119" i="8" s="1"/>
  <c r="BD119" i="8"/>
  <c r="BP119" i="8" s="1"/>
  <c r="DA119" i="8"/>
  <c r="DB119" i="8" s="1"/>
  <c r="W119" i="8"/>
  <c r="CW119" i="8" s="1"/>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G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F130" i="9"/>
  <c r="AJ130" i="9"/>
  <c r="N106" i="1"/>
  <c r="S123" i="2"/>
  <c r="N124" i="2"/>
  <c r="R124" i="2"/>
  <c r="Q123" i="2"/>
  <c r="J125" i="10"/>
  <c r="N125" i="5" s="1"/>
  <c r="O125" i="2"/>
  <c r="P125" i="2"/>
  <c r="M124" i="2"/>
  <c r="AD122" i="1" l="1"/>
  <c r="BA124" i="5" a="1"/>
  <c r="BA124" i="5" s="1"/>
  <c r="BN124" i="5" a="1"/>
  <c r="BN124" i="5" s="1"/>
  <c r="BE124" i="5" a="1"/>
  <c r="BE124" i="5" s="1"/>
  <c r="AZ124" i="5" a="1"/>
  <c r="AZ124" i="5" s="1"/>
  <c r="AZ125" i="5" s="1" a="1"/>
  <c r="AZ125" i="5" s="1"/>
  <c r="BQ124" i="5" a="1"/>
  <c r="BQ124" i="5" s="1"/>
  <c r="BJ124" i="5" a="1"/>
  <c r="BJ124" i="5" s="1"/>
  <c r="BM124" i="5" a="1"/>
  <c r="BM124" i="5" s="1"/>
  <c r="BM125" i="5" s="1" a="1"/>
  <c r="BM125" i="5" s="1"/>
  <c r="CS124" i="5"/>
  <c r="CT124" i="5"/>
  <c r="CV124" i="5"/>
  <c r="CQ124" i="5"/>
  <c r="CU124" i="5"/>
  <c r="CW124" i="5"/>
  <c r="CR124" i="5"/>
  <c r="AY124" i="5" a="1"/>
  <c r="AY124" i="5" s="1"/>
  <c r="BL124" i="5" a="1"/>
  <c r="BL124" i="5" s="1"/>
  <c r="BB124" i="5" a="1"/>
  <c r="BB124" i="5" s="1"/>
  <c r="BH124" i="5" a="1"/>
  <c r="BH124" i="5" s="1"/>
  <c r="V122" i="2"/>
  <c r="CY116" i="8"/>
  <c r="G116" i="1" s="1"/>
  <c r="M116" i="8" s="1"/>
  <c r="F127" i="8"/>
  <c r="AO119" i="5"/>
  <c r="AV120" i="5"/>
  <c r="BP123" i="5" a="1"/>
  <c r="BP123" i="5" s="1"/>
  <c r="AG118" i="7"/>
  <c r="AI118" i="7" s="1"/>
  <c r="AG119" i="7"/>
  <c r="AI119" i="7" s="1"/>
  <c r="O128" i="1"/>
  <c r="BY118" i="8"/>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G131" i="9"/>
  <c r="CU118" i="8"/>
  <c r="A120" i="11"/>
  <c r="AC119" i="11" s="1"/>
  <c r="T119" i="8" s="1"/>
  <c r="B120" i="9"/>
  <c r="X120" i="9" s="1"/>
  <c r="E120" i="1"/>
  <c r="AB120" i="8"/>
  <c r="BM120" i="8" s="1"/>
  <c r="AJ120" i="5"/>
  <c r="AP120" i="5" s="1"/>
  <c r="BT120" i="5"/>
  <c r="W120" i="8"/>
  <c r="CW120" i="8" s="1"/>
  <c r="AI120" i="5"/>
  <c r="A120" i="10"/>
  <c r="AA120" i="10" s="1"/>
  <c r="AR118" i="5"/>
  <c r="J121" i="2"/>
  <c r="C121" i="5"/>
  <c r="F121" i="5" s="1"/>
  <c r="AW121" i="5" s="1"/>
  <c r="CK118" i="8"/>
  <c r="AQ118" i="5"/>
  <c r="B118" i="14"/>
  <c r="CZ122" i="5"/>
  <c r="AB122" i="1"/>
  <c r="DI122" i="5"/>
  <c r="J122" i="2"/>
  <c r="AC121" i="1"/>
  <c r="DA121" i="5"/>
  <c r="DG121" i="5" s="1" a="1"/>
  <c r="DG121" i="5" s="1"/>
  <c r="AF131" i="9"/>
  <c r="AJ131" i="9"/>
  <c r="N107" i="1"/>
  <c r="S124" i="2"/>
  <c r="N125" i="2"/>
  <c r="R125" i="2"/>
  <c r="Q124" i="2"/>
  <c r="O126" i="2"/>
  <c r="P126" i="2"/>
  <c r="M125" i="2"/>
  <c r="J126" i="10"/>
  <c r="N126" i="5" s="1"/>
  <c r="AD123" i="1" l="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O119" i="8"/>
  <c r="CQ118" i="8"/>
  <c r="CR118" i="8" s="1"/>
  <c r="O118" i="8"/>
  <c r="CJ119" i="8"/>
  <c r="CN119" i="8" s="1"/>
  <c r="F128" i="8"/>
  <c r="AO120" i="5"/>
  <c r="AV121" i="5"/>
  <c r="BP124" i="5" a="1"/>
  <c r="BP124" i="5" s="1"/>
  <c r="AG120" i="7"/>
  <c r="AI120" i="7" s="1"/>
  <c r="O129" i="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K119" i="8"/>
  <c r="AQ119" i="5"/>
  <c r="AR119" i="5"/>
  <c r="CU119" i="8"/>
  <c r="D121" i="9"/>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G132" i="9"/>
  <c r="B120" i="14"/>
  <c r="AD119" i="11"/>
  <c r="AI119" i="1" s="1"/>
  <c r="AB119" i="11"/>
  <c r="P119" i="8" s="1"/>
  <c r="Z119" i="11"/>
  <c r="AA119" i="11"/>
  <c r="AK119" i="1" s="1"/>
  <c r="Y119" i="11"/>
  <c r="AH119" i="1" s="1"/>
  <c r="N120" i="11"/>
  <c r="AI121" i="5"/>
  <c r="CD120" i="8"/>
  <c r="CT120" i="8" s="1"/>
  <c r="W121" i="8"/>
  <c r="CW121" i="8" s="1"/>
  <c r="A121" i="10"/>
  <c r="AA121" i="10" s="1"/>
  <c r="BW120" i="8"/>
  <c r="CM120" i="8" s="1"/>
  <c r="BT120" i="8"/>
  <c r="BV120" i="8"/>
  <c r="BU120" i="8"/>
  <c r="BX120" i="8"/>
  <c r="CO120" i="8" s="1"/>
  <c r="CP120" i="8" s="1"/>
  <c r="CC120" i="8"/>
  <c r="CS120" i="8" s="1"/>
  <c r="B121" i="9"/>
  <c r="X121" i="9" s="1"/>
  <c r="AB121" i="8"/>
  <c r="BM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O127" i="2"/>
  <c r="AD124" i="1" l="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AZ127" i="5" s="1" a="1"/>
  <c r="AZ127"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L119" i="8"/>
  <c r="CY119" i="8" s="1"/>
  <c r="G119" i="1" s="1"/>
  <c r="M119" i="8" s="1"/>
  <c r="V124" i="2"/>
  <c r="CY118" i="8"/>
  <c r="G118" i="1" s="1"/>
  <c r="M118" i="8" s="1"/>
  <c r="O120" i="8"/>
  <c r="F129" i="8"/>
  <c r="AO121" i="5"/>
  <c r="AV122" i="5"/>
  <c r="BP125" i="5" a="1"/>
  <c r="BP125" i="5" s="1"/>
  <c r="AG121" i="7"/>
  <c r="AI121" i="7" s="1"/>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G133" i="9"/>
  <c r="B121" i="14"/>
  <c r="AR120" i="5"/>
  <c r="A122" i="10"/>
  <c r="AA122" i="10" s="1"/>
  <c r="CU120" i="8"/>
  <c r="E122" i="1"/>
  <c r="CK120" i="8"/>
  <c r="AI122" i="5"/>
  <c r="B122" i="9"/>
  <c r="X122" i="9" s="1"/>
  <c r="AB122" i="8"/>
  <c r="BM122" i="8" s="1"/>
  <c r="AJ122" i="5"/>
  <c r="AP122" i="5" s="1"/>
  <c r="A122" i="11"/>
  <c r="W122" i="8"/>
  <c r="CW122" i="8" s="1"/>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O128" i="2"/>
  <c r="AD125" i="1" l="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BY121" i="8"/>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G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AP123" i="5" s="1"/>
  <c r="E123" i="1"/>
  <c r="AI123" i="5"/>
  <c r="B123" i="9"/>
  <c r="X123" i="9" s="1"/>
  <c r="W123" i="8"/>
  <c r="CW123" i="8" s="1"/>
  <c r="CZ125" i="5"/>
  <c r="J125" i="2"/>
  <c r="AC124" i="1"/>
  <c r="DA124" i="5"/>
  <c r="DG124" i="5" s="1" a="1"/>
  <c r="DG124" i="5" s="1"/>
  <c r="AB125" i="1"/>
  <c r="DI125" i="5"/>
  <c r="AF134" i="9"/>
  <c r="AJ134" i="9"/>
  <c r="N110" i="1"/>
  <c r="S127" i="2"/>
  <c r="N128" i="2"/>
  <c r="R128" i="2"/>
  <c r="Q127" i="2"/>
  <c r="P129" i="2"/>
  <c r="M128" i="2"/>
  <c r="J129" i="10"/>
  <c r="N129" i="5" s="1"/>
  <c r="O129" i="2"/>
  <c r="CQ128" i="5" l="1"/>
  <c r="CR128" i="5"/>
  <c r="CW128" i="5"/>
  <c r="CU128" i="5"/>
  <c r="CV128" i="5"/>
  <c r="CT128" i="5"/>
  <c r="CS128" i="5"/>
  <c r="AY128" i="5" a="1"/>
  <c r="AY128" i="5" s="1"/>
  <c r="BL128" i="5" a="1"/>
  <c r="BL128" i="5" s="1"/>
  <c r="BG128" i="5" a="1"/>
  <c r="BG128" i="5" s="1"/>
  <c r="BI128" i="5" a="1"/>
  <c r="BI128" i="5" s="1"/>
  <c r="BI129" i="5" s="1" a="1"/>
  <c r="BI129" i="5" s="1"/>
  <c r="BN128" i="5" a="1"/>
  <c r="BN128" i="5" s="1"/>
  <c r="BN129" i="5" s="1" a="1"/>
  <c r="BN129" i="5" s="1"/>
  <c r="BF128" i="5" a="1"/>
  <c r="BF128" i="5" s="1"/>
  <c r="AD126" i="1"/>
  <c r="BB128" i="5" a="1"/>
  <c r="BB128" i="5" s="1"/>
  <c r="BB129" i="5" s="1" a="1"/>
  <c r="BB129"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Q121" i="8"/>
  <c r="CR121" i="8" s="1"/>
  <c r="O121" i="8"/>
  <c r="F131" i="8"/>
  <c r="AO123" i="5"/>
  <c r="AV124" i="5"/>
  <c r="BP127" i="5" a="1"/>
  <c r="BP127" i="5" s="1"/>
  <c r="AK127" i="11"/>
  <c r="E124" i="1"/>
  <c r="AG122" i="7"/>
  <c r="AI122" i="7" s="1"/>
  <c r="O132" i="1"/>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X124" i="9" s="1"/>
  <c r="BD124" i="8"/>
  <c r="BP124" i="8" s="1"/>
  <c r="W124" i="8"/>
  <c r="CW124" i="8" s="1"/>
  <c r="AJ124" i="5"/>
  <c r="AP124" i="5" s="1"/>
  <c r="A124" i="10"/>
  <c r="AA124" i="10" s="1"/>
  <c r="CL121" i="8"/>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B129" i="8"/>
  <c r="N123" i="7"/>
  <c r="AG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F135" i="9"/>
  <c r="AJ135" i="9"/>
  <c r="N111" i="1"/>
  <c r="S128" i="2"/>
  <c r="N129" i="2"/>
  <c r="R129" i="2"/>
  <c r="Q128" i="2"/>
  <c r="J130" i="10"/>
  <c r="N130" i="5" s="1"/>
  <c r="M129" i="2"/>
  <c r="O130" i="2"/>
  <c r="P130" i="2"/>
  <c r="AD127" i="1" l="1"/>
  <c r="CQ129" i="5"/>
  <c r="CS129" i="5"/>
  <c r="CW129" i="5"/>
  <c r="CR129" i="5"/>
  <c r="CT129" i="5"/>
  <c r="CU129" i="5"/>
  <c r="CV129" i="5"/>
  <c r="AY129" i="5" a="1"/>
  <c r="AY129" i="5" s="1"/>
  <c r="BL129" i="5" a="1"/>
  <c r="BL129" i="5" s="1"/>
  <c r="AD128" i="1" s="1"/>
  <c r="BF129" i="5" a="1"/>
  <c r="BF129" i="5" s="1"/>
  <c r="AZ129" i="5" a="1"/>
  <c r="AZ129" i="5" s="1"/>
  <c r="BG129" i="5" a="1"/>
  <c r="BG129" i="5" s="1"/>
  <c r="BJ129" i="5" a="1"/>
  <c r="BJ129" i="5" s="1"/>
  <c r="BM129" i="5" a="1"/>
  <c r="BM129" i="5" s="1"/>
  <c r="BM130" i="5" s="1" a="1"/>
  <c r="BM130" i="5" s="1"/>
  <c r="BQ129" i="5" a="1"/>
  <c r="BQ129" i="5" s="1"/>
  <c r="BQ130" i="5" s="1" a="1"/>
  <c r="BQ130" i="5" s="1"/>
  <c r="BH129" i="5" a="1"/>
  <c r="BH129" i="5" s="1"/>
  <c r="BO129" i="5" a="1"/>
  <c r="BO129" i="5" s="1"/>
  <c r="BA129" i="5" a="1"/>
  <c r="BA129" i="5" s="1"/>
  <c r="BK129" i="5" a="1"/>
  <c r="BK129" i="5" s="1"/>
  <c r="BC129" i="5" a="1"/>
  <c r="BC129" i="5" s="1"/>
  <c r="BE129" i="5" a="1"/>
  <c r="BE129" i="5" s="1"/>
  <c r="BD129" i="5" a="1"/>
  <c r="BD129" i="5" s="1"/>
  <c r="V127" i="2"/>
  <c r="CY121" i="8"/>
  <c r="G121" i="1" s="1"/>
  <c r="M121" i="8" s="1"/>
  <c r="CQ122" i="8"/>
  <c r="CR122" i="8" s="1"/>
  <c r="O122" i="8"/>
  <c r="F132" i="8"/>
  <c r="AO124" i="5"/>
  <c r="AV125" i="5"/>
  <c r="AK128" i="11"/>
  <c r="BP128" i="5" a="1"/>
  <c r="BP128" i="5" s="1"/>
  <c r="AG124" i="7"/>
  <c r="AI124" i="7" s="1"/>
  <c r="AG123" i="7"/>
  <c r="AI123" i="7" s="1"/>
  <c r="O133" i="1"/>
  <c r="BY123" i="8"/>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CA130" i="14" s="1"/>
  <c r="A130" i="8"/>
  <c r="A130" i="2"/>
  <c r="A130" i="7"/>
  <c r="R130" i="7" s="1"/>
  <c r="A130" i="5"/>
  <c r="BN130" i="5" s="1" a="1"/>
  <c r="BN130" i="5" s="1"/>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BS124" i="8"/>
  <c r="BZ124" i="8" s="1"/>
  <c r="D125" i="9"/>
  <c r="CL122" i="8"/>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CF125" i="8"/>
  <c r="CB130" i="8"/>
  <c r="BR125" i="8"/>
  <c r="BE125" i="8"/>
  <c r="BN125" i="8" s="1"/>
  <c r="AI125" i="5"/>
  <c r="BD125" i="8"/>
  <c r="BP125" i="8" s="1"/>
  <c r="AG136" i="9"/>
  <c r="AB125" i="8"/>
  <c r="BM125" i="8" s="1"/>
  <c r="B125" i="9"/>
  <c r="X125" i="9" s="1"/>
  <c r="E125" i="1"/>
  <c r="AJ125" i="5"/>
  <c r="AP125" i="5" s="1"/>
  <c r="B125" i="7"/>
  <c r="W125" i="8"/>
  <c r="CW125" i="8" s="1"/>
  <c r="BT125" i="5"/>
  <c r="AQ123" i="5"/>
  <c r="A125" i="11"/>
  <c r="A125" i="10"/>
  <c r="AA125" i="10" s="1"/>
  <c r="CU123" i="8"/>
  <c r="CZ127" i="5"/>
  <c r="CK123" i="8"/>
  <c r="J126" i="2"/>
  <c r="C126" i="5"/>
  <c r="F126" i="5" s="1"/>
  <c r="AW126" i="5" s="1"/>
  <c r="B123" i="14"/>
  <c r="AR123" i="5"/>
  <c r="AC126" i="1"/>
  <c r="DA126" i="5"/>
  <c r="DG126" i="5" s="1" a="1"/>
  <c r="DG126" i="5" s="1"/>
  <c r="AB127" i="1"/>
  <c r="DI127" i="5"/>
  <c r="AF136" i="9"/>
  <c r="AJ136" i="9"/>
  <c r="N112" i="1"/>
  <c r="S129" i="2"/>
  <c r="N130" i="2"/>
  <c r="R130" i="2"/>
  <c r="Q129" i="2"/>
  <c r="M130" i="2"/>
  <c r="O131" i="2"/>
  <c r="J131" i="10"/>
  <c r="N131" i="5" s="1"/>
  <c r="P131" i="2"/>
  <c r="CY122" i="8" l="1"/>
  <c r="G122" i="1" s="1"/>
  <c r="M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AD129" i="1" s="1"/>
  <c r="BK130" i="5" a="1"/>
  <c r="BK130" i="5" s="1"/>
  <c r="BI130" i="5" a="1"/>
  <c r="BI130" i="5" s="1"/>
  <c r="BA130" i="5" a="1"/>
  <c r="BA130" i="5" s="1"/>
  <c r="BO130" i="5" a="1"/>
  <c r="BO130" i="5" s="1"/>
  <c r="BH130" i="5" a="1"/>
  <c r="BH130" i="5" s="1"/>
  <c r="V128" i="2"/>
  <c r="AK129" i="11"/>
  <c r="CQ123" i="8"/>
  <c r="CR123" i="8" s="1"/>
  <c r="O123" i="8"/>
  <c r="CJ124" i="8"/>
  <c r="CN124" i="8" s="1"/>
  <c r="F133" i="8"/>
  <c r="AO125" i="5"/>
  <c r="AV126" i="5"/>
  <c r="BP129" i="5" a="1"/>
  <c r="BP129" i="5" s="1"/>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B126" i="9"/>
  <c r="X126" i="9" s="1"/>
  <c r="W126" i="8"/>
  <c r="CW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O132" i="2"/>
  <c r="M131" i="2"/>
  <c r="CY123" i="8" l="1"/>
  <c r="G123" i="1" s="1"/>
  <c r="M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A132" i="5" s="1" a="1"/>
  <c r="BA132" i="5" s="1"/>
  <c r="BB131" i="5" a="1"/>
  <c r="BB131" i="5" s="1"/>
  <c r="BB132" i="5" s="1" a="1"/>
  <c r="BB132"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L124" i="8"/>
  <c r="F134" i="8"/>
  <c r="AO126" i="5"/>
  <c r="AV127" i="5"/>
  <c r="BP130" i="5" a="1"/>
  <c r="BP130" i="5" s="1"/>
  <c r="AG125" i="7"/>
  <c r="AI125" i="7" s="1"/>
  <c r="O135" i="1"/>
  <c r="BY125" i="8"/>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Q124" i="8"/>
  <c r="CR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CW127" i="8" s="1"/>
  <c r="E127" i="1"/>
  <c r="AJ127" i="5"/>
  <c r="AP127" i="5" s="1"/>
  <c r="B127" i="9"/>
  <c r="X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N133" i="5" s="1"/>
  <c r="O133" i="2"/>
  <c r="M132" i="2"/>
  <c r="AD130" i="1" l="1"/>
  <c r="CY124" i="8"/>
  <c r="G124" i="1" s="1"/>
  <c r="M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Q125" i="8"/>
  <c r="CR125" i="8" s="1"/>
  <c r="O125" i="8"/>
  <c r="F135" i="8"/>
  <c r="AO127" i="5"/>
  <c r="AV128" i="5"/>
  <c r="BP131" i="5" a="1"/>
  <c r="BP131" i="5" s="1"/>
  <c r="AG126" i="7"/>
  <c r="AI126" i="7" s="1"/>
  <c r="O136" i="1"/>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J126" i="8"/>
  <c r="CN126" i="8" s="1"/>
  <c r="D128" i="9"/>
  <c r="BY126" i="8"/>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CW128" i="8" s="1"/>
  <c r="E128" i="1"/>
  <c r="AJ128" i="5"/>
  <c r="AP128" i="5" s="1"/>
  <c r="B128" i="9"/>
  <c r="X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N134" i="5" s="1"/>
  <c r="P134" i="2"/>
  <c r="O134" i="2"/>
  <c r="AD131" i="1" l="1"/>
  <c r="BC133" i="5" a="1"/>
  <c r="BC133" i="5" s="1"/>
  <c r="BI133" i="5" a="1"/>
  <c r="BI133" i="5" s="1"/>
  <c r="CY125" i="8"/>
  <c r="G125" i="1" s="1"/>
  <c r="M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O127" i="8"/>
  <c r="CQ126" i="8"/>
  <c r="CR126" i="8" s="1"/>
  <c r="O126" i="8"/>
  <c r="F136" i="8"/>
  <c r="AO128" i="5"/>
  <c r="AV129" i="5"/>
  <c r="BP132" i="5" a="1"/>
  <c r="BP132" i="5" s="1"/>
  <c r="AG127" i="7"/>
  <c r="AI127" i="7" s="1"/>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DA129" i="8"/>
  <c r="DB129" i="8" s="1"/>
  <c r="CB134" i="8"/>
  <c r="CF129" i="8"/>
  <c r="BR129" i="8"/>
  <c r="N128" i="7"/>
  <c r="BD129" i="8"/>
  <c r="BP129" i="8" s="1"/>
  <c r="BE129" i="8"/>
  <c r="BN129" i="8" s="1"/>
  <c r="CU127" i="8"/>
  <c r="CK127" i="8"/>
  <c r="J130" i="2"/>
  <c r="B127" i="14"/>
  <c r="CZ131" i="5"/>
  <c r="AB127" i="11"/>
  <c r="P127" i="8" s="1"/>
  <c r="N128" i="11"/>
  <c r="AA127" i="11"/>
  <c r="AK127" i="1" s="1"/>
  <c r="Z127" i="11"/>
  <c r="AD127" i="11"/>
  <c r="AI127" i="1" s="1"/>
  <c r="AC127" i="11"/>
  <c r="T127" i="8" s="1"/>
  <c r="Y127" i="11"/>
  <c r="AH127" i="1" s="1"/>
  <c r="C130" i="5"/>
  <c r="F130" i="5" s="1"/>
  <c r="AW130" i="5" s="1"/>
  <c r="W129" i="8"/>
  <c r="CW129" i="8" s="1"/>
  <c r="B129" i="9"/>
  <c r="X129" i="9" s="1"/>
  <c r="A129" i="10"/>
  <c r="AA129" i="10" s="1"/>
  <c r="AJ129" i="5"/>
  <c r="AP129" i="5" s="1"/>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N135" i="5" s="1"/>
  <c r="M134" i="2"/>
  <c r="AD132" i="1" l="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O135" i="5" s="1" a="1"/>
  <c r="BO135" i="5" s="1"/>
  <c r="BJ134" i="5" a="1"/>
  <c r="BJ134" i="5" s="1"/>
  <c r="BJ135" i="5" s="1" a="1"/>
  <c r="BJ135"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CY126" i="8"/>
  <c r="G126" i="1" s="1"/>
  <c r="M126" i="8" s="1"/>
  <c r="O128" i="8"/>
  <c r="AE136" i="1"/>
  <c r="AO129" i="5"/>
  <c r="AV130" i="5"/>
  <c r="BP133" i="5" a="1"/>
  <c r="BP133" i="5" s="1"/>
  <c r="AG128" i="7"/>
  <c r="AI128" i="7" s="1"/>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W130" i="8"/>
  <c r="CW130" i="8" s="1"/>
  <c r="B130" i="9"/>
  <c r="X130" i="9" s="1"/>
  <c r="AJ130" i="5"/>
  <c r="AP130" i="5" s="1"/>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Q128" i="5"/>
  <c r="CK128" i="8"/>
  <c r="AE129" i="7"/>
  <c r="AF129" i="7" s="1"/>
  <c r="Q129" i="7"/>
  <c r="AR128" i="5"/>
  <c r="AB132" i="1"/>
  <c r="DI132" i="5"/>
  <c r="AC131" i="1"/>
  <c r="DA131" i="5"/>
  <c r="DG131" i="5" s="1" a="1"/>
  <c r="DG131" i="5" s="1"/>
  <c r="N117" i="1"/>
  <c r="S134" i="2"/>
  <c r="N135" i="2"/>
  <c r="R135" i="2"/>
  <c r="Q134" i="2"/>
  <c r="M135" i="2"/>
  <c r="O136" i="2"/>
  <c r="J136" i="10"/>
  <c r="N136" i="5" s="1"/>
  <c r="P136" i="2"/>
  <c r="AD133" i="1" l="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E136" i="5" s="1" a="1"/>
  <c r="BE136" i="5" s="1"/>
  <c r="BO136" i="5" a="1"/>
  <c r="BO136"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BY129" i="8"/>
  <c r="BS130" i="8"/>
  <c r="BY130" i="8" s="1"/>
  <c r="BO130" i="8"/>
  <c r="BK130" i="8"/>
  <c r="BL130" i="8"/>
  <c r="BI130" i="8"/>
  <c r="BJ130" i="8"/>
  <c r="BG130" i="8"/>
  <c r="BH130" i="8"/>
  <c r="BF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X131" i="9" s="1"/>
  <c r="E131" i="1"/>
  <c r="A131" i="10"/>
  <c r="AA131" i="10" s="1"/>
  <c r="BT131" i="5"/>
  <c r="AJ131" i="5"/>
  <c r="AP131" i="5" s="1"/>
  <c r="W131" i="8"/>
  <c r="CW131" i="8" s="1"/>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AD134" i="1" l="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O130" i="8"/>
  <c r="CQ129" i="8"/>
  <c r="CR129" i="8" s="1"/>
  <c r="O129" i="8"/>
  <c r="AO131" i="5"/>
  <c r="BP135" i="5" a="1"/>
  <c r="BP135" i="5" s="1"/>
  <c r="AG130" i="7"/>
  <c r="AI130" i="7" s="1"/>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J130" i="8"/>
  <c r="CN130" i="8" s="1"/>
  <c r="D132" i="9"/>
  <c r="BS131" i="8"/>
  <c r="BY131" i="8" s="1"/>
  <c r="N131" i="7"/>
  <c r="CZ133" i="5"/>
  <c r="F132" i="5"/>
  <c r="AW132" i="5" s="1"/>
  <c r="D133" i="7"/>
  <c r="B133" i="10"/>
  <c r="G134" i="5"/>
  <c r="B133" i="5"/>
  <c r="AQ130" i="5"/>
  <c r="CU130" i="8"/>
  <c r="AR130" i="5"/>
  <c r="CK130" i="8"/>
  <c r="C133" i="5"/>
  <c r="AE131" i="7"/>
  <c r="AF131" i="7" s="1"/>
  <c r="Q131" i="7"/>
  <c r="B130" i="14"/>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CD131" i="8"/>
  <c r="CT131" i="8" s="1"/>
  <c r="AB134" i="1"/>
  <c r="DI134" i="5"/>
  <c r="AC133" i="1"/>
  <c r="DA133" i="5"/>
  <c r="N119" i="1"/>
  <c r="AD135" i="1" l="1"/>
  <c r="AS135" i="5"/>
  <c r="V134" i="2"/>
  <c r="CY129" i="8"/>
  <c r="G129" i="1" s="1"/>
  <c r="M129" i="8" s="1"/>
  <c r="O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CW132" i="8" s="1"/>
  <c r="B132" i="9"/>
  <c r="X132" i="9" s="1"/>
  <c r="A132" i="10"/>
  <c r="AA132" i="10" s="1"/>
  <c r="AJ132" i="5"/>
  <c r="AP132" i="5" s="1"/>
  <c r="AB132" i="8"/>
  <c r="BM132" i="8" s="1"/>
  <c r="E132" i="1"/>
  <c r="F133" i="5"/>
  <c r="AW133" i="5" s="1"/>
  <c r="D134" i="7"/>
  <c r="B134" i="10"/>
  <c r="G135" i="5"/>
  <c r="B134" i="5"/>
  <c r="CZ134" i="5"/>
  <c r="CK131" i="8"/>
  <c r="AQ131" i="5"/>
  <c r="AR131" i="5"/>
  <c r="J134" i="2"/>
  <c r="C134" i="5"/>
  <c r="B131" i="14"/>
  <c r="CU131" i="8"/>
  <c r="J135" i="2"/>
  <c r="AC134" i="1"/>
  <c r="DA134" i="5"/>
  <c r="AB135" i="1"/>
  <c r="DI135" i="5"/>
  <c r="N120" i="1"/>
  <c r="W136" i="1"/>
  <c r="AS136" i="5" l="1"/>
  <c r="V135" i="2"/>
  <c r="AO132" i="5"/>
  <c r="AV133" i="5"/>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X133" i="9" s="1"/>
  <c r="AI133" i="5"/>
  <c r="AJ133" i="5"/>
  <c r="AP133" i="5" s="1"/>
  <c r="AE132" i="7"/>
  <c r="AF132" i="7" s="1"/>
  <c r="BT132" i="8"/>
  <c r="BT133" i="5"/>
  <c r="E133" i="1"/>
  <c r="BW132" i="8"/>
  <c r="CM132" i="8" s="1"/>
  <c r="BU132" i="8"/>
  <c r="BV132" i="8"/>
  <c r="CC132" i="8"/>
  <c r="CS132" i="8" s="1"/>
  <c r="W133" i="8"/>
  <c r="CW133" i="8" s="1"/>
  <c r="AB133" i="8"/>
  <c r="BM133" i="8" s="1"/>
  <c r="A133" i="10"/>
  <c r="AA133" i="10" s="1"/>
  <c r="B133" i="7"/>
  <c r="AE133" i="7" s="1"/>
  <c r="AF133" i="7" s="1"/>
  <c r="F134" i="5"/>
  <c r="AW134" i="5" s="1"/>
  <c r="B135" i="10"/>
  <c r="D135" i="7"/>
  <c r="G136" i="5"/>
  <c r="B135" i="5"/>
  <c r="C135" i="5"/>
  <c r="AB136" i="1"/>
  <c r="DI136" i="5"/>
  <c r="J136" i="2"/>
  <c r="AC135" i="1"/>
  <c r="DA135" i="5"/>
  <c r="N121" i="1"/>
  <c r="CZ136" i="5" l="1"/>
  <c r="V136" i="2"/>
  <c r="AO133" i="5"/>
  <c r="AV134" i="5"/>
  <c r="AG133" i="7"/>
  <c r="AI133" i="7" s="1"/>
  <c r="AG132" i="7"/>
  <c r="AI132" i="7" s="1"/>
  <c r="BY132" i="8"/>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AJ134" i="5"/>
  <c r="AP134" i="5" s="1"/>
  <c r="CK132" i="8"/>
  <c r="AB134" i="8"/>
  <c r="BM134" i="8" s="1"/>
  <c r="Q133" i="7"/>
  <c r="F135" i="5"/>
  <c r="AW135" i="5" s="1"/>
  <c r="AI134" i="5"/>
  <c r="BT134" i="5"/>
  <c r="B134" i="7"/>
  <c r="Q134" i="7" s="1"/>
  <c r="W134" i="8"/>
  <c r="CW134" i="8" s="1"/>
  <c r="B134" i="9"/>
  <c r="X134" i="9" s="1"/>
  <c r="B136" i="5"/>
  <c r="B136" i="10"/>
  <c r="D136" i="7"/>
  <c r="C136" i="5"/>
  <c r="B133" i="14"/>
  <c r="AC136" i="1"/>
  <c r="DA136" i="5"/>
  <c r="DG136" i="5" s="1" a="1"/>
  <c r="DG136" i="5" s="1"/>
  <c r="N122" i="1"/>
  <c r="CQ132" i="8" l="1"/>
  <c r="CR132" i="8" s="1"/>
  <c r="O132" i="8"/>
  <c r="AO134" i="5"/>
  <c r="AV135" i="5"/>
  <c r="AN134" i="5"/>
  <c r="BY133" i="8"/>
  <c r="BS134" i="8"/>
  <c r="BY134" i="8" s="1"/>
  <c r="BO134" i="8"/>
  <c r="BK134" i="8"/>
  <c r="BL134" i="8"/>
  <c r="BI134" i="8"/>
  <c r="BJ134" i="8"/>
  <c r="BG134" i="8"/>
  <c r="BH134" i="8"/>
  <c r="BF134" i="8"/>
  <c r="AC134" i="10"/>
  <c r="X134" i="10" s="1"/>
  <c r="AM134" i="5"/>
  <c r="CL132" i="8"/>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X135" i="9" s="1"/>
  <c r="BT134" i="8"/>
  <c r="CC134" i="8"/>
  <c r="CS134" i="8" s="1"/>
  <c r="W135" i="8"/>
  <c r="CW135" i="8" s="1"/>
  <c r="B135" i="7"/>
  <c r="Q135" i="7" s="1"/>
  <c r="AJ135" i="5"/>
  <c r="AP135" i="5" s="1"/>
  <c r="A135" i="11"/>
  <c r="Y134" i="11" s="1"/>
  <c r="AH134" i="1" s="1"/>
  <c r="BT135" i="5"/>
  <c r="A135" i="10"/>
  <c r="AA135" i="10" s="1"/>
  <c r="AI135" i="5"/>
  <c r="AE134" i="7"/>
  <c r="AF134" i="7" s="1"/>
  <c r="CD134" i="8"/>
  <c r="CT134" i="8" s="1"/>
  <c r="F136" i="5"/>
  <c r="AW136" i="5" s="1"/>
  <c r="AA1269" i="14"/>
  <c r="AA1270" i="14" s="1"/>
  <c r="N123" i="1"/>
  <c r="CY132" i="8" l="1"/>
  <c r="G132" i="1" s="1"/>
  <c r="M132" i="8" s="1"/>
  <c r="BZ134" i="8"/>
  <c r="CQ134" i="8" s="1"/>
  <c r="CR134" i="8" s="1"/>
  <c r="O134" i="8"/>
  <c r="CQ133" i="8"/>
  <c r="CR133" i="8" s="1"/>
  <c r="O133" i="8"/>
  <c r="AO135" i="5"/>
  <c r="AV136" i="5"/>
  <c r="AG134" i="7"/>
  <c r="AI134" i="7" s="1"/>
  <c r="BS135" i="8"/>
  <c r="BY135" i="8" s="1"/>
  <c r="BO135" i="8"/>
  <c r="BK135" i="8"/>
  <c r="BL135" i="8"/>
  <c r="BI135" i="8"/>
  <c r="BJ135" i="8"/>
  <c r="BG135" i="8"/>
  <c r="BH135" i="8"/>
  <c r="BF135" i="8"/>
  <c r="AC135" i="10"/>
  <c r="X135" i="10" s="1"/>
  <c r="AM135" i="5"/>
  <c r="AN135" i="5"/>
  <c r="CL133" i="8"/>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CK134" i="8"/>
  <c r="CU134" i="8"/>
  <c r="AC134" i="11"/>
  <c r="T134" i="8" s="1"/>
  <c r="N135" i="11"/>
  <c r="AB134" i="11"/>
  <c r="P134" i="8" s="1"/>
  <c r="AA134" i="11"/>
  <c r="AK134" i="1" s="1"/>
  <c r="Z134" i="11"/>
  <c r="AD134" i="11"/>
  <c r="AI134" i="1" s="1"/>
  <c r="CD135" i="8"/>
  <c r="CT135" i="8" s="1"/>
  <c r="AJ136" i="5"/>
  <c r="AP136" i="5" s="1"/>
  <c r="A136" i="10"/>
  <c r="AA136" i="10" s="1"/>
  <c r="AB136" i="8"/>
  <c r="BM136" i="8" s="1"/>
  <c r="W136" i="8"/>
  <c r="CW136" i="8" s="1"/>
  <c r="A136" i="11"/>
  <c r="AA135" i="11" s="1"/>
  <c r="AK135" i="1" s="1"/>
  <c r="AI136" i="5"/>
  <c r="B136" i="7"/>
  <c r="AE136" i="7" s="1"/>
  <c r="AF136" i="7" s="1"/>
  <c r="BT136" i="5"/>
  <c r="AB136" i="11" s="1"/>
  <c r="P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Y133" i="8" l="1"/>
  <c r="G133" i="1" s="1"/>
  <c r="M133" i="8" s="1"/>
  <c r="O135" i="8"/>
  <c r="AO136" i="5"/>
  <c r="AG136" i="7"/>
  <c r="AI136" i="7" s="1"/>
  <c r="AG135" i="7"/>
  <c r="AI135" i="7" s="1"/>
  <c r="BZ135" i="8"/>
  <c r="CQ135" i="8" s="1"/>
  <c r="CR135" i="8" s="1"/>
  <c r="BS136" i="8"/>
  <c r="BY136" i="8" s="1"/>
  <c r="BO136" i="8"/>
  <c r="BK136" i="8"/>
  <c r="BL136" i="8"/>
  <c r="BI136" i="8"/>
  <c r="BJ136" i="8"/>
  <c r="BG136" i="8"/>
  <c r="BH136" i="8"/>
  <c r="BF136" i="8"/>
  <c r="AC136" i="10"/>
  <c r="X136" i="10" s="1"/>
  <c r="AM136" i="5"/>
  <c r="AN136" i="5"/>
  <c r="BT136" i="8"/>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O136" i="8" l="1"/>
  <c r="CJ136" i="8"/>
  <c r="CN136" i="8" s="1"/>
  <c r="BZ136" i="8"/>
  <c r="CQ136" i="8" s="1"/>
  <c r="CR136" i="8" s="1"/>
  <c r="I62" i="4"/>
  <c r="CL135" i="8"/>
  <c r="CY135" i="8" s="1"/>
  <c r="G135" i="1" s="1"/>
  <c r="M135" i="8" s="1"/>
  <c r="CU136" i="8"/>
  <c r="AQ136" i="5"/>
  <c r="AR136" i="5"/>
  <c r="N126" i="1"/>
  <c r="AH122" i="7"/>
  <c r="CL136" i="8" l="1"/>
  <c r="CY136" i="8"/>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AB9" i="7"/>
  <c r="AJ9" i="7" s="1"/>
  <c r="AT9" i="8"/>
  <c r="C27" i="9"/>
  <c r="BL27" i="1"/>
  <c r="V27" i="1"/>
  <c r="K28" i="1" s="1"/>
  <c r="AR28" i="1" s="1"/>
  <c r="U9" i="2" l="1"/>
  <c r="W8" i="2" s="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BL65" i="1"/>
  <c r="C65" i="9"/>
  <c r="V65" i="1"/>
  <c r="K66" i="1" s="1"/>
  <c r="AR66" i="1" s="1"/>
  <c r="R15" i="8" l="1"/>
  <c r="S15" i="8" s="1"/>
  <c r="V15" i="8" s="1"/>
  <c r="I15" i="2"/>
  <c r="I15" i="11" s="1"/>
  <c r="H15" i="2"/>
  <c r="F15" i="2"/>
  <c r="J15" i="11" s="1"/>
  <c r="P15" i="7" s="1"/>
  <c r="F15" i="1"/>
  <c r="V66" i="1"/>
  <c r="K67" i="1" s="1"/>
  <c r="AR67" i="1" s="1"/>
  <c r="C66" i="9"/>
  <c r="BL66" i="1"/>
  <c r="U15" i="8" l="1"/>
  <c r="G15" i="2"/>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C71" i="9"/>
  <c r="BL71" i="1"/>
  <c r="V71" i="1"/>
  <c r="K72" i="1" s="1"/>
  <c r="AR72" i="1" s="1"/>
  <c r="R16" i="8" l="1"/>
  <c r="S16" i="8" s="1"/>
  <c r="V16" i="8" s="1"/>
  <c r="H16" i="2"/>
  <c r="F16" i="1"/>
  <c r="I16" i="2"/>
  <c r="O16" i="7" s="1"/>
  <c r="F16" i="2"/>
  <c r="J16" i="11" s="1"/>
  <c r="F16" i="9" s="1"/>
  <c r="C72" i="9"/>
  <c r="BL72" i="1"/>
  <c r="V72" i="1"/>
  <c r="K73" i="1" s="1"/>
  <c r="AR73" i="1" s="1"/>
  <c r="U16" i="8" l="1"/>
  <c r="AP16" i="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R24" i="8" s="1"/>
  <c r="C115" i="9"/>
  <c r="V115" i="1"/>
  <c r="K116" i="1" s="1"/>
  <c r="AR116" i="1" s="1"/>
  <c r="BL115" i="1"/>
  <c r="H24" i="1" l="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s="1"/>
  <c r="H28" i="1" l="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l="1"/>
  <c r="W29" i="2" s="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AB49" i="7"/>
  <c r="AJ49" i="7" s="1"/>
  <c r="AT49" i="8"/>
  <c r="U49" i="2" l="1"/>
  <c r="W48" i="2" s="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O52" i="7"/>
  <c r="S52" i="8"/>
  <c r="V52" i="8" s="1"/>
  <c r="U52" i="8"/>
  <c r="G52" i="2"/>
  <c r="P52" i="7" l="1"/>
  <c r="F52" i="9"/>
  <c r="Z52" i="2"/>
  <c r="Z53" i="8" s="1"/>
  <c r="B53" i="8" s="1"/>
  <c r="C52" i="8"/>
  <c r="BJ53" i="1"/>
  <c r="Y52" i="2" l="1"/>
  <c r="X52" i="2" s="1"/>
  <c r="H53" i="11" l="1"/>
  <c r="AT53" i="8"/>
  <c r="E53" i="2"/>
  <c r="L53" i="2" s="1"/>
  <c r="D53" i="2"/>
  <c r="AB53" i="7"/>
  <c r="U53" i="2" l="1"/>
  <c r="W52" i="2" s="1"/>
  <c r="C53" i="2" s="1"/>
  <c r="R53" i="8" l="1"/>
  <c r="H53" i="1"/>
  <c r="F53" i="1"/>
  <c r="F53" i="2"/>
  <c r="I53" i="2"/>
  <c r="H53" i="2"/>
  <c r="AK53" i="5" l="1"/>
  <c r="C53" i="11"/>
  <c r="AC53" i="7"/>
  <c r="AJ53" i="7" s="1"/>
  <c r="V53" i="10"/>
  <c r="BI53" i="1"/>
  <c r="AN53" i="8"/>
  <c r="J53" i="1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AT72" i="8"/>
  <c r="U72" i="2" l="1"/>
  <c r="W71" i="2" s="1"/>
  <c r="C72" i="2" s="1"/>
  <c r="R72" i="8" s="1"/>
  <c r="H72" i="1" l="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l="1"/>
  <c r="W75" i="2" s="1"/>
  <c r="C76" i="2" s="1"/>
  <c r="R76" i="8" s="1"/>
  <c r="H41" i="4"/>
  <c r="B41" i="4"/>
  <c r="S76" i="8" l="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s="1"/>
  <c r="H136" i="2" l="1"/>
  <c r="I136" i="2"/>
  <c r="F136" i="2"/>
  <c r="F136" i="1"/>
  <c r="J136" i="11" l="1"/>
  <c r="AP136" i="1"/>
  <c r="T136" i="1" s="1"/>
  <c r="AA136" i="1"/>
  <c r="S136" i="1" s="1"/>
  <c r="I136" i="11"/>
  <c r="G136" i="2"/>
  <c r="U136" i="8"/>
  <c r="S136" i="8"/>
  <c r="V136" i="8" s="1"/>
  <c r="O136" i="7"/>
  <c r="P136" i="7" l="1"/>
  <c r="F136" i="9"/>
  <c r="Z136" i="2"/>
  <c r="Y136" i="2" s="1"/>
  <c r="X136" i="2" s="1"/>
  <c r="W136" i="2" s="1"/>
  <c r="C136" i="8"/>
  <c r="L25" i="14"/>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O6" i="8"/>
  <c r="AQ6" i="1"/>
  <c r="AL6" i="5"/>
  <c r="BK6" i="1"/>
  <c r="D5" i="11"/>
  <c r="C4" i="14"/>
  <c r="U6" i="1" l="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<sst xmlns="http://schemas.openxmlformats.org/spreadsheetml/2006/main" count="2921" uniqueCount="1117">
  <si>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</si>
  <si>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</si>
  <si>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</si>
  <si>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</si>
  <si>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</si>
  <si>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</si>
  <si>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</si>
  <si>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</si>
  <si>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</si>
  <si>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</si>
  <si>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</si>
  <si>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</si>
  <si>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</si>
  <si>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</si>
  <si>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</si>
  <si>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</si>
  <si>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</si>
  <si>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</si>
  <si>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</si>
  <si>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</si>
  <si>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</si>
  <si>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</si>
  <si>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</si>
  <si>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</si>
  <si>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</si>
  <si>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</si>
  <si>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</si>
  <si>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</si>
  <si>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</si>
  <si>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</si>
  <si>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</si>
  <si>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</si>
  <si>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</si>
  <si>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</si>
  <si>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</si>
  <si>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</si>
  <si>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</si>
  <si>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</si>
  <si>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</si>
  <si>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</si>
  <si>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</si>
  <si>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</si>
  <si>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</si>
  <si>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</si>
  <si>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</si>
  <si>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</si>
  <si>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</si>
  <si>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</si>
  <si>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</si>
  <si>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</si>
  <si>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</si>
  <si>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</si>
  <si>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</si>
  <si>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</si>
  <si>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</si>
  <si>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</si>
  <si>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</si>
  <si>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</si>
  <si>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</si>
  <si>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</si>
  <si>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</si>
  <si>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</si>
  <si>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</si>
  <si>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</si>
  <si>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</si>
  <si>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</si>
  <si>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</si>
  <si>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</si>
  <si>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</si>
  <si>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</si>
  <si>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</si>
  <si>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</si>
  <si>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</si>
  <si>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</si>
  <si>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</si>
  <si>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</si>
  <si>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</si>
  <si>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</si>
  <si>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</si>
  <si>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</si>
  <si>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</si>
  <si>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</si>
  <si>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</si>
  <si>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</si>
  <si>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</si>
  <si>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</si>
  <si>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</si>
  <si>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</si>
  <si>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</si>
  <si>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</si>
  <si>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</si>
  <si>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</si>
  <si>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</si>
  <si>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</si>
  <si>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</si>
  <si>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</si>
  <si>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</si>
  <si>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</si>
  <si>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</si>
  <si>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</si>
  <si>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</si>
  <si>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</si>
  <si>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</si>
  <si>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</si>
  <si>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</si>
  <si>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</si>
  <si>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</si>
  <si>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</si>
  <si>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</si>
  <si>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</si>
  <si>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</si>
  <si>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</si>
  <si>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</si>
  <si>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</si>
  <si>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</si>
  <si>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</si>
  <si>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</si>
  <si>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</si>
  <si>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</si>
  <si>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</si>
  <si>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</si>
  <si>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</si>
  <si>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</si>
  <si>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</si>
  <si>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</si>
  <si>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</si>
  <si>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</si>
  <si>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</si>
  <si>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</si>
  <si>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</si>
  <si>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</si>
  <si>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</si>
  <si>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</si>
  <si>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</si>
  <si>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</si>
  <si>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</si>
  <si>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</si>
  <si>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</si>
  <si>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</si>
  <si>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</si>
  <si>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</si>
  <si>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</si>
  <si>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</si>
  <si>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</si>
  <si>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</si>
  <si>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</si>
  <si>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</si>
  <si>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</si>
  <si>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</si>
  <si>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</si>
  <si>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</si>
  <si>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</si>
  <si>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</si>
  <si>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</si>
  <si>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</si>
  <si>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</si>
  <si>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</si>
  <si>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</si>
  <si>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</si>
  <si>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</si>
  <si>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</si>
  <si>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</si>
  <si>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</si>
  <si>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</si>
  <si>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</si>
  <si>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</si>
  <si>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</si>
  <si>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</si>
  <si>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</si>
  <si>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</si>
  <si>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</si>
  <si>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</si>
  <si>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</si>
  <si>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</si>
  <si>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</si>
  <si>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</si>
  <si>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</si>
  <si>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</si>
  <si>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</si>
  <si>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</si>
  <si>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</si>
  <si>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</si>
  <si>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</si>
  <si>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</si>
  <si>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</si>
  <si>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</si>
  <si>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</si>
  <si>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</si>
  <si>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</si>
  <si>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</si>
  <si>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</si>
  <si>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</si>
  <si>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</si>
  <si>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</si>
  <si>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</si>
  <si>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</si>
  <si>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</si>
  <si>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</si>
  <si>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</si>
  <si>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</si>
  <si>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</si>
  <si>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</si>
  <si>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</si>
  <si>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</si>
  <si>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</si>
  <si>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</si>
  <si>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</si>
  <si>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</si>
  <si>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</si>
  <si>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</si>
  <si>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</si>
  <si>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</si>
  <si>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</si>
  <si>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</si>
  <si>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</si>
  <si>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</si>
  <si>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</si>
  <si>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</si>
  <si>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</si>
  <si>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</si>
  <si>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</si>
  <si>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</si>
  <si>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</si>
  <si>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</si>
  <si>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</si>
  <si>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</si>
  <si>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</si>
  <si>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</si>
  <si>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</si>
  <si>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</si>
  <si>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</si>
  <si>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</si>
  <si>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</si>
  <si>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</si>
  <si>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</si>
  <si>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</si>
  <si>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</si>
  <si>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</si>
  <si>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</si>
  <si>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</si>
  <si>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</si>
  <si>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</si>
  <si>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</si>
  <si>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</si>
  <si>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</si>
  <si>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</si>
  <si>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</si>
  <si>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</si>
  <si>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</si>
  <si>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</si>
  <si>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</si>
  <si>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</si>
  <si>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</si>
  <si>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</si>
  <si>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</si>
  <si>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</si>
  <si>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</si>
  <si>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</si>
  <si>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</si>
  <si>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</si>
  <si>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</si>
  <si>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</si>
  <si>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</si>
  <si>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</si>
  <si>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</si>
  <si>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</si>
  <si>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</si>
  <si>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</si>
  <si>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</si>
  <si>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</si>
  <si>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</si>
  <si>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</si>
  <si>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</si>
  <si>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</si>
  <si>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</si>
  <si>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</si>
  <si>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</si>
  <si>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</si>
  <si>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</si>
  <si>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</si>
  <si>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</si>
  <si>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</si>
  <si>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</si>
  <si>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</si>
  <si>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</si>
  <si>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</si>
  <si>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</si>
  <si>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</si>
  <si>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</si>
  <si>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</si>
  <si>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</si>
  <si>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</si>
  <si>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</si>
  <si>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</si>
  <si>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</si>
  <si>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</si>
  <si>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</si>
  <si>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</si>
  <si>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</si>
  <si>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</si>
  <si>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</si>
  <si>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</si>
  <si>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</si>
  <si>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</si>
  <si>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</si>
  <si>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</si>
  <si>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</si>
  <si>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</si>
  <si>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</si>
  <si>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</si>
  <si>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</si>
  <si>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</si>
  <si>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</si>
  <si>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</si>
  <si>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</si>
  <si>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</si>
  <si>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</si>
  <si>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</si>
  <si>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</si>
  <si>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</si>
  <si>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</si>
  <si>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</si>
  <si>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</si>
  <si>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</si>
  <si>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</si>
  <si>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</si>
  <si>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</si>
  <si>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</si>
  <si>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</si>
  <si>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</si>
  <si>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</si>
  <si>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</si>
  <si>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</si>
  <si>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</si>
  <si>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</si>
  <si>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</si>
  <si>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</si>
  <si>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</si>
  <si>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</si>
  <si>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</si>
  <si>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</si>
  <si>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</si>
  <si>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</si>
  <si>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</si>
  <si>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</si>
  <si>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</si>
  <si>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</si>
  <si>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</si>
  <si>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</si>
  <si>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</si>
  <si>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</si>
  <si>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</si>
  <si>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</si>
  <si>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</si>
  <si>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</si>
  <si>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</si>
  <si>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</si>
  <si>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</si>
  <si>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</si>
  <si>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</si>
  <si>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</si>
  <si>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</si>
  <si>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</si>
  <si>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</si>
  <si>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</si>
  <si>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</si>
  <si>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</si>
  <si>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</si>
  <si>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</si>
  <si>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</si>
  <si>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</si>
  <si>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</si>
  <si>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</si>
  <si>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</si>
  <si>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</si>
  <si>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</si>
  <si>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</si>
  <si>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</si>
  <si>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</si>
  <si>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</si>
  <si>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</si>
  <si>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</si>
  <si>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</si>
  <si>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</si>
  <si>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</si>
  <si>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</si>
  <si>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</si>
  <si>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</si>
  <si>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</si>
  <si>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</si>
  <si>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</si>
  <si>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</si>
  <si>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</si>
  <si>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</si>
  <si>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</si>
  <si>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</si>
  <si>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</si>
  <si>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</si>
  <si>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</si>
  <si>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</si>
  <si>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</si>
  <si>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</si>
  <si>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</si>
  <si>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</si>
  <si>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</si>
  <si>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</si>
  <si>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</si>
  <si>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</si>
  <si>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</si>
  <si>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</si>
  <si>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</si>
  <si>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</si>
  <si>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</si>
  <si>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</si>
  <si>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</si>
  <si>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</si>
  <si>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</si>
  <si>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</si>
  <si>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</si>
  <si>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</si>
  <si>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</si>
  <si>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</si>
  <si>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</si>
  <si>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</si>
  <si>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</si>
  <si>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</si>
  <si>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</si>
  <si>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</si>
  <si>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</si>
  <si>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</si>
  <si>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</si>
  <si>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</si>
  <si>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</si>
  <si>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</si>
  <si>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</si>
  <si>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</si>
  <si>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</si>
  <si>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</si>
  <si>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</si>
  <si>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</si>
  <si>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</si>
  <si>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</si>
  <si>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</si>
  <si>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</si>
  <si>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</si>
  <si>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</si>
  <si>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</si>
  <si>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</si>
  <si>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</si>
  <si>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</si>
  <si>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</si>
  <si>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</si>
  <si>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</si>
  <si>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</si>
  <si>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</si>
  <si>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</si>
  <si>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</si>
  <si>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</si>
  <si>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</si>
  <si>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</si>
  <si>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</si>
  <si>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</si>
  <si>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</si>
  <si>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</si>
  <si>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</si>
  <si>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</si>
  <si>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</si>
  <si>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</si>
  <si>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</si>
  <si>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</si>
  <si>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</si>
  <si>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</si>
  <si>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</si>
  <si>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</si>
  <si>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</si>
  <si>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</si>
  <si>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</si>
  <si>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</si>
  <si>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</si>
  <si>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</si>
  <si>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</si>
  <si>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</si>
  <si>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</si>
  <si>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</si>
  <si>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</si>
  <si>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</si>
  <si>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</si>
  <si>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</si>
  <si>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</si>
  <si>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</si>
  <si>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</si>
  <si>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</si>
  <si>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</si>
  <si>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</si>
  <si>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</si>
  <si>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</si>
  <si>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</si>
  <si>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</si>
  <si>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</si>
  <si>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</si>
  <si>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</si>
  <si>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</si>
  <si>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</si>
  <si>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</si>
  <si>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</si>
  <si>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</si>
  <si>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</si>
  <si>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</si>
  <si>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</si>
  <si>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</si>
  <si>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</si>
  <si>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</si>
  <si>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</si>
  <si>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</si>
  <si>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</si>
  <si>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</si>
  <si>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</si>
  <si>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</si>
  <si>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</si>
  <si>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</si>
  <si>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</si>
  <si>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</si>
  <si>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</si>
  <si>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</si>
  <si>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</si>
  <si>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</si>
  <si>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</si>
  <si>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</si>
  <si>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</si>
  <si>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</si>
  <si>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</si>
  <si>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</si>
  <si>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</si>
  <si>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</si>
  <si>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</si>
  <si>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</si>
  <si>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</si>
  <si>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</si>
  <si>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</si>
  <si>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</si>
  <si>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</si>
  <si>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</si>
  <si>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</si>
  <si>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</si>
  <si>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</si>
  <si>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</si>
  <si>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</si>
  <si>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</si>
  <si>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</si>
  <si>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</si>
  <si>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</si>
  <si>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</si>
  <si>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</si>
  <si>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</si>
  <si>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</si>
  <si>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</si>
  <si>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</si>
  <si>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</si>
  <si>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</si>
  <si>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</si>
  <si>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</si>
  <si>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</si>
  <si>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</si>
  <si>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</si>
  <si>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</si>
  <si>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</si>
  <si>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</si>
  <si>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</si>
  <si>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</si>
  <si>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</si>
  <si>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</si>
  <si>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</si>
  <si>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</si>
  <si>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</si>
  <si>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</si>
  <si>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</si>
  <si>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</si>
  <si>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</si>
  <si>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</si>
  <si>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</si>
  <si>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</si>
  <si>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</si>
  <si>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</si>
  <si>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</si>
  <si>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</si>
  <si>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</si>
  <si>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</si>
  <si>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</si>
  <si>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</si>
  <si>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</si>
  <si>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</si>
  <si>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</si>
  <si>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</si>
  <si>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</si>
  <si>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</si>
  <si>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</si>
  <si>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</si>
  <si>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</si>
  <si>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</si>
  <si>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</si>
  <si>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</si>
  <si>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</si>
  <si>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</si>
  <si>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</si>
  <si>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</si>
  <si>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</si>
  <si>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</si>
  <si>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</si>
  <si>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</si>
  <si>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</si>
  <si>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</si>
  <si>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</si>
  <si>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</si>
  <si>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</si>
  <si>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</si>
  <si>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</si>
  <si>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</si>
  <si>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</si>
  <si>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</si>
  <si>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</si>
  <si>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</si>
  <si>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</si>
  <si>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</si>
  <si>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</si>
  <si>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</si>
  <si>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</si>
  <si>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</si>
  <si>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</si>
  <si>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</si>
  <si>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</si>
  <si>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</si>
  <si>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</si>
  <si>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</si>
  <si>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</si>
  <si>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</si>
  <si>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</si>
  <si>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</si>
  <si>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</si>
  <si>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</si>
  <si>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</si>
  <si>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</si>
  <si>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</si>
  <si>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</si>
  <si>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</si>
  <si>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</si>
  <si>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</si>
  <si>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</si>
  <si>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</si>
  <si>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</si>
  <si>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</si>
  <si>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</si>
  <si>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</si>
  <si>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</si>
  <si>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</si>
  <si>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</si>
  <si>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</si>
  <si>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</si>
  <si>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</si>
  <si>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</si>
  <si>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</si>
  <si>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</si>
  <si>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</si>
  <si>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</si>
  <si>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</si>
  <si>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</si>
  <si>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</si>
  <si>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</si>
  <si>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</si>
  <si>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</si>
  <si>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</si>
  <si>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</si>
  <si>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</si>
  <si>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</si>
  <si>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</si>
  <si>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</si>
  <si>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</si>
  <si>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</si>
  <si>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</si>
  <si>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</si>
  <si>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</si>
  <si>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</si>
  <si>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</si>
  <si>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</si>
  <si>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</si>
  <si>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</si>
  <si>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</si>
  <si>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</si>
  <si>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</si>
  <si>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</si>
  <si>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</si>
  <si>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</si>
  <si>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</si>
  <si>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</si>
  <si>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</si>
  <si>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</si>
  <si>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</si>
  <si>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</si>
  <si>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</si>
  <si>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</si>
  <si>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</si>
  <si>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</si>
  <si>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</si>
  <si>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</si>
  <si>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</si>
  <si>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</si>
  <si>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</si>
  <si>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</si>
  <si>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</si>
  <si>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</si>
  <si>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</si>
  <si>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</si>
  <si>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</si>
  <si>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</si>
  <si>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</si>
  <si>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</si>
  <si>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</si>
  <si>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</si>
  <si>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</si>
  <si>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</si>
  <si>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</si>
  <si>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</si>
  <si>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</si>
  <si>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</si>
  <si>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</si>
  <si>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</si>
  <si>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</si>
  <si>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</si>
  <si>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</si>
  <si>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</si>
  <si>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</si>
  <si>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</si>
  <si>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</si>
  <si>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</si>
  <si>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</si>
  <si>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</si>
  <si>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</si>
  <si>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</si>
  <si>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</si>
  <si>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</si>
  <si>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</si>
  <si>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</si>
  <si>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</si>
  <si>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</si>
  <si>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</si>
  <si>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</si>
  <si>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</si>
  <si>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</si>
  <si>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</si>
  <si>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</si>
  <si>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</si>
  <si>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</si>
  <si>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</si>
  <si>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</si>
  <si>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</si>
  <si>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</si>
  <si>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</si>
  <si>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</si>
  <si>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</si>
  <si>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</si>
  <si>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</si>
  <si>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</si>
  <si>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</si>
  <si>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</si>
  <si>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</si>
  <si>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</si>
  <si>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</si>
  <si>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</si>
  <si>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</si>
  <si>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</si>
  <si>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</si>
  <si>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</si>
  <si>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</si>
  <si>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</si>
  <si>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</si>
  <si>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</si>
  <si>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</si>
  <si>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</si>
  <si>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</si>
  <si>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</si>
  <si>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</si>
  <si>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</si>
  <si>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</si>
  <si>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</si>
  <si>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</si>
  <si>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</si>
  <si>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</si>
  <si>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</si>
  <si>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</si>
  <si>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</si>
  <si>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</si>
  <si>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</si>
  <si>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</si>
  <si>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</si>
  <si>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</si>
  <si>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</si>
  <si>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</si>
  <si>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</si>
  <si>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</si>
  <si>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</si>
  <si>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</si>
  <si>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</si>
  <si>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</si>
  <si>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</si>
  <si>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</si>
  <si>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</si>
  <si>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</si>
  <si>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</si>
  <si>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</si>
  <si>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</si>
  <si>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</si>
  <si>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</si>
  <si>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</si>
  <si>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</si>
  <si>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</si>
  <si>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</si>
  <si>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</si>
  <si>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</si>
  <si>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</si>
  <si>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</si>
  <si>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</si>
  <si>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</si>
  <si>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</si>
  <si>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</si>
  <si>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</si>
  <si>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</si>
  <si>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</si>
  <si>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</si>
  <si>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</si>
  <si>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</si>
  <si>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</si>
  <si>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</si>
  <si>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</si>
  <si>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</si>
  <si>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</si>
  <si>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</si>
  <si>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</si>
  <si>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</si>
  <si>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</si>
  <si>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</si>
  <si>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</si>
  <si>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</si>
  <si>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</si>
  <si>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</si>
  <si>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</si>
  <si>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</si>
  <si>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</si>
  <si>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</si>
  <si>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</si>
  <si>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</si>
  <si>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</si>
  <si>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</si>
  <si>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</si>
  <si>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</si>
  <si>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</si>
  <si>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</si>
  <si>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</si>
  <si>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</si>
  <si>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</si>
  <si>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</si>
  <si>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</si>
  <si>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</si>
  <si>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</si>
  <si>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</si>
  <si>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</si>
  <si>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</si>
  <si>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</si>
  <si>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</si>
  <si>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</si>
  <si>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</si>
  <si>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</si>
  <si>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</si>
  <si>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</si>
  <si>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</si>
  <si>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</si>
  <si>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</si>
  <si>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</si>
  <si>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</si>
  <si>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</si>
  <si>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</si>
  <si>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</si>
  <si>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</si>
  <si>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</si>
  <si>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</si>
  <si>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</si>
  <si>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</si>
  <si>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</si>
  <si>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</si>
  <si>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</si>
  <si>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</si>
  <si>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</si>
  <si>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</si>
  <si>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</si>
  <si>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</si>
  <si>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</si>
  <si>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</si>
  <si>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</si>
  <si>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</si>
  <si>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</si>
  <si>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</si>
  <si>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</si>
  <si>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</si>
  <si>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</si>
  <si>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</si>
  <si>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</si>
  <si>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</si>
  <si>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</si>
  <si>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</si>
  <si>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</si>
  <si>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</si>
  <si>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</si>
  <si>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</si>
  <si>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</si>
  <si>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</si>
  <si>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</si>
  <si>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</si>
  <si>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</si>
  <si>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</si>
  <si>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</si>
  <si>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</si>
  <si>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</si>
  <si>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</si>
  <si>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</si>
  <si>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</si>
  <si>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</si>
  <si>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</si>
  <si>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</si>
  <si>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</si>
  <si>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</si>
  <si>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</si>
  <si>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</si>
  <si>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</si>
  <si>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</si>
  <si>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</si>
  <si>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</si>
  <si>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</si>
  <si>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</si>
  <si>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</si>
  <si>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</si>
  <si>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</si>
  <si>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</si>
  <si>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</si>
  <si>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</si>
  <si>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</si>
  <si>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</si>
  <si>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</si>
  <si>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</si>
  <si>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</si>
  <si>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</si>
  <si>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</si>
  <si>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</si>
  <si>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</si>
  <si>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</si>
  <si>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</si>
  <si>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</si>
  <si>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</si>
  <si>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</si>
  <si>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</si>
  <si>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</si>
  <si>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</si>
  <si>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</si>
  <si>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</si>
  <si>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</si>
  <si>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</si>
  <si>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</si>
  <si>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</si>
  <si>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</si>
  <si>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</si>
  <si>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</si>
  <si>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</si>
  <si>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</si>
  <si>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</si>
  <si>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</si>
  <si>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</si>
  <si>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</si>
  <si>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</si>
  <si>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</si>
  <si>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</si>
  <si>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</si>
  <si>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</si>
  <si>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</si>
  <si>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</si>
  <si>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</si>
  <si>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</si>
  <si>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</si>
  <si>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</si>
  <si>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</si>
  <si>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</si>
  <si>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</si>
  <si>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</si>
  <si>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</si>
  <si>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</si>
  <si>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</si>
  <si>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</si>
  <si>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</si>
  <si>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</si>
  <si>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</si>
  <si>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</si>
  <si>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</si>
  <si>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</si>
  <si>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</si>
  <si>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</si>
  <si>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</si>
  <si>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</si>
  <si>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</si>
  <si>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</si>
  <si>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</si>
  <si>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</si>
  <si>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</si>
  <si>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</si>
  <si>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</si>
  <si>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</si>
  <si>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</si>
  <si>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</si>
  <si>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</si>
  <si>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</si>
  <si>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</si>
  <si>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</si>
  <si>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</si>
  <si>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</si>
  <si>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</si>
  <si>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</si>
  <si>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</si>
  <si>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</si>
  <si>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</si>
  <si>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</si>
  <si>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</si>
  <si>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</si>
  <si>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</si>
  <si>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</si>
  <si>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</si>
  <si>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</si>
  <si>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</si>
  <si>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</si>
  <si>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</si>
  <si>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</si>
  <si>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</si>
  <si>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</si>
  <si>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</si>
  <si>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</si>
  <si>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</si>
  <si>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</si>
  <si>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</si>
  <si>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</si>
  <si>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</si>
  <si>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</si>
  <si>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</si>
  <si>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</si>
  <si>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</si>
  <si>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</si>
  <si>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</si>
  <si>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</si>
  <si>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</si>
  <si>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</si>
  <si>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</si>
  <si>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</si>
  <si>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</si>
  <si>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</si>
  <si>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</si>
  <si>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</si>
  <si>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</si>
  <si>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</si>
  <si>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</si>
  <si>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</si>
  <si>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</si>
  <si>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</si>
  <si>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</si>
  <si>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</si>
  <si>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</si>
  <si>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</si>
  <si>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</si>
  <si>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</si>
  <si>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</si>
  <si>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</si>
  <si>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</si>
  <si>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</si>
  <si>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</si>
  <si>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</si>
  <si>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</si>
  <si>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</si>
  <si>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</si>
  <si>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</si>
  <si>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</si>
  <si>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</si>
  <si>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</si>
  <si>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</si>
  <si>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</si>
  <si>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</si>
  <si>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</si>
  <si>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</si>
  <si>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</si>
  <si>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</si>
  <si>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</si>
  <si>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</si>
  <si>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</si>
  <si>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</si>
  <si>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</si>
  <si>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</si>
  <si>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</si>
  <si>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</si>
  <si>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</si>
  <si>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</si>
  <si>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</si>
  <si>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</si>
  <si>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</si>
  <si>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</si>
  <si>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</si>
  <si>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</si>
  <si>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</si>
  <si>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</si>
  <si>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</si>
  <si>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</si>
  <si>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t>Dire Bat</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</si>
  <si>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</si>
  <si>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</si>
  <si>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Goblin / Orc/Hum</t>
  </si>
  <si>
    <t>Killing Rage / Bloodrage / Crusade</t>
  </si>
  <si>
    <t>OD Round 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</si>
</sst>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8"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505">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5"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49" fontId="12" fillId="0" borderId="0" xfId="0" applyNumberFormat="1" applyFont="1" applyAlignment="1">
      <alignment horizontal="left" vertical="top"/>
    </xf>
    <xf numFmtId="10" fontId="11" fillId="0" borderId="0" xfId="2" applyNumberFormat="1" applyFont="1"/>
    <xf numFmtId="0" fontId="3" fillId="12" borderId="0" xfId="0" applyFont="1" applyFill="1"/>
    <xf numFmtId="0" fontId="3" fillId="0" borderId="0" xfId="0" applyFont="1"/>
    <xf numFmtId="3" fontId="3" fillId="12" borderId="0" xfId="0" applyNumberFormat="1" applyFont="1" applyFill="1"/>
    <xf numFmtId="0" fontId="5" fillId="0" borderId="3" xfId="0" applyFont="1" applyBorder="1"/>
    <xf numFmtId="0" fontId="21" fillId="0" borderId="3" xfId="2" applyNumberFormat="1" applyFont="1" applyFill="1" applyBorder="1" applyProtection="1">
      <protection hidden="1"/>
    </xf>
    <xf numFmtId="0" fontId="3" fillId="12" borderId="5" xfId="0" applyFont="1" applyFill="1" applyBorder="1"/>
    <xf numFmtId="0" fontId="5" fillId="12" borderId="0" xfId="0" applyFont="1" applyFill="1"/>
    <xf numFmtId="0" fontId="3" fillId="12" borderId="6" xfId="0" applyFont="1" applyFill="1" applyBorder="1"/>
    <xf numFmtId="0" fontId="3" fillId="12" borderId="2" xfId="0" applyFont="1" applyFill="1" applyBorder="1"/>
    <xf numFmtId="20" fontId="3" fillId="0" borderId="0" xfId="0" applyNumberFormat="1" applyFont="1" applyAlignment="1">
      <alignment horizontal="center"/>
    </xf>
    <xf numFmtId="9" fontId="3" fillId="0" borderId="0" xfId="2" applyFont="1" applyFill="1" applyBorder="1" applyProtection="1">
      <protection hidden="1"/>
    </xf>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Alignment="1">
      <alignment horizontal="center"/>
    </xf>
    <xf numFmtId="0" fontId="3" fillId="12" borderId="0" xfId="0" applyFont="1" applyFill="1" applyAlignment="1">
      <alignment shrinkToFit="1"/>
    </xf>
    <xf numFmtId="0" fontId="3" fillId="0" borderId="26" xfId="0" applyFont="1" applyBorder="1"/>
    <xf numFmtId="0" fontId="22" fillId="12" borderId="6" xfId="0" applyFont="1" applyFill="1" applyBorder="1"/>
    <xf numFmtId="0" fontId="5" fillId="0" borderId="0" xfId="0" applyFont="1" applyAlignment="1">
      <alignment horizontal="left"/>
    </xf>
    <xf numFmtId="3" fontId="3" fillId="0" borderId="0" xfId="0" applyNumberFormat="1" applyFont="1" applyAlignment="1">
      <alignment horizontal="center"/>
    </xf>
    <xf numFmtId="165" fontId="3" fillId="0" borderId="0" xfId="0" applyNumberFormat="1" applyFont="1" applyProtection="1">
      <protection hidden="1"/>
    </xf>
    <xf numFmtId="0" fontId="3" fillId="0" borderId="0" xfId="2" applyNumberFormat="1" applyFont="1" applyFill="1" applyBorder="1"/>
    <xf numFmtId="0" fontId="3" fillId="0" borderId="0" xfId="0" quotePrefix="1" applyFont="1" applyAlignment="1">
      <alignment horizontal="center"/>
    </xf>
    <xf numFmtId="165" fontId="3" fillId="12" borderId="0" xfId="0" applyNumberFormat="1" applyFont="1" applyFill="1" applyProtection="1">
      <protection hidden="1"/>
    </xf>
    <xf numFmtId="3" fontId="3" fillId="12" borderId="0" xfId="0" applyNumberFormat="1" applyFont="1" applyFill="1" applyAlignment="1">
      <alignment horizontal="right"/>
    </xf>
    <xf numFmtId="0" fontId="3" fillId="12" borderId="0" xfId="0" quotePrefix="1" applyFont="1" applyFill="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Border="1"/>
    <xf numFmtId="0" fontId="22" fillId="12" borderId="11" xfId="0" applyFont="1" applyFill="1" applyBorder="1"/>
    <xf numFmtId="0" fontId="3" fillId="0" borderId="1" xfId="0" applyFont="1" applyBorder="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3" fillId="0" borderId="10" xfId="0" applyFont="1" applyBorder="1" applyAlignment="1">
      <alignment horizontal="left"/>
    </xf>
    <xf numFmtId="0" fontId="3" fillId="12" borderId="9" xfId="0" applyFont="1" applyFill="1" applyBorder="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2"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5" fillId="0" borderId="5" xfId="0" applyNumberFormat="1" applyFont="1" applyBorder="1"/>
    <xf numFmtId="3" fontId="5" fillId="0" borderId="6" xfId="0" applyNumberFormat="1" applyFont="1" applyBorder="1"/>
    <xf numFmtId="0" fontId="3" fillId="0" borderId="5" xfId="0" applyFont="1" applyBorder="1"/>
    <xf numFmtId="0" fontId="3" fillId="0" borderId="6" xfId="0" applyFont="1" applyBorder="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49" fontId="2" fillId="15" borderId="48" xfId="0" applyNumberFormat="1" applyFont="1" applyFill="1" applyBorder="1"/>
    <xf numFmtId="0" fontId="2" fillId="15" borderId="49" xfId="0" applyFont="1" applyFill="1" applyBorder="1"/>
    <xf numFmtId="9" fontId="5" fillId="0" borderId="3" xfId="2" applyFont="1" applyBorder="1"/>
    <xf numFmtId="0" fontId="3" fillId="0" borderId="5" xfId="0" applyFont="1" applyBorder="1" applyAlignment="1">
      <alignment horizontal="center"/>
    </xf>
    <xf numFmtId="49" fontId="3" fillId="0" borderId="0" xfId="0" applyNumberFormat="1" applyFont="1"/>
    <xf numFmtId="3" fontId="3" fillId="0" borderId="0" xfId="2" applyNumberFormat="1" applyFont="1" applyBorder="1"/>
    <xf numFmtId="166" fontId="3" fillId="0" borderId="0" xfId="2" applyNumberFormat="1" applyFont="1" applyBorder="1"/>
    <xf numFmtId="2" fontId="3" fillId="0" borderId="0" xfId="0" applyNumberFormat="1" applyFont="1" applyAlignment="1">
      <alignment horizontal="center"/>
    </xf>
    <xf numFmtId="49" fontId="2" fillId="14" borderId="48" xfId="0" applyNumberFormat="1" applyFont="1" applyFill="1" applyBorder="1"/>
    <xf numFmtId="0" fontId="15" fillId="30" borderId="0" xfId="0" applyFont="1" applyFill="1"/>
    <xf numFmtId="49" fontId="2" fillId="14" borderId="44" xfId="0" applyNumberFormat="1" applyFont="1" applyFill="1" applyBorder="1"/>
    <xf numFmtId="49" fontId="2" fillId="15" borderId="44" xfId="0" applyNumberFormat="1" applyFont="1" applyFill="1" applyBorder="1"/>
    <xf numFmtId="0" fontId="3" fillId="0" borderId="0" xfId="0" applyFont="1" applyAlignment="1">
      <alignment horizontal="left"/>
    </xf>
    <xf numFmtId="0" fontId="3" fillId="12" borderId="0" xfId="0" applyFont="1" applyFill="1" applyAlignment="1">
      <alignment horizontal="center"/>
    </xf>
    <xf numFmtId="166" fontId="3" fillId="0" borderId="0" xfId="0" applyNumberFormat="1" applyFont="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2" fillId="0" borderId="0" xfId="0" applyFont="1"/>
    <xf numFmtId="0" fontId="25" fillId="0" borderId="0" xfId="0" applyFont="1"/>
    <xf numFmtId="0" fontId="22" fillId="0" borderId="0" xfId="0" applyFont="1" applyAlignment="1">
      <alignment horizontal="center"/>
    </xf>
    <xf numFmtId="0" fontId="26" fillId="0" borderId="0" xfId="0" applyFont="1"/>
    <xf numFmtId="2" fontId="22" fillId="0" borderId="0" xfId="0" applyNumberFormat="1" applyFont="1"/>
    <xf numFmtId="0" fontId="27" fillId="0" borderId="0" xfId="0" applyFont="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49" fontId="3" fillId="0" borderId="0" xfId="0" applyNumberFormat="1" applyFont="1" applyAlignment="1">
      <alignment horizontal="center"/>
    </xf>
    <xf numFmtId="49" fontId="5" fillId="0" borderId="0" xfId="0" applyNumberFormat="1" applyFont="1" applyAlignment="1">
      <alignment horizontal="center" vertical="top" wrapText="1"/>
    </xf>
    <xf numFmtId="49" fontId="3" fillId="0" borderId="0" xfId="0" applyNumberFormat="1" applyFont="1" applyAlignment="1">
      <alignment horizontal="center" wrapText="1"/>
    </xf>
    <xf numFmtId="0" fontId="3" fillId="16" borderId="0" xfId="0" applyFont="1" applyFill="1" applyAlignment="1">
      <alignment horizontal="center"/>
    </xf>
    <xf numFmtId="20" fontId="3" fillId="16" borderId="0" xfId="0" applyNumberFormat="1" applyFont="1" applyFill="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0" fontId="3" fillId="16" borderId="0" xfId="0" applyFont="1" applyFill="1"/>
    <xf numFmtId="9" fontId="3" fillId="0" borderId="0" xfId="2" applyFont="1" applyFill="1" applyBorder="1"/>
    <xf numFmtId="0" fontId="5" fillId="16" borderId="0" xfId="0" applyFont="1" applyFill="1" applyAlignment="1">
      <alignment horizontal="center"/>
    </xf>
    <xf numFmtId="20" fontId="5" fillId="16" borderId="0" xfId="0" applyNumberFormat="1" applyFont="1" applyFill="1" applyAlignment="1">
      <alignment horizontal="center"/>
    </xf>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Alignment="1">
      <alignment horizontal="center"/>
    </xf>
    <xf numFmtId="0" fontId="5" fillId="16" borderId="0" xfId="0" applyFont="1" applyFill="1"/>
    <xf numFmtId="9" fontId="5" fillId="0" borderId="0" xfId="2" applyFont="1" applyFill="1" applyBorder="1"/>
    <xf numFmtId="49" fontId="5" fillId="0" borderId="0" xfId="0" applyNumberFormat="1" applyFont="1" applyAlignment="1">
      <alignment horizontal="center" vertical="top"/>
    </xf>
    <xf numFmtId="20" fontId="3" fillId="16" borderId="0" xfId="0" applyNumberFormat="1" applyFont="1" applyFill="1"/>
    <xf numFmtId="3" fontId="3" fillId="13" borderId="0" xfId="0" applyNumberFormat="1" applyFont="1" applyFill="1" applyAlignment="1">
      <alignment horizontal="center"/>
    </xf>
    <xf numFmtId="3" fontId="3" fillId="16" borderId="0" xfId="0" applyNumberFormat="1" applyFont="1" applyFill="1"/>
    <xf numFmtId="4" fontId="3" fillId="0" borderId="0" xfId="0" applyNumberFormat="1" applyFont="1"/>
    <xf numFmtId="9" fontId="3" fillId="0" borderId="0" xfId="0" applyNumberFormat="1" applyFont="1"/>
    <xf numFmtId="10" fontId="3" fillId="0" borderId="0" xfId="0" applyNumberFormat="1" applyFont="1"/>
    <xf numFmtId="3" fontId="3" fillId="13" borderId="0" xfId="0" applyNumberFormat="1" applyFont="1" applyFill="1"/>
    <xf numFmtId="20" fontId="3" fillId="0" borderId="0" xfId="0" applyNumberFormat="1" applyFont="1"/>
    <xf numFmtId="20" fontId="5" fillId="16" borderId="0" xfId="0" applyNumberFormat="1" applyFont="1" applyFill="1"/>
    <xf numFmtId="3" fontId="5" fillId="13" borderId="0" xfId="0" applyNumberFormat="1" applyFont="1" applyFill="1" applyAlignment="1">
      <alignment horizontal="center"/>
    </xf>
    <xf numFmtId="3" fontId="5" fillId="16" borderId="0" xfId="0" applyNumberFormat="1" applyFont="1" applyFill="1"/>
    <xf numFmtId="4" fontId="5" fillId="0" borderId="0" xfId="0" applyNumberFormat="1" applyFont="1"/>
    <xf numFmtId="9" fontId="5" fillId="0" borderId="0" xfId="0" applyNumberFormat="1" applyFont="1"/>
    <xf numFmtId="10" fontId="5" fillId="0" borderId="0" xfId="0" applyNumberFormat="1" applyFont="1"/>
    <xf numFmtId="3" fontId="5" fillId="13" borderId="0" xfId="0" applyNumberFormat="1" applyFont="1" applyFill="1"/>
    <xf numFmtId="20" fontId="5" fillId="0" borderId="0" xfId="0" applyNumberFormat="1" applyFont="1"/>
    <xf numFmtId="0" fontId="3" fillId="0" borderId="0" xfId="0" quotePrefix="1" applyFont="1" applyAlignment="1">
      <alignment horizontal="left" vertical="top"/>
    </xf>
    <xf numFmtId="18" fontId="3" fillId="0" borderId="0" xfId="0" applyNumberFormat="1" applyFont="1"/>
    <xf numFmtId="49" fontId="5" fillId="0" borderId="5" xfId="0" applyNumberFormat="1" applyFont="1" applyBorder="1" applyAlignment="1">
      <alignment horizontal="center" vertical="top" wrapText="1"/>
    </xf>
    <xf numFmtId="49" fontId="5" fillId="0" borderId="0" xfId="0" applyNumberFormat="1" applyFont="1" applyAlignment="1">
      <alignment horizontal="left" vertical="top" wrapText="1"/>
    </xf>
    <xf numFmtId="49" fontId="5" fillId="0" borderId="6" xfId="0" applyNumberFormat="1" applyFont="1" applyBorder="1" applyAlignment="1">
      <alignment horizontal="center" vertical="top" wrapText="1"/>
    </xf>
    <xf numFmtId="0" fontId="5" fillId="0" borderId="0" xfId="0" applyFont="1" applyAlignment="1">
      <alignment horizontal="right"/>
    </xf>
    <xf numFmtId="0" fontId="5" fillId="0" borderId="0" xfId="0" quotePrefix="1" applyFont="1"/>
    <xf numFmtId="0" fontId="3" fillId="29" borderId="0" xfId="0" applyFont="1" applyFill="1" applyAlignment="1">
      <alignment horizontal="center"/>
    </xf>
    <xf numFmtId="3" fontId="3" fillId="0" borderId="0" xfId="0" applyNumberFormat="1" applyFont="1" applyAlignment="1">
      <alignment horizontal="right"/>
    </xf>
    <xf numFmtId="0" fontId="3" fillId="0" borderId="0" xfId="0" applyFont="1" applyAlignment="1">
      <alignment horizontal="right"/>
    </xf>
    <xf numFmtId="20" fontId="3" fillId="18" borderId="0" xfId="0" applyNumberFormat="1" applyFont="1" applyFill="1"/>
    <xf numFmtId="0" fontId="3" fillId="13" borderId="0" xfId="0" applyFont="1" applyFill="1"/>
    <xf numFmtId="10" fontId="3" fillId="0" borderId="0" xfId="2" applyNumberFormat="1" applyFont="1" applyBorder="1"/>
    <xf numFmtId="3" fontId="3" fillId="25" borderId="0" xfId="0" applyNumberFormat="1" applyFont="1" applyFill="1" applyAlignment="1">
      <alignment horizontal="center"/>
    </xf>
    <xf numFmtId="3" fontId="3" fillId="19" borderId="0" xfId="0" applyNumberFormat="1" applyFont="1" applyFill="1" applyAlignment="1">
      <alignment horizontal="center"/>
    </xf>
    <xf numFmtId="3" fontId="3" fillId="20" borderId="0" xfId="0" applyNumberFormat="1" applyFont="1" applyFill="1" applyAlignment="1">
      <alignment horizontal="center"/>
    </xf>
    <xf numFmtId="3" fontId="3" fillId="23" borderId="0" xfId="0" applyNumberFormat="1" applyFont="1" applyFill="1" applyAlignment="1">
      <alignment horizontal="center"/>
    </xf>
    <xf numFmtId="3" fontId="3" fillId="22" borderId="0" xfId="0" applyNumberFormat="1" applyFont="1" applyFill="1" applyAlignment="1">
      <alignment horizontal="center"/>
    </xf>
    <xf numFmtId="3" fontId="3" fillId="21" borderId="0" xfId="0" applyNumberFormat="1" applyFont="1" applyFill="1" applyAlignment="1">
      <alignment horizontal="center"/>
    </xf>
    <xf numFmtId="3" fontId="3" fillId="24" borderId="0" xfId="0" applyNumberFormat="1" applyFont="1" applyFill="1" applyAlignment="1">
      <alignment horizontal="center"/>
    </xf>
    <xf numFmtId="0" fontId="3" fillId="9" borderId="0" xfId="0" applyFont="1" applyFill="1" applyAlignment="1">
      <alignment horizontal="center"/>
    </xf>
    <xf numFmtId="0" fontId="3" fillId="24" borderId="0" xfId="0" applyFont="1" applyFill="1" applyAlignment="1">
      <alignment horizontal="center"/>
    </xf>
    <xf numFmtId="0" fontId="3" fillId="19" borderId="0" xfId="0" applyFont="1" applyFill="1" applyAlignment="1">
      <alignment horizontal="center"/>
    </xf>
    <xf numFmtId="0" fontId="3" fillId="22" borderId="0" xfId="0" applyFont="1" applyFill="1" applyAlignment="1">
      <alignment horizontal="center"/>
    </xf>
    <xf numFmtId="0" fontId="3" fillId="21" borderId="0" xfId="0" applyFont="1" applyFill="1" applyAlignment="1">
      <alignment horizontal="center"/>
    </xf>
    <xf numFmtId="0" fontId="5" fillId="29" borderId="0" xfId="0" applyFont="1" applyFill="1" applyAlignment="1">
      <alignment horizontal="center"/>
    </xf>
    <xf numFmtId="3" fontId="5" fillId="11" borderId="0" xfId="0" applyNumberFormat="1" applyFont="1" applyFill="1" applyAlignment="1">
      <alignment horizontal="right"/>
    </xf>
    <xf numFmtId="0" fontId="5" fillId="11" borderId="0" xfId="0" applyFont="1" applyFill="1" applyAlignment="1">
      <alignment horizontal="right"/>
    </xf>
    <xf numFmtId="20" fontId="5" fillId="18" borderId="0" xfId="0" applyNumberFormat="1" applyFont="1" applyFill="1"/>
    <xf numFmtId="3" fontId="5" fillId="11" borderId="0" xfId="0" applyNumberFormat="1" applyFont="1" applyFill="1" applyAlignment="1">
      <alignment horizontal="center"/>
    </xf>
    <xf numFmtId="3" fontId="5" fillId="24" borderId="0" xfId="0" applyNumberFormat="1" applyFont="1" applyFill="1" applyAlignment="1">
      <alignment horizontal="center"/>
    </xf>
    <xf numFmtId="3" fontId="5" fillId="19" borderId="0" xfId="0" applyNumberFormat="1" applyFont="1" applyFill="1" applyAlignment="1">
      <alignment horizontal="center"/>
    </xf>
    <xf numFmtId="3" fontId="5" fillId="20" borderId="0" xfId="0" applyNumberFormat="1" applyFont="1" applyFill="1" applyAlignment="1">
      <alignment horizontal="center"/>
    </xf>
    <xf numFmtId="3" fontId="5" fillId="23" borderId="0" xfId="0" applyNumberFormat="1" applyFont="1" applyFill="1" applyAlignment="1">
      <alignment horizontal="center"/>
    </xf>
    <xf numFmtId="3" fontId="5" fillId="22" borderId="0" xfId="0" applyNumberFormat="1" applyFont="1" applyFill="1" applyAlignment="1">
      <alignment horizontal="center"/>
    </xf>
    <xf numFmtId="3" fontId="5" fillId="21" borderId="0" xfId="0" applyNumberFormat="1" applyFont="1" applyFill="1" applyAlignment="1">
      <alignment horizontal="center"/>
    </xf>
    <xf numFmtId="0" fontId="5" fillId="13" borderId="0" xfId="0" applyFont="1" applyFill="1"/>
    <xf numFmtId="20" fontId="3" fillId="11" borderId="0" xfId="0" applyNumberFormat="1" applyFont="1" applyFill="1" applyAlignment="1">
      <alignment horizontal="center"/>
    </xf>
    <xf numFmtId="10" fontId="5" fillId="11" borderId="0" xfId="2" applyNumberFormat="1" applyFont="1" applyFill="1" applyBorder="1"/>
    <xf numFmtId="3" fontId="5" fillId="11" borderId="0" xfId="0" applyNumberFormat="1" applyFont="1" applyFill="1"/>
    <xf numFmtId="0" fontId="5" fillId="11" borderId="0" xfId="0" applyFont="1" applyFill="1"/>
    <xf numFmtId="0" fontId="5" fillId="11" borderId="0" xfId="0" applyFont="1" applyFill="1" applyAlignment="1">
      <alignment horizontal="center"/>
    </xf>
    <xf numFmtId="0" fontId="5" fillId="24" borderId="0" xfId="0" applyFont="1" applyFill="1" applyAlignment="1">
      <alignment horizontal="center"/>
    </xf>
    <xf numFmtId="0" fontId="5" fillId="19" borderId="0" xfId="0" applyFont="1" applyFill="1" applyAlignment="1">
      <alignment horizontal="center"/>
    </xf>
    <xf numFmtId="0" fontId="5" fillId="22" borderId="0" xfId="0" applyFont="1" applyFill="1" applyAlignment="1">
      <alignment horizontal="center"/>
    </xf>
    <xf numFmtId="0" fontId="5" fillId="21" borderId="0" xfId="0" applyFont="1" applyFill="1" applyAlignment="1">
      <alignment horizontal="center"/>
    </xf>
    <xf numFmtId="20" fontId="5" fillId="11" borderId="0" xfId="0" applyNumberFormat="1" applyFont="1" applyFill="1"/>
    <xf numFmtId="3" fontId="5" fillId="25" borderId="0" xfId="0" applyNumberFormat="1" applyFont="1" applyFill="1" applyAlignment="1">
      <alignment horizontal="center"/>
    </xf>
    <xf numFmtId="0" fontId="5" fillId="27" borderId="0" xfId="0" applyFont="1" applyFill="1"/>
    <xf numFmtId="0" fontId="30" fillId="27" borderId="0" xfId="0" quotePrefix="1" applyFont="1" applyFill="1" applyAlignment="1">
      <alignment horizontal="center"/>
    </xf>
    <xf numFmtId="0" fontId="3" fillId="27" borderId="0" xfId="0" applyFont="1" applyFill="1"/>
    <xf numFmtId="49" fontId="5" fillId="27" borderId="0" xfId="0" applyNumberFormat="1" applyFont="1" applyFill="1" applyAlignment="1">
      <alignment horizontal="center" vertical="top"/>
    </xf>
    <xf numFmtId="49" fontId="30" fillId="0" borderId="0" xfId="0" applyNumberFormat="1" applyFont="1" applyAlignment="1">
      <alignment horizontal="center" vertical="top" wrapText="1"/>
    </xf>
    <xf numFmtId="49" fontId="5" fillId="0" borderId="0" xfId="0" applyNumberFormat="1" applyFont="1" applyAlignment="1">
      <alignment vertical="top" wrapText="1"/>
    </xf>
    <xf numFmtId="3" fontId="3" fillId="29" borderId="0" xfId="0" applyNumberFormat="1" applyFont="1" applyFill="1" applyAlignment="1">
      <alignment horizontal="center"/>
    </xf>
    <xf numFmtId="0" fontId="3" fillId="18" borderId="0" xfId="0" applyFont="1" applyFill="1"/>
    <xf numFmtId="3" fontId="3" fillId="26" borderId="0" xfId="0" applyNumberFormat="1" applyFont="1" applyFill="1" applyAlignment="1">
      <alignment horizontal="center"/>
    </xf>
    <xf numFmtId="10" fontId="3" fillId="0" borderId="0" xfId="2" applyNumberFormat="1" applyFont="1" applyBorder="1" applyAlignment="1">
      <alignment horizontal="center"/>
    </xf>
    <xf numFmtId="0" fontId="3" fillId="13" borderId="0" xfId="0" applyFont="1" applyFill="1" applyAlignment="1">
      <alignment horizontal="center"/>
    </xf>
    <xf numFmtId="3" fontId="3" fillId="27" borderId="0" xfId="2" applyNumberFormat="1" applyFont="1" applyFill="1" applyBorder="1" applyAlignment="1"/>
    <xf numFmtId="0" fontId="3" fillId="18" borderId="13" xfId="0" applyFont="1" applyFill="1" applyBorder="1"/>
    <xf numFmtId="0" fontId="3" fillId="28" borderId="13" xfId="0" applyFont="1" applyFill="1" applyBorder="1"/>
    <xf numFmtId="3" fontId="3" fillId="28" borderId="13" xfId="0" applyNumberFormat="1" applyFont="1" applyFill="1" applyBorder="1"/>
    <xf numFmtId="3" fontId="3" fillId="27" borderId="0" xfId="0" applyNumberFormat="1" applyFont="1" applyFill="1"/>
    <xf numFmtId="0" fontId="3" fillId="14" borderId="13" xfId="0" applyFont="1" applyFill="1" applyBorder="1"/>
    <xf numFmtId="3" fontId="3" fillId="14" borderId="13" xfId="0" applyNumberFormat="1" applyFont="1" applyFill="1" applyBorder="1"/>
    <xf numFmtId="3" fontId="3" fillId="14" borderId="13" xfId="2" applyNumberFormat="1" applyFont="1" applyFill="1" applyBorder="1" applyAlignment="1"/>
    <xf numFmtId="1" fontId="3" fillId="27" borderId="0" xfId="0" applyNumberFormat="1" applyFont="1" applyFill="1"/>
    <xf numFmtId="0" fontId="31" fillId="27" borderId="0" xfId="0" applyFont="1" applyFill="1" applyAlignment="1">
      <alignment horizontal="right"/>
    </xf>
    <xf numFmtId="0" fontId="31" fillId="27" borderId="0" xfId="0" quotePrefix="1" applyFont="1" applyFill="1" applyAlignment="1">
      <alignment horizontal="center" vertical="center"/>
    </xf>
    <xf numFmtId="0" fontId="31" fillId="27" borderId="0" xfId="0" applyFont="1" applyFill="1" applyAlignment="1">
      <alignment horizontal="center"/>
    </xf>
    <xf numFmtId="3" fontId="5" fillId="29" borderId="0" xfId="0" applyNumberFormat="1" applyFont="1" applyFill="1" applyAlignment="1">
      <alignment horizontal="center"/>
    </xf>
    <xf numFmtId="0" fontId="5" fillId="18" borderId="0" xfId="0" applyFont="1" applyFill="1"/>
    <xf numFmtId="3" fontId="5" fillId="26" borderId="0" xfId="0" applyNumberFormat="1" applyFont="1" applyFill="1" applyAlignment="1">
      <alignment horizontal="center"/>
    </xf>
    <xf numFmtId="10" fontId="5" fillId="11" borderId="0" xfId="2" applyNumberFormat="1" applyFont="1" applyFill="1" applyBorder="1" applyAlignment="1">
      <alignment horizontal="center"/>
    </xf>
    <xf numFmtId="0" fontId="5" fillId="13" borderId="0" xfId="0" applyFont="1" applyFill="1" applyAlignment="1">
      <alignment horizontal="center"/>
    </xf>
    <xf numFmtId="9" fontId="3" fillId="0" borderId="0" xfId="2" applyFont="1" applyFill="1" applyBorder="1" applyAlignment="1"/>
    <xf numFmtId="0" fontId="5" fillId="32" borderId="0" xfId="0" applyFont="1" applyFill="1"/>
    <xf numFmtId="0" fontId="5" fillId="0" borderId="0" xfId="0" quotePrefix="1" applyFont="1" applyAlignment="1">
      <alignment horizontal="left"/>
    </xf>
    <xf numFmtId="20" fontId="3" fillId="29" borderId="0" xfId="0" applyNumberFormat="1" applyFont="1" applyFill="1"/>
    <xf numFmtId="20" fontId="5" fillId="29" borderId="0" xfId="0" applyNumberFormat="1" applyFont="1" applyFill="1"/>
    <xf numFmtId="10" fontId="5" fillId="11" borderId="0" xfId="0" applyNumberFormat="1" applyFont="1" applyFill="1"/>
    <xf numFmtId="0" fontId="3" fillId="0" borderId="0" xfId="0" quotePrefix="1" applyFont="1" applyAlignment="1">
      <alignment horizontal="left"/>
    </xf>
    <xf numFmtId="0" fontId="3" fillId="10" borderId="0" xfId="0" applyFont="1" applyFill="1"/>
    <xf numFmtId="49" fontId="32" fillId="0" borderId="0" xfId="0" applyNumberFormat="1" applyFont="1" applyAlignment="1">
      <alignment horizontal="center"/>
    </xf>
    <xf numFmtId="49" fontId="5" fillId="0" borderId="0" xfId="0" applyNumberFormat="1" applyFont="1" applyAlignment="1">
      <alignment horizontal="center"/>
    </xf>
    <xf numFmtId="0" fontId="30" fillId="0" borderId="0" xfId="0" applyFont="1" applyAlignment="1">
      <alignment horizontal="center"/>
    </xf>
    <xf numFmtId="0" fontId="5" fillId="0" borderId="0" xfId="0" applyFont="1" applyAlignment="1">
      <alignment horizontal="center" vertical="top" wrapText="1"/>
    </xf>
    <xf numFmtId="172" fontId="5" fillId="0" borderId="0" xfId="1" applyNumberFormat="1" applyFont="1" applyFill="1" applyBorder="1" applyAlignment="1">
      <alignment horizontal="center" vertical="top" wrapText="1"/>
    </xf>
    <xf numFmtId="49" fontId="5" fillId="17" borderId="0" xfId="0" applyNumberFormat="1" applyFont="1" applyFill="1" applyAlignment="1">
      <alignment horizontal="center" vertical="top" wrapText="1"/>
    </xf>
    <xf numFmtId="3" fontId="3" fillId="16" borderId="0" xfId="0" applyNumberFormat="1" applyFont="1" applyFill="1" applyAlignment="1">
      <alignment horizontal="center"/>
    </xf>
    <xf numFmtId="1" fontId="3" fillId="0" borderId="0" xfId="0" applyNumberFormat="1" applyFont="1"/>
    <xf numFmtId="10" fontId="3" fillId="0" borderId="0" xfId="0" applyNumberFormat="1" applyFont="1" applyAlignment="1">
      <alignment horizontal="right"/>
    </xf>
    <xf numFmtId="172" fontId="3" fillId="0" borderId="0" xfId="1" applyNumberFormat="1" applyFont="1" applyBorder="1"/>
    <xf numFmtId="9" fontId="3" fillId="13" borderId="0" xfId="0" applyNumberFormat="1" applyFont="1" applyFill="1"/>
    <xf numFmtId="2" fontId="3" fillId="0" borderId="0" xfId="0" applyNumberFormat="1" applyFont="1"/>
    <xf numFmtId="0" fontId="3" fillId="14" borderId="0" xfId="0" applyFont="1" applyFill="1"/>
    <xf numFmtId="3" fontId="3" fillId="14" borderId="0" xfId="0" applyNumberFormat="1" applyFont="1" applyFill="1"/>
    <xf numFmtId="169" fontId="3" fillId="0" borderId="0" xfId="0" applyNumberFormat="1" applyFont="1"/>
    <xf numFmtId="9" fontId="3" fillId="0" borderId="0" xfId="2" applyFont="1" applyBorder="1"/>
    <xf numFmtId="0" fontId="3" fillId="16" borderId="0" xfId="0" quotePrefix="1" applyFont="1" applyFill="1" applyAlignment="1">
      <alignment horizontal="center"/>
    </xf>
    <xf numFmtId="3" fontId="3" fillId="16" borderId="0" xfId="0" quotePrefix="1" applyNumberFormat="1" applyFont="1" applyFill="1" applyAlignment="1">
      <alignment horizontal="center"/>
    </xf>
    <xf numFmtId="3" fontId="5" fillId="16" borderId="0" xfId="0" applyNumberFormat="1" applyFont="1" applyFill="1" applyAlignment="1">
      <alignment horizontal="center"/>
    </xf>
    <xf numFmtId="1" fontId="5" fillId="11" borderId="0" xfId="0" applyNumberFormat="1" applyFont="1" applyFill="1"/>
    <xf numFmtId="10" fontId="5" fillId="11" borderId="0" xfId="0" applyNumberFormat="1" applyFont="1" applyFill="1" applyAlignment="1">
      <alignment horizontal="right"/>
    </xf>
    <xf numFmtId="172" fontId="5" fillId="11" borderId="0" xfId="1" applyNumberFormat="1" applyFont="1" applyFill="1" applyBorder="1"/>
    <xf numFmtId="9" fontId="5" fillId="13" borderId="0" xfId="0" applyNumberFormat="1" applyFont="1" applyFill="1"/>
    <xf numFmtId="9" fontId="5" fillId="11" borderId="0" xfId="2" applyFont="1" applyFill="1" applyBorder="1"/>
    <xf numFmtId="2" fontId="5" fillId="11" borderId="0" xfId="0" applyNumberFormat="1" applyFont="1" applyFill="1"/>
    <xf numFmtId="0" fontId="5" fillId="14" borderId="0" xfId="0" applyFont="1" applyFill="1"/>
    <xf numFmtId="4" fontId="5" fillId="11" borderId="0" xfId="0" applyNumberFormat="1" applyFont="1" applyFill="1"/>
    <xf numFmtId="3" fontId="5" fillId="14" borderId="0" xfId="0" applyNumberFormat="1" applyFont="1" applyFill="1"/>
    <xf numFmtId="169" fontId="5" fillId="11" borderId="0" xfId="0" applyNumberFormat="1" applyFont="1" applyFill="1"/>
    <xf numFmtId="0" fontId="33" fillId="0" borderId="0" xfId="0" applyFont="1" applyAlignment="1">
      <alignment horizontal="center"/>
    </xf>
    <xf numFmtId="49" fontId="34" fillId="0" borderId="0" xfId="0" applyNumberFormat="1" applyFont="1" applyAlignment="1">
      <alignment horizontal="center" vertical="top" wrapText="1"/>
    </xf>
    <xf numFmtId="49" fontId="3" fillId="0" borderId="0" xfId="0" applyNumberFormat="1" applyFont="1" applyAlignment="1">
      <alignment horizontal="center" vertical="top"/>
    </xf>
    <xf numFmtId="9" fontId="5" fillId="11" borderId="0" xfId="0" applyNumberFormat="1" applyFont="1" applyFill="1"/>
    <xf numFmtId="0" fontId="29" fillId="0" borderId="0" xfId="0" applyFont="1" applyAlignment="1">
      <alignment horizontal="center"/>
    </xf>
    <xf numFmtId="0" fontId="32" fillId="0" borderId="0" xfId="0" applyFont="1" applyAlignment="1">
      <alignment horizontal="center"/>
    </xf>
    <xf numFmtId="0" fontId="5" fillId="0" borderId="0" xfId="0"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16" borderId="0" xfId="0" applyNumberFormat="1" applyFont="1" applyFill="1" applyAlignment="1">
      <alignment vertical="center"/>
    </xf>
    <xf numFmtId="0" fontId="3" fillId="13" borderId="0" xfId="0"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Alignment="1">
      <alignment vertical="center"/>
    </xf>
    <xf numFmtId="0" fontId="3" fillId="27" borderId="0" xfId="0" applyFont="1" applyFill="1" applyAlignment="1" applyProtection="1">
      <alignment horizontal="center" vertical="center"/>
      <protection locked="0"/>
    </xf>
    <xf numFmtId="0" fontId="17" fillId="0" borderId="0" xfId="0" applyFont="1" applyAlignment="1">
      <alignment horizontal="center"/>
    </xf>
    <xf numFmtId="49" fontId="5" fillId="0" borderId="0" xfId="0" quotePrefix="1" applyNumberFormat="1" applyFont="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Alignment="1">
      <alignment horizontal="center"/>
    </xf>
    <xf numFmtId="175" fontId="3" fillId="13" borderId="0" xfId="0" applyNumberFormat="1" applyFont="1" applyFill="1" applyAlignment="1">
      <alignment horizontal="center"/>
    </xf>
    <xf numFmtId="10" fontId="3" fillId="0" borderId="0" xfId="0" applyNumberFormat="1" applyFont="1" applyAlignment="1">
      <alignment horizontal="center"/>
    </xf>
    <xf numFmtId="3" fontId="30" fillId="0" borderId="0" xfId="0" applyNumberFormat="1" applyFont="1" applyAlignment="1">
      <alignment horizontal="center"/>
    </xf>
    <xf numFmtId="20" fontId="30" fillId="0" borderId="0" xfId="0" applyNumberFormat="1" applyFont="1" applyAlignment="1">
      <alignment horizontal="right"/>
    </xf>
    <xf numFmtId="173" fontId="30" fillId="0" borderId="0" xfId="0" applyNumberFormat="1" applyFont="1" applyAlignment="1">
      <alignment horizontal="right"/>
    </xf>
    <xf numFmtId="170" fontId="3" fillId="0" borderId="0" xfId="0" applyNumberFormat="1" applyFont="1" applyAlignment="1">
      <alignment horizontal="right"/>
    </xf>
    <xf numFmtId="170" fontId="3" fillId="0" borderId="0" xfId="0" applyNumberFormat="1" applyFont="1"/>
    <xf numFmtId="20" fontId="3" fillId="0" borderId="0" xfId="0" applyNumberFormat="1" applyFont="1" applyAlignment="1">
      <alignment horizontal="right"/>
    </xf>
    <xf numFmtId="173" fontId="3" fillId="0" borderId="0" xfId="0" applyNumberFormat="1" applyFont="1" applyAlignment="1">
      <alignment horizontal="right"/>
    </xf>
    <xf numFmtId="14" fontId="3" fillId="0" borderId="0" xfId="0" applyNumberFormat="1" applyFont="1"/>
    <xf numFmtId="168" fontId="3" fillId="0" borderId="0" xfId="0" applyNumberFormat="1" applyFont="1"/>
    <xf numFmtId="171" fontId="3" fillId="0" borderId="0" xfId="0" applyNumberFormat="1" applyFont="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Alignment="1">
      <alignment horizontal="center"/>
    </xf>
    <xf numFmtId="175" fontId="5" fillId="13" borderId="0" xfId="0" applyNumberFormat="1" applyFont="1" applyFill="1" applyAlignment="1">
      <alignment horizontal="center"/>
    </xf>
    <xf numFmtId="10" fontId="5" fillId="11" borderId="0" xfId="0" applyNumberFormat="1" applyFont="1" applyFill="1" applyAlignment="1">
      <alignment horizontal="center"/>
    </xf>
    <xf numFmtId="20" fontId="5" fillId="11" borderId="0" xfId="0" applyNumberFormat="1" applyFont="1" applyFill="1" applyAlignment="1">
      <alignment horizontal="right"/>
    </xf>
    <xf numFmtId="173" fontId="5" fillId="11" borderId="0" xfId="0" applyNumberFormat="1" applyFont="1" applyFill="1" applyAlignment="1">
      <alignment horizontal="right"/>
    </xf>
    <xf numFmtId="0" fontId="5" fillId="0" borderId="20" xfId="0" applyFont="1" applyBorder="1"/>
    <xf numFmtId="0" fontId="3" fillId="0" borderId="20" xfId="0" applyFont="1" applyBorder="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xf numFmtId="0" fontId="3" fillId="3" borderId="0" xfId="0" applyFont="1" applyFill="1"/>
    <xf numFmtId="0" fontId="3" fillId="4" borderId="0" xfId="0" applyFont="1" applyFill="1"/>
    <xf numFmtId="49" fontId="3" fillId="5" borderId="0" xfId="0" applyNumberFormat="1" applyFont="1" applyFill="1" applyAlignment="1">
      <alignment horizontal="center"/>
    </xf>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0" fontId="3" fillId="2" borderId="20" xfId="0" applyFont="1" applyFill="1" applyBorder="1"/>
    <xf numFmtId="9" fontId="3" fillId="0" borderId="0" xfId="2" applyFont="1"/>
    <xf numFmtId="49" fontId="3" fillId="0" borderId="20" xfId="0" applyNumberFormat="1" applyFont="1" applyBorder="1"/>
    <xf numFmtId="0" fontId="3" fillId="0" borderId="0" xfId="0" quotePrefix="1" applyFont="1"/>
    <xf numFmtId="166" fontId="3" fillId="0" borderId="0" xfId="0" applyNumberFormat="1" applyFont="1" applyAlignment="1">
      <alignment horizontal="right"/>
    </xf>
    <xf numFmtId="166" fontId="3" fillId="0" borderId="0" xfId="2" applyNumberFormat="1" applyFont="1" applyAlignment="1">
      <alignment horizontal="right"/>
    </xf>
    <xf numFmtId="0" fontId="5" fillId="0" borderId="0" xfId="0" applyFont="1" applyAlignment="1">
      <alignment vertical="center"/>
    </xf>
    <xf numFmtId="0" fontId="5" fillId="0" borderId="0" xfId="0" applyFont="1" applyAlignment="1">
      <alignment horizontal="center" vertical="center"/>
    </xf>
    <xf numFmtId="9" fontId="5" fillId="0" borderId="0" xfId="2" applyFont="1" applyBorder="1" applyAlignment="1">
      <alignment vertical="center"/>
    </xf>
    <xf numFmtId="9" fontId="3" fillId="0" borderId="0" xfId="2" applyFont="1" applyBorder="1" applyAlignment="1">
      <alignment vertical="center"/>
    </xf>
    <xf numFmtId="0" fontId="5" fillId="0" borderId="0" xfId="0" applyFont="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Alignment="1">
      <alignment horizontal="center"/>
    </xf>
    <xf numFmtId="3" fontId="3" fillId="33" borderId="0" xfId="0" applyNumberFormat="1" applyFont="1" applyFill="1" applyAlignment="1">
      <alignment horizontal="center"/>
    </xf>
    <xf numFmtId="3" fontId="5" fillId="33" borderId="0" xfId="0" applyNumberFormat="1" applyFont="1" applyFill="1" applyAlignment="1">
      <alignment horizontal="center"/>
    </xf>
    <xf numFmtId="3" fontId="3" fillId="34" borderId="0" xfId="0" applyNumberFormat="1" applyFont="1" applyFill="1" applyAlignment="1">
      <alignment horizontal="center"/>
    </xf>
    <xf numFmtId="3" fontId="5" fillId="34" borderId="0" xfId="0" applyNumberFormat="1" applyFont="1" applyFill="1" applyAlignment="1">
      <alignment horizontal="center"/>
    </xf>
    <xf numFmtId="0" fontId="3" fillId="34" borderId="0" xfId="0" applyFont="1" applyFill="1" applyAlignment="1">
      <alignment horizontal="center"/>
    </xf>
    <xf numFmtId="0" fontId="5" fillId="34" borderId="0" xfId="0" applyFont="1" applyFill="1" applyAlignment="1">
      <alignment horizontal="center"/>
    </xf>
    <xf numFmtId="3" fontId="3" fillId="35" borderId="0" xfId="0" applyNumberFormat="1" applyFont="1" applyFill="1" applyAlignment="1">
      <alignment horizontal="center"/>
    </xf>
    <xf numFmtId="3" fontId="5" fillId="35" borderId="0" xfId="0" applyNumberFormat="1" applyFont="1" applyFill="1" applyAlignment="1">
      <alignment horizontal="center"/>
    </xf>
    <xf numFmtId="0" fontId="3" fillId="35" borderId="0" xfId="0" applyFont="1" applyFill="1" applyAlignment="1">
      <alignment horizontal="center"/>
    </xf>
    <xf numFmtId="0" fontId="5" fillId="35" borderId="0" xfId="0" applyFont="1" applyFill="1" applyAlignment="1">
      <alignment horizontal="center"/>
    </xf>
    <xf numFmtId="3" fontId="3" fillId="36" borderId="0" xfId="0" applyNumberFormat="1" applyFont="1" applyFill="1" applyAlignment="1">
      <alignment horizontal="center"/>
    </xf>
    <xf numFmtId="3" fontId="5" fillId="36" borderId="0" xfId="0" applyNumberFormat="1" applyFont="1" applyFill="1" applyAlignment="1">
      <alignment horizontal="center"/>
    </xf>
    <xf numFmtId="0" fontId="3" fillId="36" borderId="0" xfId="0" applyFont="1" applyFill="1" applyAlignment="1">
      <alignment horizontal="center"/>
    </xf>
    <xf numFmtId="0" fontId="5" fillId="36" borderId="0" xfId="0" applyFont="1" applyFill="1" applyAlignment="1">
      <alignment horizontal="center"/>
    </xf>
    <xf numFmtId="0" fontId="31" fillId="27" borderId="8" xfId="0" applyFont="1" applyFill="1" applyBorder="1" applyAlignment="1">
      <alignment horizontal="right"/>
    </xf>
    <xf numFmtId="0" fontId="31" fillId="27" borderId="9" xfId="0" quotePrefix="1" applyFont="1" applyFill="1" applyBorder="1" applyAlignment="1">
      <alignment horizontal="center" vertical="center"/>
    </xf>
    <xf numFmtId="0" fontId="3" fillId="27" borderId="5" xfId="0" applyFont="1" applyFill="1" applyBorder="1"/>
    <xf numFmtId="0" fontId="3" fillId="27" borderId="6" xfId="0" applyFont="1" applyFill="1" applyBorder="1"/>
    <xf numFmtId="0" fontId="3" fillId="27" borderId="10" xfId="0" applyFont="1" applyFill="1" applyBorder="1"/>
    <xf numFmtId="0" fontId="3" fillId="27" borderId="11" xfId="0" applyFont="1" applyFill="1" applyBorder="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xf numFmtId="3" fontId="1" fillId="15" borderId="0" xfId="0" applyNumberFormat="1" applyFont="1" applyFill="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10" fontId="0" fillId="0" borderId="0" xfId="0" applyNumberFormat="1"/>
    <xf numFmtId="166" fontId="3" fillId="0" borderId="0" xfId="2" applyNumberFormat="1" applyFont="1" applyBorder="1" applyAlignment="1">
      <alignment horizontal="center" vertical="center"/>
    </xf>
    <xf numFmtId="0" fontId="5" fillId="0" borderId="0" xfId="0" applyFont="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49" fontId="5" fillId="0" borderId="33" xfId="0" applyNumberFormat="1" applyFont="1" applyBorder="1" applyAlignment="1">
      <alignment horizontal="center" vertical="top" wrapText="1"/>
    </xf>
    <xf numFmtId="0" fontId="3" fillId="15" borderId="0" xfId="0" applyFont="1" applyFill="1" applyAlignment="1">
      <alignment horizontal="center"/>
    </xf>
    <xf numFmtId="0" fontId="37" fillId="0" borderId="0" xfId="0" applyFont="1"/>
    <xf numFmtId="0" fontId="20" fillId="12" borderId="0" xfId="0" applyFont="1" applyFill="1"/>
    <xf numFmtId="0" fontId="3" fillId="0" borderId="0" xfId="0" applyFont="1"/>
    <xf numFmtId="0" fontId="3" fillId="0" borderId="3" xfId="0" applyFont="1" applyBorder="1"/>
    <xf numFmtId="0" fontId="3" fillId="0" borderId="1" xfId="0" applyFont="1" applyBorder="1"/>
    <xf numFmtId="0" fontId="3" fillId="12" borderId="17" xfId="0" applyFont="1" applyFill="1" applyBorder="1" applyAlignment="1">
      <alignment vertical="center" wrapText="1"/>
    </xf>
    <xf numFmtId="0" fontId="3" fillId="12" borderId="0" xfId="0" applyFont="1" applyFill="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0" fillId="12" borderId="31" xfId="0" applyFont="1" applyFill="1" applyBorder="1"/>
    <xf numFmtId="0" fontId="3" fillId="0" borderId="19" xfId="0" applyFont="1" applyBorder="1"/>
    <xf numFmtId="0" fontId="3" fillId="0" borderId="31" xfId="0" applyFont="1" applyBorder="1"/>
    <xf numFmtId="0" fontId="3" fillId="12" borderId="0" xfId="0" applyFont="1" applyFill="1" applyAlignment="1">
      <alignment vertical="top" wrapText="1"/>
    </xf>
    <xf numFmtId="0" fontId="19" fillId="2" borderId="20" xfId="0" applyFont="1" applyFill="1" applyBorder="1" applyAlignment="1">
      <alignment vertical="center" wrapText="1"/>
    </xf>
    <xf numFmtId="0" fontId="19" fillId="2" borderId="0" xfId="0" applyFont="1" applyFill="1" applyAlignment="1">
      <alignment vertical="center" wrapText="1"/>
    </xf>
    <xf numFmtId="0" fontId="19" fillId="2" borderId="23" xfId="0" applyFont="1" applyFill="1" applyBorder="1" applyAlignment="1">
      <alignment vertical="center" wrapText="1"/>
    </xf>
    <xf numFmtId="0" fontId="19" fillId="2" borderId="32" xfId="0" applyFont="1" applyFill="1" applyBorder="1" applyAlignment="1">
      <alignment vertical="center" wrapText="1"/>
    </xf>
    <xf numFmtId="0" fontId="19" fillId="2" borderId="33" xfId="0" applyFont="1" applyFill="1" applyBorder="1" applyAlignment="1">
      <alignment vertical="center" wrapText="1"/>
    </xf>
    <xf numFmtId="0" fontId="19" fillId="2" borderId="39" xfId="0" applyFont="1" applyFill="1" applyBorder="1" applyAlignment="1">
      <alignment vertical="center"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5" fillId="12" borderId="41" xfId="0" applyFont="1" applyFill="1" applyBorder="1"/>
    <xf numFmtId="0" fontId="3" fillId="12" borderId="36" xfId="0" applyFont="1" applyFill="1" applyBorder="1"/>
    <xf numFmtId="0" fontId="3" fillId="12" borderId="42" xfId="0" applyFont="1" applyFill="1" applyBorder="1"/>
    <xf numFmtId="0" fontId="28" fillId="0" borderId="28" xfId="0" applyFont="1" applyBorder="1" applyAlignment="1">
      <alignment horizontal="center" vertical="center" wrapText="1"/>
    </xf>
    <xf numFmtId="0" fontId="28" fillId="0" borderId="19" xfId="0" applyFont="1" applyBorder="1" applyAlignment="1">
      <alignment horizontal="center" vertical="center" wrapText="1"/>
    </xf>
    <xf numFmtId="0" fontId="28" fillId="0" borderId="29" xfId="0" applyFont="1" applyBorder="1" applyAlignment="1">
      <alignment horizontal="center" vertical="center" wrapText="1"/>
    </xf>
    <xf numFmtId="0" fontId="28" fillId="0" borderId="17" xfId="0" applyFont="1" applyBorder="1" applyAlignment="1">
      <alignment horizontal="center" vertical="center" wrapText="1"/>
    </xf>
    <xf numFmtId="0" fontId="28" fillId="0" borderId="0" xfId="0" applyFont="1" applyAlignment="1">
      <alignment horizontal="center" vertical="center" wrapText="1"/>
    </xf>
    <xf numFmtId="0" fontId="28" fillId="0" borderId="23" xfId="0" applyFont="1" applyBorder="1" applyAlignment="1">
      <alignment horizontal="center" vertical="center" wrapText="1"/>
    </xf>
    <xf numFmtId="0" fontId="28" fillId="0" borderId="38" xfId="0" applyFont="1" applyBorder="1" applyAlignment="1">
      <alignment horizontal="center" vertical="center" wrapText="1"/>
    </xf>
    <xf numFmtId="0" fontId="28" fillId="0" borderId="33" xfId="0" applyFont="1" applyBorder="1" applyAlignment="1">
      <alignment horizontal="center" vertical="center" wrapText="1"/>
    </xf>
    <xf numFmtId="0" fontId="28" fillId="0" borderId="39" xfId="0" applyFont="1" applyBorder="1" applyAlignment="1">
      <alignment horizontal="center" vertical="center" wrapText="1"/>
    </xf>
    <xf numFmtId="0" fontId="24" fillId="0" borderId="0" xfId="0" applyFont="1"/>
    <xf numFmtId="0" fontId="22" fillId="0" borderId="0" xfId="0" applyFont="1"/>
    <xf numFmtId="0" fontId="3" fillId="12" borderId="0" xfId="0" applyFont="1" applyFill="1"/>
    <xf numFmtId="0" fontId="3" fillId="12" borderId="0" xfId="0" applyFont="1" applyFill="1" applyAlignment="1">
      <alignment wrapText="1"/>
    </xf>
    <xf numFmtId="0" fontId="3" fillId="0" borderId="0" xfId="0" applyFont="1" applyAlignment="1">
      <alignment wrapText="1"/>
    </xf>
    <xf numFmtId="0" fontId="3" fillId="0" borderId="0" xfId="0" applyFont="1" applyAlignment="1">
      <alignment vertical="top" wrapText="1"/>
    </xf>
    <xf numFmtId="0" fontId="5" fillId="0" borderId="0" xfId="0" applyFont="1" applyAlignment="1">
      <alignment horizontal="left"/>
    </xf>
    <xf numFmtId="0" fontId="5" fillId="0" borderId="0" xfId="0" applyFont="1" applyAlignment="1">
      <alignment horizontal="center"/>
    </xf>
    <xf numFmtId="0" fontId="3" fillId="0" borderId="0" xfId="0" applyFont="1" applyAlignment="1">
      <alignment horizontal="center"/>
    </xf>
    <xf numFmtId="0" fontId="5" fillId="0" borderId="0" xfId="0" applyFont="1"/>
    <xf numFmtId="0" fontId="30" fillId="0" borderId="0" xfId="0" quotePrefix="1" applyFont="1" applyAlignment="1">
      <alignment horizontal="center"/>
    </xf>
    <xf numFmtId="0" fontId="3" fillId="0" borderId="0" xfId="0" quotePrefix="1" applyFont="1" applyAlignment="1">
      <alignment horizontal="left"/>
    </xf>
    <xf numFmtId="49" fontId="5" fillId="0" borderId="0" xfId="0" applyNumberFormat="1" applyFont="1" applyAlignment="1">
      <alignment horizontal="center"/>
    </xf>
    <xf numFmtId="0" fontId="30"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92">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3" pivot="0" count="8" xr9:uid="{40048D91-B7B4-48AD-ADA3-F7B5F24E3A0B}">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3 2" pivot="0" count="8" xr9:uid="{C5C8B11A-65E1-47E8-8B6A-A638EA763C9D}">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4" pivot="0" count="8" xr9:uid="{879439EA-876F-405F-B69E-85273FF10F93}">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4 2" pivot="0" count="8" xr9:uid="{A2A787F1-3FC0-4774-93F6-6F67EEF4DC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pivot="0" count="8" xr9:uid="{CB689928-D93B-4088-A9C6-560B4B9C5E75}">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 name="TableStyleLight1 5 2" pivot="0" count="8" xr9:uid="{7B8F54C5-86FC-4F37-89FD-016FBCC24E05}">
      <tableStyleElement type="wholeTable" dxfId="943"/>
      <tableStyleElement type="headerRow" dxfId="942"/>
      <tableStyleElement type="totalRow" dxfId="941"/>
      <tableStyleElement type="firstColumn" dxfId="940"/>
      <tableStyleElement type="lastColumn" dxfId="939"/>
      <tableStyleElement type="firstRowStripe" dxfId="938"/>
      <tableStyleElement type="secondRowStripe" dxfId="937"/>
      <tableStyleElement type="firstColumnStripe" dxfId="936"/>
    </tableStyle>
    <tableStyle name="TableStyleLight1 5 2 2" pivot="0" count="8" xr9:uid="{03577705-4D4B-4BC8-BE21-E9B4AACE52E1}">
      <tableStyleElement type="wholeTable" dxfId="935"/>
      <tableStyleElement type="headerRow" dxfId="934"/>
      <tableStyleElement type="totalRow" dxfId="933"/>
      <tableStyleElement type="firstColumn" dxfId="932"/>
      <tableStyleElement type="lastColumn" dxfId="931"/>
      <tableStyleElement type="firstRowStripe" dxfId="930"/>
      <tableStyleElement type="secondRowStripe" dxfId="929"/>
      <tableStyleElement type="firstColumnStripe" dxfId="928"/>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1" dataDxfId="920">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9">
      <calculatedColumnFormula>_xlfn.SINGLE(INDEX(TblRaces[],MATCH(race,TblRaces[Race],0),4))</calculatedColumnFormula>
    </tableColumn>
    <tableColumn id="2" xr3:uid="{00000000-0010-0000-0000-000002000000}" name="Offense" dataDxfId="918">
      <calculatedColumnFormula>_xlfn.IFNA(INDEX(TblRaces[],MATCH(TblUnits[[#This Row],[Unit Names]],TblRaces[Unitname],0),5),"")</calculatedColumnFormula>
    </tableColumn>
    <tableColumn id="3" xr3:uid="{00000000-0010-0000-0000-000003000000}" name="Defense" dataDxfId="917">
      <calculatedColumnFormula>_xlfn.IFNA(INDEX(TblRaces[],MATCH(TblUnits[[#This Row],[Unit Names]],TblRaces[Unitname],0),6),"")</calculatedColumnFormula>
    </tableColumn>
    <tableColumn id="4" xr3:uid="{00000000-0010-0000-0000-000004000000}" name="Platinum" dataDxfId="916">
      <calculatedColumnFormula>_xlfn.IFNA(INDEX(TblRaces[],MATCH(TblUnits[[#This Row],[Unit Names]],TblRaces[Unitname],0),7),"")</calculatedColumnFormula>
    </tableColumn>
    <tableColumn id="5" xr3:uid="{00000000-0010-0000-0000-000005000000}" name="Ore" dataDxfId="915">
      <calculatedColumnFormula>_xlfn.IFNA(INDEX(TblRaces[],MATCH(TblUnits[[#This Row],[Unit Names]],TblRaces[Unitname],0),8),"")</calculatedColumnFormula>
    </tableColumn>
    <tableColumn id="6" xr3:uid="{00000000-0010-0000-0000-000006000000}" name="Networth" dataDxfId="914">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3" dataDxfId="911" headerRowBorderDxfId="912" tableBorderDxfId="910">
  <autoFilter ref="H14:I32" xr:uid="{6EDA5300-DB26-4799-A5D1-5432AC102827}">
    <filterColumn colId="0" hiddenButton="1"/>
    <filterColumn colId="1" hiddenButton="1"/>
  </autoFilter>
  <tableColumns count="2">
    <tableColumn id="1" xr3:uid="{C93253AD-A598-462C-985D-E538FB5404AF}" name="Race Bonuses" dataDxfId="909"/>
    <tableColumn id="2" xr3:uid="{7301230A-1354-4459-BA19-9D8AE9608978}" name="Bonus" dataDxfId="908"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7" dataDxfId="906" tableBorderDxfId="905">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4"/>
    <tableColumn id="2" xr3:uid="{F7BA9D3F-F979-435F-AF55-B8562C7F08C8}" name=" " dataDxfId="903"/>
    <tableColumn id="3" xr3:uid="{C661B1D0-1EAD-42B7-889A-9265EA75CB1D}" name="Offense" dataDxfId="902"/>
    <tableColumn id="4" xr3:uid="{594F8FE6-285D-432D-AB90-DE26655C8963}" name="Bonus" dataDxfId="901"/>
    <tableColumn id="5" xr3:uid="{1A4EBEB0-1016-4D5D-920D-08D8AD7AFC97}" name="OP Mod" dataDxfId="900"/>
    <tableColumn id="6" xr3:uid="{0A455978-2417-4AD7-8969-95433ADAC6F4}" name="Defense" dataDxfId="899"/>
    <tableColumn id="7" xr3:uid="{3C4FEC10-2BEB-4EC0-AA98-F67CC8DBE5B5}" name="DP Bonus" dataDxfId="898"/>
    <tableColumn id="8" xr3:uid="{9CE669CC-5E7B-4E7B-8FFE-265EB626E935}" name="DP Mod" dataDxfId="897"/>
    <tableColumn id="9" xr3:uid="{7DE0C022-18E9-48B5-8835-9B63E8CC1CDF}" name="." dataDxfId="896"/>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5" dataDxfId="893" headerRowBorderDxfId="894" tableBorderDxfId="892">
  <autoFilter ref="H47:J51" xr:uid="{86CCA094-2F84-4D6A-BB34-AED37B4839D4}">
    <filterColumn colId="0" hiddenButton="1"/>
    <filterColumn colId="1" hiddenButton="1"/>
    <filterColumn colId="2" hiddenButton="1"/>
  </autoFilter>
  <tableColumns count="3">
    <tableColumn id="1" xr3:uid="{E0152EC7-4145-4063-BAB4-B6301A014F4B}" name="Type" dataDxfId="891"/>
    <tableColumn id="2" xr3:uid="{FAE1A1FE-F8EC-48F0-A8AF-ADF4B1F44E93}" name="Raw" dataDxfId="890"/>
    <tableColumn id="3" xr3:uid="{AFD4C97E-F124-4CC9-8087-32A6EB65C3D5}" name="Modded" dataDxfId="889"/>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8" dataDxfId="886" headerRowBorderDxfId="887" tableBorderDxfId="885">
  <autoFilter ref="H54:J57" xr:uid="{4A95BFF0-5AE4-4064-BA31-9F687E8E34BD}">
    <filterColumn colId="0" hiddenButton="1"/>
    <filterColumn colId="1" hiddenButton="1"/>
    <filterColumn colId="2" hiddenButton="1"/>
  </autoFilter>
  <tableColumns count="3">
    <tableColumn id="1" xr3:uid="{ACCDFB1C-E1AE-4F10-BB67-59F2B9780D01}" name="Hour" dataDxfId="884"/>
    <tableColumn id="2" xr3:uid="{277A266C-0AEF-4864-99C7-1E807FF68978}" name="Amount" dataDxfId="883"/>
    <tableColumn id="3" xr3:uid="{DD724D20-8039-4E15-A45D-F535D999ED97}" name="Without Training" dataDxfId="882"/>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1" dataDxfId="880" totalsRowDxfId="878" tableBorderDxfId="879">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7" totalsRowDxfId="876"/>
    <tableColumn id="2" xr3:uid="{739DBC51-BC77-4631-B107-088DC25245EB}" name="Amount" totalsRowFunction="sum" dataDxfId="875" totalsRowDxfId="874"/>
    <tableColumn id="3" xr3:uid="{41BF49B0-731E-480A-A25D-802B4380182E}" name="Relative" totalsRowFunction="custom" totalsRowDxfId="873"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2" dataDxfId="871" tableBorderDxfId="870">
  <autoFilter ref="D46:F69" xr:uid="{6C8ACB43-975F-416A-A510-CF883452891C}">
    <filterColumn colId="0" hiddenButton="1"/>
    <filterColumn colId="1" hiddenButton="1"/>
    <filterColumn colId="2" hiddenButton="1"/>
  </autoFilter>
  <tableColumns count="3">
    <tableColumn id="1" xr3:uid="{97F6A0D7-4C71-45E8-A9DA-F3DBEC3693D1}" name="Acres" dataDxfId="869"/>
    <tableColumn id="2" xr3:uid="{70370623-AE12-4AC1-B3BC-5FA6F33097E0}" name=" " dataDxfId="868"/>
    <tableColumn id="3" xr3:uid="{76F2AA18-B160-4225-A8AB-03D1370169AB}" name="   " dataDxfId="867"/>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6" dataDxfId="864" headerRowBorderDxfId="865" tableBorderDxfId="863">
  <autoFilter ref="D14:E18" xr:uid="{AF658822-94AE-4FD8-9D6D-E660E1B5C629}">
    <filterColumn colId="0" hiddenButton="1"/>
    <filterColumn colId="1" hiddenButton="1"/>
  </autoFilter>
  <tableColumns count="2">
    <tableColumn id="1" xr3:uid="{EFD90BA2-CBAC-4BDB-9434-40FB9C2485F4}" name="Date&amp;Time" dataDxfId="862"/>
    <tableColumn id="2" xr3:uid="{CCEF9A0F-7383-4941-A440-9E2452942487}" name="." dataDxfId="861"/>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4" dataDxfId="853" totalsRowDxfId="85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1" totalsRowDxfId="850">
      <calculatedColumnFormula>TblRezone[[#This Row],[Hour]]</calculatedColumnFormula>
    </tableColumn>
    <tableColumn id="2" xr3:uid="{7657952B-D9DB-46FC-BD8D-612DECDC04FD}" name="Time" dataDxfId="849" totalsRowDxfId="848">
      <calculatedColumnFormula>TblImps[[#This Row],[Time]]</calculatedColumnFormula>
    </tableColumn>
    <tableColumn id="3" xr3:uid="{767542B9-4E58-42E2-85BA-5C1DB6108363}" name="Peasants" dataDxfId="847" totalsRowDxfId="846">
      <calculatedColumnFormula>OFFSET(TblPop[[#This Row],[Peasants]],-1,0)+OFFSET(TblPop[[#This Row],[Net Peasant]],-1,0)+TblMili[[#This Row],[Release Draft]]</calculatedColumnFormula>
    </tableColumn>
    <tableColumn id="4" xr3:uid="{F5DC2705-5767-4AD0-A2E0-E36086D164C0}" name="Military" dataDxfId="845" totalsRowDxfId="844">
      <calculatedColumnFormula>TblMili[[#This Row],[Military]]</calculatedColumnFormula>
    </tableColumn>
    <tableColumn id="5" xr3:uid="{57E397CE-6C2C-48AE-9B2E-52E14099EAFC}" name="Draftees" dataDxfId="843" totalsRowDxfId="842">
      <calculatedColumnFormula>TblMili[[#This Row],[Draftees]]</calculatedColumnFormula>
    </tableColumn>
    <tableColumn id="6" xr3:uid="{7339086D-8AEE-45A5-B78D-EA6FDBA34E10}" name="Total" dataDxfId="841" totalsRowDxfId="840">
      <calculatedColumnFormula>TblPop[[#This Row],[Peasants]]+TblPop[[#This Row],[Military]]</calculatedColumnFormula>
    </tableColumn>
    <tableColumn id="7" xr3:uid="{75D92B6D-F4CA-42F7-80B3-4BF8A336E69C}" name="Military%" dataDxfId="839" totalsRowDxfId="838" dataCellStyle="Percent">
      <calculatedColumnFormula>TblPop[[#This Row],[Military]]/TblPop[[#This Row],[Total]]</calculatedColumnFormula>
    </tableColumn>
    <tableColumn id="8" xr3:uid="{257C6438-3205-4A45-9F91-ACD066CD59E8}" name="Employed" dataDxfId="837" totalsRowDxfId="836" dataCellStyle="Percent">
      <calculatedColumnFormula>MIN(TblPop[[#This Row],[Peasants]],TblPop[[#This Row],[Jobs]])</calculatedColumnFormula>
    </tableColumn>
    <tableColumn id="9" xr3:uid="{B05B6937-2C12-476B-B555-2A8ED6FF34EF}" name="Employment" dataDxfId="835" totalsRowDxfId="834" dataCellStyle="Percent">
      <calculatedColumnFormula>MIN(OFFSET(TblPop[[#This Row],[Jobs]],1,0)/TblPop[[#This Row],[Peasants]],1)</calculatedColumnFormula>
    </tableColumn>
    <tableColumn id="10" xr3:uid="{AD7F9BB7-A630-4BBB-AFEA-37B907196778}" name="Jobs" dataDxfId="833" totalsRowDxfId="832"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1" totalsRowDxfId="830" dataCellStyle="Percent"/>
    <tableColumn id="12" xr3:uid="{2EEFBFF9-40A4-412F-8FEC-C2F4799A06E6}" name=" Draftees" dataDxfId="829" totalsRowDxfId="828">
      <calculatedColumnFormula>TblPop[[#This Row],[Draftees]]</calculatedColumnFormula>
    </tableColumn>
    <tableColumn id="13" xr3:uid="{43729A62-E847-4DBB-BC42-62B1FB3DA7A5}" name="Unit 1" dataDxfId="827" totalsRowDxfId="826">
      <calculatedColumnFormula>TblMili[[#This Row],[Unit 1]]</calculatedColumnFormula>
    </tableColumn>
    <tableColumn id="14" xr3:uid="{C7A024F4-2376-4871-897D-90BEBEBC78B7}" name="Unit 2" dataDxfId="825" totalsRowDxfId="824">
      <calculatedColumnFormula>TblMili[[#This Row],[Unit 2]]</calculatedColumnFormula>
    </tableColumn>
    <tableColumn id="15" xr3:uid="{93EC8730-4D26-4E19-ADAA-3ED5C943F257}" name="Unit 3" dataDxfId="823" totalsRowDxfId="822">
      <calculatedColumnFormula>TblMili[[#This Row],[Unit 3]]</calculatedColumnFormula>
    </tableColumn>
    <tableColumn id="16" xr3:uid="{1A382ACC-9ED2-4A5E-BEE3-781B1DBCF186}" name="Unit 4" dataDxfId="821" totalsRowDxfId="820">
      <calculatedColumnFormula>TblMili[[#This Row],[Unit 4]]</calculatedColumnFormula>
    </tableColumn>
    <tableColumn id="17" xr3:uid="{491D1C19-D1B1-48C7-8FC6-BE77B7CD2635}" name="Spies" dataDxfId="819" totalsRowDxfId="818">
      <calculatedColumnFormula>TblMili[[#This Row],[Spies]]</calculatedColumnFormula>
    </tableColumn>
    <tableColumn id="18" xr3:uid="{1AF95FC5-21CD-41AC-A69F-CF5E9AF4AB85}" name="Wizards" dataDxfId="817" totalsRowDxfId="816">
      <calculatedColumnFormula>TblMili[[#This Row],[Wizards]]</calculatedColumnFormula>
    </tableColumn>
    <tableColumn id="19" xr3:uid="{C157D21E-FD58-4F24-A070-1819A7E2DA97}" name="Archmage" dataDxfId="815" totalsRowDxfId="814">
      <calculatedColumnFormula>TblMili[[#This Row],[Archmages]]</calculatedColumnFormula>
    </tableColumn>
    <tableColumn id="20" xr3:uid="{6BBFB632-E92F-4F29-AE3D-534C8288C615}" name=".." dataDxfId="813" totalsRowDxfId="812"/>
    <tableColumn id="21" xr3:uid="{59CAD00B-A8EE-455B-A015-E17ADF56A7B2}" name="Net max" dataDxfId="811" totalsRowDxfId="810">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09" totalsRowDxfId="80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7" totalsRowDxfId="80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5" totalsRowDxfId="804">
      <calculatedColumnFormula>ROUND(TblPop[[#This Row],[Raw Birth]]*(1+TblPop[[#This Row],[Growth]]),0)</calculatedColumnFormula>
    </tableColumn>
    <tableColumn id="25" xr3:uid="{26E60E7F-6DA3-49EF-99E8-26A0DAD2D630}" name="Raw Birth" dataDxfId="803" totalsRowDxfId="802">
      <calculatedColumnFormula>(TblPop[[#This Row],[Peasants]]-TblPop[[#This Row],[Draft Growth]])*raw_pop_growth</calculatedColumnFormula>
    </tableColumn>
    <tableColumn id="26" xr3:uid="{6E1274BE-772F-4747-A295-D51601B4FE11}" name="Draft Growth" dataDxfId="801" totalsRowDxfId="800">
      <calculatedColumnFormula>IF(TblPop[[#This Row],[Military%]]&lt;TblMili[[#This Row],[Draftrate]],ROUND(TblPop[[#This Row],[Peasants]]*Constants!$B$54,0), 0)</calculatedColumnFormula>
    </tableColumn>
    <tableColumn id="27" xr3:uid="{858CE2A0-AC9E-46FE-9A70-AED1578889CB}" name="...." dataDxfId="799" totalsRowDxfId="798"/>
    <tableColumn id="28" xr3:uid="{B271B9C7-94D1-498F-9FBB-69DF5F1BCE3F}" name="Growth" dataDxfId="797" totalsRowDxfId="796"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795" totalsRowDxfId="794"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5" dataDxfId="783" headerRowBorderDxfId="784" tableBorderDxfId="782">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1"/>
    <tableColumn id="2" xr3:uid="{A509F8BB-FCD1-4951-8F3F-2AE2B32FB91D}" name="Time" dataDxfId="780">
      <calculatedColumnFormula>TblImps[[#This Row],[Time]]</calculatedColumnFormula>
    </tableColumn>
    <tableColumn id="3" xr3:uid="{BD173BCD-6C73-484D-BDFC-2CBFE8B32234}" name="Plat Bonus" dataDxfId="779"/>
    <tableColumn id="4" xr3:uid="{9A9B3DEC-EBEC-4801-BF4F-F90BBBCDF331}" name="." dataDxfId="778"/>
    <tableColumn id="5" xr3:uid="{6F9B5905-FA1D-4099-B9CC-6BE237355D58}" name="Land" dataDxfId="777">
      <calculatedColumnFormula>TblConstr[[#This Row],[Land]]</calculatedColumnFormula>
    </tableColumn>
    <tableColumn id="6" xr3:uid="{5ADA8DA4-36DC-4D4F-AE4E-76BDD26AF270}" name="Peasants" dataDxfId="776">
      <calculatedColumnFormula>TblPop[[#This Row],[Peasants]]</calculatedColumnFormula>
    </tableColumn>
    <tableColumn id="7" xr3:uid="{EE7F0FC7-4D30-4144-88EE-9A05AD7BF609}" name="Networth" dataDxfId="775">
      <calculatedColumnFormula>TblMili[[#This Row],[Networth (2)]]</calculatedColumnFormula>
    </tableColumn>
    <tableColumn id="8" xr3:uid="{F7B8E7A7-7AD4-4D83-8297-946670C39E55}" name="Platinum" dataDxfId="774">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3">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2">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1">
      <calculatedColumnFormula>OFFSET(TblProd[[#This Row],[Mana]],-1,0)+OFFSET(TblProd[[#This Row],[Mana/hr]],-1,0)- TblProd[[#This Row],[Expenses Mana]]</calculatedColumnFormula>
    </tableColumn>
    <tableColumn id="12" xr3:uid="{C80C4246-7273-429F-BE79-86B1B4181061}" name="Ore" dataDxfId="770">
      <calculatedColumnFormula>OFFSET(TblProd[[#This Row],[Ore]],-1,0)+OFFSET(TblProd[[#This Row],[Ore/hr]],-1,0) -TblProd[[#This Row],[Expenses Ore]]</calculatedColumnFormula>
    </tableColumn>
    <tableColumn id="13" xr3:uid="{4174B9D9-5881-42F2-A514-2A7372C2B486}" name="Gems" dataDxfId="769">
      <calculatedColumnFormula>OFFSET(TblProd[[#This Row],[Gems]],-1,0)+OFFSET(TblProd[[#This Row],[Gems/hr]],-1,0) - TblProd[[#This Row],[Expenses Gems]]</calculatedColumnFormula>
    </tableColumn>
    <tableColumn id="14" xr3:uid="{C9DF5508-173B-4E9B-BD32-3313FC0AECA9}" name="Boats" dataDxfId="768">
      <calculatedColumnFormula>OFFSET(TblProd[[#This Row],[Boats]],-1,0)+OFFSET(TblProd[[#This Row],[Boats/hr]],-1,0)</calculatedColumnFormula>
    </tableColumn>
    <tableColumn id="15" xr3:uid="{C2EE37F5-4C79-4BD9-BE97-5B3BBB490CD3}" name="Prestige" dataDxfId="767">
      <calculatedColumnFormula>OFFSET(TblProd[[#This Row],[Prestige]],-1,0)</calculatedColumnFormula>
    </tableColumn>
    <tableColumn id="16" xr3:uid="{5EEA2772-71AB-4FF8-BF5F-D1D5B4044943}" name="Techpoints" dataDxfId="766">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5">
      <calculatedColumnFormula>MAX(3900,_xlfn.CEILING.MATH(3600+TblProd[[#This Row],[Land]]*0.65+OFFSET(TblTech[[#This Row],[Sum of tech]],-1,0)*150))</calculatedColumnFormula>
    </tableColumn>
    <tableColumn id="18" xr3:uid="{BC60D6AE-146D-440E-93B9-050DE2CAED7A}" name=".." dataDxfId="764"/>
    <tableColumn id="19" xr3:uid="{F7A6187F-1DDE-45C0-B221-8BA0937C4E35}" name="Plat/hr" dataDxfId="763">
      <calculatedColumnFormula>ROUNDDOWN(TblProd[[#This Row],[Raw Plat/hr]]*(1+TblProd[[#This Row],[Bonus Plat/hr]]),0)</calculatedColumnFormula>
    </tableColumn>
    <tableColumn id="20" xr3:uid="{EBA5F35A-607A-475E-9357-98AF551D44A6}" name="Food/hr" dataDxfId="762">
      <calculatedColumnFormula>ROUND(TblProd[[#This Row],[Raw Food/hr]]*(1+TblProd[[#This Row],[Bonus Food/hr]])-TblProd[[#This Row],[Food decay]]-TblProd[[#This Row],[Food eaten]],0)</calculatedColumnFormula>
    </tableColumn>
    <tableColumn id="21" xr3:uid="{D75AA2A6-F107-4144-8A7D-4BE575236288}" name="Lumber/hr" dataDxfId="761">
      <calculatedColumnFormula>ROUND(TblProd[[#This Row],[Raw Lumber/hr]]*(1+TblProd[[#This Row],[Bonus Lumber/hr]])-TblProd[[#This Row],[Lumber rot]],0)</calculatedColumnFormula>
    </tableColumn>
    <tableColumn id="22" xr3:uid="{4AA82FE8-7AD6-4F9E-B8A1-627CE2E70CE0}" name="Mana/hr" dataDxfId="760">
      <calculatedColumnFormula>ROUND(TblProd[[#This Row],[Raw Mana/hr]]*(1+TblProd[[#This Row],[Bonus Mana/hr]])-TblProd[[#This Row],[Mana drain]],0)</calculatedColumnFormula>
    </tableColumn>
    <tableColumn id="23" xr3:uid="{86A49F4B-CDA3-4B61-B4D9-8830178E715E}" name="Ore/hr" dataDxfId="759">
      <calculatedColumnFormula>ROUNDDOWN(TblProd[[#This Row],[Raw Ore/hr]]*(1+TblProd[[#This Row],[Bonux Ore/hr]]),0)</calculatedColumnFormula>
    </tableColumn>
    <tableColumn id="24" xr3:uid="{F7C3BCF1-3F12-4405-8E19-ED1B9D20D049}" name="Gems/hr" dataDxfId="758">
      <calculatedColumnFormula>ROUNDDOWN(TblProd[[#This Row],[Raw Gems/hr]]*(1+TblProd[[#This Row],[Bonus Gems/hr]]),0)</calculatedColumnFormula>
    </tableColumn>
    <tableColumn id="25" xr3:uid="{E754A630-9007-4F8A-A8B7-C56609E09275}" name="Boats/hr" dataDxfId="757">
      <calculatedColumnFormula>OFFSET(TblConstr[[#This Row],[Tot Doc]],1,0)*dock_boats_hr * (1 + tech_4_1*TblTech[[#This Row],[4-1]])</calculatedColumnFormula>
    </tableColumn>
    <tableColumn id="26" xr3:uid="{8666710D-F3A4-4016-AA32-8D95B9BFFE3D}" name="…" dataDxfId="756"/>
    <tableColumn id="27" xr3:uid="{BE5DAA3C-8D26-4E0F-87D4-E9FE3E149040}" name="Raw Plat/hr" dataDxfId="755">
      <calculatedColumnFormula>TblPop[[#This Row],[Peasants]]*tax*TblPop[[#This Row],[Employment]] + (Construction!AZ5+Construction!BX5)*(alch_plat+(Magic!AM4&gt;0)*alchemist_flame_bonus)</calculatedColumnFormula>
    </tableColumn>
    <tableColumn id="28" xr3:uid="{72437831-3C94-4E01-9B66-637CE9F1FC37}" name="Raw Food/hr" dataDxfId="754">
      <calculatedColumnFormula>TblConstr[[#This Row],[Tot Farm]]*farm_food + TblConstr[[#This Row],[Tot Doc]]*dock_food</calculatedColumnFormula>
    </tableColumn>
    <tableColumn id="29" xr3:uid="{6327048A-17B4-47F0-A6D6-4DF606F8872E}" name="Raw Lumber/hr" dataDxfId="753">
      <calculatedColumnFormula>TblConstr[[#This Row],[Tot Ly]]*ly_lumber + TblConstr[[#This Row],[Tot Hav]]*fh_lumber</calculatedColumnFormula>
    </tableColumn>
    <tableColumn id="30" xr3:uid="{9564EF02-956D-4988-B195-94F7CC0C966B}" name="Raw Mana/hr" dataDxfId="752">
      <calculatedColumnFormula>OFFSET(TblConstr[[#This Row],[Tot Tow]],1,0)*(tower_mana + tech_4_5*TblTech[[#This Row],[4-5]]) + OFFSET(TblConstr[[#This Row],[Tot WG]],1,0)*wg_mana_prod</calculatedColumnFormula>
    </tableColumn>
    <tableColumn id="31" xr3:uid="{1FCC3E78-11E8-4286-A9C0-F9F5FA32B54A}" name="Raw Ore/hr" dataDxfId="751">
      <calculatedColumnFormula>OFFSET(TblConstr[[#This Row],[Tot OM]],1,0)*om_ore+IF(race="Dwarf",ROUNDDOWN(TblMili[[#This Row],[Unit 2]]/2,0),)</calculatedColumnFormula>
    </tableColumn>
    <tableColumn id="32" xr3:uid="{8AFDB340-E76D-4906-8F67-515703AD5439}" name="Raw Gems/hr" dataDxfId="750">
      <calculatedColumnFormula>OFFSET(TblConstr[[#This Row],[Tot DM]],1,0)*dm_gems</calculatedColumnFormula>
    </tableColumn>
    <tableColumn id="33" xr3:uid="{E86B471A-FB4B-478C-B269-80AA28A99240}" name="...." dataDxfId="749"/>
    <tableColumn id="34" xr3:uid="{9F134F8D-9272-4F13-BEA1-036303BDF806}" name="Bonus Plat/hr" dataDxfId="748">
      <calculatedColumnFormula>MIN(race_platinum_bonus + IF(Magic!AD4&gt;0,midas_bonus) + TblImps[[#This Row],[Science]] - TblProd[[#This Row],[Guard]]*(0.02 + tech_5_7*TblTech[[#This Row],[5-7]]) + tech_1_5*TblTech[[#This Row],[1-5]] + tech_4_4*TblTech[[#This Row],[4-4]], 0.5)</calculatedColumnFormula>
    </tableColumn>
    <tableColumn id="35" xr3:uid="{0A74905A-22DA-45CD-93B1-A04E404DA171}" name="Bonus Food/hr" dataDxfId="747">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6">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5">
      <calculatedColumnFormula>race_mana_bonus+ 0 + TblImps[[#This Row],[Towers]] + tech_1_2*TblTech[[#This Row],[1-2]] + tech_3_4*TblTech[[#This Row],[3-4]]</calculatedColumnFormula>
    </tableColumn>
    <tableColumn id="38" xr3:uid="{86499F2E-9498-4D5B-8626-C51CB440415E}" name="Bonux Ore/hr" dataDxfId="744">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3">
      <calculatedColumnFormula>race_gem_bonus+ tech_3_2*TblTech[[#This Row],[3-2]] + tech_4_3*TblTech[[#This Row],[4-3]] + tech_6_2*TblTech[[#This Row],[6-2]]</calculatedColumnFormula>
    </tableColumn>
    <tableColumn id="40" xr3:uid="{13CEE817-130E-4D49-8EA9-E724A91FD06F}" name="…." dataDxfId="742"/>
    <tableColumn id="41" xr3:uid="{6AD9C25C-A77A-4288-B914-DEAB151F3EBD}" name="Food decay" dataDxfId="741">
      <calculatedColumnFormula>TblProd[[#This Row],[Food]]*food_decay * (1 + tech_2_1*TblTech[[#This Row],[2-1]] + tech_2_8*TblTech[[#This Row],[2-8]])</calculatedColumnFormula>
    </tableColumn>
    <tableColumn id="42" xr3:uid="{B67A5DCA-7223-49B6-A0AC-BE56416DEAB6}" name="Food eaten" dataDxfId="740">
      <calculatedColumnFormula>(1+race_food_consumption)*TblPop[[#This Row],[Total]]*food_per_person*(1+tech_1_10*TblTech[[#This Row],[1-10]]+tech_7_5*TblTech[[#This Row],[7-5]])</calculatedColumnFormula>
    </tableColumn>
    <tableColumn id="43" xr3:uid="{2D142E97-FF43-492A-B271-A145B85E0BF3}" name="Lumber rot" dataDxfId="739">
      <calculatedColumnFormula>TblProd[[#This Row],[Lumber]]*lumber_rot * (1 + tech_2_1*TblTech[[#This Row],[2-1]] + tech_2_8*TblTech[[#This Row],[2-8]] + tech_5_2*TblTech[[#This Row],[5-2]])</calculatedColumnFormula>
    </tableColumn>
    <tableColumn id="44" xr3:uid="{B4C1A120-AC06-46C7-8824-18C19DD19A05}" name="Mana drain" dataDxfId="738">
      <calculatedColumnFormula>TblProd[[#This Row],[Mana]]*mana_drain * (1 + tech_2_1*TblTech[[#This Row],[2-1]] + tech_2_8*TblTech[[#This Row],[2-8]])</calculatedColumnFormula>
    </tableColumn>
    <tableColumn id="45" xr3:uid="{D3D223E8-8991-4557-84CB-F59345A9686F}" name="….." dataDxfId="737"/>
    <tableColumn id="46" xr3:uid="{0EFE67ED-4C56-4E46-B6BE-B5FAFB53783E}" name="Expenses Platinum" dataDxfId="736">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5">
      <calculatedColumnFormula>TblConstr[[#This Row],[Total Lum Cost]]+TblImps[[#This Row],[L1]]-TblProd[[#This Row],[Bank Lumber]] + Military!$CH$25*TblMili[[#This Row],[Sec. rec. Cost]]</calculatedColumnFormula>
    </tableColumn>
    <tableColumn id="48" xr3:uid="{3C88EFC6-8DA5-40ED-A97A-2AAFD0B3B6AD}" name="Expenses Mana" dataDxfId="734">
      <calculatedColumnFormula>TblMagic[[#This Row],[Mana cost]] + Military!$CH$26*TblMili[[#This Row],[Sec. rec. Cost]]</calculatedColumnFormula>
    </tableColumn>
    <tableColumn id="49" xr3:uid="{1E4E3815-206F-4A61-AE33-CA14E995FDCB}" name="Expenses Ore" dataDxfId="733">
      <calculatedColumnFormula>Military!$CH$24*TblMili[[#This Row],[Sec. rec. Cost]]+TblImps[[#This Row],[O1]]-TblProd[[#This Row],[Bank Ore]]</calculatedColumnFormula>
    </tableColumn>
    <tableColumn id="50" xr3:uid="{8DF861B9-6D00-413F-82A6-CB9FB4344D68}" name="Expenses Gems" dataDxfId="732">
      <calculatedColumnFormula>TblImps[[#This Row],[G1]]-TblProd[[#This Row],[Bank Gems]]</calculatedColumnFormula>
    </tableColumn>
    <tableColumn id="51" xr3:uid="{B251D943-2DAF-44E5-BCC8-D6734C7115AC}" name="…..." dataDxfId="731"/>
    <tableColumn id="52" xr3:uid="{4B9E6D84-D900-4020-9F03-31B7E7CFFDDD}" name="Guard" dataDxfId="730">
      <calculatedColumnFormula>IF(TblProd[[#This Row],[Set Guard]]&lt;&gt;"",TblProd[[#This Row],[Set Guard]],OFFSET(TblProd[[#This Row],[Guard]],-1,0))</calculatedColumnFormula>
    </tableColumn>
    <tableColumn id="53" xr3:uid="{1F4E66ED-8544-4DEE-A238-E9BA6D663684}" name="Set Guard" dataDxfId="729"/>
    <tableColumn id="54" xr3:uid="{1D4B089E-CFD3-41C4-BDA0-74070303A629}" name="Hour (2)" dataDxfId="728">
      <calculatedColumnFormula>TblProd[[#This Row],[Hour]]</calculatedColumnFormula>
    </tableColumn>
    <tableColumn id="55" xr3:uid="{13D8CC8A-81E1-41BB-9F87-384EE02343C0}" name="Bank Plat" dataDxfId="727">
      <calculatedColumnFormula>-TblProd[[#This Row],[Bank Lumber]] / 2 + -TblProd[[#This Row],[Bank Gems]] * 2</calculatedColumnFormula>
    </tableColumn>
    <tableColumn id="56" xr3:uid="{41D3199A-B537-41B8-A35D-AB3FAE3A7763}" name="Bank Lumber" dataDxfId="726"/>
    <tableColumn id="57" xr3:uid="{F8C6B652-BED5-46E0-B507-4A728112F421}" name="Bank Ore" dataDxfId="725"/>
    <tableColumn id="58" xr3:uid="{0A836235-2002-4186-985F-CF495776E28E}" name="Bank Gems" dataDxfId="724"/>
    <tableColumn id="59" xr3:uid="{56B680F7-B10A-487B-B563-4297DE674256}" name="Time (2)" dataDxfId="723">
      <calculatedColumnFormula>TblProd[[#This Row],[Time]]</calculatedColumnFormula>
    </tableColumn>
    <tableColumn id="60" xr3:uid="{B3E3CCBD-6079-4735-A75E-072E37E0325B}" name="Ok?" dataDxfId="722">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1">
      <calculatedColumnFormula>TblProd[[#This Row],[Platinum]]</calculatedColumnFormula>
    </tableColumn>
    <tableColumn id="62" xr3:uid="{BAE994A1-A5C4-42FD-B88E-93A7F2337723}" name="Stats Food" dataDxfId="720">
      <calculatedColumnFormula>TblProd[[#This Row],[Food]]</calculatedColumnFormula>
    </tableColumn>
    <tableColumn id="63" xr3:uid="{8FF996E7-6950-42AE-80FE-25BD3D3ADB81}" name="Stats Lumber" dataDxfId="719">
      <calculatedColumnFormula>TblProd[[#This Row],[Lumber]]</calculatedColumnFormula>
    </tableColumn>
    <tableColumn id="64" xr3:uid="{4E3282B4-65CE-45FC-B881-93C3F98E36E0}" name="Stats Mana" dataDxfId="718">
      <calculatedColumnFormula>TblProd[[#This Row],[Mana]]</calculatedColumnFormula>
    </tableColumn>
    <tableColumn id="65" xr3:uid="{C1490C22-CEF7-430F-B6CC-F7FDA2F90C17}" name="Stats Ore" dataDxfId="717">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4" dataDxfId="702" totalsRowDxfId="700" headerRowBorderDxfId="703" tableBorderDxfId="70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9" totalsRowDxfId="698">
      <calculatedColumnFormula>TblRezone[[#This Row],[Hour]]</calculatedColumnFormula>
    </tableColumn>
    <tableColumn id="1" xr3:uid="{16A4A80A-781E-4E74-BC12-3B194ED2F6BF}" name="Barren" dataDxfId="697" totalsRowDxfId="696">
      <calculatedColumnFormula>SUM(TblConstr[[#This Row],[Plain]:[Water]])</calculatedColumnFormula>
    </tableColumn>
    <tableColumn id="2" xr3:uid="{F83194BF-B786-4A33-B371-25BE7289AC68}" name="Buildings" dataDxfId="695" totalsRowDxfId="694">
      <calculatedColumnFormula>SUM(TblConstr[[#This Row],[Tot Hom]:[Tot Doc]])</calculatedColumnFormula>
    </tableColumn>
    <tableColumn id="3" xr3:uid="{343846C5-19E9-4357-B5DD-B105ACEC8C2C}" name="Incoming" dataDxfId="693" totalsRowDxfId="692"/>
    <tableColumn id="4" xr3:uid="{A20911DB-7155-4794-AD46-07AAD44BDAFE}" name="." dataDxfId="691" totalsRowDxfId="690"/>
    <tableColumn id="5" xr3:uid="{279706A5-BDE6-4F21-9D4E-93DD796722CB}" name="Land" dataDxfId="689" totalsRowDxfId="688">
      <calculatedColumnFormula>TblConstr[[#This Row],[Barren]]+TblConstr[[#This Row],[Buildings]]+TblConstr[[#This Row],[Incoming]]</calculatedColumnFormula>
    </tableColumn>
    <tableColumn id="6" xr3:uid="{8D16C913-6FBB-42B5-890E-7AA3F7D780F3}" name="Plain" dataDxfId="687" totalsRowDxfId="686">
      <calculatedColumnFormula>OFFSET(TblConstr[[#This Row],[Plain]],-1,0)+TblConstr[[#This Row],[Ch_Plain]]</calculatedColumnFormula>
    </tableColumn>
    <tableColumn id="7" xr3:uid="{ECABDC59-2CFA-4924-832F-64BD947684FE}" name="Forest" dataDxfId="685" totalsRowDxfId="684">
      <calculatedColumnFormula>OFFSET(TblConstr[[#This Row],[Forest]],-1,0)+TblConstr[[#This Row],[Ch_Forest]]</calculatedColumnFormula>
    </tableColumn>
    <tableColumn id="8" xr3:uid="{AD888BC9-7B2A-431B-912B-F76B183C4BC2}" name="Mountain" dataDxfId="683" totalsRowDxfId="682">
      <calculatedColumnFormula>OFFSET(TblConstr[[#This Row],[Mountain]],-1,0)+TblConstr[[#This Row],[Ch_Mountain]]</calculatedColumnFormula>
    </tableColumn>
    <tableColumn id="9" xr3:uid="{B9F107CC-9E87-47F0-9669-7B4E32869962}" name="Hill" dataDxfId="681" totalsRowDxfId="680">
      <calculatedColumnFormula>OFFSET(TblConstr[[#This Row],[Hill]],-1,0)+TblConstr[[#This Row],[Ch_Hill]]</calculatedColumnFormula>
    </tableColumn>
    <tableColumn id="10" xr3:uid="{8067675A-D7AC-461C-B5B4-B2FDA278D46E}" name="Swamp" dataDxfId="679" totalsRowDxfId="678">
      <calculatedColumnFormula>OFFSET(TblConstr[[#This Row],[Swamp]],-1,0)+TblConstr[[#This Row],[Ch_Swamp]]</calculatedColumnFormula>
    </tableColumn>
    <tableColumn id="11" xr3:uid="{F6E4B820-D719-41FF-A537-55FE6AFBAF0E}" name="Cavern" dataDxfId="677" totalsRowDxfId="676">
      <calculatedColumnFormula>OFFSET(TblConstr[[#This Row],[Cavern]],-1,0)+TblConstr[[#This Row],[Ch_Cavern]]</calculatedColumnFormula>
    </tableColumn>
    <tableColumn id="12" xr3:uid="{54552E9E-E771-4104-87F6-20952C6A2D90}" name="Water" dataDxfId="675" totalsRowDxfId="674">
      <calculatedColumnFormula>OFFSET(TblConstr[[#This Row],[Water]],-1,0)+TblConstr[[#This Row],[Ch_Water]]</calculatedColumnFormula>
    </tableColumn>
    <tableColumn id="112" xr3:uid="{68F0FBE6-EBED-4B66-81D6-A19DB934C48D}" name="Hour  " dataDxfId="673" totalsRowDxfId="672">
      <calculatedColumnFormula>TblRezone[[#This Row],[Hour]]</calculatedColumnFormula>
    </tableColumn>
    <tableColumn id="14" xr3:uid="{6A739C2B-FED1-46DE-A6EC-2761E132E225}" name="Hom" dataDxfId="671" totalsRowDxfId="670"/>
    <tableColumn id="15" xr3:uid="{E50EB7D2-A060-4B91-920B-B3335EF23400}" name="Alc" dataDxfId="669" totalsRowDxfId="668"/>
    <tableColumn id="16" xr3:uid="{E3F8F390-578A-46F4-8079-68503504AE5A}" name="Far" dataDxfId="667" totalsRowDxfId="666"/>
    <tableColumn id="17" xr3:uid="{CC502929-3E3E-483C-AA45-1E8DC6E6F788}" name="Smi" dataDxfId="665" totalsRowDxfId="664"/>
    <tableColumn id="18" xr3:uid="{2849017C-83D2-48CF-BAFC-E8180F6B87B3}" name="Mas" dataDxfId="663" totalsRowDxfId="662"/>
    <tableColumn id="19" xr3:uid="{902080F0-045E-460C-8A94-D28082F0684A}" name="Ly" dataDxfId="661" totalsRowDxfId="660"/>
    <tableColumn id="20" xr3:uid="{74F11359-7A83-40C9-8D72-4E7342A4C5F6}" name="Hav" dataDxfId="659" totalsRowDxfId="658"/>
    <tableColumn id="21" xr3:uid="{2F4CD982-1BA1-4887-BEEF-D1CEDDFDCD98}" name="OM" dataDxfId="657" totalsRowDxfId="656"/>
    <tableColumn id="22" xr3:uid="{8FB86139-1373-407A-B799-7C5D49EF3A26}" name="GN" dataDxfId="655" totalsRowDxfId="654"/>
    <tableColumn id="23" xr3:uid="{283576BE-DC2F-4C4A-B83A-40303ED03A64}" name="Fac" dataDxfId="653" totalsRowDxfId="652"/>
    <tableColumn id="24" xr3:uid="{5CFB0CBF-3773-41F6-9B86-E1678AA28900}" name="GT" dataDxfId="651" totalsRowDxfId="650"/>
    <tableColumn id="25" xr3:uid="{19E4F682-9015-4478-9312-A3022D1FEEE9}" name="Bar" dataDxfId="649" totalsRowDxfId="648"/>
    <tableColumn id="26" xr3:uid="{013252D4-D385-4331-9170-92B5C8BB4C64}" name="Shr" dataDxfId="647" totalsRowDxfId="646"/>
    <tableColumn id="27" xr3:uid="{D4B27941-E688-419F-8B6F-B73F6CF2AB5B}" name="Tow" dataDxfId="645" totalsRowDxfId="644"/>
    <tableColumn id="28" xr3:uid="{17047BB4-364B-45DB-830B-858C7BD30B39}" name="Tem" dataDxfId="643" totalsRowDxfId="642"/>
    <tableColumn id="29" xr3:uid="{8910E8E2-8D7F-45E2-8559-CB4F40D25EB8}" name="WG" dataDxfId="641" totalsRowDxfId="640"/>
    <tableColumn id="30" xr3:uid="{BDAAD77D-88DB-4E61-9C07-44CAE4913F4B}" name="DM" dataDxfId="639" totalsRowDxfId="638"/>
    <tableColumn id="31" xr3:uid="{BFDB5F50-9A23-4E21-AEF0-8F150174C5D9}" name="Sch" dataDxfId="637" totalsRowDxfId="636"/>
    <tableColumn id="32" xr3:uid="{F4596035-B7F8-4B94-9B36-37B190EBF2F5}" name="Doc" dataDxfId="635" totalsRowDxfId="634"/>
    <tableColumn id="33" xr3:uid="{B506678F-5C96-41A2-B16E-01903002457C}" name="time" dataDxfId="633" totalsRowDxfId="632">
      <calculatedColumnFormula>TblImps[[#This Row],[Time]]</calculatedColumnFormula>
    </tableColumn>
    <tableColumn id="34" xr3:uid="{BBF9E4A7-4AD1-4256-838E-84E222A5E5B5}" name="Facs -DB" dataDxfId="631" totalsRowDxfId="630" dataCellStyle="Percent">
      <calculatedColumnFormula>MIN(25%,(TblConstr[[#This Row],[Tot Fac]]+TblConstr[[#This Row],[Dest Fac]])/(TblConstr[[#This Row],[Land]]-TblExplore[[#This Row],[Land Bonus]]*20))</calculatedColumnFormula>
    </tableColumn>
    <tableColumn id="35" xr3:uid="{CE9651FB-E7AA-4AC3-9369-D03ACA26B669}" name="Facs DB" dataDxfId="629" totalsRowDxfId="628" dataCellStyle="Percent">
      <calculatedColumnFormula>MIN(25%,(TblConstr[[#This Row],[Tot Fac]]+TblConstr[[#This Row],[Dest Fac]])/TblConstr[[#This Row],[Land]])</calculatedColumnFormula>
    </tableColumn>
    <tableColumn id="36" xr3:uid="{09991F89-DEAA-4698-A25A-D13F6565EDD4}" name="Platinum" dataDxfId="627" totalsRowDxfId="626">
      <calculatedColumnFormula>TblProd[[#This Row],[Platinum]]</calculatedColumnFormula>
    </tableColumn>
    <tableColumn id="37" xr3:uid="{98B47891-EB31-4D7F-8AC4-80255A877681}" name="Lumber" dataDxfId="625" totalsRowDxfId="624">
      <calculatedColumnFormula>TblProd[[#This Row],[Lumber]]</calculatedColumnFormula>
    </tableColumn>
    <tableColumn id="38" xr3:uid="{4BCC987F-ABDB-4939-B66E-9E39DDB56076}" name="CPA Platinum -DB" dataDxfId="623" totalsRowDxfId="62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1" totalsRowDxfId="62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9" totalsRowDxfId="61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17" totalsRowDxfId="61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15" totalsRowDxfId="614">
      <calculatedColumnFormula>TblConstr[[#This Row],[build -db]]*TblConstr[[#This Row],[CPA Platinum -DB]] + TblConstr[[#This Row],[build db]]*TblConstr[[#This Row],[CPA Platinum DB]]</calculatedColumnFormula>
    </tableColumn>
    <tableColumn id="43" xr3:uid="{F2E3CBCF-A243-4043-87E8-17546293A159}" name="Total Lum Cost" dataDxfId="613" totalsRowDxfId="612">
      <calculatedColumnFormula>TblConstr[[#This Row],[build -db]]*TblConstr[[#This Row],[CPA Lumber -DB]]+TblConstr[[#This Row],[build db]]*TblConstr[[#This Row],[CPA Lumber DB]]</calculatedColumnFormula>
    </tableColumn>
    <tableColumn id="44" xr3:uid="{119F0A26-AFE5-4C99-86DF-E2019D697B1F}" name="build -db" dataDxfId="611" totalsRowDxfId="61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9" totalsRowDxfId="60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7" totalsRowDxfId="606"/>
    <tableColumn id="47" xr3:uid="{2AB27BA8-C2B6-44FC-89D1-B8C469C03A31}" name="RCPA Platinum " dataDxfId="605" totalsRowDxfId="604">
      <calculatedColumnFormula>ROUND((TblConstr[[#This Row],[Land]]-250 - IF(TblExplore[[#This Row],[Land Bonus]]&lt;&gt;0,20,0))*1.25 + 850 + 0,0)</calculatedColumnFormula>
    </tableColumn>
    <tableColumn id="48" xr3:uid="{745E4D31-3689-4F62-A15B-2D5399E746CA}" name="RCPA Lumber" dataDxfId="603">
      <calculatedColumnFormula>ROUND((TblConstr[[#This Row],[Land]]-250 - IF(TblExplore[[#This Row],[Land Bonus]]&lt;&gt;0,20,0))*0.285 + 87.5 + 0/4.25,0)</calculatedColumnFormula>
    </tableColumn>
    <tableColumn id="49" xr3:uid="{619C112A-EE5A-4710-AF52-5843FF4DB054}" name="…" dataDxfId="602" totalsRowDxfId="601"/>
    <tableColumn id="50" xr3:uid="{F2846ED2-FD2C-4B82-8D89-DEC4D6C89C45}" name="Tot Hom" dataDxfId="600" totalsRowDxfId="599">
      <calculatedColumnFormula array="1">IF(TblConstr[[#This Row],[Hour]:[Hour]]&gt;12,OFFSET(TblConstr[[#This Row],[Hom]],-12,0),0)+OFFSET(TblConstr[[#This Row],[Tot Hom]],-1,0)-TblConstr[[#This Row],[Dest Hom]]</calculatedColumnFormula>
    </tableColumn>
    <tableColumn id="51" xr3:uid="{3A820279-E5AD-460C-8EA2-56927C664532}" name="Tot Alc" dataDxfId="598" totalsRowDxfId="597">
      <calculatedColumnFormula array="1">IF(TblConstr[[#This Row],[Hour]:[Hour]]&gt;12,OFFSET(TblConstr[[#This Row],[Alc]],-12,0),0)+OFFSET(TblConstr[[#This Row],[Tot Alc]],-1,0)-TblConstr[[#This Row],[Dest Alc]]</calculatedColumnFormula>
    </tableColumn>
    <tableColumn id="52" xr3:uid="{2F201F1F-E604-470C-A21C-EF43882A5460}" name="Tot Farm" dataDxfId="596" totalsRowDxfId="595">
      <calculatedColumnFormula array="1">IF(TblConstr[[#This Row],[Hour]:[Hour]]&gt;12,OFFSET(TblConstr[[#This Row],[Far]],-12,0),0)+OFFSET(TblConstr[[#This Row],[Tot Farm]],-1,0)-TblConstr[[#This Row],[Dest Farm]]</calculatedColumnFormula>
    </tableColumn>
    <tableColumn id="53" xr3:uid="{CF25F1ED-4CEE-4702-9FD7-472555CAE1E7}" name="Tot Smi" dataDxfId="594" totalsRowDxfId="593">
      <calculatedColumnFormula array="1">IF(TblConstr[[#This Row],[Hour]:[Hour]]&gt;12,OFFSET(TblConstr[[#This Row],[Smi]],-12,0),0)+OFFSET(TblConstr[[#This Row],[Tot Smi]],-1,0)-TblConstr[[#This Row],[Dest Smi]]</calculatedColumnFormula>
    </tableColumn>
    <tableColumn id="54" xr3:uid="{AA2380E5-3483-49DB-91B7-F7447D6C17A7}" name="Tot Mas" dataDxfId="592" totalsRowDxfId="591">
      <calculatedColumnFormula array="1">IF(TblConstr[[#This Row],[Hour]:[Hour]]&gt;12,OFFSET(TblConstr[[#This Row],[Mas]],-12,0),0)+OFFSET(TblConstr[[#This Row],[Tot Mas]],-1,0)-TblConstr[[#This Row],[Dest Mas]]</calculatedColumnFormula>
    </tableColumn>
    <tableColumn id="55" xr3:uid="{9983477D-EC22-4053-88C9-D53436C89351}" name="Tot Ly" dataDxfId="590" totalsRowDxfId="589">
      <calculatedColumnFormula array="1">IF(TblConstr[[#This Row],[Hour]:[Hour]]&gt;12,OFFSET(TblConstr[[#This Row],[Ly]],-12,0),0)+OFFSET(TblConstr[[#This Row],[Tot Ly]],-1,0)-TblConstr[[#This Row],[Dest Ly]]</calculatedColumnFormula>
    </tableColumn>
    <tableColumn id="56" xr3:uid="{0A8A610F-D674-4772-9EB7-EC610164DF60}" name="Tot Hav" dataDxfId="588" totalsRowDxfId="587">
      <calculatedColumnFormula array="1">IF(TblConstr[[#This Row],[Hour]:[Hour]]&gt;12,OFFSET(TblConstr[[#This Row],[Hav]],-12,0),0)+OFFSET(TblConstr[[#This Row],[Tot Hav]],-1,0)-TblConstr[[#This Row],[Dest Hav]]</calculatedColumnFormula>
    </tableColumn>
    <tableColumn id="57" xr3:uid="{40570349-3AA5-42B4-9820-CC736C2D1B3D}" name="Tot OM" dataDxfId="586" totalsRowDxfId="585">
      <calculatedColumnFormula array="1">IF(TblConstr[[#This Row],[Hour]:[Hour]]&gt;12,OFFSET(TblConstr[[#This Row],[OM]],-12,0),0)+OFFSET(TblConstr[[#This Row],[Tot OM]],-1,0)-TblConstr[[#This Row],[Dest OM]]</calculatedColumnFormula>
    </tableColumn>
    <tableColumn id="58" xr3:uid="{D7C1895E-C93F-4CEE-BB20-88F13C3DA864}" name="Tot GN" dataDxfId="584" totalsRowDxfId="583">
      <calculatedColumnFormula array="1">IF(TblConstr[[#This Row],[Hour]:[Hour]]&gt;12,OFFSET(TblConstr[[#This Row],[GN]],-12,0),0)+OFFSET(TblConstr[[#This Row],[Tot GN]],-1,0)-TblConstr[[#This Row],[Dest GN]]</calculatedColumnFormula>
    </tableColumn>
    <tableColumn id="59" xr3:uid="{6C106580-CB33-4C2F-8B4D-856AC68AA85B}" name="Tot Fac" dataDxfId="582" totalsRowDxfId="581">
      <calculatedColumnFormula array="1">IF(TblConstr[[#This Row],[Hour]:[Hour]]&gt;12,OFFSET(TblConstr[[#This Row],[Fac]],-12,0),0)+OFFSET(TblConstr[[#This Row],[Tot Fac]],-1,0)-TblConstr[[#This Row],[Dest Fac]]</calculatedColumnFormula>
    </tableColumn>
    <tableColumn id="60" xr3:uid="{D3A39C76-EE6D-4C40-B64E-12EE496ACF75}" name="Tot GT" dataDxfId="580" totalsRowDxfId="579">
      <calculatedColumnFormula array="1">IF(TblConstr[[#This Row],[Hour]:[Hour]]&gt;12,OFFSET(TblConstr[[#This Row],[GT]],-12,0),0)+OFFSET(TblConstr[[#This Row],[Tot GT]],-1,0)-TblConstr[[#This Row],[Dest GT]]</calculatedColumnFormula>
    </tableColumn>
    <tableColumn id="61" xr3:uid="{3C88629E-DBB8-4626-8826-42DE21B8CCF3}" name="Tot Bar" dataDxfId="578" totalsRowDxfId="577">
      <calculatedColumnFormula array="1">IF(TblConstr[[#This Row],[Hour]:[Hour]]&gt;12,OFFSET(TblConstr[[#This Row],[Bar]],-12,0),0)+OFFSET(TblConstr[[#This Row],[Tot Bar]],-1,0)-TblConstr[[#This Row],[Dest Bar]]</calculatedColumnFormula>
    </tableColumn>
    <tableColumn id="62" xr3:uid="{9B339DEA-0599-4758-9D02-2BCE3EA7ACC3}" name="Tot Shr" dataDxfId="576" totalsRowDxfId="575">
      <calculatedColumnFormula array="1">IF(TblConstr[[#This Row],[Hour]:[Hour]]&gt;12,OFFSET(TblConstr[[#This Row],[Shr]],-12,0),0)+OFFSET(TblConstr[[#This Row],[Tot Shr]],-1,0)-TblConstr[[#This Row],[Dest Shr]]</calculatedColumnFormula>
    </tableColumn>
    <tableColumn id="63" xr3:uid="{BC8AAD30-881D-4FF0-9567-7FF1D9791913}" name="Tot Tow" dataDxfId="574" totalsRowDxfId="573">
      <calculatedColumnFormula array="1">IF(TblConstr[[#This Row],[Hour]:[Hour]]&gt;12,OFFSET(TblConstr[[#This Row],[Tow]],-12,0),0)+OFFSET(TblConstr[[#This Row],[Tot Tow]],-1,0)-TblConstr[[#This Row],[Dest Tow]]</calculatedColumnFormula>
    </tableColumn>
    <tableColumn id="64" xr3:uid="{59A3F80D-5052-4FDF-AF65-62DB182FD6A6}" name="Tot Tem" dataDxfId="572" totalsRowDxfId="571">
      <calculatedColumnFormula array="1">IF(TblConstr[[#This Row],[Hour]:[Hour]]&gt;12,OFFSET(TblConstr[[#This Row],[Tem]],-12,0),0)+OFFSET(TblConstr[[#This Row],[Tot Tem]],-1,0)-TblConstr[[#This Row],[Dest Tem]]</calculatedColumnFormula>
    </tableColumn>
    <tableColumn id="65" xr3:uid="{00A352BB-E75B-4E3F-AC3D-1D0DC0813148}" name="Tot WG" dataDxfId="570" totalsRowDxfId="569">
      <calculatedColumnFormula array="1">IF(TblConstr[[#This Row],[Hour]:[Hour]]&gt;12,OFFSET(TblConstr[[#This Row],[WG]],-12,0),0)+OFFSET(TblConstr[[#This Row],[Tot WG]],-1,0)-TblConstr[[#This Row],[Dest WG]]</calculatedColumnFormula>
    </tableColumn>
    <tableColumn id="66" xr3:uid="{AC79E3B7-8BF6-4AEF-AACC-9BCCADEEE9EC}" name="Tot DM" dataDxfId="568" totalsRowDxfId="567">
      <calculatedColumnFormula array="1">IF(TblConstr[[#This Row],[Hour]:[Hour]]&gt;12,OFFSET(TblConstr[[#This Row],[DM]],-12,0),0)+OFFSET(TblConstr[[#This Row],[Tot DM]],-1,0)-TblConstr[[#This Row],[Dest DM]]</calculatedColumnFormula>
    </tableColumn>
    <tableColumn id="67" xr3:uid="{0CFFF054-0F8D-4B14-9366-77ABD3382DE4}" name="Tot Sch" dataDxfId="566" totalsRowDxfId="565">
      <calculatedColumnFormula array="1">IF(TblConstr[[#This Row],[Hour]:[Hour]]&gt;12,OFFSET(TblConstr[[#This Row],[Sch]],-12,0),0)+OFFSET(TblConstr[[#This Row],[Tot Sch]],-1,0)-TblConstr[[#This Row],[Dest Sch]]</calculatedColumnFormula>
    </tableColumn>
    <tableColumn id="68" xr3:uid="{EEBD7864-CCF1-4E52-A4D7-93474D156483}" name="Tot Doc" dataDxfId="564" totalsRowDxfId="563">
      <calculatedColumnFormula array="1">IF(TblConstr[[#This Row],[Hour]:[Hour]]&gt;12,OFFSET(TblConstr[[#This Row],[Doc]],-12,0),0)+OFFSET(TblConstr[[#This Row],[Tot Doc]],-1,0)-TblConstr[[#This Row],[Dest Doc]]</calculatedColumnFormula>
    </tableColumn>
    <tableColumn id="69" xr3:uid="{9CB7D1EC-8231-4E29-AF89-78480EAACCBE}" name="…." dataDxfId="562" totalsRowDxfId="561"/>
    <tableColumn id="70" xr3:uid="{8AB60EC6-2503-4C64-93B5-EF0A15817646}" name="….." dataDxfId="560" totalsRowDxfId="559"/>
    <tableColumn id="71" xr3:uid="{E322C618-2AF7-4E39-8C00-05DB78D1E3E1}" name="Land (2)" dataDxfId="558" totalsRowDxfId="557">
      <calculatedColumnFormula>TblConstr[[#This Row],[Land]]</calculatedColumnFormula>
    </tableColumn>
    <tableColumn id="72" xr3:uid="{03634B5C-154E-4AC8-80E1-BA13BC9D96CD}" name="Time (2)" dataDxfId="556" totalsRowDxfId="555">
      <calculatedColumnFormula>TblImps[[#This Row],[Time]]</calculatedColumnFormula>
    </tableColumn>
    <tableColumn id="73" xr3:uid="{B2BF9056-6EBE-4C01-A8BD-B72B49E563E4}" name="…..." dataDxfId="554" totalsRowDxfId="553"/>
    <tableColumn id="74" xr3:uid="{E1DF0DF3-108E-4B1D-AD0D-B0438E0119B4}" name="Dest Hom" dataDxfId="552" totalsRowDxfId="551"/>
    <tableColumn id="75" xr3:uid="{E9A56C16-CD83-4CF4-801D-3F07F7F4410E}" name="Dest Alc" dataDxfId="550" totalsRowDxfId="549"/>
    <tableColumn id="76" xr3:uid="{83CFBDA2-FADE-4B08-B33E-9C2E9F9BF768}" name="Dest Farm" dataDxfId="548" totalsRowDxfId="547"/>
    <tableColumn id="77" xr3:uid="{19187257-0444-44F4-9D3D-6D0323F40019}" name="Dest Smi" dataDxfId="546" totalsRowDxfId="545"/>
    <tableColumn id="78" xr3:uid="{868AFE18-6FA1-48AB-ABF5-2F2AEFE5F988}" name="Dest Mas" dataDxfId="544" totalsRowDxfId="543"/>
    <tableColumn id="79" xr3:uid="{177B6B53-2F11-4209-8387-13A45749227F}" name="Dest Ly" dataDxfId="542" totalsRowDxfId="541"/>
    <tableColumn id="80" xr3:uid="{7546C506-76A9-4C40-A0E7-9A9D9E5AABE5}" name="Dest Hav" dataDxfId="540" totalsRowDxfId="539"/>
    <tableColumn id="81" xr3:uid="{ADDB86A6-E781-4DBE-8117-6F690916DDFA}" name="Dest OM" dataDxfId="538" totalsRowDxfId="537"/>
    <tableColumn id="82" xr3:uid="{B9BF98EC-18BF-465D-9531-8B38D89E91A0}" name="Dest GN" dataDxfId="536" totalsRowDxfId="535"/>
    <tableColumn id="83" xr3:uid="{E7A6D253-F3B2-42C8-99DD-B144C58FC0C5}" name="Dest Fac" dataDxfId="534" totalsRowDxfId="533"/>
    <tableColumn id="84" xr3:uid="{17104BBD-FC27-4D10-B29C-0273D3241FF4}" name="Dest GT" dataDxfId="532" totalsRowDxfId="531"/>
    <tableColumn id="85" xr3:uid="{99559D62-4D78-440A-98FE-DEBB129B435F}" name="Dest Bar" dataDxfId="530" totalsRowDxfId="529"/>
    <tableColumn id="86" xr3:uid="{9B2EEB8C-2FE8-47EE-A3E2-DC10DB45C7AB}" name="Dest Shr" dataDxfId="528" totalsRowDxfId="527"/>
    <tableColumn id="87" xr3:uid="{514D2AAA-E6E3-475E-9F65-8C732A78896D}" name="Dest Tow" dataDxfId="526" totalsRowDxfId="525"/>
    <tableColumn id="88" xr3:uid="{FAB7F148-62FD-4A01-9E52-E72AB5D98A80}" name="Dest Tem" dataDxfId="524" totalsRowDxfId="523"/>
    <tableColumn id="89" xr3:uid="{51F0AAF8-EA25-41BB-8274-29128D8E9309}" name="Dest WG" dataDxfId="522" totalsRowDxfId="521"/>
    <tableColumn id="90" xr3:uid="{B5DD0E4A-F9DA-46DF-AC1D-4C082F96D4FD}" name="Dest DM" dataDxfId="520" totalsRowDxfId="519"/>
    <tableColumn id="91" xr3:uid="{8374E536-FAFB-4695-B2E9-40E6A61A9D8E}" name="Dest Sch" dataDxfId="518" totalsRowDxfId="517"/>
    <tableColumn id="92" xr3:uid="{AB6E075B-E076-40E6-B2ED-7DBD5C2545B9}" name="Dest Doc" dataDxfId="516" totalsRowDxfId="515"/>
    <tableColumn id="93" xr3:uid="{A4B6EEF5-D4D4-4B9E-B020-F892CB1DC5F1}" name="…...." dataDxfId="514" totalsRowDxfId="513"/>
    <tableColumn id="94" xr3:uid="{A8785F66-A063-4182-BB5F-F2E489C44B8C}" name="Ch_Plain" dataDxfId="512" totalsRowDxfId="51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10" totalsRowDxfId="50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8" totalsRowDxfId="50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6" totalsRowDxfId="50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4" totalsRowDxfId="50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2" totalsRowDxfId="50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00" totalsRowDxfId="49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8" totalsRowDxfId="497">
      <calculatedColumnFormula>IF(Explore!S4=1,20) - TblConstr[[#This Row],[Hom]] + TblConstr[[#This Row],[Dest Hom]]</calculatedColumnFormula>
    </tableColumn>
    <tableColumn id="102" xr3:uid="{A18B5339-7B5E-4FF1-B44C-54D91E2619B1}" name="…....." dataDxfId="496" totalsRowDxfId="495"/>
    <tableColumn id="103" xr3:uid="{4E3EEDB6-D8CB-4DA1-AC9F-29019C9A6FFC}" name="Total Plain" dataDxfId="494" totalsRowDxfId="493"/>
    <tableColumn id="104" xr3:uid="{669C7BA0-B3F2-47DA-B10D-81C2466FF6F3}" name="Total Forest" dataDxfId="492" totalsRowDxfId="491"/>
    <tableColumn id="105" xr3:uid="{B6EE778A-6E52-44FF-8691-B86F1650C2C2}" name="Total Mountain" dataDxfId="490" totalsRowDxfId="489"/>
    <tableColumn id="106" xr3:uid="{5FF89BD6-7921-4110-AD96-EA8B54555F1C}" name="Total Hill" dataDxfId="488" totalsRowDxfId="487"/>
    <tableColumn id="107" xr3:uid="{F920559E-5C73-4899-BC53-A9BA9E7DFC0C}" name="Total Swamp" dataDxfId="486" totalsRowDxfId="485"/>
    <tableColumn id="108" xr3:uid="{6462BCCF-F375-4DEC-B000-637E1187AA5E}" name="Total Cavern" dataDxfId="484" totalsRowDxfId="483"/>
    <tableColumn id="109" xr3:uid="{D966B8E0-E2CD-4374-AF05-B86C330B3BD4}" name="Total Water" dataDxfId="482" totalsRowDxfId="481"/>
    <tableColumn id="110" xr3:uid="{170A4E12-F563-448F-8964-EB5CA71BA3AF}" name="Homeland" dataDxfId="480" totalsRowDxfId="47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8" totalsRowDxfId="477"/>
    <tableColumn id="114" xr3:uid="{EDC1B5E1-1E93-4946-BEC7-453EF5B18C9F}" name="Farms" dataDxfId="476" totalsRowDxfId="475">
      <calculatedColumnFormula>MAX(BA4-BA3,0)</calculatedColumnFormula>
    </tableColumn>
    <tableColumn id="115" xr3:uid="{1D02A65C-E8F6-4B66-A5EB-3699A9BE61C5}" name="Docks" totalsRowFunction="sum" dataDxfId="474" totalsRowDxfId="47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4" dataDxfId="463" tableBorderDxfId="46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1">
      <calculatedColumnFormula>TblRezone[[#This Row],[Hour]]</calculatedColumnFormula>
    </tableColumn>
    <tableColumn id="2" xr3:uid="{DFB120B6-BC70-4091-A005-99D4961CB538}" name="Land" dataDxfId="460">
      <calculatedColumnFormula>TblConstr[[#This Row],[Land]]</calculatedColumnFormula>
    </tableColumn>
    <tableColumn id="3" xr3:uid="{05C32193-1764-4A8E-B877-789E51BD1927}" name="." dataDxfId="459"/>
    <tableColumn id="4" xr3:uid="{2DBA3229-29BD-4F1F-B6CD-9E822C9071D7}" name="Plains" dataDxfId="458">
      <calculatedColumnFormula>TblConstr[[#This Row],[Plain]]</calculatedColumnFormula>
    </tableColumn>
    <tableColumn id="5" xr3:uid="{3D1FE633-D61E-4157-92AE-5E68F0C48770}" name="Forest" dataDxfId="457">
      <calculatedColumnFormula>TblConstr[[#This Row],[Forest]]</calculatedColumnFormula>
    </tableColumn>
    <tableColumn id="6" xr3:uid="{D9ABEDC6-9211-428A-B587-3CA9C3BF9744}" name="Mountn" dataDxfId="456">
      <calculatedColumnFormula>TblConstr[[#This Row],[Mountain]]</calculatedColumnFormula>
    </tableColumn>
    <tableColumn id="7" xr3:uid="{190BAA64-9D9E-4080-878D-BF035387620E}" name="Hills" dataDxfId="455">
      <calculatedColumnFormula>TblConstr[[#This Row],[Hill]]</calculatedColumnFormula>
    </tableColumn>
    <tableColumn id="8" xr3:uid="{812744CE-DEB7-4A8A-8374-CD5852E8C168}" name="Swamp" dataDxfId="454">
      <calculatedColumnFormula>TblConstr[[#This Row],[Swamp]]</calculatedColumnFormula>
    </tableColumn>
    <tableColumn id="9" xr3:uid="{96D79F63-015A-4655-975B-A1C99185A034}" name="Caverns" dataDxfId="453">
      <calculatedColumnFormula>TblConstr[[#This Row],[Cavern]]</calculatedColumnFormula>
    </tableColumn>
    <tableColumn id="10" xr3:uid="{607DA3E5-8D4A-44F4-A35C-DDAF32BE627C}" name="Water" dataDxfId="452">
      <calculatedColumnFormula>TblConstr[[#This Row],[Water]]</calculatedColumnFormula>
    </tableColumn>
    <tableColumn id="11" xr3:uid="{12EC2AC2-5FD3-4D82-8C37-DB70DCC56DC2}" name="Column2" dataDxfId="451"/>
    <tableColumn id="12" xr3:uid="{B171FE82-C8DE-44A1-89CE-409ED8DDD9D4}" name="Column3" dataDxfId="450"/>
    <tableColumn id="13" xr3:uid="{8C0085EE-E99F-4C98-9D66-144A50E3623C}" name="Column4" dataDxfId="449"/>
    <tableColumn id="14" xr3:uid="{5686D8FB-FF86-4148-AF9E-C03A97A84AF3}" name="Smithies" dataDxfId="448" dataCellStyle="Percent">
      <calculatedColumnFormula>TblMili[[#This Row],[Smithies]]</calculatedColumnFormula>
    </tableColumn>
    <tableColumn id="15" xr3:uid="{A0DC0A41-1987-4EE6-99BA-624DB6ACB9BF}" name="Employm." dataDxfId="447" dataCellStyle="Percent">
      <calculatedColumnFormula>TblPop[[#This Row],[Employment]]</calculatedColumnFormula>
    </tableColumn>
    <tableColumn id="16" xr3:uid="{7B85DEA6-C72D-4EAB-B18F-155B3A80E27B}" name="Popul." dataDxfId="446" dataCellStyle="Percent">
      <calculatedColumnFormula>TblImps[[#This Row],[Population]]</calculatedColumnFormula>
    </tableColumn>
    <tableColumn id="17" xr3:uid="{0BE33934-A790-4489-A3A2-E553E3C4AAEE}" name="Land (2)" dataDxfId="445">
      <calculatedColumnFormula>TblExplore[[#This Row],[Land]]</calculatedColumnFormula>
    </tableColumn>
    <tableColumn id="18" xr3:uid="{1EE849E8-6296-4479-BDA2-30E4622212E0}" name="Hour (2)" dataDxfId="444">
      <calculatedColumnFormula>TblExplore[[#This Row],[Hour]]</calculatedColumnFormula>
    </tableColumn>
    <tableColumn id="19" xr3:uid="{802EC67C-58E0-4E2B-9471-52B76B3F516A}" name="Land Bonus" dataDxfId="443"/>
    <tableColumn id="20" xr3:uid="{B1DC4E54-695A-4FE1-A303-67B047732E38}" name="Plains Explore" dataDxfId="442"/>
    <tableColumn id="21" xr3:uid="{28A63039-E9F4-4C91-BC61-38AFA90CBBA3}" name="Forest Explore" dataDxfId="441"/>
    <tableColumn id="22" xr3:uid="{52A3F218-67B7-4353-9DCD-90E402F80D3A}" name="Mountain Explore" dataDxfId="440"/>
    <tableColumn id="23" xr3:uid="{CADD78BB-1A84-4EF1-B568-74D7A7333BED}" name="Hill Explore" dataDxfId="439"/>
    <tableColumn id="24" xr3:uid="{86B12DCD-5E50-4631-800C-3D06D0C8407F}" name="Swamp Explore" dataDxfId="438"/>
    <tableColumn id="25" xr3:uid="{41A3F8D1-C19F-4B01-A125-BD6C5BE75F1D}" name="Cavern Explore" dataDxfId="437"/>
    <tableColumn id="26" xr3:uid="{DD83E77E-8C71-44A7-BF29-B8595544CC0D}" name="Water Explore" dataDxfId="436"/>
    <tableColumn id="27" xr3:uid="{6F68BDB2-663F-44CE-A108-1184CFBBBFB9}" name="Time" dataDxfId="435">
      <calculatedColumnFormula>TblImps[[#This Row],[Real time]]</calculatedColumnFormula>
    </tableColumn>
    <tableColumn id="28" xr3:uid="{0FBA88C1-4190-4A95-897B-20B88A072234}" name="Draftees" dataDxfId="434">
      <calculatedColumnFormula>TblMili[[#This Row],[Draftees]]</calculatedColumnFormula>
    </tableColumn>
    <tableColumn id="29" xr3:uid="{4EFD1992-02FD-4356-A327-EBEED01908DD}" name="Platinum" dataDxfId="433">
      <calculatedColumnFormula>TblProd[[#This Row],[Platinum]]</calculatedColumnFormula>
    </tableColumn>
    <tableColumn id="30" xr3:uid="{3D9A7B33-B273-4A01-8F7D-822B1BEB344B}" name=".." dataDxfId="432"/>
    <tableColumn id="31" xr3:uid="{EDB0F070-B31D-4B00-90A6-0A190E3CA80B}" name="Land-DB" dataDxfId="431">
      <calculatedColumnFormula>TblExplore[[#This Row],[Land]]-TblExplore[[#This Row],[Land Bonus]]*20</calculatedColumnFormula>
    </tableColumn>
    <tableColumn id="32" xr3:uid="{B94D1074-50E9-44F1-8957-6BE450DE4BF0}" name="Plat/acre" dataDxfId="430">
      <calculatedColumnFormula>ROUND(MAX(0.6*TblExplore[[#This Row],[Land-DB]]^1.299,850)*(1+ tech_2_6*Techs!AC4 + tech_2_9*Techs!AF4 + tech_3_7*Techs!AN4 + Overview!$I$32),0)</calculatedColumnFormula>
    </tableColumn>
    <tableColumn id="33" xr3:uid="{F0CBDA56-E75F-4156-B9BD-681857934D22}" name="Draftees/acre" dataDxfId="429">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8">
      <calculatedColumnFormula>SUM(TblExplore[[#This Row],[Plains Explore]:[Water Explore]])*TblExplore[[#This Row],[Plat/acre]]</calculatedColumnFormula>
    </tableColumn>
    <tableColumn id="35" xr3:uid="{61575F8F-5343-43C9-858D-AF8501368779}" name="Draftees (2)" dataDxfId="427">
      <calculatedColumnFormula>SUM(TblExplore[[#This Row],[Plains Explore]:[Water Explore]])*TblExplore[[#This Row],[Draftees/acre]]</calculatedColumnFormula>
    </tableColumn>
    <tableColumn id="36" xr3:uid="{BD4C2C0C-7F81-4BE8-9828-9CFCFFAFF394}" name="Max Explore" dataDxfId="42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6" dataDxfId="415" tableBorderDxfId="41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3">
      <calculatedColumnFormula>TblConstr[[#This Row],[Land]]</calculatedColumnFormula>
    </tableColumn>
    <tableColumn id="2" xr3:uid="{09D3C0EB-2481-406C-ABC2-3B9FE0683D68}" name="Plains" dataDxfId="412">
      <calculatedColumnFormula>TblConstr[[#This Row],[Plain]]</calculatedColumnFormula>
    </tableColumn>
    <tableColumn id="3" xr3:uid="{E95763D4-88E5-487A-9912-CB5FED512375}" name="Forest" dataDxfId="411">
      <calculatedColumnFormula>TblConstr[[#This Row],[Forest]]</calculatedColumnFormula>
    </tableColumn>
    <tableColumn id="4" xr3:uid="{62B2173B-885E-48E7-B615-089739267B8E}" name="Mountains" dataDxfId="410">
      <calculatedColumnFormula>TblConstr[[#This Row],[Mountain]]</calculatedColumnFormula>
    </tableColumn>
    <tableColumn id="5" xr3:uid="{4FA61465-41A2-4497-AB2D-7B63B7113E12}" name="Hills" dataDxfId="409">
      <calculatedColumnFormula>TblConstr[[#This Row],[Hill]]</calculatedColumnFormula>
    </tableColumn>
    <tableColumn id="6" xr3:uid="{FC27A0D5-6BB5-414B-8DEB-98AD07E7EBFF}" name="Swamp" dataDxfId="408">
      <calculatedColumnFormula>TblConstr[[#This Row],[Swamp]]</calculatedColumnFormula>
    </tableColumn>
    <tableColumn id="7" xr3:uid="{E95EDCE9-4D0A-4F4F-80D0-F52A495BDAE2}" name="Caverns" dataDxfId="407">
      <calculatedColumnFormula>TblConstr[[#This Row],[Cavern]]</calculatedColumnFormula>
    </tableColumn>
    <tableColumn id="8" xr3:uid="{4D162EFF-D831-41C8-9A17-B9113296E43B}" name="Water" dataDxfId="406">
      <calculatedColumnFormula>TblConstr[[#This Row],[Water]]</calculatedColumnFormula>
    </tableColumn>
    <tableColumn id="9" xr3:uid="{D55A4201-089D-415F-8D4D-3ECCCB36C63A}" name="." dataDxfId="405"/>
    <tableColumn id="10" xr3:uid="{DD5BAECA-959B-44B4-BFE4-04100EF42CEE}" name="Hour" dataDxfId="404">
      <calculatedColumnFormula>J3+1</calculatedColumnFormula>
    </tableColumn>
    <tableColumn id="11" xr3:uid="{BBC04AC2-481C-43B9-8F7E-DA11BD9865DF}" name="Time" dataDxfId="403">
      <calculatedColumnFormula>TblImps[[#This Row],[Real time]]</calculatedColumnFormula>
    </tableColumn>
    <tableColumn id="12" xr3:uid="{D6C776EF-706C-4E21-B5A7-00C9AD08F8F2}" name="Plains Rezone" dataDxfId="402"/>
    <tableColumn id="13" xr3:uid="{8517A176-425D-4D28-9953-4EC1AA93C82D}" name="Forest Rezone" dataDxfId="401"/>
    <tableColumn id="14" xr3:uid="{6C6986FB-4B34-4620-9F5C-E204CA007C29}" name="Mountain Rezone" dataDxfId="400"/>
    <tableColumn id="15" xr3:uid="{A238C8DA-37C8-4B93-BDB9-803627A51455}" name="Hill Rezone" dataDxfId="399"/>
    <tableColumn id="16" xr3:uid="{6F93D167-46BB-49F9-99E2-4FE4FA89F6F6}" name="Swamp Rezone" dataDxfId="398"/>
    <tableColumn id="17" xr3:uid="{2891557D-037E-43FE-B080-6B5406778FAE}" name="Cavern Rezone" dataDxfId="397"/>
    <tableColumn id="18" xr3:uid="{C6630C4B-97F3-4512-833F-587ADB90804D}" name="Water Rezone" dataDxfId="396"/>
    <tableColumn id="19" xr3:uid="{71938840-BA0F-4F0E-90C2-866B3EEED32E}" name="Total acres" dataDxfId="395">
      <calculatedColumnFormula>SUMIF(TblRezone[[#This Row],[Plains Rezone]:[Water Rezone]],"&gt;0")</calculatedColumnFormula>
    </tableColumn>
    <tableColumn id="20" xr3:uid="{A48C796B-764B-4744-95D2-0DB5292F5562}" name="Ok?" dataDxfId="394">
      <calculatedColumnFormula>IF(SUM(TblRezone[[#This Row],[Plains Rezone]:[Water Rezone]])=0,"Ok","Nope")</calculatedColumnFormula>
    </tableColumn>
    <tableColumn id="21" xr3:uid="{2EBFAAC1-440A-44F3-A930-C229C35B9BD3}" name=".." dataDxfId="393"/>
    <tableColumn id="22" xr3:uid="{2020F260-8DB5-44E6-A131-B44D79AF6B62}" name="Platinum" dataDxfId="392">
      <calculatedColumnFormula>TblProd[[#This Row],[Platinum]]</calculatedColumnFormula>
    </tableColumn>
    <tableColumn id="23" xr3:uid="{81A5A213-A750-4DD5-8456-6B104D493CA4}" name="…" dataDxfId="391"/>
    <tableColumn id="24" xr3:uid="{8EF28125-DA30-4482-ADE4-2B916A90CAD2}" name="Plat/acre" dataDxfId="390">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9">
      <calculatedColumnFormula>TblRezone[[#This Row],[Total acres]]*TblRezone[[#This Row],[Plat/acre]]</calculatedColumnFormula>
    </tableColumn>
    <tableColumn id="26" xr3:uid="{685D7DEA-DD3C-4385-BEC6-C5DBEEE6B44D}" name="…." dataDxfId="388"/>
    <tableColumn id="27" xr3:uid="{44BE000A-0846-46D4-B9B4-8728EC5881AB}" name="Plat/acre*" dataDxfId="387">
      <calculatedColumnFormula>250+0.6*(TblRezone[[#This Row],[Land]]-250)</calculatedColumnFormula>
    </tableColumn>
    <tableColumn id="28" xr3:uid="{3AFBA97F-9340-4669-BF68-67D7B351BBD4}" name="….." dataDxfId="386"/>
    <tableColumn id="29" xr3:uid="{D8C9DC04-80EE-49BF-BEDB-6FEC536A5F93}" name="Facs" dataDxfId="385">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7" dataDxfId="375" headerRowBorderDxfId="376" tableBorderDxfId="374">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3">
      <calculatedColumnFormula>TblRezone[[#This Row],[Hour]]</calculatedColumnFormula>
    </tableColumn>
    <tableColumn id="2" xr3:uid="{EAC413AF-EC0E-4C34-B6C3-F5AE2181B0A0}" name="Military" dataDxfId="372">
      <calculatedColumnFormula>SUM(TblMili[[#This Row],[Unit 1]:[Archmages]])+SUM(TblMili[[#This Row],[Train Unit 1]:[Train Unit 4]])+TblMili[[#This Row],[Draftees]]</calculatedColumnFormula>
    </tableColumn>
    <tableColumn id="3" xr3:uid="{B9847F02-8883-462E-B245-62A25138A973}" name="Military%" dataDxfId="371">
      <calculatedColumnFormula>TblPop[[#This Row],[Military%]]</calculatedColumnFormula>
    </tableColumn>
    <tableColumn id="4" xr3:uid="{873B66D3-9A4C-4CF2-ADD1-BF3696F9A721}" name="." dataDxfId="370"/>
    <tableColumn id="5" xr3:uid="{FC5A3C7C-0387-4B98-9BB7-AC3A387EAFF0}" name="Unit 1" dataDxfId="369">
      <calculatedColumnFormula>OFFSET(TblMili[[#This Row],[Unit 1]],-1,0) - TblMili[[#This Row],[Release Unit 1]]</calculatedColumnFormula>
    </tableColumn>
    <tableColumn id="6" xr3:uid="{A8BE2C9D-1318-46BD-B50B-D87014E90395}" name="Unit 2" dataDxfId="368">
      <calculatedColumnFormula>OFFSET(TblMili[[#This Row],[Unit 2]],-1,0)-TblMili[[#This Row],[Release Unit 2]]</calculatedColumnFormula>
    </tableColumn>
    <tableColumn id="7" xr3:uid="{49487FD4-4EF4-4722-A4A4-FCC0DD98F9F2}" name="Unit 3" dataDxfId="367">
      <calculatedColumnFormula>OFFSET(TblMili[[#This Row],[Unit 3]],-1,0)-TblMili[[#This Row],[Release Unit 3]]</calculatedColumnFormula>
    </tableColumn>
    <tableColumn id="8" xr3:uid="{739E7790-2960-445C-A5B2-C6064A881CDF}" name="Unit 4" dataDxfId="366">
      <calculatedColumnFormula>OFFSET(TblMili[[#This Row],[Unit 4]],-1,0)-TblMili[[#This Row],[Release Unit 4]]</calculatedColumnFormula>
    </tableColumn>
    <tableColumn id="9" xr3:uid="{0DB25EC0-D296-415A-BF65-DA60D7174CD2}" name="Spies" dataDxfId="365">
      <calculatedColumnFormula>OFFSET(TblMili[[#This Row],[Spies]],-1,0)-TblMili[[#This Row],[Release Spies]]</calculatedColumnFormula>
    </tableColumn>
    <tableColumn id="10" xr3:uid="{1B32AEAE-0DB3-4DD4-8543-1BD37596FD6C}" name="Wizards" dataDxfId="364">
      <calculatedColumnFormula>OFFSET(TblMili[[#This Row],[Wizards]],-1,0)-TblMili[[#This Row],[Release Wizards]]-TblMili[[#This Row],[Train Arch]]</calculatedColumnFormula>
    </tableColumn>
    <tableColumn id="11" xr3:uid="{ED512AF5-16B2-421C-BF95-07157DB57B9D}" name="Archmages" dataDxfId="363">
      <calculatedColumnFormula>OFFSET(TblMili[[#This Row],[Archmages]],-1,0)-TblMili[[#This Row],[Release Arch]]</calculatedColumnFormula>
    </tableColumn>
    <tableColumn id="12" xr3:uid="{CADE9B79-5861-46C5-8C69-B19C0F0551CF}" name=".." dataDxfId="362"/>
    <tableColumn id="13" xr3:uid="{18901E43-A967-4D1C-A56F-B4449A6C28E5}" name="Networth" dataDxfId="361">
      <calculatedColumnFormula>TblProd[[#This Row],[Networth]]</calculatedColumnFormula>
    </tableColumn>
    <tableColumn id="14" xr3:uid="{2F50B0FF-1C90-493E-BE67-86AFE22B6059}" name="…" dataDxfId="360"/>
    <tableColumn id="15" xr3:uid="{800A8F5F-B777-4995-AD6F-4DF929E0A477}" name="Raw" dataDxfId="359">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58">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57">
      <calculatedColumnFormula>TblMili[[#This Row],[Raw]]*(1+TblMili[[#This Row],[Mods_Off]])</calculatedColumnFormula>
    </tableColumn>
    <tableColumn id="18" xr3:uid="{49AD1BCC-C9BC-46CD-8B38-93838D61E9DD}" name="Non Draft" dataDxfId="356">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5">
      <calculatedColumnFormula>TblMili[[#This Row],[Non Draft]]+TblMili[[#This Row],[Draftees]]</calculatedColumnFormula>
    </tableColumn>
    <tableColumn id="20" xr3:uid="{C64B2C83-F9B3-427D-8326-C6954139623D}" name="Mods_Def" dataDxfId="354">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3" dataCellStyle="Comma">
      <calculatedColumnFormula>TblMili[[#This Row],[Non Draft]] * (1 + TblMili[[#This Row],[Mods_Def]])</calculatedColumnFormula>
    </tableColumn>
    <tableColumn id="22" xr3:uid="{EA8914C0-CD98-4E5C-A923-EA0F9E30F1EA}" name="Draft (mod)" dataDxfId="352">
      <calculatedColumnFormula>TblMili[[#This Row],[Draft]] * (1 + TblMili[[#This Row],[Mods_Def]])</calculatedColumnFormula>
    </tableColumn>
    <tableColumn id="23" xr3:uid="{EAC9356D-CE42-4256-BB93-BF208B480555}" name="Land" dataDxfId="351">
      <calculatedColumnFormula>TblConstr[[#This Row],[Land]]</calculatedColumnFormula>
    </tableColumn>
    <tableColumn id="24" xr3:uid="{D4A87242-2EDC-47D9-8CA4-84D822469E1B}" name="Set" dataDxfId="350"/>
    <tableColumn id="25" xr3:uid="{448088C9-E1C1-47E6-9443-BE83ECC5C2F2}" name="Draftrate" dataDxfId="349" dataCellStyle="Percent">
      <calculatedColumnFormula>IF(TblMili[[#This Row],[Set]]&lt;&gt;"",TblMili[[#This Row],[Set]],OFFSET(TblMili[[#This Row],[Draftrate]],-1,0))</calculatedColumnFormula>
    </tableColumn>
    <tableColumn id="26" xr3:uid="{EE8F6844-A68F-416E-B5A0-7B6FA4C5DE98}" name="Draftees" dataDxfId="348">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7"/>
    <tableColumn id="28" xr3:uid="{0B20A7CE-7BB6-4469-889B-DF744233C462}" name="Smithies" dataDxfId="346" dataCellStyle="Percent">
      <calculatedColumnFormula>(TblConstr[[#This Row],[Tot Smi]]+TblConstr[[#This Row],[Dest Smi]])/(TblConstr[[#This Row],[Land]]-TblExplore[[#This Row],[Land Bonus]]*20)</calculatedColumnFormula>
    </tableColumn>
    <tableColumn id="29" xr3:uid="{A03A8504-EBEF-4639-9EE4-238592848C94}" name="….." dataDxfId="345"/>
    <tableColumn id="30" xr3:uid="{4B521A36-EE77-42BE-850C-0D858F3717A6}" name="Hour (2)" dataDxfId="344">
      <calculatedColumnFormula>TblMili[[#This Row],[Hour]]</calculatedColumnFormula>
    </tableColumn>
    <tableColumn id="31" xr3:uid="{D44FE507-2C86-49D9-BC07-83C7B27BB255}" name="Time" dataDxfId="343">
      <calculatedColumnFormula>TblExplore[[#This Row],[Time]]</calculatedColumnFormula>
    </tableColumn>
    <tableColumn id="32" xr3:uid="{0DAD6AB9-2259-4821-8771-37863F1ED4CC}" name="Train Unit 1" dataDxfId="342"/>
    <tableColumn id="33" xr3:uid="{0E43B866-578B-4060-84D1-01656CB368A4}" name="Train Unit 2" dataDxfId="341"/>
    <tableColumn id="34" xr3:uid="{3AAC979B-4FF3-4EFF-8F6E-BD28BBE2B8BD}" name="Train Unit 3" dataDxfId="340"/>
    <tableColumn id="35" xr3:uid="{EC6B8083-BC72-4376-9760-2275CF62C1A6}" name="Train Unit 4" dataDxfId="339"/>
    <tableColumn id="36" xr3:uid="{DE15CA92-2C69-4205-88B3-DE37F5AAF9A6}" name="Train Spies" dataDxfId="338"/>
    <tableColumn id="37" xr3:uid="{97770C71-624D-4E73-A8AD-D79927F45908}" name="Train Wiz" dataDxfId="337"/>
    <tableColumn id="38" xr3:uid="{4E456233-AA67-4D90-9179-339EBD335F62}" name="Train Arch" dataDxfId="336"/>
    <tableColumn id="39" xr3:uid="{29C90460-5421-4EA7-A4CB-BDA1C40BF8A1}" name="…..." dataDxfId="335"/>
    <tableColumn id="40" xr3:uid="{2C04ED42-9AAF-4375-A8D4-18DA4B397FAA}" name="Platinum" dataDxfId="334">
      <calculatedColumnFormula>TblProd[[#This Row],[Platinum]]</calculatedColumnFormula>
    </tableColumn>
    <tableColumn id="41" xr3:uid="{122C6EDE-4C24-4A3C-9FA2-6A7942348604}" name="Secondary recource" dataDxfId="333">
      <calculatedColumnFormula>INDEX(TblProd[[#Headers],[Lumber]]:TblProd[[#This Row],[Ore]],COUNTA(TblProd[[#Headers],[Lumber]]:TblProd[[#This Row],[Lumber]]),MATCH(Military!$AO$2,TblProd[[#Headers],[Lumber]:[Ore]],0))</calculatedColumnFormula>
    </tableColumn>
    <tableColumn id="42" xr3:uid="{AD4D72D1-3860-48CA-B3DA-ADFB8307154A}" name="Plat Cost" dataDxfId="332">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31">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0">
      <calculatedColumnFormula>TblMili[[#This Row],[Hour]]</calculatedColumnFormula>
    </tableColumn>
    <tableColumn id="45" xr3:uid="{20B1F70F-03BF-43F5-9126-6B2FF45FE149}" name="Time " dataDxfId="329">
      <calculatedColumnFormula>TblMili[[#This Row],[Time]]</calculatedColumnFormula>
    </tableColumn>
    <tableColumn id="46" xr3:uid="{32831987-A30D-4329-BB1C-DB47E6B77B54}" name="Draftees22" dataDxfId="328">
      <calculatedColumnFormula>TblMili[[#This Row],[Draftees]]</calculatedColumnFormula>
    </tableColumn>
    <tableColumn id="47" xr3:uid="{7EBE7BE4-37D1-4B52-B049-F9BE4ABBBADC}" name="Release Draft" dataDxfId="327"/>
    <tableColumn id="48" xr3:uid="{C3BB0EE7-6180-4099-B663-EFA3F1503DB3}" name="Release Unit 1" dataDxfId="326"/>
    <tableColumn id="49" xr3:uid="{EDF7E463-807D-4CE2-B63E-18766260768C}" name="Release Unit 2" dataDxfId="325"/>
    <tableColumn id="50" xr3:uid="{A1BE9DD8-455A-4FAA-8154-5BB2D1A53261}" name="Release Unit 3" dataDxfId="324"/>
    <tableColumn id="51" xr3:uid="{4FE1D56E-EA47-4DF6-B5A4-E78C1D5F5774}" name="Release Unit 4" dataDxfId="323"/>
    <tableColumn id="52" xr3:uid="{F0F9CB78-BA40-4031-AC17-0AB88B159B60}" name="Release Spies" dataDxfId="322"/>
    <tableColumn id="53" xr3:uid="{3CC7AC8A-814F-42C4-B491-A6DFD7A4A93E}" name="Release Wizards" dataDxfId="321"/>
    <tableColumn id="54" xr3:uid="{BCB616C3-3465-4473-B27B-B25584160E71}" name="Release Arch" dataDxfId="320"/>
    <tableColumn id="55" xr3:uid="{6B6EC03F-2A6A-47EB-A7F1-0DFE335A330A}" name="Column31" dataDxfId="319"/>
    <tableColumn id="56" xr3:uid="{71F6F49D-CD22-4E5F-BBB5-61150307312C}" name="WG's" dataDxfId="318">
      <calculatedColumnFormula>TblConstr[[#This Row],[Tot WG]]/TblConstr[[#This Row],[Land]]</calculatedColumnFormula>
    </tableColumn>
    <tableColumn id="57" xr3:uid="{B8AC3F70-AED4-4E5E-9FFD-FF94CB39B791}" name="FH's" dataDxfId="317">
      <calculatedColumnFormula>TblConstr[[#This Row],[Tot Hav]]/TblConstr[[#This Row],[Land]]</calculatedColumnFormula>
    </tableColumn>
    <tableColumn id="58" xr3:uid="{140FE3B0-18E6-43AA-A625-E817354E2D53}" name="OP Plat" dataDxfId="316">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5">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4">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3">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2">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1">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0">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9">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8">
      <calculatedColumnFormula>ROUNDUP((1-MIN(ROUND(fh_spy_cost_red*TblMili[[#This Row],[FH''s]],4),fh_spy_cost_cap)+ tech_1_9*TblTech[[#This Row],[1-9]] + tech_9_1*TblTech[[#This Row],[9-1]])*spy_plat,0)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Blizzard"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Blizzard" dataDxfId="218">
      <calculatedColumnFormula>IF(TblMagic[[#This Row],[Blizzard]],12,IF(OFFSET(TblMagic[[#This Row],[Active Blizzard]],-1,0)&gt;0,OFFSET(TblMagic[[#This Row],[Active Blizzard]],-1,0)-1,0))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3" dataDxfId="32" tableBorderDxfId="31">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70" t="s">
        <v>457</v>
      </c>
      <c r="B1" s="470"/>
      <c r="C1" s="470"/>
      <c r="D1" s="470"/>
      <c r="E1" s="470"/>
      <c r="F1" s="470"/>
      <c r="G1" s="470"/>
      <c r="H1" s="470"/>
      <c r="I1" s="470"/>
      <c r="J1" s="470"/>
      <c r="K1" s="470"/>
      <c r="L1" s="471"/>
      <c r="M1" s="477" t="s">
        <v>1068</v>
      </c>
      <c r="N1" s="478"/>
      <c r="O1" s="479"/>
    </row>
    <row r="2" spans="1:15" s="44" customFormat="1" ht="12.75" customHeight="1" x14ac:dyDescent="0.2">
      <c r="A2" s="464" t="s">
        <v>1112</v>
      </c>
      <c r="B2" s="465"/>
      <c r="C2" s="465"/>
      <c r="D2" s="465"/>
      <c r="E2" s="465"/>
      <c r="F2" s="465"/>
      <c r="G2" s="465"/>
      <c r="H2" s="465"/>
      <c r="I2" s="465"/>
      <c r="J2" s="465"/>
      <c r="K2" s="465"/>
      <c r="L2" s="466"/>
      <c r="M2" s="451" t="s">
        <v>1113</v>
      </c>
      <c r="N2" s="452"/>
      <c r="O2" s="453"/>
    </row>
    <row r="3" spans="1:15" s="44" customFormat="1" x14ac:dyDescent="0.2">
      <c r="A3" s="464"/>
      <c r="B3" s="465"/>
      <c r="C3" s="465"/>
      <c r="D3" s="465"/>
      <c r="E3" s="465"/>
      <c r="F3" s="465"/>
      <c r="G3" s="465"/>
      <c r="H3" s="465"/>
      <c r="I3" s="465"/>
      <c r="J3" s="465"/>
      <c r="K3" s="465"/>
      <c r="L3" s="466"/>
      <c r="M3" s="451"/>
      <c r="N3" s="452"/>
      <c r="O3" s="453"/>
    </row>
    <row r="4" spans="1:15" s="44" customFormat="1" x14ac:dyDescent="0.2">
      <c r="A4" s="464"/>
      <c r="B4" s="465"/>
      <c r="C4" s="465"/>
      <c r="D4" s="465"/>
      <c r="E4" s="465"/>
      <c r="F4" s="465"/>
      <c r="G4" s="465"/>
      <c r="H4" s="465"/>
      <c r="I4" s="465"/>
      <c r="J4" s="465"/>
      <c r="K4" s="465"/>
      <c r="L4" s="466"/>
      <c r="M4" s="451"/>
      <c r="N4" s="452"/>
      <c r="O4" s="453"/>
    </row>
    <row r="5" spans="1:15" s="44" customFormat="1" x14ac:dyDescent="0.2">
      <c r="A5" s="464"/>
      <c r="B5" s="465"/>
      <c r="C5" s="465"/>
      <c r="D5" s="465"/>
      <c r="E5" s="465"/>
      <c r="F5" s="465"/>
      <c r="G5" s="465"/>
      <c r="H5" s="465"/>
      <c r="I5" s="465"/>
      <c r="J5" s="465"/>
      <c r="K5" s="465"/>
      <c r="L5" s="466"/>
      <c r="M5" s="451"/>
      <c r="N5" s="452"/>
      <c r="O5" s="453"/>
    </row>
    <row r="6" spans="1:15" s="44" customFormat="1" x14ac:dyDescent="0.2">
      <c r="A6" s="464"/>
      <c r="B6" s="465"/>
      <c r="C6" s="465"/>
      <c r="D6" s="465"/>
      <c r="E6" s="465"/>
      <c r="F6" s="465"/>
      <c r="G6" s="465"/>
      <c r="H6" s="465"/>
      <c r="I6" s="465"/>
      <c r="J6" s="465"/>
      <c r="K6" s="465"/>
      <c r="L6" s="466"/>
      <c r="M6" s="451"/>
      <c r="N6" s="452"/>
      <c r="O6" s="453"/>
    </row>
    <row r="7" spans="1:15" s="44" customFormat="1" ht="13.5" thickBot="1" x14ac:dyDescent="0.25">
      <c r="A7" s="467"/>
      <c r="B7" s="468"/>
      <c r="C7" s="468"/>
      <c r="D7" s="468"/>
      <c r="E7" s="468"/>
      <c r="F7" s="468"/>
      <c r="G7" s="468"/>
      <c r="H7" s="468"/>
      <c r="I7" s="468"/>
      <c r="J7" s="468"/>
      <c r="K7" s="468"/>
      <c r="L7" s="469"/>
      <c r="M7" s="451"/>
      <c r="N7" s="452"/>
      <c r="O7" s="453"/>
    </row>
    <row r="8" spans="1:15" s="44" customFormat="1" ht="15.75" x14ac:dyDescent="0.2">
      <c r="A8" s="472" t="s">
        <v>456</v>
      </c>
      <c r="B8" s="473"/>
      <c r="C8" s="473"/>
      <c r="D8" s="473"/>
      <c r="E8" s="473"/>
      <c r="F8" s="473"/>
      <c r="G8" s="473"/>
      <c r="H8" s="473"/>
      <c r="I8" s="474"/>
      <c r="J8" s="480" t="s">
        <v>1116</v>
      </c>
      <c r="K8" s="481"/>
      <c r="L8" s="482"/>
      <c r="M8" s="454"/>
      <c r="N8" s="455"/>
      <c r="O8" s="456"/>
    </row>
    <row r="9" spans="1:15" s="44" customFormat="1" ht="12.75" customHeight="1" x14ac:dyDescent="0.2">
      <c r="A9" s="475" t="s">
        <v>1067</v>
      </c>
      <c r="B9" s="476"/>
      <c r="C9" s="476"/>
      <c r="D9" s="476"/>
      <c r="E9" s="476"/>
      <c r="F9" s="476"/>
      <c r="G9" s="476"/>
      <c r="H9" s="476"/>
      <c r="I9" s="476"/>
      <c r="J9" s="483"/>
      <c r="K9" s="484"/>
      <c r="L9" s="485"/>
      <c r="M9" s="454"/>
      <c r="N9" s="455"/>
      <c r="O9" s="456"/>
    </row>
    <row r="10" spans="1:15" s="44" customFormat="1" ht="12.75" customHeight="1" x14ac:dyDescent="0.2">
      <c r="A10" s="475"/>
      <c r="B10" s="476"/>
      <c r="C10" s="476"/>
      <c r="D10" s="476"/>
      <c r="E10" s="476"/>
      <c r="F10" s="476"/>
      <c r="G10" s="476"/>
      <c r="H10" s="476"/>
      <c r="I10" s="476"/>
      <c r="J10" s="483"/>
      <c r="K10" s="484"/>
      <c r="L10" s="485"/>
      <c r="M10" s="454"/>
      <c r="N10" s="455"/>
      <c r="O10" s="456"/>
    </row>
    <row r="11" spans="1:15" s="44" customFormat="1" ht="12.75" customHeight="1" x14ac:dyDescent="0.2">
      <c r="A11" s="475"/>
      <c r="B11" s="476"/>
      <c r="C11" s="476"/>
      <c r="D11" s="476"/>
      <c r="E11" s="476"/>
      <c r="F11" s="476"/>
      <c r="G11" s="476"/>
      <c r="H11" s="476"/>
      <c r="I11" s="476"/>
      <c r="J11" s="483"/>
      <c r="K11" s="484"/>
      <c r="L11" s="485"/>
      <c r="M11" s="454"/>
      <c r="N11" s="455"/>
      <c r="O11" s="456"/>
    </row>
    <row r="12" spans="1:15" s="44" customFormat="1" ht="28.5" customHeight="1" thickBot="1" x14ac:dyDescent="0.25">
      <c r="A12" s="475"/>
      <c r="B12" s="476"/>
      <c r="C12" s="476"/>
      <c r="D12" s="476"/>
      <c r="E12" s="476"/>
      <c r="F12" s="476"/>
      <c r="G12" s="476"/>
      <c r="H12" s="476"/>
      <c r="I12" s="476"/>
      <c r="J12" s="486"/>
      <c r="K12" s="487"/>
      <c r="L12" s="488"/>
      <c r="M12" s="457"/>
      <c r="N12" s="458"/>
      <c r="O12" s="459"/>
    </row>
    <row r="13" spans="1:15" s="44" customFormat="1" ht="25.5" customHeight="1" thickBot="1" x14ac:dyDescent="0.25">
      <c r="A13" s="460" t="s">
        <v>262</v>
      </c>
      <c r="B13" s="461"/>
      <c r="C13" s="462"/>
      <c r="D13" s="462"/>
      <c r="E13" s="462"/>
      <c r="F13" s="462"/>
      <c r="G13" s="462"/>
      <c r="H13" s="462"/>
      <c r="I13" s="462"/>
      <c r="J13" s="462"/>
      <c r="K13" s="462"/>
      <c r="L13" s="462"/>
      <c r="M13" s="462"/>
      <c r="N13" s="462"/>
      <c r="O13" s="462"/>
    </row>
    <row r="14" spans="1:15" s="52" customFormat="1" ht="12.75" customHeight="1" x14ac:dyDescent="0.2">
      <c r="A14" s="45" t="s">
        <v>28</v>
      </c>
      <c r="B14" s="138" t="s">
        <v>89</v>
      </c>
      <c r="C14" s="46"/>
      <c r="D14" s="47" t="s">
        <v>328</v>
      </c>
      <c r="E14" s="47" t="s">
        <v>791</v>
      </c>
      <c r="F14" s="44"/>
      <c r="G14" s="44"/>
      <c r="H14" s="47" t="s">
        <v>494</v>
      </c>
      <c r="I14" s="48" t="s">
        <v>212</v>
      </c>
      <c r="J14" s="49"/>
      <c r="K14" s="50"/>
      <c r="L14" s="44"/>
      <c r="M14" s="44"/>
      <c r="N14" s="44"/>
      <c r="O14" s="51"/>
    </row>
    <row r="15" spans="1:15" s="44" customFormat="1" ht="12.75" customHeight="1" x14ac:dyDescent="0.2">
      <c r="A15" s="45" t="s">
        <v>454</v>
      </c>
      <c r="B15" s="139">
        <v>44811</v>
      </c>
      <c r="D15" s="45" t="s">
        <v>329</v>
      </c>
      <c r="E15" s="53">
        <f>B15+(1+B16-1)/24+B18-6/24</f>
        <v>44810.75</v>
      </c>
      <c r="H15" s="45" t="s">
        <v>169</v>
      </c>
      <c r="I15" s="54">
        <f>INDEX(TblRaces[[Max population]:[Explore Cost]],MATCH(race,TblRaces[Race],0),MATCH(Table4[[#This Row],[Race Bonuses]],TblRaces[[#Headers],[Max population]:[Explore Cost]],0))</f>
        <v>0</v>
      </c>
      <c r="K15" s="50" t="s">
        <v>433</v>
      </c>
      <c r="O15" s="51"/>
    </row>
    <row r="16" spans="1:15" s="44" customFormat="1" ht="12.75" customHeight="1" thickBot="1" x14ac:dyDescent="0.25">
      <c r="A16" s="45" t="s">
        <v>325</v>
      </c>
      <c r="B16" s="140">
        <v>0</v>
      </c>
      <c r="C16" s="44" t="s">
        <v>534</v>
      </c>
      <c r="D16" s="45" t="s">
        <v>322</v>
      </c>
      <c r="E16" s="53">
        <f ca="1">NOW()</f>
        <v>44814.030500925925</v>
      </c>
      <c r="H16" s="45" t="s">
        <v>105</v>
      </c>
      <c r="I16" s="54">
        <f>INDEX(TblRaces[[Max population]:[Explore Cost]],MATCH(race,TblRaces[Race],0),MATCH(Table4[[#This Row],[Race Bonuses]],TblRaces[[#Headers],[Max population]:[Explore Cost]],0))</f>
        <v>0</v>
      </c>
      <c r="K16" s="463" t="s">
        <v>458</v>
      </c>
      <c r="L16" s="448"/>
      <c r="M16" s="448"/>
      <c r="N16" s="448"/>
      <c r="O16" s="51"/>
    </row>
    <row r="17" spans="1:15" s="44" customFormat="1" ht="12.75" customHeight="1" thickBot="1" x14ac:dyDescent="0.25">
      <c r="A17" s="45" t="s">
        <v>326</v>
      </c>
      <c r="B17" s="55">
        <f ca="1">TODAY()</f>
        <v>44814</v>
      </c>
      <c r="C17" s="56"/>
      <c r="D17" s="45" t="s">
        <v>321</v>
      </c>
      <c r="E17" s="57">
        <f>0+Log!P16</f>
        <v>0</v>
      </c>
      <c r="F17" s="58"/>
      <c r="G17" s="58"/>
      <c r="H17" s="45" t="s">
        <v>166</v>
      </c>
      <c r="I17" s="54">
        <f>INDEX(TblRaces[[Max population]:[Explore Cost]],MATCH(race,TblRaces[Race],0),MATCH(Table4[[#This Row],[Race Bonuses]],TblRaces[[#Headers],[Max population]:[Explore Cost]],0))</f>
        <v>0</v>
      </c>
      <c r="J17" s="49"/>
      <c r="K17" s="448"/>
      <c r="L17" s="448"/>
      <c r="M17" s="448"/>
      <c r="N17" s="448"/>
      <c r="O17" s="51"/>
    </row>
    <row r="18" spans="1:15" s="44" customFormat="1" ht="12.75" customHeight="1" thickBot="1" x14ac:dyDescent="0.25">
      <c r="A18" s="59" t="s">
        <v>508</v>
      </c>
      <c r="B18" s="141">
        <v>0</v>
      </c>
      <c r="C18" s="56"/>
      <c r="D18" s="45" t="s">
        <v>323</v>
      </c>
      <c r="E18" s="57" t="e">
        <f ca="1">IF(INDIRECT("Imps!L"&amp;TEXT(E17+3,0)),"Yes","Nope")</f>
        <v>#VALUE!</v>
      </c>
      <c r="H18" s="45" t="s">
        <v>107</v>
      </c>
      <c r="I18" s="54">
        <f>INDEX(TblRaces[[Max population]:[Explore Cost]],MATCH(race,TblRaces[Race],0),MATCH(Table4[[#This Row],[Race Bonuses]],TblRaces[[#Headers],[Max population]:[Explore Cost]],0))</f>
        <v>0.05</v>
      </c>
      <c r="J18" s="49"/>
      <c r="K18" s="448"/>
      <c r="L18" s="448"/>
      <c r="M18" s="448"/>
      <c r="N18" s="448"/>
      <c r="O18" s="51"/>
    </row>
    <row r="19" spans="1:15" s="44" customFormat="1" x14ac:dyDescent="0.2">
      <c r="H19" s="45" t="s">
        <v>108</v>
      </c>
      <c r="I19" s="54">
        <f>INDEX(TblRaces[[Max population]:[Explore Cost]],MATCH(race,TblRaces[Race],0),MATCH(Table4[[#This Row],[Race Bonuses]],TblRaces[[#Headers],[Max population]:[Explore Cost]],0))</f>
        <v>0</v>
      </c>
      <c r="J19" s="49"/>
      <c r="K19" s="448"/>
      <c r="L19" s="448"/>
      <c r="M19" s="448"/>
      <c r="N19" s="448"/>
      <c r="O19" s="60"/>
    </row>
    <row r="20" spans="1:15" s="44" customFormat="1" x14ac:dyDescent="0.2">
      <c r="H20" s="45" t="s">
        <v>109</v>
      </c>
      <c r="I20" s="54">
        <f>INDEX(TblRaces[[Max population]:[Explore Cost]],MATCH(race,TblRaces[Race],0),MATCH(Table4[[#This Row],[Race Bonuses]],TblRaces[[#Headers],[Max population]:[Explore Cost]],0))</f>
        <v>0</v>
      </c>
      <c r="J20" s="49"/>
      <c r="K20" s="448"/>
      <c r="L20" s="448"/>
      <c r="M20" s="448"/>
      <c r="N20" s="448"/>
      <c r="O20" s="60"/>
    </row>
    <row r="21" spans="1:15" s="44" customFormat="1" x14ac:dyDescent="0.2">
      <c r="A21" s="5" t="s">
        <v>324</v>
      </c>
      <c r="B21" s="61" t="s">
        <v>31</v>
      </c>
      <c r="C21" s="61" t="s">
        <v>32</v>
      </c>
      <c r="D21" s="61" t="s">
        <v>2</v>
      </c>
      <c r="E21" s="61" t="s">
        <v>3</v>
      </c>
      <c r="F21" s="61" t="s">
        <v>236</v>
      </c>
      <c r="H21" s="45" t="s">
        <v>110</v>
      </c>
      <c r="I21" s="54">
        <f>INDEX(TblRaces[[Max population]:[Explore Cost]],MATCH(race,TblRaces[Race],0),MATCH(Table4[[#This Row],[Race Bonuses]],TblRaces[[#Headers],[Max population]:[Explore Cost]],0))</f>
        <v>0</v>
      </c>
      <c r="J21" s="49"/>
      <c r="K21" s="448"/>
      <c r="L21" s="448"/>
      <c r="M21" s="448"/>
      <c r="N21" s="448"/>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3"/>
      <c r="L23" s="463"/>
      <c r="M23" s="463"/>
      <c r="N23" s="463"/>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63"/>
      <c r="L24" s="463"/>
      <c r="M24" s="463"/>
      <c r="N24" s="463"/>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1200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63"/>
      <c r="L25" s="463"/>
      <c r="M25" s="463"/>
      <c r="N25" s="463"/>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167</v>
      </c>
      <c r="I26" s="54">
        <f>INDEX(TblRaces[[Max population]:[Explore Cost]],MATCH(race,TblRaces[Race],0),MATCH(Table4[[#This Row],[Race Bonuses]],TblRaces[[#Headers],[Max population]:[Explore Cost]],0))</f>
        <v>0</v>
      </c>
      <c r="K26" s="463"/>
      <c r="L26" s="463"/>
      <c r="M26" s="463"/>
      <c r="N26" s="463"/>
      <c r="O26" s="60"/>
    </row>
    <row r="27" spans="1:15" s="44" customFormat="1" x14ac:dyDescent="0.2">
      <c r="A27" s="63" t="s">
        <v>187</v>
      </c>
      <c r="B27" s="62">
        <f>_xlfn.IFNA(INDEX(TblRaces[],MATCH(TblUnits[[#This Row],[Unit Names]],TblRaces[Unitname],0),5),"")</f>
        <v>0</v>
      </c>
      <c r="C27" s="62">
        <f>_xlfn.IFNA(INDEX(TblRaces[],MATCH(TblUnits[[#This Row],[Unit Names]],TblRaces[Unitname],0),6),"")</f>
        <v>0</v>
      </c>
      <c r="D27" s="62">
        <f>_xlfn.IFNA(INDEX(TblRaces[],MATCH(TblUnits[[#This Row],[Unit Names]],TblRaces[Unitname],0),7),"")</f>
        <v>500</v>
      </c>
      <c r="E27" s="57">
        <f>_xlfn.IFNA(INDEX(TblRaces[],MATCH(TblUnits[[#This Row],[Unit Names]],TblRaces[Unitname],0),8),"")</f>
        <v>0</v>
      </c>
      <c r="F27" s="57">
        <v>5</v>
      </c>
      <c r="H27" s="45" t="s">
        <v>168</v>
      </c>
      <c r="I27" s="54">
        <f>INDEX(TblRaces[[Max population]:[Explore Cost]],MATCH(race,TblRaces[Race],0),MATCH(Table4[[#This Row],[Race Bonuses]],TblRaces[[#Headers],[Max population]:[Explore Cost]],0))</f>
        <v>0</v>
      </c>
      <c r="K27" s="463"/>
      <c r="L27" s="463"/>
      <c r="M27" s="463"/>
      <c r="N27" s="463"/>
      <c r="O27" s="60"/>
    </row>
    <row r="28" spans="1:15" s="44" customFormat="1" x14ac:dyDescent="0.2">
      <c r="A28" s="63" t="s">
        <v>188</v>
      </c>
      <c r="B28" s="62">
        <f>_xlfn.IFNA(INDEX(TblRaces[],MATCH(TblUnits[[#This Row],[Unit Names]],TblRaces[Unitname],0),5),"")</f>
        <v>0</v>
      </c>
      <c r="C28" s="62">
        <f>_xlfn.IFNA(INDEX(TblRaces[],MATCH(TblUnits[[#This Row],[Unit Names]],TblRaces[Unitname],0),6),"")</f>
        <v>0</v>
      </c>
      <c r="D28" s="62">
        <f>_xlfn.IFNA(INDEX(TblRaces[],MATCH(TblUnits[[#This Row],[Unit Names]],TblRaces[Unitname],0),7),"")</f>
        <v>1000</v>
      </c>
      <c r="E28" s="65" t="str">
        <f>_xlfn.IFNA(INDEX(TblRaces[],MATCH(TblUnits[[#This Row],[Unit Names]],TblRaces[Unitname],0),8),"")</f>
        <v>+ 1 wizard</v>
      </c>
      <c r="F28" s="57">
        <v>5</v>
      </c>
      <c r="H28" s="45" t="s">
        <v>445</v>
      </c>
      <c r="I28" s="54">
        <f>INDEX(TblRaces[[Max population]:[Explore Cost]],MATCH(race,TblRaces[Race],0),MATCH(Table4[[#This Row],[Race Bonuses]],TblRaces[[#Headers],[Max population]:[Explore Cost]],0))</f>
        <v>0</v>
      </c>
      <c r="O28" s="60"/>
    </row>
    <row r="29" spans="1:15" s="44" customFormat="1" x14ac:dyDescent="0.2">
      <c r="A29" s="66" t="s">
        <v>1106</v>
      </c>
      <c r="D29" s="67"/>
      <c r="E29" s="68"/>
      <c r="H29" s="45" t="s">
        <v>495</v>
      </c>
      <c r="I29" s="54">
        <f>INDEX(TblRaces[[Max population]:[Explore Cost]],MATCH(race,TblRaces[Race],0),MATCH(Table4[[#This Row],[Race Bonuses]],TblRaces[[#Headers],[Max population]:[Explore Cost]],0))</f>
        <v>0</v>
      </c>
      <c r="O29" s="60"/>
    </row>
    <row r="30" spans="1:15" s="44" customFormat="1" x14ac:dyDescent="0.2">
      <c r="A30" s="66"/>
      <c r="D30" s="67"/>
      <c r="E30" s="68"/>
      <c r="G30" s="51"/>
      <c r="H30" s="45" t="s">
        <v>496</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533</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1098</v>
      </c>
      <c r="I32" s="443">
        <f>INDEX(TblRaces[[Max population]:[Explore Cost]],MATCH(race,TblRaces[Race],0),MATCH(Table4[[#This Row],[Race Bonuses]],TblRaces[[#Headers],[Max population]:[Explore Cost]],0))</f>
        <v>0</v>
      </c>
      <c r="J32" s="70"/>
      <c r="O32" s="75"/>
    </row>
    <row r="33" spans="1:15" s="76" customFormat="1" ht="29.25" customHeight="1" x14ac:dyDescent="0.2">
      <c r="A33" s="447" t="s">
        <v>383</v>
      </c>
      <c r="B33" s="448"/>
      <c r="C33" s="448"/>
      <c r="D33" s="448"/>
      <c r="E33" s="448"/>
      <c r="F33" s="448"/>
      <c r="G33" s="448"/>
      <c r="H33" s="448"/>
      <c r="I33" s="448"/>
      <c r="J33" s="449"/>
      <c r="K33" s="450"/>
      <c r="L33" s="450"/>
      <c r="M33" s="450"/>
      <c r="N33" s="450"/>
      <c r="O33" s="450"/>
    </row>
    <row r="34" spans="1:15" x14ac:dyDescent="0.2">
      <c r="A34" s="5" t="s">
        <v>22</v>
      </c>
      <c r="B34" s="45" t="s">
        <v>360</v>
      </c>
      <c r="C34" s="77" t="s">
        <v>31</v>
      </c>
      <c r="D34" s="78" t="s">
        <v>212</v>
      </c>
      <c r="E34" s="79" t="s">
        <v>1039</v>
      </c>
      <c r="F34" s="77" t="s">
        <v>32</v>
      </c>
      <c r="G34" s="78" t="s">
        <v>1037</v>
      </c>
      <c r="H34" s="78" t="s">
        <v>1038</v>
      </c>
      <c r="I34" s="80" t="s">
        <v>791</v>
      </c>
      <c r="J34" s="44"/>
      <c r="K34" s="44"/>
      <c r="L34" s="44"/>
      <c r="M34" s="44"/>
      <c r="N34" s="44"/>
      <c r="O34" s="81"/>
    </row>
    <row r="35" spans="1:15" x14ac:dyDescent="0.2">
      <c r="A35" s="82" t="s">
        <v>34</v>
      </c>
      <c r="B35" s="83" t="s">
        <v>222</v>
      </c>
      <c r="C35" s="84" t="s">
        <v>194</v>
      </c>
      <c r="D35" s="85" t="s">
        <v>212</v>
      </c>
      <c r="E35" s="83" t="s">
        <v>233</v>
      </c>
      <c r="F35" s="85" t="s">
        <v>194</v>
      </c>
      <c r="G35" s="85" t="s">
        <v>212</v>
      </c>
      <c r="H35" s="85" t="s">
        <v>233</v>
      </c>
      <c r="I35" s="86" t="s">
        <v>34</v>
      </c>
      <c r="J35" s="44"/>
      <c r="K35" s="50" t="s">
        <v>434</v>
      </c>
      <c r="L35" s="44"/>
      <c r="M35" s="44"/>
      <c r="N35" s="87"/>
      <c r="O35" s="51"/>
    </row>
    <row r="36" spans="1:15" x14ac:dyDescent="0.2">
      <c r="A36" s="82" t="str">
        <f>spec_op_name</f>
        <v>Spearman</v>
      </c>
      <c r="B36" s="88">
        <f ca="1">Military!E$76</f>
        <v>0</v>
      </c>
      <c r="C36" s="89">
        <f ca="1">B36*B22</f>
        <v>0</v>
      </c>
      <c r="D36" s="90">
        <f ca="1">Military!P76</f>
        <v>2.5000000000000001E-2</v>
      </c>
      <c r="E36" s="88">
        <f ca="1">C36*(1+$D$36)</f>
        <v>0</v>
      </c>
      <c r="F36" s="91">
        <f ca="1">B36*C22</f>
        <v>0</v>
      </c>
      <c r="G36" s="90">
        <f ca="1">Military!T76</f>
        <v>0</v>
      </c>
      <c r="H36" s="91">
        <f ca="1">F36*(1+$G$36)</f>
        <v>0</v>
      </c>
      <c r="I36" s="92" t="str">
        <f>A36</f>
        <v>Spearman</v>
      </c>
      <c r="J36" s="44"/>
      <c r="K36" s="492" t="s">
        <v>435</v>
      </c>
      <c r="L36" s="493"/>
      <c r="M36" s="493"/>
      <c r="N36" s="493"/>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93"/>
      <c r="L37" s="493"/>
      <c r="M37" s="493"/>
      <c r="N37" s="493"/>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93"/>
      <c r="L38" s="493"/>
      <c r="M38" s="493"/>
      <c r="N38" s="493"/>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63" t="s">
        <v>455</v>
      </c>
      <c r="L39" s="494"/>
      <c r="M39" s="494"/>
      <c r="N39" s="494"/>
      <c r="O39" s="51"/>
    </row>
    <row r="40" spans="1:15" ht="13.5" thickTop="1" x14ac:dyDescent="0.2">
      <c r="A40" s="101"/>
      <c r="B40" s="88"/>
      <c r="C40" s="102">
        <f ca="1">SUM(C36:C39)</f>
        <v>0</v>
      </c>
      <c r="E40" s="103">
        <f ca="1">SUM(E36:E39)</f>
        <v>0</v>
      </c>
      <c r="F40" s="35">
        <f ca="1">SUM(F36:F39)</f>
        <v>450</v>
      </c>
      <c r="H40" s="35">
        <f ca="1">SUM(H36:H39)</f>
        <v>450</v>
      </c>
      <c r="I40" s="84"/>
      <c r="J40" s="44"/>
      <c r="K40" s="494"/>
      <c r="L40" s="494"/>
      <c r="M40" s="494"/>
      <c r="N40" s="494"/>
      <c r="O40" s="51"/>
    </row>
    <row r="41" spans="1:15" x14ac:dyDescent="0.2">
      <c r="A41" s="104" t="s">
        <v>24</v>
      </c>
      <c r="B41" s="97">
        <f ca="1">F41</f>
        <v>626</v>
      </c>
      <c r="C41" s="104"/>
      <c r="E41" s="105"/>
      <c r="F41" s="97">
        <f ca="1">Military!Z76</f>
        <v>626</v>
      </c>
      <c r="H41" s="97">
        <f ca="1">F41*(1+$G$36)</f>
        <v>626</v>
      </c>
      <c r="I41" s="92" t="s">
        <v>426</v>
      </c>
      <c r="J41" s="44"/>
      <c r="K41" s="492" t="s">
        <v>453</v>
      </c>
      <c r="L41" s="493"/>
      <c r="M41" s="493"/>
      <c r="N41" s="493"/>
      <c r="O41" s="51"/>
    </row>
    <row r="42" spans="1:15" ht="13.5" thickBot="1" x14ac:dyDescent="0.25">
      <c r="A42" s="104" t="s">
        <v>425</v>
      </c>
      <c r="B42" s="45">
        <f ca="1">E54</f>
        <v>0</v>
      </c>
      <c r="C42" s="104"/>
      <c r="E42" s="105"/>
      <c r="F42" s="106">
        <f ca="1">MIN(Population!C76/2,Constants!B14*20*Construction!BE76)</f>
        <v>0</v>
      </c>
      <c r="H42" s="107">
        <f ca="1">F42*(1+$G$36)</f>
        <v>0</v>
      </c>
      <c r="I42" s="92" t="s">
        <v>384</v>
      </c>
      <c r="J42" s="44"/>
      <c r="K42" s="493"/>
      <c r="L42" s="493"/>
      <c r="M42" s="493"/>
      <c r="N42" s="493"/>
      <c r="O42" s="51"/>
    </row>
    <row r="43" spans="1:15" ht="13.5" thickTop="1" x14ac:dyDescent="0.2">
      <c r="C43" s="104"/>
      <c r="E43" s="105"/>
      <c r="F43" s="35">
        <f ca="1">F41+F40+F42</f>
        <v>1076</v>
      </c>
      <c r="H43" s="103">
        <f ca="1">H41+H40+H42</f>
        <v>1076</v>
      </c>
      <c r="I43" s="92"/>
      <c r="J43" s="44"/>
      <c r="K43" s="448"/>
      <c r="L43" s="448"/>
      <c r="M43" s="448"/>
      <c r="N43" s="448"/>
      <c r="O43" s="51"/>
    </row>
    <row r="44" spans="1:15" x14ac:dyDescent="0.2">
      <c r="A44" s="44"/>
      <c r="B44" s="44"/>
      <c r="C44" s="44"/>
      <c r="D44" s="491"/>
      <c r="E44" s="491"/>
      <c r="F44" s="491"/>
      <c r="G44" s="491"/>
      <c r="H44" s="491"/>
      <c r="I44" s="44"/>
      <c r="J44" s="44"/>
      <c r="K44" s="44"/>
      <c r="L44" s="44"/>
      <c r="M44" s="44"/>
      <c r="N44" s="44"/>
      <c r="O44" s="51"/>
    </row>
    <row r="45" spans="1:15" x14ac:dyDescent="0.2">
      <c r="A45" s="108" t="str">
        <f>A26</f>
        <v>Spy</v>
      </c>
      <c r="B45" s="109">
        <f ca="1">Military!I76</f>
        <v>25</v>
      </c>
      <c r="D45" s="44"/>
      <c r="E45" s="44"/>
      <c r="F45" s="44"/>
      <c r="G45" s="44"/>
      <c r="I45" s="44"/>
      <c r="J45" s="44"/>
      <c r="K45" s="44"/>
      <c r="L45" s="44"/>
      <c r="M45" s="44"/>
      <c r="N45" s="44"/>
      <c r="O45" s="51"/>
    </row>
    <row r="46" spans="1:15" x14ac:dyDescent="0.2">
      <c r="A46" s="110" t="str">
        <f>A27</f>
        <v>Wizard</v>
      </c>
      <c r="B46" s="111">
        <f ca="1">Military!J76</f>
        <v>25</v>
      </c>
      <c r="C46" s="44"/>
      <c r="D46" s="5" t="s">
        <v>258</v>
      </c>
      <c r="E46" s="57" t="s">
        <v>360</v>
      </c>
      <c r="F46" s="45" t="s">
        <v>1040</v>
      </c>
      <c r="G46" s="44"/>
      <c r="H46" s="50" t="s">
        <v>260</v>
      </c>
      <c r="I46" s="44"/>
      <c r="J46" s="44"/>
      <c r="K46" s="44"/>
      <c r="L46" s="44"/>
      <c r="M46" s="44"/>
      <c r="N46" s="44"/>
      <c r="O46" s="51"/>
    </row>
    <row r="47" spans="1:15" x14ac:dyDescent="0.2">
      <c r="A47" s="112" t="str">
        <f>A28</f>
        <v>Archmage</v>
      </c>
      <c r="B47" s="113">
        <f ca="1">Military!K76</f>
        <v>0</v>
      </c>
      <c r="C47" s="44"/>
      <c r="D47" s="47" t="s">
        <v>1</v>
      </c>
      <c r="E47" s="47">
        <f ca="1">Construction!BT76</f>
        <v>250</v>
      </c>
      <c r="F47" s="114">
        <v>1</v>
      </c>
      <c r="G47" s="44"/>
      <c r="H47" s="45" t="s">
        <v>261</v>
      </c>
      <c r="I47" s="115" t="s">
        <v>194</v>
      </c>
      <c r="J47" s="57" t="s">
        <v>233</v>
      </c>
      <c r="K47" s="44"/>
      <c r="L47" s="44"/>
      <c r="M47" s="44"/>
      <c r="N47" s="44"/>
      <c r="O47" s="51"/>
    </row>
    <row r="48" spans="1:15" x14ac:dyDescent="0.2">
      <c r="A48" s="44"/>
      <c r="B48" s="44"/>
      <c r="C48" s="44"/>
      <c r="D48" s="116" t="str">
        <f>Construction!AY3</f>
        <v>Tot Hom</v>
      </c>
      <c r="E48" s="117">
        <f ca="1">Construction!AY76</f>
        <v>10</v>
      </c>
      <c r="F48" s="118">
        <f ca="1">E48/$E$47</f>
        <v>0.04</v>
      </c>
      <c r="G48" s="44"/>
      <c r="H48" s="45" t="s">
        <v>255</v>
      </c>
      <c r="I48" s="119">
        <f ca="1">C40/E47</f>
        <v>0</v>
      </c>
      <c r="J48" s="119">
        <f ca="1">E40/E47</f>
        <v>0</v>
      </c>
      <c r="K48" s="44"/>
      <c r="L48" s="44"/>
      <c r="M48" s="44"/>
      <c r="N48" s="44"/>
      <c r="O48" s="51"/>
    </row>
    <row r="49" spans="1:15" x14ac:dyDescent="0.2">
      <c r="A49" s="108" t="s">
        <v>273</v>
      </c>
      <c r="B49" s="434">
        <f ca="1">Production!N76*(boat_size + tech_6_3_3*Techs!BH76)</f>
        <v>0</v>
      </c>
      <c r="C49" s="44"/>
      <c r="D49" s="116" t="str">
        <f>Construction!AZ3</f>
        <v>Tot Alc</v>
      </c>
      <c r="E49" s="45">
        <f ca="1">Construction!AZ76</f>
        <v>30</v>
      </c>
      <c r="F49" s="118">
        <f ca="1">E49/$E$47</f>
        <v>0.12</v>
      </c>
      <c r="G49" s="44"/>
      <c r="H49" s="45" t="s">
        <v>256</v>
      </c>
      <c r="I49" s="119">
        <f ca="1">F40/E47</f>
        <v>1.8</v>
      </c>
      <c r="J49" s="119">
        <f ca="1">H40/E47</f>
        <v>1.8</v>
      </c>
      <c r="K49" s="44"/>
      <c r="L49" s="44"/>
      <c r="M49" s="44"/>
      <c r="N49" s="44"/>
      <c r="O49" s="51"/>
    </row>
    <row r="50" spans="1:15" x14ac:dyDescent="0.2">
      <c r="A50" s="120" t="s">
        <v>382</v>
      </c>
      <c r="B50" s="435">
        <f>SUM(Imps!M4:'Imps'!M76)</f>
        <v>0</v>
      </c>
      <c r="C50" s="44"/>
      <c r="D50" s="116" t="str">
        <f>Construction!BA3</f>
        <v>Tot Farm</v>
      </c>
      <c r="E50" s="45">
        <f ca="1">Construction!BA76</f>
        <v>30</v>
      </c>
      <c r="F50" s="118">
        <f ca="1">E50/$E$47</f>
        <v>0.12</v>
      </c>
      <c r="G50" s="44"/>
      <c r="H50" s="45" t="s">
        <v>257</v>
      </c>
      <c r="I50" s="119">
        <f ca="1">(B45 + B38*D90*E90 + B38*D91*E91)/E47</f>
        <v>0.1</v>
      </c>
      <c r="J50" s="119">
        <f ca="1">I50*(1+I26)</f>
        <v>0.1</v>
      </c>
      <c r="K50" s="44"/>
      <c r="L50" s="44"/>
      <c r="M50" s="44"/>
      <c r="N50" s="44"/>
      <c r="O50" s="51"/>
    </row>
    <row r="51" spans="1:15" x14ac:dyDescent="0.2">
      <c r="C51" s="44"/>
      <c r="D51" s="116" t="str">
        <f>Construction!BB3</f>
        <v>Tot Smi</v>
      </c>
      <c r="E51" s="45">
        <f ca="1">Construction!BB76</f>
        <v>0</v>
      </c>
      <c r="F51" s="118">
        <f t="shared" ref="F51:F66" ca="1" si="0">E51/$E$47</f>
        <v>0</v>
      </c>
      <c r="G51" s="44"/>
      <c r="H51" s="45" t="s">
        <v>259</v>
      </c>
      <c r="I51" s="119">
        <f ca="1">(B47*2+B46 + B38*D92*E92 + B38*D93*E93)/E47</f>
        <v>0.1</v>
      </c>
      <c r="J51" s="119">
        <f ca="1">I51*(1+I27+Constants!O58*Techs!AL76)</f>
        <v>0.1</v>
      </c>
      <c r="K51" s="44"/>
      <c r="L51" s="44"/>
      <c r="M51" s="44"/>
      <c r="N51" s="44"/>
      <c r="O51" s="51"/>
    </row>
    <row r="52" spans="1:15" x14ac:dyDescent="0.2">
      <c r="A52" s="121" t="s">
        <v>1</v>
      </c>
      <c r="B52" s="431">
        <f ca="1">E47</f>
        <v>250</v>
      </c>
      <c r="C52" s="44"/>
      <c r="D52" s="116" t="str">
        <f>Construction!BC3</f>
        <v>Tot Mas</v>
      </c>
      <c r="E52" s="45">
        <f ca="1">Construction!BC76</f>
        <v>0</v>
      </c>
      <c r="F52" s="118">
        <f t="shared" ca="1" si="0"/>
        <v>0</v>
      </c>
      <c r="G52" s="44"/>
      <c r="H52" s="44"/>
      <c r="I52" s="44"/>
      <c r="J52" s="44"/>
      <c r="K52" s="44"/>
      <c r="L52" s="44"/>
      <c r="M52" s="44"/>
      <c r="N52" s="44"/>
      <c r="O52" s="51"/>
    </row>
    <row r="53" spans="1:15" x14ac:dyDescent="0.2">
      <c r="A53" s="122" t="s">
        <v>21</v>
      </c>
      <c r="B53" s="432">
        <f ca="1">Population!C76</f>
        <v>1532</v>
      </c>
      <c r="C53" s="44"/>
      <c r="D53" s="116" t="str">
        <f>Construction!BD3</f>
        <v>Tot Ly</v>
      </c>
      <c r="E53" s="45">
        <f ca="1">Construction!BD76</f>
        <v>20</v>
      </c>
      <c r="F53" s="118">
        <f t="shared" ca="1" si="0"/>
        <v>0.08</v>
      </c>
      <c r="G53" s="44"/>
      <c r="H53" s="50" t="s">
        <v>2</v>
      </c>
      <c r="I53" s="44"/>
      <c r="J53" s="44"/>
      <c r="K53" s="44"/>
      <c r="L53" s="44"/>
      <c r="M53" s="44"/>
      <c r="N53" s="44"/>
      <c r="O53" s="51"/>
    </row>
    <row r="54" spans="1:15" x14ac:dyDescent="0.2">
      <c r="A54" s="123" t="s">
        <v>24</v>
      </c>
      <c r="B54" s="433">
        <f ca="1">B41</f>
        <v>626</v>
      </c>
      <c r="C54" s="44"/>
      <c r="D54" s="116" t="str">
        <f>Construction!BE3</f>
        <v>Tot Hav</v>
      </c>
      <c r="E54" s="45">
        <f ca="1">Construction!BE76</f>
        <v>0</v>
      </c>
      <c r="F54" s="118">
        <f t="shared" ca="1" si="0"/>
        <v>0</v>
      </c>
      <c r="G54" s="44"/>
      <c r="H54" s="45" t="s">
        <v>0</v>
      </c>
      <c r="I54" s="104" t="s">
        <v>222</v>
      </c>
      <c r="J54" s="45" t="s">
        <v>390</v>
      </c>
      <c r="K54" s="44"/>
      <c r="L54" s="44"/>
      <c r="M54" s="44"/>
      <c r="N54" s="44"/>
      <c r="O54" s="51"/>
    </row>
    <row r="55" spans="1:15" x14ac:dyDescent="0.2">
      <c r="A55" s="122" t="s">
        <v>236</v>
      </c>
      <c r="B55" s="432">
        <f ca="1">Production!G76</f>
        <v>6450</v>
      </c>
      <c r="C55" s="44"/>
      <c r="D55" s="116" t="str">
        <f>Construction!BF3</f>
        <v>Tot OM</v>
      </c>
      <c r="E55" s="45">
        <f ca="1">Construction!BF76</f>
        <v>0</v>
      </c>
      <c r="F55" s="118">
        <f t="shared" ca="1" si="0"/>
        <v>0</v>
      </c>
      <c r="G55" s="44"/>
      <c r="H55" s="124">
        <v>61</v>
      </c>
      <c r="I55" s="62">
        <f ca="1">Production!H64</f>
        <v>430038</v>
      </c>
      <c r="J55" s="62">
        <f ca="1">Production!H64+SUM(Military!AP4:AP64)</f>
        <v>430038</v>
      </c>
      <c r="K55" s="44"/>
      <c r="L55" s="44"/>
      <c r="M55" s="44"/>
      <c r="N55" s="44"/>
      <c r="O55" s="51"/>
    </row>
    <row r="56" spans="1:15" x14ac:dyDescent="0.2">
      <c r="A56" s="123" t="s">
        <v>272</v>
      </c>
      <c r="B56" s="433">
        <f ca="1">H40</f>
        <v>450</v>
      </c>
      <c r="C56" s="44"/>
      <c r="D56" s="116" t="str">
        <f>Construction!BG3</f>
        <v>Tot GN</v>
      </c>
      <c r="E56" s="45">
        <f ca="1">Construction!BG76</f>
        <v>0</v>
      </c>
      <c r="F56" s="118">
        <f t="shared" ca="1" si="0"/>
        <v>0</v>
      </c>
      <c r="G56" s="44"/>
      <c r="H56" s="124">
        <v>64</v>
      </c>
      <c r="I56" s="62">
        <f ca="1">Production!H67</f>
        <v>446496</v>
      </c>
      <c r="J56" s="62">
        <f ca="1">Production!H67+SUM(Military!AP5:AP67)</f>
        <v>446496</v>
      </c>
      <c r="K56" s="125"/>
      <c r="L56" s="44"/>
      <c r="M56" s="44"/>
      <c r="N56" s="44"/>
      <c r="O56" s="51"/>
    </row>
    <row r="57" spans="1:15" x14ac:dyDescent="0.2">
      <c r="A57" s="122" t="s">
        <v>271</v>
      </c>
      <c r="B57" s="432">
        <f ca="1">E40</f>
        <v>0</v>
      </c>
      <c r="C57" s="44"/>
      <c r="D57" s="116" t="str">
        <f>Construction!BJ3</f>
        <v>Tot Bar</v>
      </c>
      <c r="E57" s="45">
        <f ca="1">Construction!BJ76</f>
        <v>0</v>
      </c>
      <c r="F57" s="118">
        <f t="shared" ca="1" si="0"/>
        <v>0</v>
      </c>
      <c r="G57" s="44"/>
      <c r="H57" s="124" t="s">
        <v>235</v>
      </c>
      <c r="I57" s="62">
        <f ca="1">Production!H76</f>
        <v>495870</v>
      </c>
      <c r="J57" s="62">
        <f ca="1">Production!H76+SUM(Military!AP4:AP76)</f>
        <v>495870</v>
      </c>
      <c r="K57" s="125"/>
      <c r="L57" s="44"/>
      <c r="M57" s="44"/>
      <c r="N57" s="44"/>
      <c r="O57" s="51"/>
    </row>
    <row r="58" spans="1:15" x14ac:dyDescent="0.2">
      <c r="A58" s="123" t="s">
        <v>6</v>
      </c>
      <c r="B58" s="433">
        <f ca="1">Production!S76</f>
        <v>5486</v>
      </c>
      <c r="C58" s="44"/>
      <c r="D58" s="116" t="str">
        <f>Construction!BH3</f>
        <v>Tot Fac</v>
      </c>
      <c r="E58" s="45">
        <f ca="1">Construction!BH76</f>
        <v>0</v>
      </c>
      <c r="F58" s="118">
        <f t="shared" ca="1" si="0"/>
        <v>0</v>
      </c>
      <c r="G58" s="44"/>
      <c r="H58" s="44"/>
      <c r="I58" s="44"/>
      <c r="J58" s="44"/>
      <c r="K58" s="125"/>
      <c r="L58" s="44"/>
      <c r="M58" s="44"/>
      <c r="N58" s="44"/>
      <c r="O58" s="51"/>
    </row>
    <row r="59" spans="1:15" x14ac:dyDescent="0.2">
      <c r="A59" s="122" t="s">
        <v>2</v>
      </c>
      <c r="B59" s="432">
        <f ca="1">Production!H$76</f>
        <v>495870</v>
      </c>
      <c r="C59" s="44"/>
      <c r="D59" s="116" t="str">
        <f>Construction!BI3</f>
        <v>Tot GT</v>
      </c>
      <c r="E59" s="45">
        <f ca="1">Construction!BI76</f>
        <v>0</v>
      </c>
      <c r="F59" s="118">
        <f t="shared" ca="1" si="0"/>
        <v>0</v>
      </c>
      <c r="G59" s="44"/>
      <c r="H59" s="50" t="s">
        <v>282</v>
      </c>
      <c r="I59" s="44"/>
      <c r="J59" s="44"/>
      <c r="K59" s="44"/>
      <c r="L59" s="44"/>
      <c r="M59" s="44"/>
      <c r="N59" s="44"/>
      <c r="O59" s="51"/>
    </row>
    <row r="60" spans="1:15" x14ac:dyDescent="0.2">
      <c r="A60" s="123" t="s">
        <v>5</v>
      </c>
      <c r="B60" s="433">
        <f ca="1">Production!I$76</f>
        <v>110704</v>
      </c>
      <c r="C60" s="44"/>
      <c r="D60" s="116" t="str">
        <f>Construction!BK3</f>
        <v>Tot Shr</v>
      </c>
      <c r="E60" s="45">
        <f ca="1">Construction!BK76</f>
        <v>0</v>
      </c>
      <c r="F60" s="118">
        <f t="shared" ca="1" si="0"/>
        <v>0</v>
      </c>
      <c r="G60" s="44"/>
      <c r="H60" s="45" t="s">
        <v>283</v>
      </c>
      <c r="I60" s="95" t="s">
        <v>222</v>
      </c>
      <c r="J60" s="126" t="s">
        <v>389</v>
      </c>
      <c r="K60" s="44"/>
      <c r="L60" s="44"/>
      <c r="M60" s="44"/>
      <c r="N60" s="44"/>
      <c r="O60" s="51"/>
    </row>
    <row r="61" spans="1:15" x14ac:dyDescent="0.2">
      <c r="A61" s="122" t="s">
        <v>7</v>
      </c>
      <c r="B61" s="432">
        <f ca="1">Production!J$76</f>
        <v>58774</v>
      </c>
      <c r="C61" s="44"/>
      <c r="D61" s="116" t="str">
        <f>Construction!BL3</f>
        <v>Tot Tow</v>
      </c>
      <c r="E61" s="45">
        <f ca="1">Construction!BL76</f>
        <v>0</v>
      </c>
      <c r="F61" s="118">
        <f t="shared" ca="1" si="0"/>
        <v>0</v>
      </c>
      <c r="G61" s="44"/>
      <c r="H61" s="45" t="s">
        <v>284</v>
      </c>
      <c r="I61" s="97">
        <f ca="1">SUM(Construction!AQ4:AQ76)</f>
        <v>0</v>
      </c>
      <c r="J61" s="126">
        <f ca="1">IFERROR(Table18[[#This Row],[Amount]]/Table18[[#Totals],[Amount]],0)</f>
        <v>0</v>
      </c>
      <c r="K61" s="44"/>
      <c r="L61" s="44"/>
      <c r="M61" s="44"/>
      <c r="N61" s="44"/>
      <c r="O61" s="51"/>
    </row>
    <row r="62" spans="1:15" x14ac:dyDescent="0.2">
      <c r="A62" s="123" t="s">
        <v>12</v>
      </c>
      <c r="B62" s="433">
        <f ca="1">Production!K$76</f>
        <v>0</v>
      </c>
      <c r="C62" s="44"/>
      <c r="D62" s="116" t="str">
        <f>Construction!BM3</f>
        <v>Tot Tem</v>
      </c>
      <c r="E62" s="45">
        <f ca="1">Construction!BM76</f>
        <v>0</v>
      </c>
      <c r="F62" s="118">
        <f t="shared" ca="1" si="0"/>
        <v>0</v>
      </c>
      <c r="G62" s="44"/>
      <c r="H62" s="45" t="s">
        <v>285</v>
      </c>
      <c r="I62" s="97">
        <f ca="1">SUM(Explore!AH4:AH76)</f>
        <v>0</v>
      </c>
      <c r="J62" s="126">
        <f ca="1">IFERROR(Table18[[#This Row],[Amount]]/Table18[[#Totals],[Amount]],0)</f>
        <v>0</v>
      </c>
      <c r="K62" s="44"/>
      <c r="L62" s="44"/>
      <c r="M62" s="44"/>
      <c r="N62" s="44"/>
      <c r="O62" s="51"/>
    </row>
    <row r="63" spans="1:15" x14ac:dyDescent="0.2">
      <c r="A63" s="122" t="s">
        <v>3</v>
      </c>
      <c r="B63" s="432">
        <f ca="1">Production!L$76</f>
        <v>0</v>
      </c>
      <c r="C63" s="44"/>
      <c r="D63" s="116" t="str">
        <f>Construction!BN3</f>
        <v>Tot WG</v>
      </c>
      <c r="E63" s="45">
        <f ca="1">Construction!BN76</f>
        <v>0</v>
      </c>
      <c r="F63" s="118">
        <f t="shared" ca="1" si="0"/>
        <v>0</v>
      </c>
      <c r="G63" s="44"/>
      <c r="H63" s="45" t="s">
        <v>22</v>
      </c>
      <c r="I63" s="97">
        <f ca="1">SUM(Military!AP4:AP76)</f>
        <v>0</v>
      </c>
      <c r="J63" s="126">
        <f ca="1">IFERROR(Table18[[#This Row],[Amount]]/Table18[[#Totals],[Amount]],0)</f>
        <v>0</v>
      </c>
      <c r="K63" s="44"/>
      <c r="L63" s="44"/>
      <c r="M63" s="44"/>
      <c r="N63" s="44"/>
      <c r="O63" s="51"/>
    </row>
    <row r="64" spans="1:15" x14ac:dyDescent="0.2">
      <c r="A64" s="123" t="s">
        <v>4</v>
      </c>
      <c r="B64" s="433">
        <f ca="1">Production!M$76</f>
        <v>10000</v>
      </c>
      <c r="C64" s="44"/>
      <c r="D64" s="116" t="str">
        <f>Construction!BO3</f>
        <v>Tot DM</v>
      </c>
      <c r="E64" s="45">
        <f ca="1">Construction!BO76</f>
        <v>0</v>
      </c>
      <c r="F64" s="118">
        <f t="shared" ca="1" si="0"/>
        <v>0</v>
      </c>
      <c r="G64" s="44"/>
      <c r="H64" s="45" t="s">
        <v>196</v>
      </c>
      <c r="I64" s="97">
        <f ca="1">SUM(Rezone!Y4:Y76)</f>
        <v>0</v>
      </c>
      <c r="J64" s="126">
        <f ca="1">IFERROR(Table18[[#This Row],[Amount]]/Table18[[#Totals],[Amount]],0)</f>
        <v>0</v>
      </c>
      <c r="K64" s="44"/>
      <c r="L64" s="44"/>
      <c r="M64" s="44"/>
      <c r="N64" s="44"/>
      <c r="O64" s="51"/>
    </row>
    <row r="65" spans="1:15" x14ac:dyDescent="0.2">
      <c r="A65" s="122" t="s">
        <v>82</v>
      </c>
      <c r="B65" s="432">
        <f ca="1">Production!N$76</f>
        <v>0</v>
      </c>
      <c r="C65" s="44"/>
      <c r="D65" s="116" t="str">
        <f>Construction!BP3</f>
        <v>Tot Sch</v>
      </c>
      <c r="E65" s="45">
        <f ca="1">Construction!BP76</f>
        <v>0</v>
      </c>
      <c r="F65" s="118">
        <f t="shared" ca="1" si="0"/>
        <v>0</v>
      </c>
      <c r="G65" s="44"/>
      <c r="H65" s="45" t="s">
        <v>286</v>
      </c>
      <c r="I65" s="97">
        <f>SUM(Imps!AM4:AM76)</f>
        <v>0</v>
      </c>
      <c r="J65" s="126">
        <f ca="1">IFERROR(Table18[[#This Row],[Amount]]/Table18[[#Totals],[Amount]],0)</f>
        <v>0</v>
      </c>
      <c r="K65" s="44"/>
      <c r="L65" s="44"/>
      <c r="M65" s="44"/>
      <c r="N65" s="44"/>
      <c r="O65" s="51"/>
    </row>
    <row r="66" spans="1:15" x14ac:dyDescent="0.2">
      <c r="A66" s="123" t="s">
        <v>280</v>
      </c>
      <c r="B66" s="433">
        <f>SUM(Explore!T65:Z76)+SUM(Explore!S77:S87)*15</f>
        <v>0</v>
      </c>
      <c r="C66" s="44"/>
      <c r="D66" s="386" t="str">
        <f>Construction!BQ3</f>
        <v>Tot Doc</v>
      </c>
      <c r="E66" s="74">
        <f ca="1">Construction!BQ76</f>
        <v>0</v>
      </c>
      <c r="F66" s="128">
        <f t="shared" ca="1" si="0"/>
        <v>0</v>
      </c>
      <c r="G66" s="44"/>
      <c r="H66" s="45" t="s">
        <v>192</v>
      </c>
      <c r="I66" s="97">
        <f ca="1">SUBTOTAL(109,Table18[Amount])</f>
        <v>0</v>
      </c>
      <c r="J66" s="347">
        <f>1</f>
        <v>1</v>
      </c>
      <c r="K66" s="44"/>
      <c r="L66" s="44"/>
      <c r="M66" s="44"/>
      <c r="N66" s="44"/>
      <c r="O66" s="51"/>
    </row>
    <row r="67" spans="1:15" x14ac:dyDescent="0.2">
      <c r="A67" s="122" t="s">
        <v>281</v>
      </c>
      <c r="B67" s="432">
        <f>Construction!D76</f>
        <v>0</v>
      </c>
      <c r="C67" s="44"/>
      <c r="D67" s="74" t="str">
        <f>B69</f>
        <v>Plain</v>
      </c>
      <c r="E67" s="127">
        <f ca="1">Construction!DG76</f>
        <v>110</v>
      </c>
      <c r="F67" s="128">
        <f ca="1">E67/E47</f>
        <v>0.44</v>
      </c>
      <c r="G67" s="44"/>
      <c r="I67" s="44"/>
      <c r="K67" s="44"/>
      <c r="L67" s="44"/>
      <c r="M67" s="44"/>
      <c r="N67" s="44"/>
      <c r="O67" s="51"/>
    </row>
    <row r="68" spans="1:15" x14ac:dyDescent="0.2">
      <c r="A68" s="129" t="s">
        <v>386</v>
      </c>
      <c r="B68" s="130" t="str">
        <f>VLOOKUP($B$14,Races!$A$4:$B$111,2,FALSE)</f>
        <v>Good</v>
      </c>
      <c r="C68" s="44"/>
      <c r="D68" s="5" t="s">
        <v>364</v>
      </c>
      <c r="E68" s="35">
        <f ca="1">E47-SUM(E48:E66)-B67</f>
        <v>160</v>
      </c>
      <c r="F68" s="131">
        <f ca="1">E68/E47</f>
        <v>0.64</v>
      </c>
      <c r="G68" s="44"/>
      <c r="H68" s="44"/>
      <c r="I68" s="44"/>
      <c r="J68" s="44"/>
      <c r="K68" s="44"/>
      <c r="L68" s="44"/>
      <c r="M68" s="44"/>
      <c r="N68" s="44"/>
      <c r="O68" s="51"/>
    </row>
    <row r="69" spans="1:15" x14ac:dyDescent="0.2">
      <c r="A69" s="129" t="s">
        <v>385</v>
      </c>
      <c r="B69" s="130" t="str">
        <f>VLOOKUP($B$14,Races!$A$4:$C$111,3,FALSE)</f>
        <v>Plain</v>
      </c>
      <c r="C69" s="44"/>
      <c r="D69" s="5" t="s">
        <v>365</v>
      </c>
      <c r="E69" s="35">
        <f>B67</f>
        <v>0</v>
      </c>
      <c r="F69" s="5">
        <f ca="1">E69/E47</f>
        <v>0</v>
      </c>
      <c r="G69" s="44"/>
      <c r="H69" s="44"/>
      <c r="I69" s="44"/>
      <c r="J69" s="44"/>
      <c r="K69" s="44"/>
      <c r="L69" s="44"/>
      <c r="M69" s="44"/>
      <c r="N69" s="44"/>
      <c r="O69" s="51"/>
    </row>
    <row r="70" spans="1:15" x14ac:dyDescent="0.2">
      <c r="A70" s="44"/>
      <c r="B70" s="44"/>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89" t="s">
        <v>293</v>
      </c>
      <c r="B73" s="490"/>
      <c r="C73" s="132"/>
      <c r="D73" s="132"/>
      <c r="E73" s="132"/>
    </row>
    <row r="74" spans="1:15" x14ac:dyDescent="0.2">
      <c r="A74" s="133" t="s">
        <v>294</v>
      </c>
      <c r="B74" s="134"/>
      <c r="C74" s="132"/>
      <c r="D74" s="132"/>
      <c r="E74" s="134"/>
    </row>
    <row r="75" spans="1:15" x14ac:dyDescent="0.2">
      <c r="A75" s="135" t="s">
        <v>296</v>
      </c>
      <c r="B75" s="135" t="s">
        <v>297</v>
      </c>
      <c r="C75" s="135" t="s">
        <v>299</v>
      </c>
      <c r="D75" s="135" t="s">
        <v>298</v>
      </c>
      <c r="E75" s="132"/>
    </row>
    <row r="76" spans="1:15" x14ac:dyDescent="0.2">
      <c r="A76" s="132" t="s">
        <v>92</v>
      </c>
      <c r="B76" s="132" t="s">
        <v>125</v>
      </c>
      <c r="C76" s="136"/>
      <c r="D76" s="136">
        <f ca="1">IF(Constants!F114="none",$F$67/Constants!C114,MIN(Constants!F114,$F$67/Constants!C114))</f>
        <v>2.1999999999999997</v>
      </c>
      <c r="E76" s="132" t="b">
        <f>$B$14=A76</f>
        <v>0</v>
      </c>
    </row>
    <row r="77" spans="1:15" x14ac:dyDescent="0.2">
      <c r="A77" s="132"/>
      <c r="B77" s="132" t="s">
        <v>126</v>
      </c>
      <c r="C77" s="136">
        <f ca="1">IF(Constants!F115="none",$F$67/Constants!C115,MIN(Constants!F115,$F$67/Constants!C115))</f>
        <v>2.1999999999999997</v>
      </c>
      <c r="D77" s="136">
        <f ca="1">IF(Constants!F116="none",$F$67/Constants!C116,MIN(Constants!F116,$F$67/Constants!C116))</f>
        <v>2.1999999999999997</v>
      </c>
      <c r="E77" s="132"/>
    </row>
    <row r="78" spans="1:15" x14ac:dyDescent="0.2">
      <c r="A78" s="132" t="s">
        <v>96</v>
      </c>
      <c r="B78" s="132" t="s">
        <v>141</v>
      </c>
      <c r="C78" s="136"/>
      <c r="D78" s="136">
        <f ca="1">MIN(Constants!F117,$F$67/Constants!C117)</f>
        <v>2.1999999999999997</v>
      </c>
      <c r="E78" s="132" t="b">
        <f>$B$14=A78</f>
        <v>0</v>
      </c>
    </row>
    <row r="79" spans="1:15" x14ac:dyDescent="0.2">
      <c r="A79" s="132" t="s">
        <v>94</v>
      </c>
      <c r="B79" s="132" t="s">
        <v>133</v>
      </c>
      <c r="C79" s="136"/>
      <c r="D79" s="136">
        <f ca="1">MIN(Constants!F118,$F$67/Constants!C118)</f>
        <v>2</v>
      </c>
      <c r="E79" s="132" t="b">
        <f>$B$14=A79</f>
        <v>0</v>
      </c>
    </row>
    <row r="80" spans="1:15" x14ac:dyDescent="0.2">
      <c r="A80" s="132" t="s">
        <v>99</v>
      </c>
      <c r="B80" s="132" t="s">
        <v>149</v>
      </c>
      <c r="C80" s="136">
        <f ca="1">MIN(Constants!F119,F63/Constants!C119)</f>
        <v>0</v>
      </c>
      <c r="D80" s="136">
        <f ca="1">MIN(Constants!F120,F63/Constants!C120)</f>
        <v>0</v>
      </c>
      <c r="E80" s="132" t="b">
        <f>$B$14=A80</f>
        <v>0</v>
      </c>
    </row>
    <row r="81" spans="1:5" x14ac:dyDescent="0.2">
      <c r="A81" s="132" t="s">
        <v>335</v>
      </c>
      <c r="B81" s="132" t="s">
        <v>338</v>
      </c>
      <c r="C81" s="132"/>
      <c r="D81" s="136">
        <f ca="1">MIN(Constants!F121,F67/Constants!C121)</f>
        <v>2.1999999999999997</v>
      </c>
      <c r="E81" s="132" t="b">
        <f>$B$14=A81</f>
        <v>0</v>
      </c>
    </row>
    <row r="82" spans="1:5" x14ac:dyDescent="0.2">
      <c r="A82" s="132"/>
      <c r="B82" s="132" t="s">
        <v>339</v>
      </c>
      <c r="C82" s="132">
        <f ca="1">MIN(Constants!F122,I51*Constants!C122)</f>
        <v>0.1</v>
      </c>
      <c r="D82" s="132"/>
      <c r="E82" s="132"/>
    </row>
    <row r="83" spans="1:5" x14ac:dyDescent="0.2">
      <c r="A83" s="132" t="s">
        <v>145</v>
      </c>
      <c r="B83" s="132" t="s">
        <v>381</v>
      </c>
      <c r="C83" s="132"/>
      <c r="D83" s="136">
        <f>MIN(Constants!F123,250/Constants!C123)</f>
        <v>0</v>
      </c>
      <c r="E83" s="132" t="b">
        <f>$B$14=A83</f>
        <v>0</v>
      </c>
    </row>
    <row r="84" spans="1:5" x14ac:dyDescent="0.2">
      <c r="A84" s="132" t="s">
        <v>145</v>
      </c>
      <c r="B84" s="132" t="s">
        <v>363</v>
      </c>
      <c r="C84" s="137">
        <f>MIN(bone_breaker_cap,250/bone_breaker_bonus)</f>
        <v>1</v>
      </c>
      <c r="E84" s="132" t="b">
        <f>$B$14=A84</f>
        <v>0</v>
      </c>
    </row>
    <row r="85" spans="1:5" x14ac:dyDescent="0.2">
      <c r="A85" s="132" t="s">
        <v>507</v>
      </c>
      <c r="B85" s="132" t="s">
        <v>430</v>
      </c>
      <c r="C85" s="132"/>
      <c r="D85" s="136">
        <f ca="1">MIN(nox_nightshade_cap,E67/E47/nox_nightshade_swamp_bonus)</f>
        <v>3</v>
      </c>
      <c r="E85" s="132" t="b">
        <f>$B$14=A85</f>
        <v>0</v>
      </c>
    </row>
    <row r="86" spans="1:5" x14ac:dyDescent="0.2">
      <c r="A86" s="132"/>
      <c r="B86" s="132"/>
      <c r="C86" s="132"/>
      <c r="D86" s="136"/>
      <c r="E86" s="132"/>
    </row>
    <row r="87" spans="1:5" x14ac:dyDescent="0.2">
      <c r="A87" s="133" t="s">
        <v>295</v>
      </c>
      <c r="B87" s="132"/>
      <c r="C87" s="132"/>
      <c r="D87" s="132"/>
      <c r="E87" s="132"/>
    </row>
    <row r="88" spans="1:5" x14ac:dyDescent="0.2">
      <c r="A88" s="132" t="s">
        <v>103</v>
      </c>
      <c r="B88" s="132" t="s">
        <v>333</v>
      </c>
      <c r="C88" s="132"/>
      <c r="D88" s="132">
        <f ca="1">MIN(B38,B39)*2</f>
        <v>0</v>
      </c>
      <c r="E88" s="132" t="b">
        <f>$B$14=A88</f>
        <v>0</v>
      </c>
    </row>
    <row r="89" spans="1:5" x14ac:dyDescent="0.2">
      <c r="A89" s="132"/>
      <c r="B89" s="132" t="s">
        <v>334</v>
      </c>
      <c r="C89" s="132">
        <f ca="1">MIN(B39,B36)*2</f>
        <v>0</v>
      </c>
      <c r="D89" s="132"/>
      <c r="E89" s="132"/>
    </row>
    <row r="90" spans="1:5" x14ac:dyDescent="0.2">
      <c r="A90" s="132" t="s">
        <v>93</v>
      </c>
      <c r="B90" s="132" t="s">
        <v>130</v>
      </c>
      <c r="C90" s="446">
        <v>0.2</v>
      </c>
      <c r="D90" s="446">
        <f>1/3</f>
        <v>0.33333333333333331</v>
      </c>
      <c r="E90" s="132" t="b">
        <f t="shared" ref="E90:E93" si="1">$B$14=A90</f>
        <v>0</v>
      </c>
    </row>
    <row r="91" spans="1:5" x14ac:dyDescent="0.2">
      <c r="A91" s="132" t="s">
        <v>104</v>
      </c>
      <c r="B91" s="132" t="s">
        <v>164</v>
      </c>
      <c r="C91" s="446">
        <v>0.2</v>
      </c>
      <c r="D91" s="446">
        <v>0.2</v>
      </c>
      <c r="E91" s="132" t="b">
        <f t="shared" si="1"/>
        <v>0</v>
      </c>
    </row>
    <row r="92" spans="1:5" x14ac:dyDescent="0.2">
      <c r="A92" s="132" t="s">
        <v>96</v>
      </c>
      <c r="B92" s="132" t="s">
        <v>141</v>
      </c>
      <c r="C92" s="446">
        <v>0.25</v>
      </c>
      <c r="D92" s="446">
        <v>0.25</v>
      </c>
      <c r="E92" s="132" t="b">
        <f t="shared" si="1"/>
        <v>0</v>
      </c>
    </row>
    <row r="93" spans="1:5" x14ac:dyDescent="0.2">
      <c r="A93" s="132" t="s">
        <v>99</v>
      </c>
      <c r="B93" s="132" t="s">
        <v>149</v>
      </c>
      <c r="C93" s="446">
        <v>0.25</v>
      </c>
      <c r="D93" s="446">
        <v>0.25</v>
      </c>
      <c r="E93" s="132"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27" priority="3" stopIfTrue="1">
      <formula>$D$44&lt;&gt;""</formula>
    </cfRule>
  </conditionalFormatting>
  <conditionalFormatting sqref="E18">
    <cfRule type="cellIs" dxfId="926" priority="4" stopIfTrue="1" operator="equal">
      <formula>"""Yes"""</formula>
    </cfRule>
    <cfRule type="expression" dxfId="925" priority="5" stopIfTrue="1">
      <formula>ISERROR(E18)</formula>
    </cfRule>
  </conditionalFormatting>
  <conditionalFormatting sqref="E17">
    <cfRule type="cellIs" dxfId="924" priority="6" stopIfTrue="1" operator="lessThan">
      <formula>1</formula>
    </cfRule>
  </conditionalFormatting>
  <conditionalFormatting sqref="A29">
    <cfRule type="expression" dxfId="923" priority="1">
      <formula>$B$14&lt;&gt;"Dark Elf"</formula>
    </cfRule>
    <cfRule type="expression" dxfId="922"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6" t="s">
        <v>23</v>
      </c>
      <c r="D1" s="496"/>
      <c r="E1" s="496"/>
      <c r="F1" s="496"/>
      <c r="G1" s="496"/>
      <c r="H1" s="496"/>
      <c r="I1" s="496"/>
      <c r="J1" s="28"/>
      <c r="K1" s="28"/>
      <c r="L1" s="496" t="s">
        <v>22</v>
      </c>
      <c r="M1" s="496"/>
      <c r="N1" s="496"/>
      <c r="O1" s="496"/>
      <c r="P1" s="496"/>
      <c r="Q1" s="496"/>
      <c r="R1" s="496"/>
      <c r="S1" s="496"/>
      <c r="U1" s="496" t="s">
        <v>169</v>
      </c>
      <c r="V1" s="497"/>
      <c r="W1" s="496" t="s">
        <v>173</v>
      </c>
      <c r="X1" s="496"/>
      <c r="Y1" s="496"/>
      <c r="Z1" s="496"/>
      <c r="AA1" s="496" t="s">
        <v>178</v>
      </c>
      <c r="AB1" s="497"/>
      <c r="AC1" s="497"/>
      <c r="AD1" s="497"/>
    </row>
    <row r="2" spans="1:30" s="142" customFormat="1" x14ac:dyDescent="0.2">
      <c r="M2" s="142" t="str">
        <f>Overview!$A$22</f>
        <v>Spearman</v>
      </c>
      <c r="N2" s="142" t="str">
        <f>Overview!$A$23</f>
        <v>Archer</v>
      </c>
      <c r="O2" s="142" t="str">
        <f>Overview!$A$24</f>
        <v>Knight</v>
      </c>
      <c r="P2" s="142" t="str">
        <f>Overview!$A$25</f>
        <v>Cavalry</v>
      </c>
      <c r="Q2" s="142" t="s">
        <v>25</v>
      </c>
      <c r="R2" s="142" t="s">
        <v>26</v>
      </c>
      <c r="S2" s="142" t="s">
        <v>27</v>
      </c>
    </row>
    <row r="3" spans="1:30" s="144" customFormat="1" ht="15" customHeight="1" x14ac:dyDescent="0.2">
      <c r="A3" s="143" t="s">
        <v>0</v>
      </c>
      <c r="B3" s="143" t="s">
        <v>316</v>
      </c>
      <c r="C3" s="143" t="s">
        <v>21</v>
      </c>
      <c r="D3" s="143" t="s">
        <v>22</v>
      </c>
      <c r="E3" s="143" t="s">
        <v>24</v>
      </c>
      <c r="F3" s="143" t="s">
        <v>192</v>
      </c>
      <c r="G3" s="143" t="s">
        <v>193</v>
      </c>
      <c r="H3" s="143" t="s">
        <v>230</v>
      </c>
      <c r="I3" s="143" t="s">
        <v>270</v>
      </c>
      <c r="J3" s="143" t="s">
        <v>318</v>
      </c>
      <c r="K3" s="143" t="s">
        <v>791</v>
      </c>
      <c r="L3" s="143" t="s">
        <v>1041</v>
      </c>
      <c r="M3" s="143" t="s">
        <v>787</v>
      </c>
      <c r="N3" s="143" t="s">
        <v>788</v>
      </c>
      <c r="O3" s="143" t="s">
        <v>789</v>
      </c>
      <c r="P3" s="143" t="s">
        <v>790</v>
      </c>
      <c r="Q3" s="143" t="s">
        <v>25</v>
      </c>
      <c r="R3" s="143" t="s">
        <v>26</v>
      </c>
      <c r="S3" s="143" t="s">
        <v>188</v>
      </c>
      <c r="T3" s="143" t="s">
        <v>792</v>
      </c>
      <c r="U3" s="143" t="s">
        <v>232</v>
      </c>
      <c r="V3" s="143" t="s">
        <v>180</v>
      </c>
      <c r="W3" s="143" t="s">
        <v>179</v>
      </c>
      <c r="X3" s="143" t="s">
        <v>238</v>
      </c>
      <c r="Y3" s="143" t="s">
        <v>231</v>
      </c>
      <c r="Z3" s="143" t="s">
        <v>1058</v>
      </c>
      <c r="AA3" s="143" t="s">
        <v>794</v>
      </c>
      <c r="AB3" s="143" t="s">
        <v>173</v>
      </c>
      <c r="AC3" s="143" t="s">
        <v>177</v>
      </c>
    </row>
    <row r="4" spans="1:30" x14ac:dyDescent="0.2">
      <c r="A4" s="145">
        <f>TblRezone[[#This Row],[Hour]]</f>
        <v>1</v>
      </c>
      <c r="B4" s="146">
        <f>TblImps[[#This Row],[Time]]</f>
        <v>44810.75</v>
      </c>
      <c r="C4" s="409">
        <f>start_peasants+TblMili[[#This Row],[Release Draft]]+MIN(13,days_late)*days_late_peasants</f>
        <v>1300</v>
      </c>
      <c r="D4" s="97">
        <f ca="1">TblMili[[#This Row],[Military]]</f>
        <v>300</v>
      </c>
      <c r="E4" s="97">
        <f ca="1">TblMili[[#This Row],[Draftees]]</f>
        <v>100</v>
      </c>
      <c r="F4" s="97">
        <f ca="1">TblPop[[#This Row],[Peasants]]+TblPop[[#This Row],[Military]]</f>
        <v>1600</v>
      </c>
      <c r="G4" s="147">
        <f ca="1">TblPop[[#This Row],[Military]]/TblPop[[#This Row],[Total]]</f>
        <v>0.1875</v>
      </c>
      <c r="H4" s="148">
        <f>MIN(TblPop[[#This Row],[Peasants]],TblPop[[#This Row],[Jobs]])</f>
        <v>1300</v>
      </c>
      <c r="I4" s="147">
        <f ca="1">MIN(OFFSET(TblPop[[#This Row],[Jobs]],1,0)/TblPop[[#This Row],[Peasants]],1)</f>
        <v>1</v>
      </c>
      <c r="J4" s="148">
        <f>SUM(TblConstr[[#This Row],[Tot Alc]:[Tot GT]],TblConstr[[#This Row],[Tot Shr]:[Tot Doc]],TblConstr[[#This Row],[Dest Alc]:[Dest GT]],TblConstr[[#This Row],[Dest Shr]:[Dest Doc]])*building_employment</f>
        <v>1600</v>
      </c>
      <c r="K4" s="149"/>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50"/>
      <c r="U4" s="97">
        <f ca="1">ROUND(TblPop[[#This Row],[Raw max]]*(1+TblPop[[#This Row],[Max pop]]),0)+MIN(TblPop[[#This Row],[Military]]-TblPop[[#This Row],[Draftees]]-SUM(TblMili[[#This Row],[Train Unit 1]:[Train Arch]]),ROUND((barracks_size + tech_8_3*TblTech[[#This Row],[8-3]])*(1 + Production!O4/100*prestige_pop_multiplier),0)*TblConstr[[#This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Row],[Peasants]]*Constants!$B$54,0), 0)</f>
        <v>13</v>
      </c>
      <c r="AA4" s="150"/>
      <c r="AB4" s="151">
        <f ca="1">Overview!$I$16 + IF(Magic!AE4&gt;0,Constants!$F$78) + ROUND(6*(Construction!BM5+Construction!CK4)/IF(Explore!S5&gt;0,Construction!F5-20,Construction!F5),4) + tech_6_5_2*Techs!BJ4 + tech_8_4*Techs!BT4</f>
        <v>0</v>
      </c>
      <c r="AC4" s="147">
        <f ca="1">(Overview!$I$15 + Imps!Z4+ tech_2_5*Techs!AB4 + tech_3_6*Techs!AM4 + tech_6_5*Techs!BJ4 + tech_6_1*Techs!BF4 + tech_7_3_2*Techs!BN4) * (1 + Production!O4/100*prestige_pop_multiplier) + Production!O4/100*prestige_pop_multiplier</f>
        <v>2.5000000000000001E-2</v>
      </c>
    </row>
    <row r="5" spans="1:30" x14ac:dyDescent="0.2">
      <c r="A5" s="145">
        <f>TblRezone[[#This Row],[Hour]]</f>
        <v>2</v>
      </c>
      <c r="B5" s="146">
        <f ca="1">TblImps[[#This Row],[Time]]</f>
        <v>44810.791666666664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7">
        <f ca="1">TblPop[[#This Row],[Military]]/TblPop[[#This Row],[Total]]</f>
        <v>0.19097010372178158</v>
      </c>
      <c r="H5" s="148">
        <f ca="1">MIN(TblPop[[#This Row],[Peasants]],TblPop[[#This Row],[Jobs]])</f>
        <v>1326</v>
      </c>
      <c r="I5" s="147">
        <f ca="1">MIN(OFFSET(TblPop[[#This Row],[Jobs]],1,0)/TblPop[[#This Row],[Peasants]],1)</f>
        <v>1</v>
      </c>
      <c r="J5" s="148">
        <f ca="1">SUM(TblConstr[[#This Row],[Tot Alc]:[Tot GT]],TblConstr[[#This Row],[Tot Shr]:[Tot Doc]],TblConstr[[#This Row],[Dest Alc]:[Dest GT]],TblConstr[[#This Row],[Dest Shr]:[Dest Doc]])*building_employment</f>
        <v>1600</v>
      </c>
      <c r="K5" s="149"/>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50"/>
      <c r="U5" s="97">
        <f ca="1">ROUND(TblPop[[#This Row],[Raw max]]*(1+TblPop[[#This Row],[Max pop]]),0)+MIN(TblPop[[#This Row],[Military]]-TblPop[[#This Row],[Draftees]]-SUM(TblMili[[#This Row],[Train Unit 1]:[Train Arch]]),ROUND((barracks_size + tech_8_3*TblTech[[#This Row],[8-3]])*(1 + Production!O5/100*prestige_pop_multiplier),0)*TblConstr[[#This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Row],[Peasants]]*Constants!$B$54,0), 0)</f>
        <v>13</v>
      </c>
      <c r="AA5" s="150"/>
      <c r="AB5" s="151">
        <f ca="1">Overview!$I$16 + IF(Magic!AE5&gt;0,Constants!$F$78) + ROUND(6*(Construction!BM6+Construction!CK5)/IF(Explore!S6&gt;0,Construction!F6-20,Construction!F6),4) + tech_6_5_2*Techs!BJ5 + tech_8_4*Techs!BT5</f>
        <v>0</v>
      </c>
      <c r="AC5" s="147">
        <f ca="1">(Overview!$I$15 + Imps!Z5+ tech_2_5*Techs!AB5 + tech_3_6*Techs!AM5 + tech_6_5*Techs!BJ5 + tech_6_1*Techs!BF5 + tech_7_3_2*Techs!BN5) * (1 + Production!O5/100*prestige_pop_multiplier) + Production!O5/100*prestige_pop_multiplier</f>
        <v>2.5000000000000001E-2</v>
      </c>
    </row>
    <row r="6" spans="1:30" x14ac:dyDescent="0.2">
      <c r="A6" s="145">
        <f>TblRezone[[#This Row],[Hour]]</f>
        <v>3</v>
      </c>
      <c r="B6" s="146">
        <f ca="1">TblImps[[#This Row],[Time]]</f>
        <v>44810.833333333328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7">
        <f ca="1">TblPop[[#This Row],[Military]]/TblPop[[#This Row],[Total]]</f>
        <v>0.19427890345649582</v>
      </c>
      <c r="H6" s="148">
        <f ca="1">MIN(TblPop[[#This Row],[Peasants]],TblPop[[#This Row],[Jobs]])</f>
        <v>1352</v>
      </c>
      <c r="I6" s="147">
        <f ca="1">MIN(OFFSET(TblPop[[#This Row],[Jobs]],1,0)/TblPop[[#This Row],[Peasants]],1)</f>
        <v>1</v>
      </c>
      <c r="J6" s="148">
        <f ca="1">SUM(TblConstr[[#This Row],[Tot Alc]:[Tot GT]],TblConstr[[#This Row],[Tot Shr]:[Tot Doc]],TblConstr[[#This Row],[Dest Alc]:[Dest GT]],TblConstr[[#This Row],[Dest Shr]:[Dest Doc]])*building_employment</f>
        <v>1600</v>
      </c>
      <c r="K6" s="149"/>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50"/>
      <c r="U6" s="97">
        <f ca="1">ROUND(TblPop[[#This Row],[Raw max]]*(1+TblPop[[#This Row],[Max pop]]),0)+MIN(TblPop[[#This Row],[Military]]-TblPop[[#This Row],[Draftees]]-SUM(TblMili[[#This Row],[Train Unit 1]:[Train Arch]]),ROUND((barracks_size + tech_8_3*TblTech[[#This Row],[8-3]])*(1 + Production!O6/100*prestige_pop_multiplier),0)*TblConstr[[#This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Row],[Peasants]]*Constants!$B$54,0), 0)</f>
        <v>14</v>
      </c>
      <c r="AA6" s="150"/>
      <c r="AB6" s="151">
        <f ca="1">Overview!$I$16 + IF(Magic!AE6&gt;0,Constants!$F$78) + ROUND(6*(Construction!BM7+Construction!CK6)/IF(Explore!S7&gt;0,Construction!F7-20,Construction!F7),4) + tech_6_5_2*Techs!BJ6 + tech_8_4*Techs!BT6</f>
        <v>0</v>
      </c>
      <c r="AC6" s="147">
        <f ca="1">(Overview!$I$15 + Imps!Z6+ tech_2_5*Techs!AB6 + tech_3_6*Techs!AM6 + tech_6_5*Techs!BJ6 + tech_6_1*Techs!BF6 + tech_7_3_2*Techs!BN6) * (1 + Production!O6/100*prestige_pop_multiplier) + Production!O6/100*prestige_pop_multiplier</f>
        <v>2.5000000000000001E-2</v>
      </c>
    </row>
    <row r="7" spans="1:30" x14ac:dyDescent="0.2">
      <c r="A7" s="145">
        <f>TblRezone[[#This Row],[Hour]]</f>
        <v>4</v>
      </c>
      <c r="B7" s="146">
        <f ca="1">TblImps[[#This Row],[Time]]</f>
        <v>44810.874999999993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7">
        <f ca="1">TblPop[[#This Row],[Military]]/TblPop[[#This Row],[Total]]</f>
        <v>0.1979045401629802</v>
      </c>
      <c r="H7" s="148">
        <f ca="1">MIN(TblPop[[#This Row],[Peasants]],TblPop[[#This Row],[Jobs]])</f>
        <v>1378</v>
      </c>
      <c r="I7" s="147">
        <f ca="1">MIN(OFFSET(TblPop[[#This Row],[Jobs]],1,0)/TblPop[[#This Row],[Peasants]],1)</f>
        <v>1</v>
      </c>
      <c r="J7" s="148">
        <f ca="1">SUM(TblConstr[[#This Row],[Tot Alc]:[Tot GT]],TblConstr[[#This Row],[Tot Shr]:[Tot Doc]],TblConstr[[#This Row],[Dest Alc]:[Dest GT]],TblConstr[[#This Row],[Dest Shr]:[Dest Doc]])*building_employment</f>
        <v>1600</v>
      </c>
      <c r="K7" s="149"/>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50"/>
      <c r="U7" s="97">
        <f ca="1">ROUND(TblPop[[#This Row],[Raw max]]*(1+TblPop[[#This Row],[Max pop]]),0)+MIN(TblPop[[#This Row],[Military]]-TblPop[[#This Row],[Draftees]]-SUM(TblMili[[#This Row],[Train Unit 1]:[Train Arch]]),ROUND((barracks_size + tech_8_3*TblTech[[#This Row],[8-3]])*(1 + Production!O7/100*prestige_pop_multiplier),0)*TblConstr[[#This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Row],[Peasants]]*Constants!$B$54,0), 0)</f>
        <v>14</v>
      </c>
      <c r="AA7" s="150"/>
      <c r="AB7" s="151">
        <f ca="1">Overview!$I$16 + IF(Magic!AE7&gt;0,Constants!$F$78) + ROUND(6*(Construction!BM8+Construction!CK7)/IF(Explore!S8&gt;0,Construction!F8-20,Construction!F8),4) + tech_6_5_2*Techs!BJ7 + tech_8_4*Techs!BT7</f>
        <v>0</v>
      </c>
      <c r="AC7" s="147">
        <f ca="1">(Overview!$I$15 + Imps!Z7+ tech_2_5*Techs!AB7 + tech_3_6*Techs!AM7 + tech_6_5*Techs!BJ7 + tech_6_1*Techs!BF7 + tech_7_3_2*Techs!BN7) * (1 + Production!O7/100*prestige_pop_multiplier) + Production!O7/100*prestige_pop_multiplier</f>
        <v>2.5000000000000001E-2</v>
      </c>
    </row>
    <row r="8" spans="1:30" x14ac:dyDescent="0.2">
      <c r="A8" s="145">
        <f>TblRezone[[#This Row],[Hour]]</f>
        <v>5</v>
      </c>
      <c r="B8" s="146">
        <f ca="1">TblImps[[#This Row],[Time]]</f>
        <v>44810.916666666657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7">
        <f ca="1">TblPop[[#This Row],[Military]]/TblPop[[#This Row],[Total]]</f>
        <v>0.20125071063104036</v>
      </c>
      <c r="H8" s="148">
        <f ca="1">MIN(TblPop[[#This Row],[Peasants]],TblPop[[#This Row],[Jobs]])</f>
        <v>1405</v>
      </c>
      <c r="I8" s="147">
        <f ca="1">MIN(OFFSET(TblPop[[#This Row],[Jobs]],1,0)/TblPop[[#This Row],[Peasants]],1)</f>
        <v>1</v>
      </c>
      <c r="J8" s="148">
        <f ca="1">SUM(TblConstr[[#This Row],[Tot Alc]:[Tot GT]],TblConstr[[#This Row],[Tot Shr]:[Tot Doc]],TblConstr[[#This Row],[Dest Alc]:[Dest GT]],TblConstr[[#This Row],[Dest Shr]:[Dest Doc]])*building_employment</f>
        <v>1600</v>
      </c>
      <c r="K8" s="149"/>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50"/>
      <c r="U8" s="97">
        <f ca="1">ROUND(TblPop[[#This Row],[Raw max]]*(1+TblPop[[#This Row],[Max pop]]),0)+MIN(TblPop[[#This Row],[Military]]-TblPop[[#This Row],[Draftees]]-SUM(TblMili[[#This Row],[Train Unit 1]:[Train Arch]]),ROUND((barracks_size + tech_8_3*TblTech[[#This Row],[8-3]])*(1 + Production!O8/100*prestige_pop_multiplier),0)*TblConstr[[#This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Row],[Peasants]]*Constants!$B$54,0), 0)</f>
        <v>14</v>
      </c>
      <c r="AA8" s="150"/>
      <c r="AB8" s="151">
        <f ca="1">Overview!$I$16 + IF(Magic!AE8&gt;0,Constants!$F$78) + ROUND(6*(Construction!BM9+Construction!CK8)/IF(Explore!S9&gt;0,Construction!F9-20,Construction!F9),4) + tech_6_5_2*Techs!BJ8 + tech_8_4*Techs!BT8</f>
        <v>0</v>
      </c>
      <c r="AC8" s="147">
        <f ca="1">(Overview!$I$15 + Imps!Z8+ tech_2_5*Techs!AB8 + tech_3_6*Techs!AM8 + tech_6_5*Techs!BJ8 + tech_6_1*Techs!BF8 + tech_7_3_2*Techs!BN8) * (1 + Production!O8/100*prestige_pop_multiplier) + Production!O8/100*prestige_pop_multiplier</f>
        <v>2.5000000000000001E-2</v>
      </c>
    </row>
    <row r="9" spans="1:30" x14ac:dyDescent="0.2">
      <c r="A9" s="145">
        <f>TblRezone[[#This Row],[Hour]]</f>
        <v>6</v>
      </c>
      <c r="B9" s="146">
        <f ca="1">TblImps[[#This Row],[Time]]</f>
        <v>44810.958333333321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7">
        <f ca="1">TblPop[[#This Row],[Military]]/TblPop[[#This Row],[Total]]</f>
        <v>0.20433092726263188</v>
      </c>
      <c r="H9" s="148">
        <f ca="1">MIN(TblPop[[#This Row],[Peasants]],TblPop[[#This Row],[Jobs]])</f>
        <v>1433</v>
      </c>
      <c r="I9" s="147">
        <f ca="1">MIN(OFFSET(TblPop[[#This Row],[Jobs]],1,0)/TblPop[[#This Row],[Peasants]],1)</f>
        <v>1</v>
      </c>
      <c r="J9" s="148">
        <f ca="1">SUM(TblConstr[[#This Row],[Tot Alc]:[Tot GT]],TblConstr[[#This Row],[Tot Shr]:[Tot Doc]],TblConstr[[#This Row],[Dest Alc]:[Dest GT]],TblConstr[[#This Row],[Dest Shr]:[Dest Doc]])*building_employment</f>
        <v>1600</v>
      </c>
      <c r="K9" s="149"/>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50"/>
      <c r="U9" s="97">
        <f ca="1">ROUND(TblPop[[#This Row],[Raw max]]*(1+TblPop[[#This Row],[Max pop]]),0)+MIN(TblPop[[#This Row],[Military]]-TblPop[[#This Row],[Draftees]]-SUM(TblMili[[#This Row],[Train Unit 1]:[Train Arch]]),ROUND((barracks_size + tech_8_3*TblTech[[#This Row],[8-3]])*(1 + Production!O9/100*prestige_pop_multiplier),0)*TblConstr[[#This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Row],[Peasants]]*Constants!$B$54,0), 0)</f>
        <v>14</v>
      </c>
      <c r="AA9" s="150"/>
      <c r="AB9" s="151">
        <f ca="1">Overview!$I$16 + IF(Magic!AE9&gt;0,Constants!$F$78) + ROUND(6*(Construction!BM10+Construction!CK9)/IF(Explore!S10&gt;0,Construction!F10-20,Construction!F10),4) + tech_6_5_2*Techs!BJ9 + tech_8_4*Techs!BT9</f>
        <v>0</v>
      </c>
      <c r="AC9" s="147">
        <f ca="1">(Overview!$I$15 + Imps!Z9+ tech_2_5*Techs!AB9 + tech_3_6*Techs!AM9 + tech_6_5*Techs!BJ9 + tech_6_1*Techs!BF9 + tech_7_3_2*Techs!BN9) * (1 + Production!O9/100*prestige_pop_multiplier) + Production!O9/100*prestige_pop_multiplier</f>
        <v>2.5000000000000001E-2</v>
      </c>
    </row>
    <row r="10" spans="1:30" x14ac:dyDescent="0.2">
      <c r="A10" s="145">
        <f>TblRezone[[#This Row],[Hour]]</f>
        <v>7</v>
      </c>
      <c r="B10" s="146">
        <f ca="1">TblImps[[#This Row],[Time]]</f>
        <v>44810.999999999985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7">
        <f ca="1">TblPop[[#This Row],[Military]]/TblPop[[#This Row],[Total]]</f>
        <v>0.20715835140997832</v>
      </c>
      <c r="H10" s="148">
        <f ca="1">MIN(TblPop[[#This Row],[Peasants]],TblPop[[#This Row],[Jobs]])</f>
        <v>1462</v>
      </c>
      <c r="I10" s="147">
        <f ca="1">MIN(OFFSET(TblPop[[#This Row],[Jobs]],1,0)/TblPop[[#This Row],[Peasants]],1)</f>
        <v>1</v>
      </c>
      <c r="J10" s="148">
        <f ca="1">SUM(TblConstr[[#This Row],[Tot Alc]:[Tot GT]],TblConstr[[#This Row],[Tot Shr]:[Tot Doc]],TblConstr[[#This Row],[Dest Alc]:[Dest GT]],TblConstr[[#This Row],[Dest Shr]:[Dest Doc]])*building_employment</f>
        <v>1600</v>
      </c>
      <c r="K10" s="149"/>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50"/>
      <c r="U10" s="97">
        <f ca="1">ROUND(TblPop[[#This Row],[Raw max]]*(1+TblPop[[#This Row],[Max pop]]),0)+MIN(TblPop[[#This Row],[Military]]-TblPop[[#This Row],[Draftees]]-SUM(TblMili[[#This Row],[Train Unit 1]:[Train Arch]]),ROUND((barracks_size + tech_8_3*TblTech[[#This Row],[8-3]])*(1 + Production!O10/100*prestige_pop_multiplier),0)*TblConstr[[#This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Row],[Peasants]]*Constants!$B$54,0), 0)</f>
        <v>15</v>
      </c>
      <c r="AA10" s="150"/>
      <c r="AB10" s="151">
        <f ca="1">Overview!$I$16 + IF(Magic!AE10&gt;0,Constants!$F$78) + ROUND(6*(Construction!BM11+Construction!CK10)/IF(Explore!S11&gt;0,Construction!F11-20,Construction!F11),4) + tech_6_5_2*Techs!BJ10 + tech_8_4*Techs!BT10</f>
        <v>0</v>
      </c>
      <c r="AC10" s="147">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45">
        <f>TblRezone[[#This Row],[Hour]]</f>
        <v>8</v>
      </c>
      <c r="B11" s="146">
        <f ca="1">TblImps[[#This Row],[Time]]</f>
        <v>44811.04166666665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7">
        <f ca="1">TblPop[[#This Row],[Military]]/TblPop[[#This Row],[Total]]</f>
        <v>0.21038685744568097</v>
      </c>
      <c r="H11" s="148">
        <f ca="1">MIN(TblPop[[#This Row],[Peasants]],TblPop[[#This Row],[Jobs]])</f>
        <v>1490</v>
      </c>
      <c r="I11" s="147">
        <f ca="1">MIN(OFFSET(TblPop[[#This Row],[Jobs]],1,0)/TblPop[[#This Row],[Peasants]],1)</f>
        <v>1</v>
      </c>
      <c r="J11" s="148">
        <f ca="1">SUM(TblConstr[[#This Row],[Tot Alc]:[Tot GT]],TblConstr[[#This Row],[Tot Shr]:[Tot Doc]],TblConstr[[#This Row],[Dest Alc]:[Dest GT]],TblConstr[[#This Row],[Dest Shr]:[Dest Doc]])*building_employment</f>
        <v>1600</v>
      </c>
      <c r="K11" s="149"/>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50"/>
      <c r="U11" s="97">
        <f ca="1">ROUND(TblPop[[#This Row],[Raw max]]*(1+TblPop[[#This Row],[Max pop]]),0)+MIN(TblPop[[#This Row],[Military]]-TblPop[[#This Row],[Draftees]]-SUM(TblMili[[#This Row],[Train Unit 1]:[Train Arch]]),ROUND((barracks_size + tech_8_3*TblTech[[#This Row],[8-3]])*(1 + Production!O11/100*prestige_pop_multiplier),0)*TblConstr[[#This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Row],[Peasants]]*Constants!$B$54,0), 0)</f>
        <v>15</v>
      </c>
      <c r="AA11" s="150"/>
      <c r="AB11" s="151">
        <f ca="1">Overview!$I$16 + IF(Magic!AE11&gt;0,Constants!$F$78) + ROUND(6*(Construction!BM12+Construction!CK11)/IF(Explore!S12&gt;0,Construction!F12-20,Construction!F12),4) + tech_6_5_2*Techs!BJ11 + tech_8_4*Techs!BT11</f>
        <v>0</v>
      </c>
      <c r="AC11" s="147">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45">
        <f>TblRezone[[#This Row],[Hour]]</f>
        <v>9</v>
      </c>
      <c r="B12" s="146">
        <f ca="1">TblImps[[#This Row],[Time]]</f>
        <v>44811.083333333314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7">
        <f ca="1">TblPop[[#This Row],[Military]]/TblPop[[#This Row],[Total]]</f>
        <v>0.21336095287415846</v>
      </c>
      <c r="H12" s="148">
        <f ca="1">MIN(TblPop[[#This Row],[Peasants]],TblPop[[#This Row],[Jobs]])</f>
        <v>1519</v>
      </c>
      <c r="I12" s="147">
        <f ca="1">MIN(OFFSET(TblPop[[#This Row],[Jobs]],1,0)/TblPop[[#This Row],[Peasants]],1)</f>
        <v>1</v>
      </c>
      <c r="J12" s="148">
        <f ca="1">SUM(TblConstr[[#This Row],[Tot Alc]:[Tot GT]],TblConstr[[#This Row],[Tot Shr]:[Tot Doc]],TblConstr[[#This Row],[Dest Alc]:[Dest GT]],TblConstr[[#This Row],[Dest Shr]:[Dest Doc]])*building_employment</f>
        <v>1600</v>
      </c>
      <c r="K12" s="149"/>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50"/>
      <c r="U12" s="97">
        <f ca="1">ROUND(TblPop[[#This Row],[Raw max]]*(1+TblPop[[#This Row],[Max pop]]),0)+MIN(TblPop[[#This Row],[Military]]-TblPop[[#This Row],[Draftees]]-SUM(TblMili[[#This Row],[Train Unit 1]:[Train Arch]]),ROUND((barracks_size + tech_8_3*TblTech[[#This Row],[8-3]])*(1 + Production!O12/100*prestige_pop_multiplier),0)*TblConstr[[#This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Row],[Peasants]]*Constants!$B$54,0), 0)</f>
        <v>15</v>
      </c>
      <c r="AA12" s="150"/>
      <c r="AB12" s="151">
        <f ca="1">Overview!$I$16 + IF(Magic!AE12&gt;0,Constants!$F$78) + ROUND(6*(Construction!BM13+Construction!CK12)/IF(Explore!S13&gt;0,Construction!F13-20,Construction!F13),4) + tech_6_5_2*Techs!BJ12 + tech_8_4*Techs!BT12</f>
        <v>0</v>
      </c>
      <c r="AC12" s="147">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45">
        <f>TblRezone[[#This Row],[Hour]]</f>
        <v>10</v>
      </c>
      <c r="B13" s="146">
        <f ca="1">TblImps[[#This Row],[Time]]</f>
        <v>44811.124999999978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7">
        <f ca="1">TblPop[[#This Row],[Military]]/TblPop[[#This Row],[Total]]</f>
        <v>0.21609311740890688</v>
      </c>
      <c r="H13" s="148">
        <f ca="1">MIN(TblPop[[#This Row],[Peasants]],TblPop[[#This Row],[Jobs]])</f>
        <v>1549</v>
      </c>
      <c r="I13" s="147">
        <f ca="1">MIN(OFFSET(TblPop[[#This Row],[Jobs]],1,0)/TblPop[[#This Row],[Peasants]],1)</f>
        <v>1</v>
      </c>
      <c r="J13" s="148">
        <f ca="1">SUM(TblConstr[[#This Row],[Tot Alc]:[Tot GT]],TblConstr[[#This Row],[Tot Shr]:[Tot Doc]],TblConstr[[#This Row],[Dest Alc]:[Dest GT]],TblConstr[[#This Row],[Dest Shr]:[Dest Doc]])*building_employment</f>
        <v>1600</v>
      </c>
      <c r="K13" s="149"/>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50"/>
      <c r="U13" s="97">
        <f ca="1">ROUND(TblPop[[#This Row],[Raw max]]*(1+TblPop[[#This Row],[Max pop]]),0)+MIN(TblPop[[#This Row],[Military]]-TblPop[[#This Row],[Draftees]]-SUM(TblMili[[#This Row],[Train Unit 1]:[Train Arch]]),ROUND((barracks_size + tech_8_3*TblTech[[#This Row],[8-3]])*(1 + Production!O13/100*prestige_pop_multiplier),0)*TblConstr[[#This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Row],[Peasants]]*Constants!$B$54,0), 0)</f>
        <v>15</v>
      </c>
      <c r="AA13" s="150"/>
      <c r="AB13" s="151">
        <f ca="1">Overview!$I$16 + IF(Magic!AE13&gt;0,Constants!$F$78) + ROUND(6*(Construction!BM14+Construction!CK13)/IF(Explore!S14&gt;0,Construction!F14-20,Construction!F14),4) + tech_6_5_2*Techs!BJ13 + tech_8_4*Techs!BT13</f>
        <v>0</v>
      </c>
      <c r="AC13" s="147">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45">
        <f>TblRezone[[#This Row],[Hour]]</f>
        <v>11</v>
      </c>
      <c r="B14" s="146">
        <f ca="1">TblImps[[#This Row],[Time]]</f>
        <v>44811.166666666642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7">
        <f ca="1">TblPop[[#This Row],[Military]]/TblPop[[#This Row],[Total]]</f>
        <v>0.21859545004945599</v>
      </c>
      <c r="H14" s="148">
        <f ca="1">MIN(TblPop[[#This Row],[Peasants]],TblPop[[#This Row],[Jobs]])</f>
        <v>1580</v>
      </c>
      <c r="I14" s="147">
        <f ca="1">MIN(OFFSET(TblPop[[#This Row],[Jobs]],1,0)/TblPop[[#This Row],[Peasants]],1)</f>
        <v>1</v>
      </c>
      <c r="J14" s="148">
        <f ca="1">SUM(TblConstr[[#This Row],[Tot Alc]:[Tot GT]],TblConstr[[#This Row],[Tot Shr]:[Tot Doc]],TblConstr[[#This Row],[Dest Alc]:[Dest GT]],TblConstr[[#This Row],[Dest Shr]:[Dest Doc]])*building_employment</f>
        <v>1600</v>
      </c>
      <c r="K14" s="149"/>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50"/>
      <c r="U14" s="97">
        <f ca="1">ROUND(TblPop[[#This Row],[Raw max]]*(1+TblPop[[#This Row],[Max pop]]),0)+MIN(TblPop[[#This Row],[Military]]-TblPop[[#This Row],[Draftees]]-SUM(TblMili[[#This Row],[Train Unit 1]:[Train Arch]]),ROUND((barracks_size + tech_8_3*TblTech[[#This Row],[8-3]])*(1 + Production!O14/100*prestige_pop_multiplier),0)*TblConstr[[#This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Row],[Peasants]]*Constants!$B$54,0), 0)</f>
        <v>16</v>
      </c>
      <c r="AA14" s="150"/>
      <c r="AB14" s="151">
        <f ca="1">Overview!$I$16 + IF(Magic!AE14&gt;0,Constants!$F$78) + ROUND(6*(Construction!BM15+Construction!CK14)/IF(Explore!S15&gt;0,Construction!F15-20,Construction!F15),4) + tech_6_5_2*Techs!BJ14 + tech_8_4*Techs!BT14</f>
        <v>0</v>
      </c>
      <c r="AC14" s="147">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45">
        <f>TblRezone[[#This Row],[Hour]]</f>
        <v>12</v>
      </c>
      <c r="B15" s="146">
        <f ca="1">TblImps[[#This Row],[Time]]</f>
        <v>44811.208333333307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7">
        <f ca="1">TblPop[[#This Row],[Military]]/TblPop[[#This Row],[Total]]</f>
        <v>0.22136297728371193</v>
      </c>
      <c r="H15" s="148">
        <f ca="1">MIN(TblPop[[#This Row],[Peasants]],TblPop[[#This Row],[Jobs]])</f>
        <v>1600</v>
      </c>
      <c r="I15" s="147">
        <f ca="1">MIN(OFFSET(TblPop[[#This Row],[Jobs]],1,0)/TblPop[[#This Row],[Peasants]],1)</f>
        <v>0.99317194289261324</v>
      </c>
      <c r="J15" s="148">
        <f ca="1">SUM(TblConstr[[#This Row],[Tot Alc]:[Tot GT]],TblConstr[[#This Row],[Tot Shr]:[Tot Doc]],TblConstr[[#This Row],[Dest Alc]:[Dest GT]],TblConstr[[#This Row],[Dest Shr]:[Dest Doc]])*building_employment</f>
        <v>1600</v>
      </c>
      <c r="K15" s="149"/>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50"/>
      <c r="U15" s="97">
        <f ca="1">ROUND(TblPop[[#This Row],[Raw max]]*(1+TblPop[[#This Row],[Max pop]]),0)+MIN(TblPop[[#This Row],[Military]]-TblPop[[#This Row],[Draftees]]-SUM(TblMili[[#This Row],[Train Unit 1]:[Train Arch]]),ROUND((barracks_size + tech_8_3*TblTech[[#This Row],[8-3]])*(1 + Production!O15/100*prestige_pop_multiplier),0)*TblConstr[[#This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Row],[Peasants]]*Constants!$B$54,0), 0)</f>
        <v>16</v>
      </c>
      <c r="AA15" s="150"/>
      <c r="AB15" s="151">
        <f ca="1">Overview!$I$16 + IF(Magic!AE15&gt;0,Constants!$F$78) + ROUND(6*(Construction!BM16+Construction!CK15)/IF(Explore!S16&gt;0,Construction!F16-20,Construction!F16),4) + tech_6_5_2*Techs!BJ15 + tech_8_4*Techs!BT15</f>
        <v>0</v>
      </c>
      <c r="AC15" s="147">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45">
        <f>TblRezone[[#This Row],[Hour]]</f>
        <v>13</v>
      </c>
      <c r="B16" s="146">
        <f ca="1">TblImps[[#This Row],[Time]]</f>
        <v>44811.249999999971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7">
        <f ca="1">TblPop[[#This Row],[Military]]/TblPop[[#This Row],[Total]]</f>
        <v>0.22390174775625885</v>
      </c>
      <c r="H16" s="148">
        <f ca="1">MIN(TblPop[[#This Row],[Peasants]],TblPop[[#This Row],[Jobs]])</f>
        <v>1600</v>
      </c>
      <c r="I16" s="147">
        <f ca="1">MIN(OFFSET(TblPop[[#This Row],[Jobs]],1,0)/TblPop[[#This Row],[Peasants]],1)</f>
        <v>0.9738283627510651</v>
      </c>
      <c r="J16" s="148">
        <f ca="1">SUM(TblConstr[[#This Row],[Tot Alc]:[Tot GT]],TblConstr[[#This Row],[Tot Shr]:[Tot Doc]],TblConstr[[#This Row],[Dest Alc]:[Dest GT]],TblConstr[[#This Row],[Dest Shr]:[Dest Doc]])*building_employment</f>
        <v>1600</v>
      </c>
      <c r="K16" s="149"/>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50"/>
      <c r="U16" s="97">
        <f ca="1">ROUND(TblPop[[#This Row],[Raw max]]*(1+TblPop[[#This Row],[Max pop]]),0)+MIN(TblPop[[#This Row],[Military]]-TblPop[[#This Row],[Draftees]]-SUM(TblMili[[#This Row],[Train Unit 1]:[Train Arch]]),ROUND((barracks_size + tech_8_3*TblTech[[#This Row],[8-3]])*(1 + Production!O16/100*prestige_pop_multiplier),0)*TblConstr[[#This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Row],[Peasants]]*Constants!$B$54,0), 0)</f>
        <v>16</v>
      </c>
      <c r="AA16" s="150"/>
      <c r="AB16" s="151">
        <f ca="1">Overview!$I$16 + IF(Magic!AE16&gt;0,Constants!$F$78) + ROUND(6*(Construction!BM17+Construction!CK16)/IF(Explore!S17&gt;0,Construction!F17-20,Construction!F17),4) + tech_6_5_2*Techs!BJ16 + tech_8_4*Techs!BT16</f>
        <v>0</v>
      </c>
      <c r="AC16" s="147">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45">
        <f>TblRezone[[#This Row],[Hour]]</f>
        <v>14</v>
      </c>
      <c r="B17" s="146">
        <f ca="1">TblImps[[#This Row],[Time]]</f>
        <v>44811.291666666635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7">
        <f ca="1">TblPop[[#This Row],[Military]]/TblPop[[#This Row],[Total]]</f>
        <v>0.22622345337026778</v>
      </c>
      <c r="H17" s="148">
        <f ca="1">MIN(TblPop[[#This Row],[Peasants]],TblPop[[#This Row],[Jobs]])</f>
        <v>1600</v>
      </c>
      <c r="I17" s="147">
        <f ca="1">MIN(OFFSET(TblPop[[#This Row],[Jobs]],1,0)/TblPop[[#This Row],[Peasants]],1)</f>
        <v>0.95465393794749398</v>
      </c>
      <c r="J17" s="148">
        <f ca="1">SUM(TblConstr[[#This Row],[Tot Alc]:[Tot GT]],TblConstr[[#This Row],[Tot Shr]:[Tot Doc]],TblConstr[[#This Row],[Dest Alc]:[Dest GT]],TblConstr[[#This Row],[Dest Shr]:[Dest Doc]])*building_employment</f>
        <v>1600</v>
      </c>
      <c r="K17" s="149"/>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50"/>
      <c r="U17" s="97">
        <f ca="1">ROUND(TblPop[[#This Row],[Raw max]]*(1+TblPop[[#This Row],[Max pop]]),0)+MIN(TblPop[[#This Row],[Military]]-TblPop[[#This Row],[Draftees]]-SUM(TblMili[[#This Row],[Train Unit 1]:[Train Arch]]),ROUND((barracks_size + tech_8_3*TblTech[[#This Row],[8-3]])*(1 + Production!O17/100*prestige_pop_multiplier),0)*TblConstr[[#This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Row],[Peasants]]*Constants!$B$54,0), 0)</f>
        <v>17</v>
      </c>
      <c r="AA17" s="150"/>
      <c r="AB17" s="151">
        <f ca="1">Overview!$I$16 + IF(Magic!AE17&gt;0,Constants!$F$78) + ROUND(6*(Construction!BM18+Construction!CK17)/IF(Explore!S18&gt;0,Construction!F18-20,Construction!F18),4) + tech_6_5_2*Techs!BJ17 + tech_8_4*Techs!BT17</f>
        <v>0</v>
      </c>
      <c r="AC17" s="147">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45">
        <f>TblRezone[[#This Row],[Hour]]</f>
        <v>15</v>
      </c>
      <c r="B18" s="146">
        <f ca="1">TblImps[[#This Row],[Time]]</f>
        <v>44811.333333333299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7">
        <f ca="1">TblPop[[#This Row],[Military]]/TblPop[[#This Row],[Total]]</f>
        <v>0.22879061371841156</v>
      </c>
      <c r="H18" s="148">
        <f ca="1">MIN(TblPop[[#This Row],[Peasants]],TblPop[[#This Row],[Jobs]])</f>
        <v>1600</v>
      </c>
      <c r="I18" s="147">
        <f ca="1">MIN(OFFSET(TblPop[[#This Row],[Jobs]],1,0)/TblPop[[#This Row],[Peasants]],1)</f>
        <v>0.93622001170275015</v>
      </c>
      <c r="J18" s="148">
        <f ca="1">SUM(TblConstr[[#This Row],[Tot Alc]:[Tot GT]],TblConstr[[#This Row],[Tot Shr]:[Tot Doc]],TblConstr[[#This Row],[Dest Alc]:[Dest GT]],TblConstr[[#This Row],[Dest Shr]:[Dest Doc]])*building_employment</f>
        <v>1600</v>
      </c>
      <c r="K18" s="149"/>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50"/>
      <c r="U18" s="97">
        <f ca="1">ROUND(TblPop[[#This Row],[Raw max]]*(1+TblPop[[#This Row],[Max pop]]),0)+MIN(TblPop[[#This Row],[Military]]-TblPop[[#This Row],[Draftees]]-SUM(TblMili[[#This Row],[Train Unit 1]:[Train Arch]]),ROUND((barracks_size + tech_8_3*TblTech[[#This Row],[8-3]])*(1 + Production!O18/100*prestige_pop_multiplier),0)*TblConstr[[#This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Row],[Peasants]]*Constants!$B$54,0), 0)</f>
        <v>17</v>
      </c>
      <c r="AA18" s="150"/>
      <c r="AB18" s="151">
        <f ca="1">Overview!$I$16 + IF(Magic!AE18&gt;0,Constants!$F$78) + ROUND(6*(Construction!BM19+Construction!CK18)/IF(Explore!S19&gt;0,Construction!F19-20,Construction!F19),4) + tech_6_5_2*Techs!BJ18 + tech_8_4*Techs!BT18</f>
        <v>0</v>
      </c>
      <c r="AC18" s="147">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45">
        <f>TblRezone[[#This Row],[Hour]]</f>
        <v>16</v>
      </c>
      <c r="B19" s="146">
        <f ca="1">TblImps[[#This Row],[Time]]</f>
        <v>44811.374999999964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7">
        <f ca="1">TblPop[[#This Row],[Military]]/TblPop[[#This Row],[Total]]</f>
        <v>0.23114247904719895</v>
      </c>
      <c r="H19" s="148">
        <f ca="1">MIN(TblPop[[#This Row],[Peasants]],TblPop[[#This Row],[Jobs]])</f>
        <v>1600</v>
      </c>
      <c r="I19" s="147">
        <f ca="1">MIN(OFFSET(TblPop[[#This Row],[Jobs]],1,0)/TblPop[[#This Row],[Peasants]],1)</f>
        <v>0.91795754446356859</v>
      </c>
      <c r="J19" s="148">
        <f ca="1">SUM(TblConstr[[#This Row],[Tot Alc]:[Tot GT]],TblConstr[[#This Row],[Tot Shr]:[Tot Doc]],TblConstr[[#This Row],[Dest Alc]:[Dest GT]],TblConstr[[#This Row],[Dest Shr]:[Dest Doc]])*building_employment</f>
        <v>1600</v>
      </c>
      <c r="K19" s="149"/>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50"/>
      <c r="U19" s="97">
        <f ca="1">ROUND(TblPop[[#This Row],[Raw max]]*(1+TblPop[[#This Row],[Max pop]]),0)+MIN(TblPop[[#This Row],[Military]]-TblPop[[#This Row],[Draftees]]-SUM(TblMili[[#This Row],[Train Unit 1]:[Train Arch]]),ROUND((barracks_size + tech_8_3*TblTech[[#This Row],[8-3]])*(1 + Production!O19/100*prestige_pop_multiplier),0)*TblConstr[[#This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Row],[Peasants]]*Constants!$B$54,0), 0)</f>
        <v>17</v>
      </c>
      <c r="AA19" s="150"/>
      <c r="AB19" s="151">
        <f ca="1">Overview!$I$16 + IF(Magic!AE19&gt;0,Constants!$F$78) + ROUND(6*(Construction!BM20+Construction!CK19)/IF(Explore!S20&gt;0,Construction!F20-20,Construction!F20),4) + tech_6_5_2*Techs!BJ19 + tech_8_4*Techs!BT19</f>
        <v>0</v>
      </c>
      <c r="AC19" s="147">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45">
        <f>TblRezone[[#This Row],[Hour]]</f>
        <v>17</v>
      </c>
      <c r="B20" s="146">
        <f ca="1">TblImps[[#This Row],[Time]]</f>
        <v>44811.416666666628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7">
        <f ca="1">TblPop[[#This Row],[Military]]/TblPop[[#This Row],[Total]]</f>
        <v>0.23329021129797325</v>
      </c>
      <c r="H20" s="148">
        <f ca="1">MIN(TblPop[[#This Row],[Peasants]],TblPop[[#This Row],[Jobs]])</f>
        <v>1600</v>
      </c>
      <c r="I20" s="147">
        <f ca="1">MIN(OFFSET(TblPop[[#This Row],[Jobs]],1,0)/TblPop[[#This Row],[Peasants]],1)</f>
        <v>0.89988751406074241</v>
      </c>
      <c r="J20" s="148">
        <f ca="1">SUM(TblConstr[[#This Row],[Tot Alc]:[Tot GT]],TblConstr[[#This Row],[Tot Shr]:[Tot Doc]],TblConstr[[#This Row],[Dest Alc]:[Dest GT]],TblConstr[[#This Row],[Dest Shr]:[Dest Doc]])*building_employment</f>
        <v>1600</v>
      </c>
      <c r="K20" s="149"/>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50"/>
      <c r="U20" s="97">
        <f ca="1">ROUND(TblPop[[#This Row],[Raw max]]*(1+TblPop[[#This Row],[Max pop]]),0)+MIN(TblPop[[#This Row],[Military]]-TblPop[[#This Row],[Draftees]]-SUM(TblMili[[#This Row],[Train Unit 1]:[Train Arch]]),ROUND((barracks_size + tech_8_3*TblTech[[#This Row],[8-3]])*(1 + Production!O20/100*prestige_pop_multiplier),0)*TblConstr[[#This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Row],[Peasants]]*Constants!$B$54,0), 0)</f>
        <v>18</v>
      </c>
      <c r="AA20" s="150"/>
      <c r="AB20" s="151">
        <f ca="1">Overview!$I$16 + IF(Magic!AE20&gt;0,Constants!$F$78) + ROUND(6*(Construction!BM21+Construction!CK20)/IF(Explore!S21&gt;0,Construction!F21-20,Construction!F21),4) + tech_6_5_2*Techs!BJ20 + tech_8_4*Techs!BT20</f>
        <v>0</v>
      </c>
      <c r="AC20" s="147">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45">
        <f>TblRezone[[#This Row],[Hour]]</f>
        <v>18</v>
      </c>
      <c r="B21" s="146">
        <f ca="1">TblImps[[#This Row],[Time]]</f>
        <v>44811.458333333292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7">
        <f ca="1">TblPop[[#This Row],[Military]]/TblPop[[#This Row],[Total]]</f>
        <v>0.23706530958439356</v>
      </c>
      <c r="H21" s="148">
        <f ca="1">MIN(TblPop[[#This Row],[Peasants]],TblPop[[#This Row],[Jobs]])</f>
        <v>1600</v>
      </c>
      <c r="I21" s="147">
        <f ca="1">MIN(OFFSET(TblPop[[#This Row],[Jobs]],1,0)/TblPop[[#This Row],[Peasants]],1)</f>
        <v>0.88938299055030567</v>
      </c>
      <c r="J21" s="148">
        <f ca="1">SUM(TblConstr[[#This Row],[Tot Alc]:[Tot GT]],TblConstr[[#This Row],[Tot Shr]:[Tot Doc]],TblConstr[[#This Row],[Dest Alc]:[Dest GT]],TblConstr[[#This Row],[Dest Shr]:[Dest Doc]])*building_employment</f>
        <v>1600</v>
      </c>
      <c r="K21" s="149"/>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50"/>
      <c r="U21" s="97">
        <f ca="1">ROUND(TblPop[[#This Row],[Raw max]]*(1+TblPop[[#This Row],[Max pop]]),0)+MIN(TblPop[[#This Row],[Military]]-TblPop[[#This Row],[Draftees]]-SUM(TblMili[[#This Row],[Train Unit 1]:[Train Arch]]),ROUND((barracks_size + tech_8_3*TblTech[[#This Row],[8-3]])*(1 + Production!O21/100*prestige_pop_multiplier),0)*TblConstr[[#This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Row],[Peasants]]*Constants!$B$54,0), 0)</f>
        <v>18</v>
      </c>
      <c r="AA21" s="150"/>
      <c r="AB21" s="151">
        <f ca="1">Overview!$I$16 + IF(Magic!AE21&gt;0,Constants!$F$78) + ROUND(6*(Construction!BM22+Construction!CK21)/IF(Explore!S22&gt;0,Construction!F22-20,Construction!F22),4) + tech_6_5_2*Techs!BJ21 + tech_8_4*Techs!BT21</f>
        <v>0</v>
      </c>
      <c r="AC21" s="147">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45">
        <f>TblRezone[[#This Row],[Hour]]</f>
        <v>19</v>
      </c>
      <c r="B22" s="146">
        <f ca="1">TblImps[[#This Row],[Time]]</f>
        <v>44811.499999999956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7">
        <f ca="1">TblPop[[#This Row],[Military]]/TblPop[[#This Row],[Total]]</f>
        <v>0.24469889737065309</v>
      </c>
      <c r="H22" s="148">
        <f ca="1">MIN(TblPop[[#This Row],[Peasants]],TblPop[[#This Row],[Jobs]])</f>
        <v>1600</v>
      </c>
      <c r="I22" s="147">
        <f ca="1">MIN(OFFSET(TblPop[[#This Row],[Jobs]],1,0)/TblPop[[#This Row],[Peasants]],1)</f>
        <v>0.89837170129140931</v>
      </c>
      <c r="J22" s="148">
        <f ca="1">SUM(TblConstr[[#This Row],[Tot Alc]:[Tot GT]],TblConstr[[#This Row],[Tot Shr]:[Tot Doc]],TblConstr[[#This Row],[Dest Alc]:[Dest GT]],TblConstr[[#This Row],[Dest Shr]:[Dest Doc]])*building_employment</f>
        <v>1600</v>
      </c>
      <c r="K22" s="149"/>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50"/>
      <c r="U22" s="97">
        <f ca="1">ROUND(TblPop[[#This Row],[Raw max]]*(1+TblPop[[#This Row],[Max pop]]),0)+MIN(TblPop[[#This Row],[Military]]-TblPop[[#This Row],[Draftees]]-SUM(TblMili[[#This Row],[Train Unit 1]:[Train Arch]]),ROUND((barracks_size + tech_8_3*TblTech[[#This Row],[8-3]])*(1 + Production!O22/100*prestige_pop_multiplier),0)*TblConstr[[#This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Row],[Peasants]]*Constants!$B$54,0), 0)</f>
        <v>18</v>
      </c>
      <c r="AA22" s="150"/>
      <c r="AB22" s="151">
        <f ca="1">Overview!$I$16 + IF(Magic!AE22&gt;0,Constants!$F$78) + ROUND(6*(Construction!BM23+Construction!CK22)/IF(Explore!S23&gt;0,Construction!F23-20,Construction!F23),4) + tech_6_5_2*Techs!BJ22 + tech_8_4*Techs!BT22</f>
        <v>0</v>
      </c>
      <c r="AC22" s="147">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45">
        <f>TblRezone[[#This Row],[Hour]]</f>
        <v>20</v>
      </c>
      <c r="B23" s="146">
        <f ca="1">TblImps[[#This Row],[Time]]</f>
        <v>44811.541666666621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7">
        <f ca="1">TblPop[[#This Row],[Military]]/TblPop[[#This Row],[Total]]</f>
        <v>0.25233248515691264</v>
      </c>
      <c r="H23" s="148">
        <f ca="1">MIN(TblPop[[#This Row],[Peasants]],TblPop[[#This Row],[Jobs]])</f>
        <v>1600</v>
      </c>
      <c r="I23" s="147">
        <f ca="1">MIN(OFFSET(TblPop[[#This Row],[Jobs]],1,0)/TblPop[[#This Row],[Peasants]],1)</f>
        <v>0.90754395916052188</v>
      </c>
      <c r="J23" s="148">
        <f ca="1">SUM(TblConstr[[#This Row],[Tot Alc]:[Tot GT]],TblConstr[[#This Row],[Tot Shr]:[Tot Doc]],TblConstr[[#This Row],[Dest Alc]:[Dest GT]],TblConstr[[#This Row],[Dest Shr]:[Dest Doc]])*building_employment</f>
        <v>1600</v>
      </c>
      <c r="K23" s="149"/>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50"/>
      <c r="U23" s="97">
        <f ca="1">ROUND(TblPop[[#This Row],[Raw max]]*(1+TblPop[[#This Row],[Max pop]]),0)+MIN(TblPop[[#This Row],[Military]]-TblPop[[#This Row],[Draftees]]-SUM(TblMili[[#This Row],[Train Unit 1]:[Train Arch]]),ROUND((barracks_size + tech_8_3*TblTech[[#This Row],[8-3]])*(1 + Production!O23/100*prestige_pop_multiplier),0)*TblConstr[[#This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Row],[Peasants]]*Constants!$B$54,0), 0)</f>
        <v>18</v>
      </c>
      <c r="AA23" s="150"/>
      <c r="AB23" s="151">
        <f ca="1">Overview!$I$16 + IF(Magic!AE23&gt;0,Constants!$F$78) + ROUND(6*(Construction!BM24+Construction!CK23)/IF(Explore!S24&gt;0,Construction!F24-20,Construction!F24),4) + tech_6_5_2*Techs!BJ23 + tech_8_4*Techs!BT23</f>
        <v>0</v>
      </c>
      <c r="AC23" s="147">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45">
        <f>TblRezone[[#This Row],[Hour]]</f>
        <v>21</v>
      </c>
      <c r="B24" s="146">
        <f ca="1">TblImps[[#This Row],[Time]]</f>
        <v>44811.583333333285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7">
        <f ca="1">TblPop[[#This Row],[Military]]/TblPop[[#This Row],[Total]]</f>
        <v>0.2599660729431722</v>
      </c>
      <c r="H24" s="148">
        <f ca="1">MIN(TblPop[[#This Row],[Peasants]],TblPop[[#This Row],[Jobs]])</f>
        <v>1600</v>
      </c>
      <c r="I24" s="147">
        <f ca="1">MIN(OFFSET(TblPop[[#This Row],[Jobs]],1,0)/TblPop[[#This Row],[Peasants]],1)</f>
        <v>0.91690544412607455</v>
      </c>
      <c r="J24" s="148">
        <f ca="1">SUM(TblConstr[[#This Row],[Tot Alc]:[Tot GT]],TblConstr[[#This Row],[Tot Shr]:[Tot Doc]],TblConstr[[#This Row],[Dest Alc]:[Dest GT]],TblConstr[[#This Row],[Dest Shr]:[Dest Doc]])*building_employment</f>
        <v>1600</v>
      </c>
      <c r="K24" s="149"/>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50"/>
      <c r="U24" s="97">
        <f ca="1">ROUND(TblPop[[#This Row],[Raw max]]*(1+TblPop[[#This Row],[Max pop]]),0)+MIN(TblPop[[#This Row],[Military]]-TblPop[[#This Row],[Draftees]]-SUM(TblMili[[#This Row],[Train Unit 1]:[Train Arch]]),ROUND((barracks_size + tech_8_3*TblTech[[#This Row],[8-3]])*(1 + Production!O24/100*prestige_pop_multiplier),0)*TblConstr[[#This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Row],[Peasants]]*Constants!$B$54,0), 0)</f>
        <v>17</v>
      </c>
      <c r="AA24" s="150"/>
      <c r="AB24" s="151">
        <f ca="1">Overview!$I$16 + IF(Magic!AE24&gt;0,Constants!$F$78) + ROUND(6*(Construction!BM25+Construction!CK24)/IF(Explore!S25&gt;0,Construction!F25-20,Construction!F25),4) + tech_6_5_2*Techs!BJ24 + tech_8_4*Techs!BT24</f>
        <v>0</v>
      </c>
      <c r="AC24" s="147">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45">
        <f>TblRezone[[#This Row],[Hour]]</f>
        <v>22</v>
      </c>
      <c r="B25" s="146">
        <f ca="1">TblImps[[#This Row],[Time]]</f>
        <v>44811.624999999949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7">
        <f ca="1">TblPop[[#This Row],[Military]]/TblPop[[#This Row],[Total]]</f>
        <v>0.26717557251908397</v>
      </c>
      <c r="H25" s="148">
        <f ca="1">MIN(TblPop[[#This Row],[Peasants]],TblPop[[#This Row],[Jobs]])</f>
        <v>1600</v>
      </c>
      <c r="I25" s="147">
        <f ca="1">MIN(OFFSET(TblPop[[#This Row],[Jobs]],1,0)/TblPop[[#This Row],[Peasants]],1)</f>
        <v>0.92592592592592593</v>
      </c>
      <c r="J25" s="148">
        <f ca="1">SUM(TblConstr[[#This Row],[Tot Alc]:[Tot GT]],TblConstr[[#This Row],[Tot Shr]:[Tot Doc]],TblConstr[[#This Row],[Dest Alc]:[Dest GT]],TblConstr[[#This Row],[Dest Shr]:[Dest Doc]])*building_employment</f>
        <v>1600</v>
      </c>
      <c r="K25" s="149"/>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50"/>
      <c r="U25" s="97">
        <f ca="1">ROUND(TblPop[[#This Row],[Raw max]]*(1+TblPop[[#This Row],[Max pop]]),0)+MIN(TblPop[[#This Row],[Military]]-TblPop[[#This Row],[Draftees]]-SUM(TblMili[[#This Row],[Train Unit 1]:[Train Arch]]),ROUND((barracks_size + tech_8_3*TblTech[[#This Row],[8-3]])*(1 + Production!O25/100*prestige_pop_multiplier),0)*TblConstr[[#This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Row],[Peasants]]*Constants!$B$54,0), 0)</f>
        <v>17</v>
      </c>
      <c r="AA25" s="150"/>
      <c r="AB25" s="151">
        <f ca="1">Overview!$I$16 + IF(Magic!AE25&gt;0,Constants!$F$78) + ROUND(6*(Construction!BM26+Construction!CK25)/IF(Explore!S26&gt;0,Construction!F26-20,Construction!F26),4) + tech_6_5_2*Techs!BJ25 + tech_8_4*Techs!BT25</f>
        <v>0</v>
      </c>
      <c r="AC25" s="147">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45">
        <f>TblRezone[[#This Row],[Hour]]</f>
        <v>23</v>
      </c>
      <c r="B26" s="146">
        <f ca="1">TblImps[[#This Row],[Time]]</f>
        <v>44811.666666666613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7">
        <f ca="1">TblPop[[#This Row],[Military]]/TblPop[[#This Row],[Total]]</f>
        <v>0.27438507209499574</v>
      </c>
      <c r="H26" s="148">
        <f ca="1">MIN(TblPop[[#This Row],[Peasants]],TblPop[[#This Row],[Jobs]])</f>
        <v>1600</v>
      </c>
      <c r="I26" s="147">
        <f ca="1">MIN(OFFSET(TblPop[[#This Row],[Jobs]],1,0)/TblPop[[#This Row],[Peasants]],1)</f>
        <v>0.93512565751022791</v>
      </c>
      <c r="J26" s="148">
        <f ca="1">SUM(TblConstr[[#This Row],[Tot Alc]:[Tot GT]],TblConstr[[#This Row],[Tot Shr]:[Tot Doc]],TblConstr[[#This Row],[Dest Alc]:[Dest GT]],TblConstr[[#This Row],[Dest Shr]:[Dest Doc]])*building_employment</f>
        <v>1600</v>
      </c>
      <c r="K26" s="149"/>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50"/>
      <c r="U26" s="97">
        <f ca="1">ROUND(TblPop[[#This Row],[Raw max]]*(1+TblPop[[#This Row],[Max pop]]),0)+MIN(TblPop[[#This Row],[Military]]-TblPop[[#This Row],[Draftees]]-SUM(TblMili[[#This Row],[Train Unit 1]:[Train Arch]]),ROUND((barracks_size + tech_8_3*TblTech[[#This Row],[8-3]])*(1 + Production!O26/100*prestige_pop_multiplier),0)*TblConstr[[#This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Row],[Peasants]]*Constants!$B$54,0), 0)</f>
        <v>17</v>
      </c>
      <c r="AA26" s="150"/>
      <c r="AB26" s="151">
        <f ca="1">Overview!$I$16 + IF(Magic!AE26&gt;0,Constants!$F$78) + ROUND(6*(Construction!BM27+Construction!CK26)/IF(Explore!S27&gt;0,Construction!F27-20,Construction!F27),4) + tech_6_5_2*Techs!BJ26 + tech_8_4*Techs!BT26</f>
        <v>0</v>
      </c>
      <c r="AC26" s="147">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45">
        <f>TblRezone[[#This Row],[Hour]]</f>
        <v>24</v>
      </c>
      <c r="B27" s="146">
        <f ca="1">TblImps[[#This Row],[Time]]</f>
        <v>44811.708333333278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7">
        <f ca="1">TblPop[[#This Row],[Military]]/TblPop[[#This Row],[Total]]</f>
        <v>0.28159457167090757</v>
      </c>
      <c r="H27" s="148">
        <f ca="1">MIN(TblPop[[#This Row],[Peasants]],TblPop[[#This Row],[Jobs]])</f>
        <v>1600</v>
      </c>
      <c r="I27" s="147">
        <f ca="1">MIN(OFFSET(TblPop[[#This Row],[Jobs]],1,0)/TblPop[[#This Row],[Peasants]],1)</f>
        <v>0.94451003541912637</v>
      </c>
      <c r="J27" s="148">
        <f ca="1">SUM(TblConstr[[#This Row],[Tot Alc]:[Tot GT]],TblConstr[[#This Row],[Tot Shr]:[Tot Doc]],TblConstr[[#This Row],[Dest Alc]:[Dest GT]],TblConstr[[#This Row],[Dest Shr]:[Dest Doc]])*building_employment</f>
        <v>1600</v>
      </c>
      <c r="K27" s="149"/>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50"/>
      <c r="U27" s="97">
        <f ca="1">ROUND(TblPop[[#This Row],[Raw max]]*(1+TblPop[[#This Row],[Max pop]]),0)+MIN(TblPop[[#This Row],[Military]]-TblPop[[#This Row],[Draftees]]-SUM(TblMili[[#This Row],[Train Unit 1]:[Train Arch]]),ROUND((barracks_size + tech_8_3*TblTech[[#This Row],[8-3]])*(1 + Production!O27/100*prestige_pop_multiplier),0)*TblConstr[[#This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Row],[Peasants]]*Constants!$B$54,0), 0)</f>
        <v>17</v>
      </c>
      <c r="AA27" s="150"/>
      <c r="AB27" s="151">
        <f ca="1">Overview!$I$16 + IF(Magic!AE27&gt;0,Constants!$F$78) + ROUND(6*(Construction!BM28+Construction!CK27)/IF(Explore!S28&gt;0,Construction!F28-20,Construction!F28),4) + tech_6_5_2*Techs!BJ27 + tech_8_4*Techs!BT27</f>
        <v>0</v>
      </c>
      <c r="AC27" s="147">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45">
        <f>TblRezone[[#This Row],[Hour]]</f>
        <v>25</v>
      </c>
      <c r="B28" s="146">
        <f ca="1">TblImps[[#This Row],[Time]]</f>
        <v>44811.749999999942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7">
        <f ca="1">TblPop[[#This Row],[Military]]/TblPop[[#This Row],[Total]]</f>
        <v>0.28880407124681934</v>
      </c>
      <c r="H28" s="148">
        <f ca="1">MIN(TblPop[[#This Row],[Peasants]],TblPop[[#This Row],[Jobs]])</f>
        <v>1600</v>
      </c>
      <c r="I28" s="147">
        <f ca="1">MIN(OFFSET(TblPop[[#This Row],[Jobs]],1,0)/TblPop[[#This Row],[Peasants]],1)</f>
        <v>0.95408467501490757</v>
      </c>
      <c r="J28" s="148">
        <f ca="1">SUM(TblConstr[[#This Row],[Tot Alc]:[Tot GT]],TblConstr[[#This Row],[Tot Shr]:[Tot Doc]],TblConstr[[#This Row],[Dest Alc]:[Dest GT]],TblConstr[[#This Row],[Dest Shr]:[Dest Doc]])*building_employment</f>
        <v>1600</v>
      </c>
      <c r="K28" s="149"/>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50"/>
      <c r="U28" s="97">
        <f ca="1">ROUND(TblPop[[#This Row],[Raw max]]*(1+TblPop[[#This Row],[Max pop]]),0)+MIN(TblPop[[#This Row],[Military]]-TblPop[[#This Row],[Draftees]]-SUM(TblMili[[#This Row],[Train Unit 1]:[Train Arch]]),ROUND((barracks_size + tech_8_3*TblTech[[#This Row],[8-3]])*(1 + Production!O28/100*prestige_pop_multiplier),0)*TblConstr[[#This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Row],[Peasants]]*Constants!$B$54,0), 0)</f>
        <v>17</v>
      </c>
      <c r="AA28" s="150"/>
      <c r="AB28" s="151">
        <f ca="1">Overview!$I$16 + IF(Magic!AE28&gt;0,Constants!$F$78) + ROUND(6*(Construction!BM29+Construction!CK28)/IF(Explore!S29&gt;0,Construction!F29-20,Construction!F29),4) + tech_6_5_2*Techs!BJ28 + tech_8_4*Techs!BT28</f>
        <v>0</v>
      </c>
      <c r="AC28" s="147">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45">
        <f>TblRezone[[#This Row],[Hour]]</f>
        <v>26</v>
      </c>
      <c r="B29" s="146">
        <f ca="1">TblImps[[#This Row],[Time]]</f>
        <v>44811.791666666606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7">
        <f ca="1">TblPop[[#This Row],[Military]]/TblPop[[#This Row],[Total]]</f>
        <v>0.29601357082273111</v>
      </c>
      <c r="H29" s="148">
        <f ca="1">MIN(TblPop[[#This Row],[Peasants]],TblPop[[#This Row],[Jobs]])</f>
        <v>1600</v>
      </c>
      <c r="I29" s="147">
        <f ca="1">MIN(OFFSET(TblPop[[#This Row],[Jobs]],1,0)/TblPop[[#This Row],[Peasants]],1)</f>
        <v>0.96385542168674698</v>
      </c>
      <c r="J29" s="148">
        <f ca="1">SUM(TblConstr[[#This Row],[Tot Alc]:[Tot GT]],TblConstr[[#This Row],[Tot Shr]:[Tot Doc]],TblConstr[[#This Row],[Dest Alc]:[Dest GT]],TblConstr[[#This Row],[Dest Shr]:[Dest Doc]])*building_employment</f>
        <v>1600</v>
      </c>
      <c r="K29" s="149"/>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50"/>
      <c r="U29" s="97">
        <f ca="1">ROUND(TblPop[[#This Row],[Raw max]]*(1+TblPop[[#This Row],[Max pop]]),0)+MIN(TblPop[[#This Row],[Military]]-TblPop[[#This Row],[Draftees]]-SUM(TblMili[[#This Row],[Train Unit 1]:[Train Arch]]),ROUND((barracks_size + tech_8_3*TblTech[[#This Row],[8-3]])*(1 + Production!O29/100*prestige_pop_multiplier),0)*TblConstr[[#This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Row],[Peasants]]*Constants!$B$54,0), 0)</f>
        <v>17</v>
      </c>
      <c r="AA29" s="150"/>
      <c r="AB29" s="151">
        <f ca="1">Overview!$I$16 + IF(Magic!AE29&gt;0,Constants!$F$78) + ROUND(6*(Construction!BM30+Construction!CK29)/IF(Explore!S30&gt;0,Construction!F30-20,Construction!F30),4) + tech_6_5_2*Techs!BJ29 + tech_8_4*Techs!BT29</f>
        <v>0</v>
      </c>
      <c r="AC29" s="147">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45">
        <f>TblRezone[[#This Row],[Hour]]</f>
        <v>27</v>
      </c>
      <c r="B30" s="146">
        <f ca="1">TblImps[[#This Row],[Time]]</f>
        <v>44811.83333333327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7">
        <f ca="1">TblPop[[#This Row],[Military]]/TblPop[[#This Row],[Total]]</f>
        <v>0.30322307039864294</v>
      </c>
      <c r="H30" s="148">
        <f ca="1">MIN(TblPop[[#This Row],[Peasants]],TblPop[[#This Row],[Jobs]])</f>
        <v>1600</v>
      </c>
      <c r="I30" s="147">
        <f ca="1">MIN(OFFSET(TblPop[[#This Row],[Jobs]],1,0)/TblPop[[#This Row],[Peasants]],1)</f>
        <v>0.9738283627510651</v>
      </c>
      <c r="J30" s="148">
        <f ca="1">SUM(TblConstr[[#This Row],[Tot Alc]:[Tot GT]],TblConstr[[#This Row],[Tot Shr]:[Tot Doc]],TblConstr[[#This Row],[Dest Alc]:[Dest GT]],TblConstr[[#This Row],[Dest Shr]:[Dest Doc]])*building_employment</f>
        <v>1600</v>
      </c>
      <c r="K30" s="149"/>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50"/>
      <c r="U30" s="97">
        <f ca="1">ROUND(TblPop[[#This Row],[Raw max]]*(1+TblPop[[#This Row],[Max pop]]),0)+MIN(TblPop[[#This Row],[Military]]-TblPop[[#This Row],[Draftees]]-SUM(TblMili[[#This Row],[Train Unit 1]:[Train Arch]]),ROUND((barracks_size + tech_8_3*TblTech[[#This Row],[8-3]])*(1 + Production!O30/100*prestige_pop_multiplier),0)*TblConstr[[#This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Row],[Peasants]]*Constants!$B$54,0), 0)</f>
        <v>16</v>
      </c>
      <c r="AA30" s="150"/>
      <c r="AB30" s="151">
        <f ca="1">Overview!$I$16 + IF(Magic!AE30&gt;0,Constants!$F$78) + ROUND(6*(Construction!BM31+Construction!CK30)/IF(Explore!S31&gt;0,Construction!F31-20,Construction!F31),4) + tech_6_5_2*Techs!BJ30 + tech_8_4*Techs!BT30</f>
        <v>0</v>
      </c>
      <c r="AC30" s="147">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45">
        <f>TblRezone[[#This Row],[Hour]]</f>
        <v>28</v>
      </c>
      <c r="B31" s="146">
        <f ca="1">TblImps[[#This Row],[Time]]</f>
        <v>44811.874999999935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7">
        <f ca="1">TblPop[[#This Row],[Military]]/TblPop[[#This Row],[Total]]</f>
        <v>0.31000848176420698</v>
      </c>
      <c r="H31" s="148">
        <f ca="1">MIN(TblPop[[#This Row],[Peasants]],TblPop[[#This Row],[Jobs]])</f>
        <v>1600</v>
      </c>
      <c r="I31" s="147">
        <f ca="1">MIN(OFFSET(TblPop[[#This Row],[Jobs]],1,0)/TblPop[[#This Row],[Peasants]],1)</f>
        <v>0.98340503995082973</v>
      </c>
      <c r="J31" s="148">
        <f ca="1">SUM(TblConstr[[#This Row],[Tot Alc]:[Tot GT]],TblConstr[[#This Row],[Tot Shr]:[Tot Doc]],TblConstr[[#This Row],[Dest Alc]:[Dest GT]],TblConstr[[#This Row],[Dest Shr]:[Dest Doc]])*building_employment</f>
        <v>1600</v>
      </c>
      <c r="K31" s="149"/>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50"/>
      <c r="U31" s="97">
        <f ca="1">ROUND(TblPop[[#This Row],[Raw max]]*(1+TblPop[[#This Row],[Max pop]]),0)+MIN(TblPop[[#This Row],[Military]]-TblPop[[#This Row],[Draftees]]-SUM(TblMili[[#This Row],[Train Unit 1]:[Train Arch]]),ROUND((barracks_size + tech_8_3*TblTech[[#This Row],[8-3]])*(1 + Production!O31/100*prestige_pop_multiplier),0)*TblConstr[[#This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Row],[Peasants]]*Constants!$B$54,0), 0)</f>
        <v>16</v>
      </c>
      <c r="AA31" s="150"/>
      <c r="AB31" s="151">
        <f ca="1">Overview!$I$16 + IF(Magic!AE31&gt;0,Constants!$F$78) + ROUND(6*(Construction!BM32+Construction!CK31)/IF(Explore!S32&gt;0,Construction!F32-20,Construction!F32),4) + tech_6_5_2*Techs!BJ31 + tech_8_4*Techs!BT31</f>
        <v>0</v>
      </c>
      <c r="AC31" s="147">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45">
        <f>TblRezone[[#This Row],[Hour]]</f>
        <v>29</v>
      </c>
      <c r="B32" s="146">
        <f ca="1">TblImps[[#This Row],[Time]]</f>
        <v>44811.916666666599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7">
        <f ca="1">TblPop[[#This Row],[Military]]/TblPop[[#This Row],[Total]]</f>
        <v>0.31679389312977096</v>
      </c>
      <c r="H32" s="148">
        <f ca="1">MIN(TblPop[[#This Row],[Peasants]],TblPop[[#This Row],[Jobs]])</f>
        <v>1600</v>
      </c>
      <c r="I32" s="147">
        <f ca="1">MIN(OFFSET(TblPop[[#This Row],[Jobs]],1,0)/TblPop[[#This Row],[Peasants]],1)</f>
        <v>0.99317194289261324</v>
      </c>
      <c r="J32" s="148">
        <f ca="1">SUM(TblConstr[[#This Row],[Tot Alc]:[Tot GT]],TblConstr[[#This Row],[Tot Shr]:[Tot Doc]],TblConstr[[#This Row],[Dest Alc]:[Dest GT]],TblConstr[[#This Row],[Dest Shr]:[Dest Doc]])*building_employment</f>
        <v>1600</v>
      </c>
      <c r="K32" s="149"/>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50"/>
      <c r="U32" s="97">
        <f ca="1">ROUND(TblPop[[#This Row],[Raw max]]*(1+TblPop[[#This Row],[Max pop]]),0)+MIN(TblPop[[#This Row],[Military]]-TblPop[[#This Row],[Draftees]]-SUM(TblMili[[#This Row],[Train Unit 1]:[Train Arch]]),ROUND((barracks_size + tech_8_3*TblTech[[#This Row],[8-3]])*(1 + Production!O32/100*prestige_pop_multiplier),0)*TblConstr[[#This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Row],[Peasants]]*Constants!$B$54,0), 0)</f>
        <v>16</v>
      </c>
      <c r="AA32" s="150"/>
      <c r="AB32" s="151">
        <f ca="1">Overview!$I$16 + IF(Magic!AE32&gt;0,Constants!$F$78) + ROUND(6*(Construction!BM33+Construction!CK32)/IF(Explore!S33&gt;0,Construction!F33-20,Construction!F33),4) + tech_6_5_2*Techs!BJ32 + tech_8_4*Techs!BT32</f>
        <v>0</v>
      </c>
      <c r="AC32" s="147">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45">
        <f>TblRezone[[#This Row],[Hour]]</f>
        <v>30</v>
      </c>
      <c r="B33" s="146">
        <f ca="1">TblImps[[#This Row],[Time]]</f>
        <v>44811.958333333263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7">
        <f ca="1">TblPop[[#This Row],[Military]]/TblPop[[#This Row],[Total]]</f>
        <v>0.32357930449533501</v>
      </c>
      <c r="H33" s="148">
        <f ca="1">MIN(TblPop[[#This Row],[Peasants]],TblPop[[#This Row],[Jobs]])</f>
        <v>1595</v>
      </c>
      <c r="I33" s="147">
        <f ca="1">MIN(OFFSET(TblPop[[#This Row],[Jobs]],1,0)/TblPop[[#This Row],[Peasants]],1)</f>
        <v>1</v>
      </c>
      <c r="J33" s="148">
        <f ca="1">SUM(TblConstr[[#This Row],[Tot Alc]:[Tot GT]],TblConstr[[#This Row],[Tot Shr]:[Tot Doc]],TblConstr[[#This Row],[Dest Alc]:[Dest GT]],TblConstr[[#This Row],[Dest Shr]:[Dest Doc]])*building_employment</f>
        <v>1600</v>
      </c>
      <c r="K33" s="149"/>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50"/>
      <c r="U33" s="97">
        <f ca="1">ROUND(TblPop[[#This Row],[Raw max]]*(1+TblPop[[#This Row],[Max pop]]),0)+MIN(TblPop[[#This Row],[Military]]-TblPop[[#This Row],[Draftees]]-SUM(TblMili[[#This Row],[Train Unit 1]:[Train Arch]]),ROUND((barracks_size + tech_8_3*TblTech[[#This Row],[8-3]])*(1 + Production!O33/100*prestige_pop_multiplier),0)*TblConstr[[#This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Row],[Peasants]]*Constants!$B$54,0), 0)</f>
        <v>16</v>
      </c>
      <c r="AA33" s="150"/>
      <c r="AB33" s="151">
        <f ca="1">Overview!$I$16 + IF(Magic!AE33&gt;0,Constants!$F$78) + ROUND(6*(Construction!BM34+Construction!CK33)/IF(Explore!S34&gt;0,Construction!F34-20,Construction!F34),4) + tech_6_5_2*Techs!BJ33 + tech_8_4*Techs!BT33</f>
        <v>0</v>
      </c>
      <c r="AC33" s="147">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45">
        <f>TblRezone[[#This Row],[Hour]]</f>
        <v>31</v>
      </c>
      <c r="B34" s="146">
        <f ca="1">TblImps[[#This Row],[Time]]</f>
        <v>44811.999999999927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7">
        <f ca="1">TblPop[[#This Row],[Military]]/TblPop[[#This Row],[Total]]</f>
        <v>0.33036471586089905</v>
      </c>
      <c r="H34" s="148">
        <f ca="1">MIN(TblPop[[#This Row],[Peasants]],TblPop[[#This Row],[Jobs]])</f>
        <v>1579</v>
      </c>
      <c r="I34" s="147">
        <f ca="1">MIN(OFFSET(TblPop[[#This Row],[Jobs]],1,0)/TblPop[[#This Row],[Peasants]],1)</f>
        <v>1</v>
      </c>
      <c r="J34" s="148">
        <f ca="1">SUM(TblConstr[[#This Row],[Tot Alc]:[Tot GT]],TblConstr[[#This Row],[Tot Shr]:[Tot Doc]],TblConstr[[#This Row],[Dest Alc]:[Dest GT]],TblConstr[[#This Row],[Dest Shr]:[Dest Doc]])*building_employment</f>
        <v>1600</v>
      </c>
      <c r="K34" s="149"/>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50"/>
      <c r="U34" s="97">
        <f ca="1">ROUND(TblPop[[#This Row],[Raw max]]*(1+TblPop[[#This Row],[Max pop]]),0)+MIN(TblPop[[#This Row],[Military]]-TblPop[[#This Row],[Draftees]]-SUM(TblMili[[#This Row],[Train Unit 1]:[Train Arch]]),ROUND((barracks_size + tech_8_3*TblTech[[#This Row],[8-3]])*(1 + Production!O34/100*prestige_pop_multiplier),0)*TblConstr[[#This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Row],[Peasants]]*Constants!$B$54,0), 0)</f>
        <v>16</v>
      </c>
      <c r="AA34" s="150"/>
      <c r="AB34" s="151">
        <f ca="1">Overview!$I$16 + IF(Magic!AE34&gt;0,Constants!$F$78) + ROUND(6*(Construction!BM35+Construction!CK34)/IF(Explore!S35&gt;0,Construction!F35-20,Construction!F35),4) + tech_6_5_2*Techs!BJ34 + tech_8_4*Techs!BT34</f>
        <v>0</v>
      </c>
      <c r="AC34" s="147">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45">
        <f>TblRezone[[#This Row],[Hour]]</f>
        <v>32</v>
      </c>
      <c r="B35" s="146">
        <f ca="1">TblImps[[#This Row],[Time]]</f>
        <v>44812.041666666591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7">
        <f ca="1">TblPop[[#This Row],[Military]]/TblPop[[#This Row],[Total]]</f>
        <v>0.33715012722646309</v>
      </c>
      <c r="H35" s="148">
        <f ca="1">MIN(TblPop[[#This Row],[Peasants]],TblPop[[#This Row],[Jobs]])</f>
        <v>1563</v>
      </c>
      <c r="I35" s="147">
        <f ca="1">MIN(OFFSET(TblPop[[#This Row],[Jobs]],1,0)/TblPop[[#This Row],[Peasants]],1)</f>
        <v>1</v>
      </c>
      <c r="J35" s="148">
        <f ca="1">SUM(TblConstr[[#This Row],[Tot Alc]:[Tot GT]],TblConstr[[#This Row],[Tot Shr]:[Tot Doc]],TblConstr[[#This Row],[Dest Alc]:[Dest GT]],TblConstr[[#This Row],[Dest Shr]:[Dest Doc]])*building_employment</f>
        <v>1600</v>
      </c>
      <c r="K35" s="149"/>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50"/>
      <c r="U35" s="97">
        <f ca="1">ROUND(TblPop[[#This Row],[Raw max]]*(1+TblPop[[#This Row],[Max pop]]),0)+MIN(TblPop[[#This Row],[Military]]-TblPop[[#This Row],[Draftees]]-SUM(TblMili[[#This Row],[Train Unit 1]:[Train Arch]]),ROUND((barracks_size + tech_8_3*TblTech[[#This Row],[8-3]])*(1 + Production!O35/100*prestige_pop_multiplier),0)*TblConstr[[#This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Row],[Peasants]]*Constants!$B$54,0), 0)</f>
        <v>16</v>
      </c>
      <c r="AA35" s="150"/>
      <c r="AB35" s="151">
        <f ca="1">Overview!$I$16 + IF(Magic!AE35&gt;0,Constants!$F$78) + ROUND(6*(Construction!BM36+Construction!CK35)/IF(Explore!S36&gt;0,Construction!F36-20,Construction!F36),4) + tech_6_5_2*Techs!BJ35 + tech_8_4*Techs!BT35</f>
        <v>0</v>
      </c>
      <c r="AC35" s="147">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45">
        <f>TblRezone[[#This Row],[Hour]]</f>
        <v>33</v>
      </c>
      <c r="B36" s="146">
        <f ca="1">TblImps[[#This Row],[Time]]</f>
        <v>44812.083333333256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7">
        <f ca="1">TblPop[[#This Row],[Military]]/TblPop[[#This Row],[Total]]</f>
        <v>0.34393553859202713</v>
      </c>
      <c r="H36" s="148">
        <f ca="1">MIN(TblPop[[#This Row],[Peasants]],TblPop[[#This Row],[Jobs]])</f>
        <v>1547</v>
      </c>
      <c r="I36" s="147">
        <f ca="1">MIN(OFFSET(TblPop[[#This Row],[Jobs]],1,0)/TblPop[[#This Row],[Peasants]],1)</f>
        <v>1</v>
      </c>
      <c r="J36" s="148">
        <f ca="1">SUM(TblConstr[[#This Row],[Tot Alc]:[Tot GT]],TblConstr[[#This Row],[Tot Shr]:[Tot Doc]],TblConstr[[#This Row],[Dest Alc]:[Dest GT]],TblConstr[[#This Row],[Dest Shr]:[Dest Doc]])*building_employment</f>
        <v>1600</v>
      </c>
      <c r="K36" s="149"/>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50"/>
      <c r="U36" s="97">
        <f ca="1">ROUND(TblPop[[#This Row],[Raw max]]*(1+TblPop[[#This Row],[Max pop]]),0)+MIN(TblPop[[#This Row],[Military]]-TblPop[[#This Row],[Draftees]]-SUM(TblMili[[#This Row],[Train Unit 1]:[Train Arch]]),ROUND((barracks_size + tech_8_3*TblTech[[#This Row],[8-3]])*(1 + Production!O36/100*prestige_pop_multiplier),0)*TblConstr[[#This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Row],[Peasants]]*Constants!$B$54,0), 0)</f>
        <v>15</v>
      </c>
      <c r="AA36" s="150"/>
      <c r="AB36" s="151">
        <f ca="1">Overview!$I$16 + IF(Magic!AE36&gt;0,Constants!$F$78) + ROUND(6*(Construction!BM37+Construction!CK36)/IF(Explore!S37&gt;0,Construction!F37-20,Construction!F37),4) + tech_6_5_2*Techs!BJ36 + tech_8_4*Techs!BT36</f>
        <v>0</v>
      </c>
      <c r="AC36" s="147">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45">
        <f>TblRezone[[#This Row],[Hour]]</f>
        <v>34</v>
      </c>
      <c r="B37" s="146">
        <f ca="1">TblImps[[#This Row],[Time]]</f>
        <v>44812.12499999992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7">
        <f ca="1">TblPop[[#This Row],[Military]]/TblPop[[#This Row],[Total]]</f>
        <v>0.35029686174724345</v>
      </c>
      <c r="H37" s="148">
        <f ca="1">MIN(TblPop[[#This Row],[Peasants]],TblPop[[#This Row],[Jobs]])</f>
        <v>1532</v>
      </c>
      <c r="I37" s="147">
        <f ca="1">MIN(OFFSET(TblPop[[#This Row],[Jobs]],1,0)/TblPop[[#This Row],[Peasants]],1)</f>
        <v>1</v>
      </c>
      <c r="J37" s="148">
        <f ca="1">SUM(TblConstr[[#This Row],[Tot Alc]:[Tot GT]],TblConstr[[#This Row],[Tot Shr]:[Tot Doc]],TblConstr[[#This Row],[Dest Alc]:[Dest GT]],TblConstr[[#This Row],[Dest Shr]:[Dest Doc]])*building_employment</f>
        <v>1600</v>
      </c>
      <c r="K37" s="149"/>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50"/>
      <c r="U37" s="97">
        <f ca="1">ROUND(TblPop[[#This Row],[Raw max]]*(1+TblPop[[#This Row],[Max pop]]),0)+MIN(TblPop[[#This Row],[Military]]-TblPop[[#This Row],[Draftees]]-SUM(TblMili[[#This Row],[Train Unit 1]:[Train Arch]]),ROUND((barracks_size + tech_8_3*TblTech[[#This Row],[8-3]])*(1 + Production!O37/100*prestige_pop_multiplier),0)*TblConstr[[#This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Row],[Peasants]]*Constants!$B$54,0), 0)</f>
        <v>0</v>
      </c>
      <c r="AA37" s="150"/>
      <c r="AB37" s="151">
        <f ca="1">Overview!$I$16 + IF(Magic!AE37&gt;0,Constants!$F$78) + ROUND(6*(Construction!BM38+Construction!CK37)/IF(Explore!S38&gt;0,Construction!F38-20,Construction!F38),4) + tech_6_5_2*Techs!BJ37 + tech_8_4*Techs!BT37</f>
        <v>0</v>
      </c>
      <c r="AC37" s="147">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45">
        <f>TblRezone[[#This Row],[Hour]]</f>
        <v>35</v>
      </c>
      <c r="B38" s="146">
        <f ca="1">TblImps[[#This Row],[Time]]</f>
        <v>44812.166666666584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7">
        <f ca="1">TblPop[[#This Row],[Military]]/TblPop[[#This Row],[Total]]</f>
        <v>0.35029686174724345</v>
      </c>
      <c r="H38" s="148">
        <f ca="1">MIN(TblPop[[#This Row],[Peasants]],TblPop[[#This Row],[Jobs]])</f>
        <v>1532</v>
      </c>
      <c r="I38" s="147">
        <f ca="1">MIN(OFFSET(TblPop[[#This Row],[Jobs]],1,0)/TblPop[[#This Row],[Peasants]],1)</f>
        <v>1</v>
      </c>
      <c r="J38" s="148">
        <f ca="1">SUM(TblConstr[[#This Row],[Tot Alc]:[Tot GT]],TblConstr[[#This Row],[Tot Shr]:[Tot Doc]],TblConstr[[#This Row],[Dest Alc]:[Dest GT]],TblConstr[[#This Row],[Dest Shr]:[Dest Doc]])*building_employment</f>
        <v>1600</v>
      </c>
      <c r="K38" s="149"/>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50"/>
      <c r="U38" s="97">
        <f ca="1">ROUND(TblPop[[#This Row],[Raw max]]*(1+TblPop[[#This Row],[Max pop]]),0)+MIN(TblPop[[#This Row],[Military]]-TblPop[[#This Row],[Draftees]]-SUM(TblMili[[#This Row],[Train Unit 1]:[Train Arch]]),ROUND((barracks_size + tech_8_3*TblTech[[#This Row],[8-3]])*(1 + Production!O38/100*prestige_pop_multiplier),0)*TblConstr[[#This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Row],[Peasants]]*Constants!$B$54,0), 0)</f>
        <v>0</v>
      </c>
      <c r="AA38" s="150"/>
      <c r="AB38" s="151">
        <f ca="1">Overview!$I$16 + IF(Magic!AE38&gt;0,Constants!$F$78) + ROUND(6*(Construction!BM39+Construction!CK38)/IF(Explore!S39&gt;0,Construction!F39-20,Construction!F39),4) + tech_6_5_2*Techs!BJ38 + tech_8_4*Techs!BT38</f>
        <v>0</v>
      </c>
      <c r="AC38" s="147">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45">
        <f>TblRezone[[#This Row],[Hour]]</f>
        <v>36</v>
      </c>
      <c r="B39" s="146">
        <f ca="1">TblImps[[#This Row],[Time]]</f>
        <v>44812.208333333248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7">
        <f ca="1">TblPop[[#This Row],[Military]]/TblPop[[#This Row],[Total]]</f>
        <v>0.35029686174724345</v>
      </c>
      <c r="H39" s="148">
        <f ca="1">MIN(TblPop[[#This Row],[Peasants]],TblPop[[#This Row],[Jobs]])</f>
        <v>1532</v>
      </c>
      <c r="I39" s="147">
        <f ca="1">MIN(OFFSET(TblPop[[#This Row],[Jobs]],1,0)/TblPop[[#This Row],[Peasants]],1)</f>
        <v>1</v>
      </c>
      <c r="J39" s="148">
        <f ca="1">SUM(TblConstr[[#This Row],[Tot Alc]:[Tot GT]],TblConstr[[#This Row],[Tot Shr]:[Tot Doc]],TblConstr[[#This Row],[Dest Alc]:[Dest GT]],TblConstr[[#This Row],[Dest Shr]:[Dest Doc]])*building_employment</f>
        <v>1600</v>
      </c>
      <c r="K39" s="149"/>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50"/>
      <c r="U39" s="97">
        <f ca="1">ROUND(TblPop[[#This Row],[Raw max]]*(1+TblPop[[#This Row],[Max pop]]),0)+MIN(TblPop[[#This Row],[Military]]-TblPop[[#This Row],[Draftees]]-SUM(TblMili[[#This Row],[Train Unit 1]:[Train Arch]]),ROUND((barracks_size + tech_8_3*TblTech[[#This Row],[8-3]])*(1 + Production!O39/100*prestige_pop_multiplier),0)*TblConstr[[#This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Row],[Peasants]]*Constants!$B$54,0), 0)</f>
        <v>0</v>
      </c>
      <c r="AA39" s="150"/>
      <c r="AB39" s="151">
        <f ca="1">Overview!$I$16 + IF(Magic!AE39&gt;0,Constants!$F$78) + ROUND(6*(Construction!BM40+Construction!CK39)/IF(Explore!S40&gt;0,Construction!F40-20,Construction!F40),4) + tech_6_5_2*Techs!BJ39 + tech_8_4*Techs!BT39</f>
        <v>0</v>
      </c>
      <c r="AC39" s="147">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45">
        <f>TblRezone[[#This Row],[Hour]]</f>
        <v>37</v>
      </c>
      <c r="B40" s="146">
        <f ca="1">TblImps[[#This Row],[Time]]</f>
        <v>44812.249999999913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7">
        <f ca="1">TblPop[[#This Row],[Military]]/TblPop[[#This Row],[Total]]</f>
        <v>0.35029686174724345</v>
      </c>
      <c r="H40" s="148">
        <f ca="1">MIN(TblPop[[#This Row],[Peasants]],TblPop[[#This Row],[Jobs]])</f>
        <v>1532</v>
      </c>
      <c r="I40" s="147">
        <f ca="1">MIN(OFFSET(TblPop[[#This Row],[Jobs]],1,0)/TblPop[[#This Row],[Peasants]],1)</f>
        <v>1</v>
      </c>
      <c r="J40" s="148">
        <f ca="1">SUM(TblConstr[[#This Row],[Tot Alc]:[Tot GT]],TblConstr[[#This Row],[Tot Shr]:[Tot Doc]],TblConstr[[#This Row],[Dest Alc]:[Dest GT]],TblConstr[[#This Row],[Dest Shr]:[Dest Doc]])*building_employment</f>
        <v>1600</v>
      </c>
      <c r="K40" s="149"/>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50"/>
      <c r="U40" s="97">
        <f ca="1">ROUND(TblPop[[#This Row],[Raw max]]*(1+TblPop[[#This Row],[Max pop]]),0)+MIN(TblPop[[#This Row],[Military]]-TblPop[[#This Row],[Draftees]]-SUM(TblMili[[#This Row],[Train Unit 1]:[Train Arch]]),ROUND((barracks_size + tech_8_3*TblTech[[#This Row],[8-3]])*(1 + Production!O40/100*prestige_pop_multiplier),0)*TblConstr[[#This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Row],[Peasants]]*Constants!$B$54,0), 0)</f>
        <v>0</v>
      </c>
      <c r="AA40" s="150"/>
      <c r="AB40" s="151">
        <f ca="1">Overview!$I$16 + IF(Magic!AE40&gt;0,Constants!$F$78) + ROUND(6*(Construction!BM41+Construction!CK40)/IF(Explore!S41&gt;0,Construction!F41-20,Construction!F41),4) + tech_6_5_2*Techs!BJ40 + tech_8_4*Techs!BT40</f>
        <v>0</v>
      </c>
      <c r="AC40" s="147">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45">
        <f>TblRezone[[#This Row],[Hour]]</f>
        <v>38</v>
      </c>
      <c r="B41" s="146">
        <f ca="1">TblImps[[#This Row],[Time]]</f>
        <v>44812.291666666577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7">
        <f ca="1">TblPop[[#This Row],[Military]]/TblPop[[#This Row],[Total]]</f>
        <v>0.35029686174724345</v>
      </c>
      <c r="H41" s="148">
        <f ca="1">MIN(TblPop[[#This Row],[Peasants]],TblPop[[#This Row],[Jobs]])</f>
        <v>1532</v>
      </c>
      <c r="I41" s="147">
        <f ca="1">MIN(OFFSET(TblPop[[#This Row],[Jobs]],1,0)/TblPop[[#This Row],[Peasants]],1)</f>
        <v>1</v>
      </c>
      <c r="J41" s="148">
        <f ca="1">SUM(TblConstr[[#This Row],[Tot Alc]:[Tot GT]],TblConstr[[#This Row],[Tot Shr]:[Tot Doc]],TblConstr[[#This Row],[Dest Alc]:[Dest GT]],TblConstr[[#This Row],[Dest Shr]:[Dest Doc]])*building_employment</f>
        <v>1600</v>
      </c>
      <c r="K41" s="149"/>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50"/>
      <c r="U41" s="97">
        <f ca="1">ROUND(TblPop[[#This Row],[Raw max]]*(1+TblPop[[#This Row],[Max pop]]),0)+MIN(TblPop[[#This Row],[Military]]-TblPop[[#This Row],[Draftees]]-SUM(TblMili[[#This Row],[Train Unit 1]:[Train Arch]]),ROUND((barracks_size + tech_8_3*TblTech[[#This Row],[8-3]])*(1 + Production!O41/100*prestige_pop_multiplier),0)*TblConstr[[#This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Row],[Peasants]]*Constants!$B$54,0), 0)</f>
        <v>0</v>
      </c>
      <c r="AA41" s="150"/>
      <c r="AB41" s="151">
        <f ca="1">Overview!$I$16 + IF(Magic!AE41&gt;0,Constants!$F$78) + ROUND(6*(Construction!BM42+Construction!CK41)/IF(Explore!S42&gt;0,Construction!F42-20,Construction!F42),4) + tech_6_5_2*Techs!BJ41 + tech_8_4*Techs!BT41</f>
        <v>0</v>
      </c>
      <c r="AC41" s="147">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45">
        <f>TblRezone[[#This Row],[Hour]]</f>
        <v>39</v>
      </c>
      <c r="B42" s="146">
        <f ca="1">TblImps[[#This Row],[Time]]</f>
        <v>44812.333333333241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7">
        <f ca="1">TblPop[[#This Row],[Military]]/TblPop[[#This Row],[Total]]</f>
        <v>0.35029686174724345</v>
      </c>
      <c r="H42" s="148">
        <f ca="1">MIN(TblPop[[#This Row],[Peasants]],TblPop[[#This Row],[Jobs]])</f>
        <v>1532</v>
      </c>
      <c r="I42" s="147">
        <f ca="1">MIN(OFFSET(TblPop[[#This Row],[Jobs]],1,0)/TblPop[[#This Row],[Peasants]],1)</f>
        <v>1</v>
      </c>
      <c r="J42" s="148">
        <f ca="1">SUM(TblConstr[[#This Row],[Tot Alc]:[Tot GT]],TblConstr[[#This Row],[Tot Shr]:[Tot Doc]],TblConstr[[#This Row],[Dest Alc]:[Dest GT]],TblConstr[[#This Row],[Dest Shr]:[Dest Doc]])*building_employment</f>
        <v>1600</v>
      </c>
      <c r="K42" s="149"/>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50"/>
      <c r="U42" s="97">
        <f ca="1">ROUND(TblPop[[#This Row],[Raw max]]*(1+TblPop[[#This Row],[Max pop]]),0)+MIN(TblPop[[#This Row],[Military]]-TblPop[[#This Row],[Draftees]]-SUM(TblMili[[#This Row],[Train Unit 1]:[Train Arch]]),ROUND((barracks_size + tech_8_3*TblTech[[#This Row],[8-3]])*(1 + Production!O42/100*prestige_pop_multiplier),0)*TblConstr[[#This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Row],[Peasants]]*Constants!$B$54,0), 0)</f>
        <v>0</v>
      </c>
      <c r="AA42" s="150"/>
      <c r="AB42" s="151">
        <f ca="1">Overview!$I$16 + IF(Magic!AE42&gt;0,Constants!$F$78) + ROUND(6*(Construction!BM43+Construction!CK42)/IF(Explore!S43&gt;0,Construction!F43-20,Construction!F43),4) + tech_6_5_2*Techs!BJ42 + tech_8_4*Techs!BT42</f>
        <v>0</v>
      </c>
      <c r="AC42" s="147">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45">
        <f>TblRezone[[#This Row],[Hour]]</f>
        <v>40</v>
      </c>
      <c r="B43" s="146">
        <f ca="1">TblImps[[#This Row],[Time]]</f>
        <v>44812.374999999905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7">
        <f ca="1">TblPop[[#This Row],[Military]]/TblPop[[#This Row],[Total]]</f>
        <v>0.35029686174724345</v>
      </c>
      <c r="H43" s="148">
        <f ca="1">MIN(TblPop[[#This Row],[Peasants]],TblPop[[#This Row],[Jobs]])</f>
        <v>1532</v>
      </c>
      <c r="I43" s="147">
        <f ca="1">MIN(OFFSET(TblPop[[#This Row],[Jobs]],1,0)/TblPop[[#This Row],[Peasants]],1)</f>
        <v>1</v>
      </c>
      <c r="J43" s="148">
        <f ca="1">SUM(TblConstr[[#This Row],[Tot Alc]:[Tot GT]],TblConstr[[#This Row],[Tot Shr]:[Tot Doc]],TblConstr[[#This Row],[Dest Alc]:[Dest GT]],TblConstr[[#This Row],[Dest Shr]:[Dest Doc]])*building_employment</f>
        <v>1600</v>
      </c>
      <c r="K43" s="149"/>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50"/>
      <c r="U43" s="97">
        <f ca="1">ROUND(TblPop[[#This Row],[Raw max]]*(1+TblPop[[#This Row],[Max pop]]),0)+MIN(TblPop[[#This Row],[Military]]-TblPop[[#This Row],[Draftees]]-SUM(TblMili[[#This Row],[Train Unit 1]:[Train Arch]]),ROUND((barracks_size + tech_8_3*TblTech[[#This Row],[8-3]])*(1 + Production!O43/100*prestige_pop_multiplier),0)*TblConstr[[#This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Row],[Peasants]]*Constants!$B$54,0), 0)</f>
        <v>0</v>
      </c>
      <c r="AA43" s="150"/>
      <c r="AB43" s="151">
        <f ca="1">Overview!$I$16 + IF(Magic!AE43&gt;0,Constants!$F$78) + ROUND(6*(Construction!BM44+Construction!CK43)/IF(Explore!S44&gt;0,Construction!F44-20,Construction!F44),4) + tech_6_5_2*Techs!BJ43 + tech_8_4*Techs!BT43</f>
        <v>0</v>
      </c>
      <c r="AC43" s="147">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45">
        <f>TblRezone[[#This Row],[Hour]]</f>
        <v>41</v>
      </c>
      <c r="B44" s="146">
        <f ca="1">TblImps[[#This Row],[Time]]</f>
        <v>44812.41666666657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7">
        <f ca="1">TblPop[[#This Row],[Military]]/TblPop[[#This Row],[Total]]</f>
        <v>0.35029686174724345</v>
      </c>
      <c r="H44" s="148">
        <f ca="1">MIN(TblPop[[#This Row],[Peasants]],TblPop[[#This Row],[Jobs]])</f>
        <v>1532</v>
      </c>
      <c r="I44" s="147">
        <f ca="1">MIN(OFFSET(TblPop[[#This Row],[Jobs]],1,0)/TblPop[[#This Row],[Peasants]],1)</f>
        <v>1</v>
      </c>
      <c r="J44" s="148">
        <f ca="1">SUM(TblConstr[[#This Row],[Tot Alc]:[Tot GT]],TblConstr[[#This Row],[Tot Shr]:[Tot Doc]],TblConstr[[#This Row],[Dest Alc]:[Dest GT]],TblConstr[[#This Row],[Dest Shr]:[Dest Doc]])*building_employment</f>
        <v>1600</v>
      </c>
      <c r="K44" s="149"/>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50"/>
      <c r="U44" s="97">
        <f ca="1">ROUND(TblPop[[#This Row],[Raw max]]*(1+TblPop[[#This Row],[Max pop]]),0)+MIN(TblPop[[#This Row],[Military]]-TblPop[[#This Row],[Draftees]]-SUM(TblMili[[#This Row],[Train Unit 1]:[Train Arch]]),ROUND((barracks_size + tech_8_3*TblTech[[#This Row],[8-3]])*(1 + Production!O44/100*prestige_pop_multiplier),0)*TblConstr[[#This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Row],[Peasants]]*Constants!$B$54,0), 0)</f>
        <v>0</v>
      </c>
      <c r="AA44" s="150"/>
      <c r="AB44" s="151">
        <f ca="1">Overview!$I$16 + IF(Magic!AE44&gt;0,Constants!$F$78) + ROUND(6*(Construction!BM45+Construction!CK44)/IF(Explore!S45&gt;0,Construction!F45-20,Construction!F45),4) + tech_6_5_2*Techs!BJ44 + tech_8_4*Techs!BT44</f>
        <v>0</v>
      </c>
      <c r="AC44" s="147">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45">
        <f>TblRezone[[#This Row],[Hour]]</f>
        <v>42</v>
      </c>
      <c r="B45" s="146">
        <f ca="1">TblImps[[#This Row],[Time]]</f>
        <v>44812.458333333234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7">
        <f ca="1">TblPop[[#This Row],[Military]]/TblPop[[#This Row],[Total]]</f>
        <v>0.35029686174724345</v>
      </c>
      <c r="H45" s="148">
        <f ca="1">MIN(TblPop[[#This Row],[Peasants]],TblPop[[#This Row],[Jobs]])</f>
        <v>1532</v>
      </c>
      <c r="I45" s="147">
        <f ca="1">MIN(OFFSET(TblPop[[#This Row],[Jobs]],1,0)/TblPop[[#This Row],[Peasants]],1)</f>
        <v>1</v>
      </c>
      <c r="J45" s="148">
        <f ca="1">SUM(TblConstr[[#This Row],[Tot Alc]:[Tot GT]],TblConstr[[#This Row],[Tot Shr]:[Tot Doc]],TblConstr[[#This Row],[Dest Alc]:[Dest GT]],TblConstr[[#This Row],[Dest Shr]:[Dest Doc]])*building_employment</f>
        <v>1600</v>
      </c>
      <c r="K45" s="149"/>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50"/>
      <c r="U45" s="97">
        <f ca="1">ROUND(TblPop[[#This Row],[Raw max]]*(1+TblPop[[#This Row],[Max pop]]),0)+MIN(TblPop[[#This Row],[Military]]-TblPop[[#This Row],[Draftees]]-SUM(TblMili[[#This Row],[Train Unit 1]:[Train Arch]]),ROUND((barracks_size + tech_8_3*TblTech[[#This Row],[8-3]])*(1 + Production!O45/100*prestige_pop_multiplier),0)*TblConstr[[#This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Row],[Peasants]]*Constants!$B$54,0), 0)</f>
        <v>0</v>
      </c>
      <c r="AA45" s="150"/>
      <c r="AB45" s="151">
        <f ca="1">Overview!$I$16 + IF(Magic!AE45&gt;0,Constants!$F$78) + ROUND(6*(Construction!BM46+Construction!CK45)/IF(Explore!S46&gt;0,Construction!F46-20,Construction!F46),4) + tech_6_5_2*Techs!BJ45 + tech_8_4*Techs!BT45</f>
        <v>0</v>
      </c>
      <c r="AC45" s="147">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45">
        <f>TblRezone[[#This Row],[Hour]]</f>
        <v>43</v>
      </c>
      <c r="B46" s="146">
        <f ca="1">TblImps[[#This Row],[Time]]</f>
        <v>44812.499999999898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7">
        <f ca="1">TblPop[[#This Row],[Military]]/TblPop[[#This Row],[Total]]</f>
        <v>0.35029686174724345</v>
      </c>
      <c r="H46" s="148">
        <f ca="1">MIN(TblPop[[#This Row],[Peasants]],TblPop[[#This Row],[Jobs]])</f>
        <v>1532</v>
      </c>
      <c r="I46" s="147">
        <f ca="1">MIN(OFFSET(TblPop[[#This Row],[Jobs]],1,0)/TblPop[[#This Row],[Peasants]],1)</f>
        <v>1</v>
      </c>
      <c r="J46" s="148">
        <f ca="1">SUM(TblConstr[[#This Row],[Tot Alc]:[Tot GT]],TblConstr[[#This Row],[Tot Shr]:[Tot Doc]],TblConstr[[#This Row],[Dest Alc]:[Dest GT]],TblConstr[[#This Row],[Dest Shr]:[Dest Doc]])*building_employment</f>
        <v>1600</v>
      </c>
      <c r="K46" s="149"/>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50"/>
      <c r="U46" s="97">
        <f ca="1">ROUND(TblPop[[#This Row],[Raw max]]*(1+TblPop[[#This Row],[Max pop]]),0)+MIN(TblPop[[#This Row],[Military]]-TblPop[[#This Row],[Draftees]]-SUM(TblMili[[#This Row],[Train Unit 1]:[Train Arch]]),ROUND((barracks_size + tech_8_3*TblTech[[#This Row],[8-3]])*(1 + Production!O46/100*prestige_pop_multiplier),0)*TblConstr[[#This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Row],[Peasants]]*Constants!$B$54,0), 0)</f>
        <v>0</v>
      </c>
      <c r="AA46" s="150"/>
      <c r="AB46" s="151">
        <f ca="1">Overview!$I$16 + IF(Magic!AE46&gt;0,Constants!$F$78) + ROUND(6*(Construction!BM47+Construction!CK46)/IF(Explore!S47&gt;0,Construction!F47-20,Construction!F47),4) + tech_6_5_2*Techs!BJ46 + tech_8_4*Techs!BT46</f>
        <v>0</v>
      </c>
      <c r="AC46" s="147">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45">
        <f>TblRezone[[#This Row],[Hour]]</f>
        <v>44</v>
      </c>
      <c r="B47" s="146">
        <f ca="1">TblImps[[#This Row],[Time]]</f>
        <v>44812.541666666562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7">
        <f ca="1">TblPop[[#This Row],[Military]]/TblPop[[#This Row],[Total]]</f>
        <v>0.35029686174724345</v>
      </c>
      <c r="H47" s="148">
        <f ca="1">MIN(TblPop[[#This Row],[Peasants]],TblPop[[#This Row],[Jobs]])</f>
        <v>1532</v>
      </c>
      <c r="I47" s="147">
        <f ca="1">MIN(OFFSET(TblPop[[#This Row],[Jobs]],1,0)/TblPop[[#This Row],[Peasants]],1)</f>
        <v>1</v>
      </c>
      <c r="J47" s="148">
        <f ca="1">SUM(TblConstr[[#This Row],[Tot Alc]:[Tot GT]],TblConstr[[#This Row],[Tot Shr]:[Tot Doc]],TblConstr[[#This Row],[Dest Alc]:[Dest GT]],TblConstr[[#This Row],[Dest Shr]:[Dest Doc]])*building_employment</f>
        <v>1600</v>
      </c>
      <c r="K47" s="149"/>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50"/>
      <c r="U47" s="97">
        <f ca="1">ROUND(TblPop[[#This Row],[Raw max]]*(1+TblPop[[#This Row],[Max pop]]),0)+MIN(TblPop[[#This Row],[Military]]-TblPop[[#This Row],[Draftees]]-SUM(TblMili[[#This Row],[Train Unit 1]:[Train Arch]]),ROUND((barracks_size + tech_8_3*TblTech[[#This Row],[8-3]])*(1 + Production!O47/100*prestige_pop_multiplier),0)*TblConstr[[#This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Row],[Peasants]]*Constants!$B$54,0), 0)</f>
        <v>0</v>
      </c>
      <c r="AA47" s="150"/>
      <c r="AB47" s="151">
        <f ca="1">Overview!$I$16 + IF(Magic!AE47&gt;0,Constants!$F$78) + ROUND(6*(Construction!BM48+Construction!CK47)/IF(Explore!S48&gt;0,Construction!F48-20,Construction!F48),4) + tech_6_5_2*Techs!BJ47 + tech_8_4*Techs!BT47</f>
        <v>0</v>
      </c>
      <c r="AC47" s="147">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45">
        <f>TblRezone[[#This Row],[Hour]]</f>
        <v>45</v>
      </c>
      <c r="B48" s="146">
        <f ca="1">TblImps[[#This Row],[Time]]</f>
        <v>44812.583333333227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7">
        <f ca="1">TblPop[[#This Row],[Military]]/TblPop[[#This Row],[Total]]</f>
        <v>0.35029686174724345</v>
      </c>
      <c r="H48" s="148">
        <f ca="1">MIN(TblPop[[#This Row],[Peasants]],TblPop[[#This Row],[Jobs]])</f>
        <v>1532</v>
      </c>
      <c r="I48" s="147">
        <f ca="1">MIN(OFFSET(TblPop[[#This Row],[Jobs]],1,0)/TblPop[[#This Row],[Peasants]],1)</f>
        <v>1</v>
      </c>
      <c r="J48" s="148">
        <f ca="1">SUM(TblConstr[[#This Row],[Tot Alc]:[Tot GT]],TblConstr[[#This Row],[Tot Shr]:[Tot Doc]],TblConstr[[#This Row],[Dest Alc]:[Dest GT]],TblConstr[[#This Row],[Dest Shr]:[Dest Doc]])*building_employment</f>
        <v>1600</v>
      </c>
      <c r="K48" s="149"/>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50"/>
      <c r="U48" s="97">
        <f ca="1">ROUND(TblPop[[#This Row],[Raw max]]*(1+TblPop[[#This Row],[Max pop]]),0)+MIN(TblPop[[#This Row],[Military]]-TblPop[[#This Row],[Draftees]]-SUM(TblMili[[#This Row],[Train Unit 1]:[Train Arch]]),ROUND((barracks_size + tech_8_3*TblTech[[#This Row],[8-3]])*(1 + Production!O48/100*prestige_pop_multiplier),0)*TblConstr[[#This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Row],[Peasants]]*Constants!$B$54,0), 0)</f>
        <v>0</v>
      </c>
      <c r="AA48" s="150"/>
      <c r="AB48" s="151">
        <f ca="1">Overview!$I$16 + IF(Magic!AE48&gt;0,Constants!$F$78) + ROUND(6*(Construction!BM49+Construction!CK48)/IF(Explore!S49&gt;0,Construction!F49-20,Construction!F49),4) + tech_6_5_2*Techs!BJ48 + tech_8_4*Techs!BT48</f>
        <v>0</v>
      </c>
      <c r="AC48" s="147">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45">
        <f>TblRezone[[#This Row],[Hour]]</f>
        <v>46</v>
      </c>
      <c r="B49" s="146">
        <f ca="1">TblImps[[#This Row],[Time]]</f>
        <v>44812.624999999891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7">
        <f ca="1">TblPop[[#This Row],[Military]]/TblPop[[#This Row],[Total]]</f>
        <v>0.35029686174724345</v>
      </c>
      <c r="H49" s="148">
        <f ca="1">MIN(TblPop[[#This Row],[Peasants]],TblPop[[#This Row],[Jobs]])</f>
        <v>1532</v>
      </c>
      <c r="I49" s="147">
        <f ca="1">MIN(OFFSET(TblPop[[#This Row],[Jobs]],1,0)/TblPop[[#This Row],[Peasants]],1)</f>
        <v>1</v>
      </c>
      <c r="J49" s="148">
        <f ca="1">SUM(TblConstr[[#This Row],[Tot Alc]:[Tot GT]],TblConstr[[#This Row],[Tot Shr]:[Tot Doc]],TblConstr[[#This Row],[Dest Alc]:[Dest GT]],TblConstr[[#This Row],[Dest Shr]:[Dest Doc]])*building_employment</f>
        <v>1600</v>
      </c>
      <c r="K49" s="149"/>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50"/>
      <c r="U49" s="97">
        <f ca="1">ROUND(TblPop[[#This Row],[Raw max]]*(1+TblPop[[#This Row],[Max pop]]),0)+MIN(TblPop[[#This Row],[Military]]-TblPop[[#This Row],[Draftees]]-SUM(TblMili[[#This Row],[Train Unit 1]:[Train Arch]]),ROUND((barracks_size + tech_8_3*TblTech[[#This Row],[8-3]])*(1 + Production!O49/100*prestige_pop_multiplier),0)*TblConstr[[#This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Row],[Peasants]]*Constants!$B$54,0), 0)</f>
        <v>0</v>
      </c>
      <c r="AA49" s="150"/>
      <c r="AB49" s="151">
        <f ca="1">Overview!$I$16 + IF(Magic!AE49&gt;0,Constants!$F$78) + ROUND(6*(Construction!BM50+Construction!CK49)/IF(Explore!S50&gt;0,Construction!F50-20,Construction!F50),4) + tech_6_5_2*Techs!BJ49 + tech_8_4*Techs!BT49</f>
        <v>0</v>
      </c>
      <c r="AC49" s="147">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45">
        <f>TblRezone[[#This Row],[Hour]]</f>
        <v>47</v>
      </c>
      <c r="B50" s="146">
        <f ca="1">TblImps[[#This Row],[Time]]</f>
        <v>44812.666666666555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7">
        <f ca="1">TblPop[[#This Row],[Military]]/TblPop[[#This Row],[Total]]</f>
        <v>0.35029686174724345</v>
      </c>
      <c r="H50" s="148">
        <f ca="1">MIN(TblPop[[#This Row],[Peasants]],TblPop[[#This Row],[Jobs]])</f>
        <v>1532</v>
      </c>
      <c r="I50" s="147">
        <f ca="1">MIN(OFFSET(TblPop[[#This Row],[Jobs]],1,0)/TblPop[[#This Row],[Peasants]],1)</f>
        <v>1</v>
      </c>
      <c r="J50" s="148">
        <f ca="1">SUM(TblConstr[[#This Row],[Tot Alc]:[Tot GT]],TblConstr[[#This Row],[Tot Shr]:[Tot Doc]],TblConstr[[#This Row],[Dest Alc]:[Dest GT]],TblConstr[[#This Row],[Dest Shr]:[Dest Doc]])*building_employment</f>
        <v>1600</v>
      </c>
      <c r="K50" s="149"/>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50"/>
      <c r="U50" s="97">
        <f ca="1">ROUND(TblPop[[#This Row],[Raw max]]*(1+TblPop[[#This Row],[Max pop]]),0)+MIN(TblPop[[#This Row],[Military]]-TblPop[[#This Row],[Draftees]]-SUM(TblMili[[#This Row],[Train Unit 1]:[Train Arch]]),ROUND((barracks_size + tech_8_3*TblTech[[#This Row],[8-3]])*(1 + Production!O50/100*prestige_pop_multiplier),0)*TblConstr[[#This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Row],[Peasants]]*Constants!$B$54,0), 0)</f>
        <v>0</v>
      </c>
      <c r="AA50" s="150"/>
      <c r="AB50" s="151">
        <f ca="1">Overview!$I$16 + IF(Magic!AE50&gt;0,Constants!$F$78) + ROUND(6*(Construction!BM51+Construction!CK50)/IF(Explore!S51&gt;0,Construction!F51-20,Construction!F51),4) + tech_6_5_2*Techs!BJ50 + tech_8_4*Techs!BT50</f>
        <v>0</v>
      </c>
      <c r="AC50" s="147">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45">
        <f>TblRezone[[#This Row],[Hour]]</f>
        <v>48</v>
      </c>
      <c r="B51" s="146">
        <f ca="1">TblImps[[#This Row],[Time]]</f>
        <v>44812.708333333219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7">
        <f ca="1">TblPop[[#This Row],[Military]]/TblPop[[#This Row],[Total]]</f>
        <v>0.35029686174724345</v>
      </c>
      <c r="H51" s="148">
        <f ca="1">MIN(TblPop[[#This Row],[Peasants]],TblPop[[#This Row],[Jobs]])</f>
        <v>1532</v>
      </c>
      <c r="I51" s="147">
        <f ca="1">MIN(OFFSET(TblPop[[#This Row],[Jobs]],1,0)/TblPop[[#This Row],[Peasants]],1)</f>
        <v>1</v>
      </c>
      <c r="J51" s="148">
        <f ca="1">SUM(TblConstr[[#This Row],[Tot Alc]:[Tot GT]],TblConstr[[#This Row],[Tot Shr]:[Tot Doc]],TblConstr[[#This Row],[Dest Alc]:[Dest GT]],TblConstr[[#This Row],[Dest Shr]:[Dest Doc]])*building_employment</f>
        <v>1600</v>
      </c>
      <c r="K51" s="149"/>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50"/>
      <c r="U51" s="97">
        <f ca="1">ROUND(TblPop[[#This Row],[Raw max]]*(1+TblPop[[#This Row],[Max pop]]),0)+MIN(TblPop[[#This Row],[Military]]-TblPop[[#This Row],[Draftees]]-SUM(TblMili[[#This Row],[Train Unit 1]:[Train Arch]]),ROUND((barracks_size + tech_8_3*TblTech[[#This Row],[8-3]])*(1 + Production!O51/100*prestige_pop_multiplier),0)*TblConstr[[#This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Row],[Peasants]]*Constants!$B$54,0), 0)</f>
        <v>0</v>
      </c>
      <c r="AA51" s="150"/>
      <c r="AB51" s="151">
        <f ca="1">Overview!$I$16 + IF(Magic!AE51&gt;0,Constants!$F$78) + ROUND(6*(Construction!BM52+Construction!CK51)/IF(Explore!S52&gt;0,Construction!F52-20,Construction!F52),4) + tech_6_5_2*Techs!BJ51 + tech_8_4*Techs!BT51</f>
        <v>0</v>
      </c>
      <c r="AC51" s="147">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45">
        <f>TblRezone[[#This Row],[Hour]]</f>
        <v>49</v>
      </c>
      <c r="B52" s="146">
        <f ca="1">TblImps[[#This Row],[Time]]</f>
        <v>44812.749999999884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7">
        <f ca="1">TblPop[[#This Row],[Military]]/TblPop[[#This Row],[Total]]</f>
        <v>0.35029686174724345</v>
      </c>
      <c r="H52" s="148">
        <f ca="1">MIN(TblPop[[#This Row],[Peasants]],TblPop[[#This Row],[Jobs]])</f>
        <v>1532</v>
      </c>
      <c r="I52" s="147">
        <f ca="1">MIN(OFFSET(TblPop[[#This Row],[Jobs]],1,0)/TblPop[[#This Row],[Peasants]],1)</f>
        <v>1</v>
      </c>
      <c r="J52" s="148">
        <f ca="1">SUM(TblConstr[[#This Row],[Tot Alc]:[Tot GT]],TblConstr[[#This Row],[Tot Shr]:[Tot Doc]],TblConstr[[#This Row],[Dest Alc]:[Dest GT]],TblConstr[[#This Row],[Dest Shr]:[Dest Doc]])*building_employment</f>
        <v>1600</v>
      </c>
      <c r="K52" s="149"/>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50"/>
      <c r="U52" s="97">
        <f ca="1">ROUND(TblPop[[#This Row],[Raw max]]*(1+TblPop[[#This Row],[Max pop]]),0)+MIN(TblPop[[#This Row],[Military]]-TblPop[[#This Row],[Draftees]]-SUM(TblMili[[#This Row],[Train Unit 1]:[Train Arch]]),ROUND((barracks_size + tech_8_3*TblTech[[#This Row],[8-3]])*(1 + Production!O52/100*prestige_pop_multiplier),0)*TblConstr[[#This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Row],[Peasants]]*Constants!$B$54,0), 0)</f>
        <v>0</v>
      </c>
      <c r="AA52" s="150"/>
      <c r="AB52" s="151">
        <f ca="1">Overview!$I$16 + IF(Magic!AE52&gt;0,Constants!$F$78) + ROUND(6*(Construction!BM53+Construction!CK52)/IF(Explore!S53&gt;0,Construction!F53-20,Construction!F53),4) + tech_6_5_2*Techs!BJ52 + tech_8_4*Techs!BT52</f>
        <v>0</v>
      </c>
      <c r="AC52" s="147">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45">
        <f>TblRezone[[#This Row],[Hour]]</f>
        <v>50</v>
      </c>
      <c r="B53" s="146">
        <f ca="1">TblImps[[#This Row],[Time]]</f>
        <v>44812.791666666548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7">
        <f ca="1">TblPop[[#This Row],[Military]]/TblPop[[#This Row],[Total]]</f>
        <v>0.35029686174724345</v>
      </c>
      <c r="H53" s="148">
        <f ca="1">MIN(TblPop[[#This Row],[Peasants]],TblPop[[#This Row],[Jobs]])</f>
        <v>1532</v>
      </c>
      <c r="I53" s="147">
        <f ca="1">MIN(OFFSET(TblPop[[#This Row],[Jobs]],1,0)/TblPop[[#This Row],[Peasants]],1)</f>
        <v>1</v>
      </c>
      <c r="J53" s="148">
        <f ca="1">SUM(TblConstr[[#This Row],[Tot Alc]:[Tot GT]],TblConstr[[#This Row],[Tot Shr]:[Tot Doc]],TblConstr[[#This Row],[Dest Alc]:[Dest GT]],TblConstr[[#This Row],[Dest Shr]:[Dest Doc]])*building_employment</f>
        <v>1600</v>
      </c>
      <c r="K53" s="149"/>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50"/>
      <c r="U53" s="97">
        <f ca="1">ROUND(TblPop[[#This Row],[Raw max]]*(1+TblPop[[#This Row],[Max pop]]),0)+MIN(TblPop[[#This Row],[Military]]-TblPop[[#This Row],[Draftees]]-SUM(TblMili[[#This Row],[Train Unit 1]:[Train Arch]]),ROUND((barracks_size + tech_8_3*TblTech[[#This Row],[8-3]])*(1 + Production!O53/100*prestige_pop_multiplier),0)*TblConstr[[#This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Row],[Peasants]]*Constants!$B$54,0), 0)</f>
        <v>0</v>
      </c>
      <c r="AA53" s="150"/>
      <c r="AB53" s="151">
        <f ca="1">Overview!$I$16 + IF(Magic!AE53&gt;0,Constants!$F$78) + ROUND(6*(Construction!BM54+Construction!CK53)/IF(Explore!S54&gt;0,Construction!F54-20,Construction!F54),4) + tech_6_5_2*Techs!BJ53 + tech_8_4*Techs!BT53</f>
        <v>0</v>
      </c>
      <c r="AC53" s="147">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45">
        <f>TblRezone[[#This Row],[Hour]]</f>
        <v>51</v>
      </c>
      <c r="B54" s="146">
        <f ca="1">TblImps[[#This Row],[Time]]</f>
        <v>44812.833333333212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7">
        <f ca="1">TblPop[[#This Row],[Military]]/TblPop[[#This Row],[Total]]</f>
        <v>0.35029686174724345</v>
      </c>
      <c r="H54" s="148">
        <f ca="1">MIN(TblPop[[#This Row],[Peasants]],TblPop[[#This Row],[Jobs]])</f>
        <v>1532</v>
      </c>
      <c r="I54" s="147">
        <f ca="1">MIN(OFFSET(TblPop[[#This Row],[Jobs]],1,0)/TblPop[[#This Row],[Peasants]],1)</f>
        <v>1</v>
      </c>
      <c r="J54" s="148">
        <f ca="1">SUM(TblConstr[[#This Row],[Tot Alc]:[Tot GT]],TblConstr[[#This Row],[Tot Shr]:[Tot Doc]],TblConstr[[#This Row],[Dest Alc]:[Dest GT]],TblConstr[[#This Row],[Dest Shr]:[Dest Doc]])*building_employment</f>
        <v>1600</v>
      </c>
      <c r="K54" s="149"/>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50"/>
      <c r="U54" s="97">
        <f ca="1">ROUND(TblPop[[#This Row],[Raw max]]*(1+TblPop[[#This Row],[Max pop]]),0)+MIN(TblPop[[#This Row],[Military]]-TblPop[[#This Row],[Draftees]]-SUM(TblMili[[#This Row],[Train Unit 1]:[Train Arch]]),ROUND((barracks_size + tech_8_3*TblTech[[#This Row],[8-3]])*(1 + Production!O54/100*prestige_pop_multiplier),0)*TblConstr[[#This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Row],[Peasants]]*Constants!$B$54,0), 0)</f>
        <v>0</v>
      </c>
      <c r="AA54" s="150"/>
      <c r="AB54" s="151">
        <f ca="1">Overview!$I$16 + IF(Magic!AE54&gt;0,Constants!$F$78) + ROUND(6*(Construction!BM55+Construction!CK54)/IF(Explore!S55&gt;0,Construction!F55-20,Construction!F55),4) + tech_6_5_2*Techs!BJ54 + tech_8_4*Techs!BT54</f>
        <v>0</v>
      </c>
      <c r="AC54" s="147">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45">
        <f>TblRezone[[#This Row],[Hour]]</f>
        <v>52</v>
      </c>
      <c r="B55" s="146">
        <f ca="1">TblImps[[#This Row],[Time]]</f>
        <v>44812.874999999876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7">
        <f ca="1">TblPop[[#This Row],[Military]]/TblPop[[#This Row],[Total]]</f>
        <v>0.35029686174724345</v>
      </c>
      <c r="H55" s="148">
        <f ca="1">MIN(TblPop[[#This Row],[Peasants]],TblPop[[#This Row],[Jobs]])</f>
        <v>1532</v>
      </c>
      <c r="I55" s="147">
        <f ca="1">MIN(OFFSET(TblPop[[#This Row],[Jobs]],1,0)/TblPop[[#This Row],[Peasants]],1)</f>
        <v>1</v>
      </c>
      <c r="J55" s="148">
        <f ca="1">SUM(TblConstr[[#This Row],[Tot Alc]:[Tot GT]],TblConstr[[#This Row],[Tot Shr]:[Tot Doc]],TblConstr[[#This Row],[Dest Alc]:[Dest GT]],TblConstr[[#This Row],[Dest Shr]:[Dest Doc]])*building_employment</f>
        <v>1600</v>
      </c>
      <c r="K55" s="149"/>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50"/>
      <c r="U55" s="97">
        <f ca="1">ROUND(TblPop[[#This Row],[Raw max]]*(1+TblPop[[#This Row],[Max pop]]),0)+MIN(TblPop[[#This Row],[Military]]-TblPop[[#This Row],[Draftees]]-SUM(TblMili[[#This Row],[Train Unit 1]:[Train Arch]]),ROUND((barracks_size + tech_8_3*TblTech[[#This Row],[8-3]])*(1 + Production!O55/100*prestige_pop_multiplier),0)*TblConstr[[#This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Row],[Peasants]]*Constants!$B$54,0), 0)</f>
        <v>0</v>
      </c>
      <c r="AA55" s="150"/>
      <c r="AB55" s="151">
        <f ca="1">Overview!$I$16 + IF(Magic!AE55&gt;0,Constants!$F$78) + ROUND(6*(Construction!BM56+Construction!CK55)/IF(Explore!S56&gt;0,Construction!F56-20,Construction!F56),4) + tech_6_5_2*Techs!BJ55 + tech_8_4*Techs!BT55</f>
        <v>0</v>
      </c>
      <c r="AC55" s="147">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45">
        <f>TblRezone[[#This Row],[Hour]]</f>
        <v>53</v>
      </c>
      <c r="B56" s="146">
        <f ca="1">TblImps[[#This Row],[Time]]</f>
        <v>44812.916666666541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7">
        <f ca="1">TblPop[[#This Row],[Military]]/TblPop[[#This Row],[Total]]</f>
        <v>0.35029686174724345</v>
      </c>
      <c r="H56" s="148">
        <f ca="1">MIN(TblPop[[#This Row],[Peasants]],TblPop[[#This Row],[Jobs]])</f>
        <v>1532</v>
      </c>
      <c r="I56" s="147">
        <f ca="1">MIN(OFFSET(TblPop[[#This Row],[Jobs]],1,0)/TblPop[[#This Row],[Peasants]],1)</f>
        <v>1</v>
      </c>
      <c r="J56" s="148">
        <f ca="1">SUM(TblConstr[[#This Row],[Tot Alc]:[Tot GT]],TblConstr[[#This Row],[Tot Shr]:[Tot Doc]],TblConstr[[#This Row],[Dest Alc]:[Dest GT]],TblConstr[[#This Row],[Dest Shr]:[Dest Doc]])*building_employment</f>
        <v>1600</v>
      </c>
      <c r="K56" s="149"/>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50"/>
      <c r="U56" s="97">
        <f ca="1">ROUND(TblPop[[#This Row],[Raw max]]*(1+TblPop[[#This Row],[Max pop]]),0)+MIN(TblPop[[#This Row],[Military]]-TblPop[[#This Row],[Draftees]]-SUM(TblMili[[#This Row],[Train Unit 1]:[Train Arch]]),ROUND((barracks_size + tech_8_3*TblTech[[#This Row],[8-3]])*(1 + Production!O56/100*prestige_pop_multiplier),0)*TblConstr[[#This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Row],[Peasants]]*Constants!$B$54,0), 0)</f>
        <v>0</v>
      </c>
      <c r="AA56" s="150"/>
      <c r="AB56" s="151">
        <f ca="1">Overview!$I$16 + IF(Magic!AE56&gt;0,Constants!$F$78) + ROUND(6*(Construction!BM57+Construction!CK56)/IF(Explore!S57&gt;0,Construction!F57-20,Construction!F57),4) + tech_6_5_2*Techs!BJ56 + tech_8_4*Techs!BT56</f>
        <v>0</v>
      </c>
      <c r="AC56" s="147">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45">
        <f>TblRezone[[#This Row],[Hour]]</f>
        <v>54</v>
      </c>
      <c r="B57" s="146">
        <f ca="1">TblImps[[#This Row],[Time]]</f>
        <v>44812.958333333205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7">
        <f ca="1">TblPop[[#This Row],[Military]]/TblPop[[#This Row],[Total]]</f>
        <v>0.35029686174724345</v>
      </c>
      <c r="H57" s="148">
        <f ca="1">MIN(TblPop[[#This Row],[Peasants]],TblPop[[#This Row],[Jobs]])</f>
        <v>1532</v>
      </c>
      <c r="I57" s="147">
        <f ca="1">MIN(OFFSET(TblPop[[#This Row],[Jobs]],1,0)/TblPop[[#This Row],[Peasants]],1)</f>
        <v>1</v>
      </c>
      <c r="J57" s="148">
        <f ca="1">SUM(TblConstr[[#This Row],[Tot Alc]:[Tot GT]],TblConstr[[#This Row],[Tot Shr]:[Tot Doc]],TblConstr[[#This Row],[Dest Alc]:[Dest GT]],TblConstr[[#This Row],[Dest Shr]:[Dest Doc]])*building_employment</f>
        <v>1600</v>
      </c>
      <c r="K57" s="149"/>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50"/>
      <c r="U57" s="97">
        <f ca="1">ROUND(TblPop[[#This Row],[Raw max]]*(1+TblPop[[#This Row],[Max pop]]),0)+MIN(TblPop[[#This Row],[Military]]-TblPop[[#This Row],[Draftees]]-SUM(TblMili[[#This Row],[Train Unit 1]:[Train Arch]]),ROUND((barracks_size + tech_8_3*TblTech[[#This Row],[8-3]])*(1 + Production!O57/100*prestige_pop_multiplier),0)*TblConstr[[#This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Row],[Peasants]]*Constants!$B$54,0), 0)</f>
        <v>0</v>
      </c>
      <c r="AA57" s="150"/>
      <c r="AB57" s="151">
        <f ca="1">Overview!$I$16 + IF(Magic!AE57&gt;0,Constants!$F$78) + ROUND(6*(Construction!BM58+Construction!CK57)/IF(Explore!S58&gt;0,Construction!F58-20,Construction!F58),4) + tech_6_5_2*Techs!BJ57 + tech_8_4*Techs!BT57</f>
        <v>0</v>
      </c>
      <c r="AC57" s="147">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45">
        <f>TblRezone[[#This Row],[Hour]]</f>
        <v>55</v>
      </c>
      <c r="B58" s="146">
        <f ca="1">TblImps[[#This Row],[Time]]</f>
        <v>44812.999999999869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7">
        <f ca="1">TblPop[[#This Row],[Military]]/TblPop[[#This Row],[Total]]</f>
        <v>0.35029686174724345</v>
      </c>
      <c r="H58" s="148">
        <f ca="1">MIN(TblPop[[#This Row],[Peasants]],TblPop[[#This Row],[Jobs]])</f>
        <v>1532</v>
      </c>
      <c r="I58" s="147">
        <f ca="1">MIN(OFFSET(TblPop[[#This Row],[Jobs]],1,0)/TblPop[[#This Row],[Peasants]],1)</f>
        <v>1</v>
      </c>
      <c r="J58" s="148">
        <f ca="1">SUM(TblConstr[[#This Row],[Tot Alc]:[Tot GT]],TblConstr[[#This Row],[Tot Shr]:[Tot Doc]],TblConstr[[#This Row],[Dest Alc]:[Dest GT]],TblConstr[[#This Row],[Dest Shr]:[Dest Doc]])*building_employment</f>
        <v>1600</v>
      </c>
      <c r="K58" s="149"/>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50"/>
      <c r="U58" s="97">
        <f ca="1">ROUND(TblPop[[#This Row],[Raw max]]*(1+TblPop[[#This Row],[Max pop]]),0)+MIN(TblPop[[#This Row],[Military]]-TblPop[[#This Row],[Draftees]]-SUM(TblMili[[#This Row],[Train Unit 1]:[Train Arch]]),ROUND((barracks_size + tech_8_3*TblTech[[#This Row],[8-3]])*(1 + Production!O58/100*prestige_pop_multiplier),0)*TblConstr[[#This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Row],[Peasants]]*Constants!$B$54,0), 0)</f>
        <v>0</v>
      </c>
      <c r="AA58" s="150"/>
      <c r="AB58" s="151">
        <f ca="1">Overview!$I$16 + IF(Magic!AE58&gt;0,Constants!$F$78) + ROUND(6*(Construction!BM59+Construction!CK58)/IF(Explore!S59&gt;0,Construction!F59-20,Construction!F59),4) + tech_6_5_2*Techs!BJ58 + tech_8_4*Techs!BT58</f>
        <v>0</v>
      </c>
      <c r="AC58" s="147">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45">
        <f>TblRezone[[#This Row],[Hour]]</f>
        <v>56</v>
      </c>
      <c r="B59" s="146">
        <f ca="1">TblImps[[#This Row],[Time]]</f>
        <v>44813.041666666533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7">
        <f ca="1">TblPop[[#This Row],[Military]]/TblPop[[#This Row],[Total]]</f>
        <v>0.35029686174724345</v>
      </c>
      <c r="H59" s="148">
        <f ca="1">MIN(TblPop[[#This Row],[Peasants]],TblPop[[#This Row],[Jobs]])</f>
        <v>1532</v>
      </c>
      <c r="I59" s="147">
        <f ca="1">MIN(OFFSET(TblPop[[#This Row],[Jobs]],1,0)/TblPop[[#This Row],[Peasants]],1)</f>
        <v>1</v>
      </c>
      <c r="J59" s="148">
        <f ca="1">SUM(TblConstr[[#This Row],[Tot Alc]:[Tot GT]],TblConstr[[#This Row],[Tot Shr]:[Tot Doc]],TblConstr[[#This Row],[Dest Alc]:[Dest GT]],TblConstr[[#This Row],[Dest Shr]:[Dest Doc]])*building_employment</f>
        <v>1600</v>
      </c>
      <c r="K59" s="149"/>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50"/>
      <c r="U59" s="97">
        <f ca="1">ROUND(TblPop[[#This Row],[Raw max]]*(1+TblPop[[#This Row],[Max pop]]),0)+MIN(TblPop[[#This Row],[Military]]-TblPop[[#This Row],[Draftees]]-SUM(TblMili[[#This Row],[Train Unit 1]:[Train Arch]]),ROUND((barracks_size + tech_8_3*TblTech[[#This Row],[8-3]])*(1 + Production!O59/100*prestige_pop_multiplier),0)*TblConstr[[#This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Row],[Peasants]]*Constants!$B$54,0), 0)</f>
        <v>0</v>
      </c>
      <c r="AA59" s="150"/>
      <c r="AB59" s="151">
        <f ca="1">Overview!$I$16 + IF(Magic!AE59&gt;0,Constants!$F$78) + ROUND(6*(Construction!BM60+Construction!CK59)/IF(Explore!S60&gt;0,Construction!F60-20,Construction!F60),4) + tech_6_5_2*Techs!BJ59 + tech_8_4*Techs!BT59</f>
        <v>0</v>
      </c>
      <c r="AC59" s="147">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45">
        <f>TblRezone[[#This Row],[Hour]]</f>
        <v>57</v>
      </c>
      <c r="B60" s="146">
        <f ca="1">TblImps[[#This Row],[Time]]</f>
        <v>44813.083333333198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7">
        <f ca="1">TblPop[[#This Row],[Military]]/TblPop[[#This Row],[Total]]</f>
        <v>0.35029686174724345</v>
      </c>
      <c r="H60" s="148">
        <f ca="1">MIN(TblPop[[#This Row],[Peasants]],TblPop[[#This Row],[Jobs]])</f>
        <v>1532</v>
      </c>
      <c r="I60" s="147">
        <f ca="1">MIN(OFFSET(TblPop[[#This Row],[Jobs]],1,0)/TblPop[[#This Row],[Peasants]],1)</f>
        <v>1</v>
      </c>
      <c r="J60" s="148">
        <f ca="1">SUM(TblConstr[[#This Row],[Tot Alc]:[Tot GT]],TblConstr[[#This Row],[Tot Shr]:[Tot Doc]],TblConstr[[#This Row],[Dest Alc]:[Dest GT]],TblConstr[[#This Row],[Dest Shr]:[Dest Doc]])*building_employment</f>
        <v>1600</v>
      </c>
      <c r="K60" s="149"/>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50"/>
      <c r="U60" s="97">
        <f ca="1">ROUND(TblPop[[#This Row],[Raw max]]*(1+TblPop[[#This Row],[Max pop]]),0)+MIN(TblPop[[#This Row],[Military]]-TblPop[[#This Row],[Draftees]]-SUM(TblMili[[#This Row],[Train Unit 1]:[Train Arch]]),ROUND((barracks_size + tech_8_3*TblTech[[#This Row],[8-3]])*(1 + Production!O60/100*prestige_pop_multiplier),0)*TblConstr[[#This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Row],[Peasants]]*Constants!$B$54,0), 0)</f>
        <v>0</v>
      </c>
      <c r="AA60" s="150"/>
      <c r="AB60" s="151">
        <f ca="1">Overview!$I$16 + IF(Magic!AE60&gt;0,Constants!$F$78) + ROUND(6*(Construction!BM61+Construction!CK60)/IF(Explore!S61&gt;0,Construction!F61-20,Construction!F61),4) + tech_6_5_2*Techs!BJ60 + tech_8_4*Techs!BT60</f>
        <v>0</v>
      </c>
      <c r="AC60" s="147">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45">
        <f>TblRezone[[#This Row],[Hour]]</f>
        <v>58</v>
      </c>
      <c r="B61" s="146">
        <f ca="1">TblImps[[#This Row],[Time]]</f>
        <v>44813.124999999862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7">
        <f ca="1">TblPop[[#This Row],[Military]]/TblPop[[#This Row],[Total]]</f>
        <v>0.35029686174724345</v>
      </c>
      <c r="H61" s="148">
        <f ca="1">MIN(TblPop[[#This Row],[Peasants]],TblPop[[#This Row],[Jobs]])</f>
        <v>1532</v>
      </c>
      <c r="I61" s="147">
        <f ca="1">MIN(OFFSET(TblPop[[#This Row],[Jobs]],1,0)/TblPop[[#This Row],[Peasants]],1)</f>
        <v>1</v>
      </c>
      <c r="J61" s="148">
        <f ca="1">SUM(TblConstr[[#This Row],[Tot Alc]:[Tot GT]],TblConstr[[#This Row],[Tot Shr]:[Tot Doc]],TblConstr[[#This Row],[Dest Alc]:[Dest GT]],TblConstr[[#This Row],[Dest Shr]:[Dest Doc]])*building_employment</f>
        <v>1600</v>
      </c>
      <c r="K61" s="149"/>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50"/>
      <c r="U61" s="97">
        <f ca="1">ROUND(TblPop[[#This Row],[Raw max]]*(1+TblPop[[#This Row],[Max pop]]),0)+MIN(TblPop[[#This Row],[Military]]-TblPop[[#This Row],[Draftees]]-SUM(TblMili[[#This Row],[Train Unit 1]:[Train Arch]]),ROUND((barracks_size + tech_8_3*TblTech[[#This Row],[8-3]])*(1 + Production!O61/100*prestige_pop_multiplier),0)*TblConstr[[#This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Row],[Peasants]]*Constants!$B$54,0), 0)</f>
        <v>0</v>
      </c>
      <c r="AA61" s="150"/>
      <c r="AB61" s="151">
        <f ca="1">Overview!$I$16 + IF(Magic!AE61&gt;0,Constants!$F$78) + ROUND(6*(Construction!BM62+Construction!CK61)/IF(Explore!S62&gt;0,Construction!F62-20,Construction!F62),4) + tech_6_5_2*Techs!BJ61 + tech_8_4*Techs!BT61</f>
        <v>0</v>
      </c>
      <c r="AC61" s="147">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45">
        <f>TblRezone[[#This Row],[Hour]]</f>
        <v>59</v>
      </c>
      <c r="B62" s="146">
        <f ca="1">TblImps[[#This Row],[Time]]</f>
        <v>44813.166666666526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7">
        <f ca="1">TblPop[[#This Row],[Military]]/TblPop[[#This Row],[Total]]</f>
        <v>0.35029686174724345</v>
      </c>
      <c r="H62" s="148">
        <f ca="1">MIN(TblPop[[#This Row],[Peasants]],TblPop[[#This Row],[Jobs]])</f>
        <v>1532</v>
      </c>
      <c r="I62" s="147">
        <f ca="1">MIN(OFFSET(TblPop[[#This Row],[Jobs]],1,0)/TblPop[[#This Row],[Peasants]],1)</f>
        <v>1</v>
      </c>
      <c r="J62" s="148">
        <f ca="1">SUM(TblConstr[[#This Row],[Tot Alc]:[Tot GT]],TblConstr[[#This Row],[Tot Shr]:[Tot Doc]],TblConstr[[#This Row],[Dest Alc]:[Dest GT]],TblConstr[[#This Row],[Dest Shr]:[Dest Doc]])*building_employment</f>
        <v>1600</v>
      </c>
      <c r="K62" s="149"/>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50"/>
      <c r="U62" s="97">
        <f ca="1">ROUND(TblPop[[#This Row],[Raw max]]*(1+TblPop[[#This Row],[Max pop]]),0)+MIN(TblPop[[#This Row],[Military]]-TblPop[[#This Row],[Draftees]]-SUM(TblMili[[#This Row],[Train Unit 1]:[Train Arch]]),ROUND((barracks_size + tech_8_3*TblTech[[#This Row],[8-3]])*(1 + Production!O62/100*prestige_pop_multiplier),0)*TblConstr[[#This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Row],[Peasants]]*Constants!$B$54,0), 0)</f>
        <v>0</v>
      </c>
      <c r="AA62" s="150"/>
      <c r="AB62" s="151">
        <f ca="1">Overview!$I$16 + IF(Magic!AE62&gt;0,Constants!$F$78) + ROUND(6*(Construction!BM63+Construction!CK62)/IF(Explore!S63&gt;0,Construction!F63-20,Construction!F63),4) + tech_6_5_2*Techs!BJ62 + tech_8_4*Techs!BT62</f>
        <v>0</v>
      </c>
      <c r="AC62" s="147">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45">
        <f>TblRezone[[#This Row],[Hour]]</f>
        <v>60</v>
      </c>
      <c r="B63" s="146">
        <f ca="1">TblImps[[#This Row],[Time]]</f>
        <v>44813.20833333319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7">
        <f ca="1">TblPop[[#This Row],[Military]]/TblPop[[#This Row],[Total]]</f>
        <v>0.35029686174724345</v>
      </c>
      <c r="H63" s="148">
        <f ca="1">MIN(TblPop[[#This Row],[Peasants]],TblPop[[#This Row],[Jobs]])</f>
        <v>1532</v>
      </c>
      <c r="I63" s="147">
        <f ca="1">MIN(OFFSET(TblPop[[#This Row],[Jobs]],1,0)/TblPop[[#This Row],[Peasants]],1)</f>
        <v>1</v>
      </c>
      <c r="J63" s="148">
        <f ca="1">SUM(TblConstr[[#This Row],[Tot Alc]:[Tot GT]],TblConstr[[#This Row],[Tot Shr]:[Tot Doc]],TblConstr[[#This Row],[Dest Alc]:[Dest GT]],TblConstr[[#This Row],[Dest Shr]:[Dest Doc]])*building_employment</f>
        <v>1600</v>
      </c>
      <c r="K63" s="149"/>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50"/>
      <c r="U63" s="97">
        <f ca="1">ROUND(TblPop[[#This Row],[Raw max]]*(1+TblPop[[#This Row],[Max pop]]),0)+MIN(TblPop[[#This Row],[Military]]-TblPop[[#This Row],[Draftees]]-SUM(TblMili[[#This Row],[Train Unit 1]:[Train Arch]]),ROUND((barracks_size + tech_8_3*TblTech[[#This Row],[8-3]])*(1 + Production!O63/100*prestige_pop_multiplier),0)*TblConstr[[#This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Row],[Peasants]]*Constants!$B$54,0), 0)</f>
        <v>0</v>
      </c>
      <c r="AA63" s="150"/>
      <c r="AB63" s="151">
        <f ca="1">Overview!$I$16 + IF(Magic!AE63&gt;0,Constants!$F$78) + ROUND(6*(Construction!BM64+Construction!CK63)/IF(Explore!S64&gt;0,Construction!F64-20,Construction!F64),4) + tech_6_5_2*Techs!BJ63 + tech_8_4*Techs!BT63</f>
        <v>0</v>
      </c>
      <c r="AC63" s="147">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45">
        <f>TblRezone[[#This Row],[Hour]]</f>
        <v>61</v>
      </c>
      <c r="B64" s="146">
        <f ca="1">TblImps[[#This Row],[Time]]</f>
        <v>44813.249999999854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7">
        <f ca="1">TblPop[[#This Row],[Military]]/TblPop[[#This Row],[Total]]</f>
        <v>0.35029686174724345</v>
      </c>
      <c r="H64" s="148">
        <f ca="1">MIN(TblPop[[#This Row],[Peasants]],TblPop[[#This Row],[Jobs]])</f>
        <v>1532</v>
      </c>
      <c r="I64" s="147">
        <f ca="1">MIN(OFFSET(TblPop[[#This Row],[Jobs]],1,0)/TblPop[[#This Row],[Peasants]],1)</f>
        <v>1</v>
      </c>
      <c r="J64" s="148">
        <f ca="1">SUM(TblConstr[[#This Row],[Tot Alc]:[Tot GT]],TblConstr[[#This Row],[Tot Shr]:[Tot Doc]],TblConstr[[#This Row],[Dest Alc]:[Dest GT]],TblConstr[[#This Row],[Dest Shr]:[Dest Doc]])*building_employment</f>
        <v>1600</v>
      </c>
      <c r="K64" s="149"/>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50"/>
      <c r="U64" s="97">
        <f ca="1">ROUND(TblPop[[#This Row],[Raw max]]*(1+TblPop[[#This Row],[Max pop]]),0)+MIN(TblPop[[#This Row],[Military]]-TblPop[[#This Row],[Draftees]]-SUM(TblMili[[#This Row],[Train Unit 1]:[Train Arch]]),ROUND((barracks_size + tech_8_3*TblTech[[#This Row],[8-3]])*(1 + Production!O64/100*prestige_pop_multiplier),0)*TblConstr[[#This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Row],[Peasants]]*Constants!$B$54,0), 0)</f>
        <v>0</v>
      </c>
      <c r="AA64" s="150"/>
      <c r="AB64" s="151">
        <f ca="1">Overview!$I$16 + IF(Magic!AE64&gt;0,Constants!$F$78) + ROUND(6*(Construction!BM65+Construction!CK64)/IF(Explore!S65&gt;0,Construction!F65-20,Construction!F65),4) + tech_6_5_2*Techs!BJ64 + tech_8_4*Techs!BT64</f>
        <v>0</v>
      </c>
      <c r="AC64" s="147">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45">
        <f>TblRezone[[#This Row],[Hour]]</f>
        <v>62</v>
      </c>
      <c r="B65" s="146">
        <f ca="1">TblImps[[#This Row],[Time]]</f>
        <v>44813.291666666519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7">
        <f ca="1">TblPop[[#This Row],[Military]]/TblPop[[#This Row],[Total]]</f>
        <v>0.35029686174724345</v>
      </c>
      <c r="H65" s="148">
        <f ca="1">MIN(TblPop[[#This Row],[Peasants]],TblPop[[#This Row],[Jobs]])</f>
        <v>1532</v>
      </c>
      <c r="I65" s="147">
        <f ca="1">MIN(OFFSET(TblPop[[#This Row],[Jobs]],1,0)/TblPop[[#This Row],[Peasants]],1)</f>
        <v>1</v>
      </c>
      <c r="J65" s="148">
        <f ca="1">SUM(TblConstr[[#This Row],[Tot Alc]:[Tot GT]],TblConstr[[#This Row],[Tot Shr]:[Tot Doc]],TblConstr[[#This Row],[Dest Alc]:[Dest GT]],TblConstr[[#This Row],[Dest Shr]:[Dest Doc]])*building_employment</f>
        <v>1600</v>
      </c>
      <c r="K65" s="149"/>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50"/>
      <c r="U65" s="97">
        <f ca="1">ROUND(TblPop[[#This Row],[Raw max]]*(1+TblPop[[#This Row],[Max pop]]),0)+MIN(TblPop[[#This Row],[Military]]-TblPop[[#This Row],[Draftees]]-SUM(TblMili[[#This Row],[Train Unit 1]:[Train Arch]]),ROUND((barracks_size + tech_8_3*TblTech[[#This Row],[8-3]])*(1 + Production!O65/100*prestige_pop_multiplier),0)*TblConstr[[#This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Row],[Peasants]]*Constants!$B$54,0), 0)</f>
        <v>0</v>
      </c>
      <c r="AA65" s="150"/>
      <c r="AB65" s="151">
        <f ca="1">Overview!$I$16 + IF(Magic!AE65&gt;0,Constants!$F$78) + ROUND(6*(Construction!BM66+Construction!CK65)/IF(Explore!S66&gt;0,Construction!F66-20,Construction!F66),4) + tech_6_5_2*Techs!BJ65 + tech_8_4*Techs!BT65</f>
        <v>0</v>
      </c>
      <c r="AC65" s="147">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45">
        <f>TblRezone[[#This Row],[Hour]]</f>
        <v>63</v>
      </c>
      <c r="B66" s="146">
        <f ca="1">TblImps[[#This Row],[Time]]</f>
        <v>44813.333333333183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7">
        <f ca="1">TblPop[[#This Row],[Military]]/TblPop[[#This Row],[Total]]</f>
        <v>0.35029686174724345</v>
      </c>
      <c r="H66" s="148">
        <f ca="1">MIN(TblPop[[#This Row],[Peasants]],TblPop[[#This Row],[Jobs]])</f>
        <v>1532</v>
      </c>
      <c r="I66" s="147">
        <f ca="1">MIN(OFFSET(TblPop[[#This Row],[Jobs]],1,0)/TblPop[[#This Row],[Peasants]],1)</f>
        <v>1</v>
      </c>
      <c r="J66" s="148">
        <f ca="1">SUM(TblConstr[[#This Row],[Tot Alc]:[Tot GT]],TblConstr[[#This Row],[Tot Shr]:[Tot Doc]],TblConstr[[#This Row],[Dest Alc]:[Dest GT]],TblConstr[[#This Row],[Dest Shr]:[Dest Doc]])*building_employment</f>
        <v>1600</v>
      </c>
      <c r="K66" s="149"/>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50"/>
      <c r="U66" s="97">
        <f ca="1">ROUND(TblPop[[#This Row],[Raw max]]*(1+TblPop[[#This Row],[Max pop]]),0)+MIN(TblPop[[#This Row],[Military]]-TblPop[[#This Row],[Draftees]]-SUM(TblMili[[#This Row],[Train Unit 1]:[Train Arch]]),ROUND((barracks_size + tech_8_3*TblTech[[#This Row],[8-3]])*(1 + Production!O66/100*prestige_pop_multiplier),0)*TblConstr[[#This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Row],[Peasants]]*Constants!$B$54,0), 0)</f>
        <v>0</v>
      </c>
      <c r="AA66" s="150"/>
      <c r="AB66" s="151">
        <f ca="1">Overview!$I$16 + IF(Magic!AE66&gt;0,Constants!$F$78) + ROUND(6*(Construction!BM67+Construction!CK66)/IF(Explore!S67&gt;0,Construction!F67-20,Construction!F67),4) + tech_6_5_2*Techs!BJ66 + tech_8_4*Techs!BT66</f>
        <v>0</v>
      </c>
      <c r="AC66" s="147">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45">
        <f>TblRezone[[#This Row],[Hour]]</f>
        <v>64</v>
      </c>
      <c r="B67" s="146">
        <f ca="1">TblImps[[#This Row],[Time]]</f>
        <v>44813.374999999847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7">
        <f ca="1">TblPop[[#This Row],[Military]]/TblPop[[#This Row],[Total]]</f>
        <v>0.35029686174724345</v>
      </c>
      <c r="H67" s="148">
        <f ca="1">MIN(TblPop[[#This Row],[Peasants]],TblPop[[#This Row],[Jobs]])</f>
        <v>1532</v>
      </c>
      <c r="I67" s="147">
        <f ca="1">MIN(OFFSET(TblPop[[#This Row],[Jobs]],1,0)/TblPop[[#This Row],[Peasants]],1)</f>
        <v>1</v>
      </c>
      <c r="J67" s="148">
        <f ca="1">SUM(TblConstr[[#This Row],[Tot Alc]:[Tot GT]],TblConstr[[#This Row],[Tot Shr]:[Tot Doc]],TblConstr[[#This Row],[Dest Alc]:[Dest GT]],TblConstr[[#This Row],[Dest Shr]:[Dest Doc]])*building_employment</f>
        <v>1600</v>
      </c>
      <c r="K67" s="149"/>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50"/>
      <c r="U67" s="97">
        <f ca="1">ROUND(TblPop[[#This Row],[Raw max]]*(1+TblPop[[#This Row],[Max pop]]),0)+MIN(TblPop[[#This Row],[Military]]-TblPop[[#This Row],[Draftees]]-SUM(TblMili[[#This Row],[Train Unit 1]:[Train Arch]]),ROUND((barracks_size + tech_8_3*TblTech[[#This Row],[8-3]])*(1 + Production!O67/100*prestige_pop_multiplier),0)*TblConstr[[#This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Row],[Peasants]]*Constants!$B$54,0), 0)</f>
        <v>0</v>
      </c>
      <c r="AA67" s="150"/>
      <c r="AB67" s="151">
        <f ca="1">Overview!$I$16 + IF(Magic!AE67&gt;0,Constants!$F$78) + ROUND(6*(Construction!BM68+Construction!CK67)/IF(Explore!S68&gt;0,Construction!F68-20,Construction!F68),4) + tech_6_5_2*Techs!BJ67 + tech_8_4*Techs!BT67</f>
        <v>0</v>
      </c>
      <c r="AC67" s="147">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45">
        <f>TblRezone[[#This Row],[Hour]]</f>
        <v>65</v>
      </c>
      <c r="B68" s="146">
        <f ca="1">TblImps[[#This Row],[Time]]</f>
        <v>44813.416666666511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7">
        <f ca="1">TblPop[[#This Row],[Military]]/TblPop[[#This Row],[Total]]</f>
        <v>0.35029686174724345</v>
      </c>
      <c r="H68" s="148">
        <f ca="1">MIN(TblPop[[#This Row],[Peasants]],TblPop[[#This Row],[Jobs]])</f>
        <v>1532</v>
      </c>
      <c r="I68" s="147">
        <f ca="1">MIN(OFFSET(TblPop[[#This Row],[Jobs]],1,0)/TblPop[[#This Row],[Peasants]],1)</f>
        <v>1</v>
      </c>
      <c r="J68" s="148">
        <f ca="1">SUM(TblConstr[[#This Row],[Tot Alc]:[Tot GT]],TblConstr[[#This Row],[Tot Shr]:[Tot Doc]],TblConstr[[#This Row],[Dest Alc]:[Dest GT]],TblConstr[[#This Row],[Dest Shr]:[Dest Doc]])*building_employment</f>
        <v>1600</v>
      </c>
      <c r="K68" s="149"/>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50"/>
      <c r="U68" s="97">
        <f ca="1">ROUND(TblPop[[#This Row],[Raw max]]*(1+TblPop[[#This Row],[Max pop]]),0)+MIN(TblPop[[#This Row],[Military]]-TblPop[[#This Row],[Draftees]]-SUM(TblMili[[#This Row],[Train Unit 1]:[Train Arch]]),ROUND((barracks_size + tech_8_3*TblTech[[#This Row],[8-3]])*(1 + Production!O68/100*prestige_pop_multiplier),0)*TblConstr[[#This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Row],[Peasants]]*Constants!$B$54,0), 0)</f>
        <v>0</v>
      </c>
      <c r="AA68" s="150"/>
      <c r="AB68" s="151">
        <f ca="1">Overview!$I$16 + IF(Magic!AE68&gt;0,Constants!$F$78) + ROUND(6*(Construction!BM69+Construction!CK68)/IF(Explore!S69&gt;0,Construction!F69-20,Construction!F69),4) + tech_6_5_2*Techs!BJ68 + tech_8_4*Techs!BT68</f>
        <v>0</v>
      </c>
      <c r="AC68" s="147">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45">
        <f>TblRezone[[#This Row],[Hour]]</f>
        <v>66</v>
      </c>
      <c r="B69" s="146">
        <f ca="1">TblImps[[#This Row],[Time]]</f>
        <v>44813.458333333176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7">
        <f ca="1">TblPop[[#This Row],[Military]]/TblPop[[#This Row],[Total]]</f>
        <v>0.35029686174724345</v>
      </c>
      <c r="H69" s="148">
        <f ca="1">MIN(TblPop[[#This Row],[Peasants]],TblPop[[#This Row],[Jobs]])</f>
        <v>1532</v>
      </c>
      <c r="I69" s="147">
        <f ca="1">MIN(OFFSET(TblPop[[#This Row],[Jobs]],1,0)/TblPop[[#This Row],[Peasants]],1)</f>
        <v>1</v>
      </c>
      <c r="J69" s="148">
        <f ca="1">SUM(TblConstr[[#This Row],[Tot Alc]:[Tot GT]],TblConstr[[#This Row],[Tot Shr]:[Tot Doc]],TblConstr[[#This Row],[Dest Alc]:[Dest GT]],TblConstr[[#This Row],[Dest Shr]:[Dest Doc]])*building_employment</f>
        <v>1600</v>
      </c>
      <c r="K69" s="149"/>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50"/>
      <c r="U69" s="97">
        <f ca="1">ROUND(TblPop[[#This Row],[Raw max]]*(1+TblPop[[#This Row],[Max pop]]),0)+MIN(TblPop[[#This Row],[Military]]-TblPop[[#This Row],[Draftees]]-SUM(TblMili[[#This Row],[Train Unit 1]:[Train Arch]]),ROUND((barracks_size + tech_8_3*TblTech[[#This Row],[8-3]])*(1 + Production!O69/100*prestige_pop_multiplier),0)*TblConstr[[#This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Row],[Peasants]]*Constants!$B$54,0), 0)</f>
        <v>0</v>
      </c>
      <c r="AA69" s="150"/>
      <c r="AB69" s="151">
        <f ca="1">Overview!$I$16 + IF(Magic!AE69&gt;0,Constants!$F$78) + ROUND(6*(Construction!BM70+Construction!CK69)/IF(Explore!S70&gt;0,Construction!F70-20,Construction!F70),4) + tech_6_5_2*Techs!BJ69 + tech_8_4*Techs!BT69</f>
        <v>0</v>
      </c>
      <c r="AC69" s="147">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45">
        <f>TblRezone[[#This Row],[Hour]]</f>
        <v>67</v>
      </c>
      <c r="B70" s="146">
        <f ca="1">TblImps[[#This Row],[Time]]</f>
        <v>44813.49999999984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7">
        <f ca="1">TblPop[[#This Row],[Military]]/TblPop[[#This Row],[Total]]</f>
        <v>0.35029686174724345</v>
      </c>
      <c r="H70" s="148">
        <f ca="1">MIN(TblPop[[#This Row],[Peasants]],TblPop[[#This Row],[Jobs]])</f>
        <v>1532</v>
      </c>
      <c r="I70" s="147">
        <f ca="1">MIN(OFFSET(TblPop[[#This Row],[Jobs]],1,0)/TblPop[[#This Row],[Peasants]],1)</f>
        <v>1</v>
      </c>
      <c r="J70" s="148">
        <f ca="1">SUM(TblConstr[[#This Row],[Tot Alc]:[Tot GT]],TblConstr[[#This Row],[Tot Shr]:[Tot Doc]],TblConstr[[#This Row],[Dest Alc]:[Dest GT]],TblConstr[[#This Row],[Dest Shr]:[Dest Doc]])*building_employment</f>
        <v>1600</v>
      </c>
      <c r="K70" s="149"/>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50"/>
      <c r="U70" s="97">
        <f ca="1">ROUND(TblPop[[#This Row],[Raw max]]*(1+TblPop[[#This Row],[Max pop]]),0)+MIN(TblPop[[#This Row],[Military]]-TblPop[[#This Row],[Draftees]]-SUM(TblMili[[#This Row],[Train Unit 1]:[Train Arch]]),ROUND((barracks_size + tech_8_3*TblTech[[#This Row],[8-3]])*(1 + Production!O70/100*prestige_pop_multiplier),0)*TblConstr[[#This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Row],[Peasants]]*Constants!$B$54,0), 0)</f>
        <v>0</v>
      </c>
      <c r="AA70" s="150"/>
      <c r="AB70" s="151">
        <f ca="1">Overview!$I$16 + IF(Magic!AE70&gt;0,Constants!$F$78) + ROUND(6*(Construction!BM71+Construction!CK70)/IF(Explore!S71&gt;0,Construction!F71-20,Construction!F71),4) + tech_6_5_2*Techs!BJ70 + tech_8_4*Techs!BT70</f>
        <v>0</v>
      </c>
      <c r="AC70" s="147">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45">
        <f>TblRezone[[#This Row],[Hour]]</f>
        <v>68</v>
      </c>
      <c r="B71" s="146">
        <f ca="1">TblImps[[#This Row],[Time]]</f>
        <v>44813.541666666504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7">
        <f ca="1">TblPop[[#This Row],[Military]]/TblPop[[#This Row],[Total]]</f>
        <v>0.35029686174724345</v>
      </c>
      <c r="H71" s="148">
        <f ca="1">MIN(TblPop[[#This Row],[Peasants]],TblPop[[#This Row],[Jobs]])</f>
        <v>1532</v>
      </c>
      <c r="I71" s="147">
        <f ca="1">MIN(OFFSET(TblPop[[#This Row],[Jobs]],1,0)/TblPop[[#This Row],[Peasants]],1)</f>
        <v>1</v>
      </c>
      <c r="J71" s="148">
        <f ca="1">SUM(TblConstr[[#This Row],[Tot Alc]:[Tot GT]],TblConstr[[#This Row],[Tot Shr]:[Tot Doc]],TblConstr[[#This Row],[Dest Alc]:[Dest GT]],TblConstr[[#This Row],[Dest Shr]:[Dest Doc]])*building_employment</f>
        <v>1600</v>
      </c>
      <c r="K71" s="149"/>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50"/>
      <c r="U71" s="97">
        <f ca="1">ROUND(TblPop[[#This Row],[Raw max]]*(1+TblPop[[#This Row],[Max pop]]),0)+MIN(TblPop[[#This Row],[Military]]-TblPop[[#This Row],[Draftees]]-SUM(TblMili[[#This Row],[Train Unit 1]:[Train Arch]]),ROUND((barracks_size + tech_8_3*TblTech[[#This Row],[8-3]])*(1 + Production!O71/100*prestige_pop_multiplier),0)*TblConstr[[#This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Row],[Peasants]]*Constants!$B$54,0), 0)</f>
        <v>0</v>
      </c>
      <c r="AA71" s="150"/>
      <c r="AB71" s="151">
        <f ca="1">Overview!$I$16 + IF(Magic!AE71&gt;0,Constants!$F$78) + ROUND(6*(Construction!BM72+Construction!CK71)/IF(Explore!S72&gt;0,Construction!F72-20,Construction!F72),4) + tech_6_5_2*Techs!BJ71 + tech_8_4*Techs!BT71</f>
        <v>0</v>
      </c>
      <c r="AC71" s="147">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45">
        <f>TblRezone[[#This Row],[Hour]]</f>
        <v>69</v>
      </c>
      <c r="B72" s="146">
        <f ca="1">TblImps[[#This Row],[Time]]</f>
        <v>44813.583333333168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7">
        <f ca="1">TblPop[[#This Row],[Military]]/TblPop[[#This Row],[Total]]</f>
        <v>0.35029686174724345</v>
      </c>
      <c r="H72" s="148">
        <f ca="1">MIN(TblPop[[#This Row],[Peasants]],TblPop[[#This Row],[Jobs]])</f>
        <v>1532</v>
      </c>
      <c r="I72" s="147">
        <f ca="1">MIN(OFFSET(TblPop[[#This Row],[Jobs]],1,0)/TblPop[[#This Row],[Peasants]],1)</f>
        <v>1</v>
      </c>
      <c r="J72" s="148">
        <f ca="1">SUM(TblConstr[[#This Row],[Tot Alc]:[Tot GT]],TblConstr[[#This Row],[Tot Shr]:[Tot Doc]],TblConstr[[#This Row],[Dest Alc]:[Dest GT]],TblConstr[[#This Row],[Dest Shr]:[Dest Doc]])*building_employment</f>
        <v>1600</v>
      </c>
      <c r="K72" s="149"/>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50"/>
      <c r="U72" s="97">
        <f ca="1">ROUND(TblPop[[#This Row],[Raw max]]*(1+TblPop[[#This Row],[Max pop]]),0)+MIN(TblPop[[#This Row],[Military]]-TblPop[[#This Row],[Draftees]]-SUM(TblMili[[#This Row],[Train Unit 1]:[Train Arch]]),ROUND((barracks_size + tech_8_3*TblTech[[#This Row],[8-3]])*(1 + Production!O72/100*prestige_pop_multiplier),0)*TblConstr[[#This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Row],[Peasants]]*Constants!$B$54,0), 0)</f>
        <v>0</v>
      </c>
      <c r="AA72" s="150"/>
      <c r="AB72" s="151">
        <f ca="1">Overview!$I$16 + IF(Magic!AE72&gt;0,Constants!$F$78) + ROUND(6*(Construction!BM73+Construction!CK72)/IF(Explore!S73&gt;0,Construction!F73-20,Construction!F73),4) + tech_6_5_2*Techs!BJ72 + tech_8_4*Techs!BT72</f>
        <v>0</v>
      </c>
      <c r="AC72" s="147">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45">
        <f>TblRezone[[#This Row],[Hour]]</f>
        <v>70</v>
      </c>
      <c r="B73" s="146">
        <f ca="1">TblImps[[#This Row],[Time]]</f>
        <v>44813.624999999833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7">
        <f ca="1">TblPop[[#This Row],[Military]]/TblPop[[#This Row],[Total]]</f>
        <v>0.35029686174724345</v>
      </c>
      <c r="H73" s="148">
        <f ca="1">MIN(TblPop[[#This Row],[Peasants]],TblPop[[#This Row],[Jobs]])</f>
        <v>1532</v>
      </c>
      <c r="I73" s="147">
        <f ca="1">MIN(OFFSET(TblPop[[#This Row],[Jobs]],1,0)/TblPop[[#This Row],[Peasants]],1)</f>
        <v>1</v>
      </c>
      <c r="J73" s="148">
        <f ca="1">SUM(TblConstr[[#This Row],[Tot Alc]:[Tot GT]],TblConstr[[#This Row],[Tot Shr]:[Tot Doc]],TblConstr[[#This Row],[Dest Alc]:[Dest GT]],TblConstr[[#This Row],[Dest Shr]:[Dest Doc]])*building_employment</f>
        <v>1600</v>
      </c>
      <c r="K73" s="149"/>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50"/>
      <c r="U73" s="97">
        <f ca="1">ROUND(TblPop[[#This Row],[Raw max]]*(1+TblPop[[#This Row],[Max pop]]),0)+MIN(TblPop[[#This Row],[Military]]-TblPop[[#This Row],[Draftees]]-SUM(TblMili[[#This Row],[Train Unit 1]:[Train Arch]]),ROUND((barracks_size + tech_8_3*TblTech[[#This Row],[8-3]])*(1 + Production!O73/100*prestige_pop_multiplier),0)*TblConstr[[#This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Row],[Peasants]]*Constants!$B$54,0), 0)</f>
        <v>0</v>
      </c>
      <c r="AA73" s="150"/>
      <c r="AB73" s="151">
        <f ca="1">Overview!$I$16 + IF(Magic!AE73&gt;0,Constants!$F$78) + ROUND(6*(Construction!BM74+Construction!CK73)/IF(Explore!S74&gt;0,Construction!F74-20,Construction!F74),4) + tech_6_5_2*Techs!BJ73 + tech_8_4*Techs!BT73</f>
        <v>0</v>
      </c>
      <c r="AC73" s="147">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45">
        <f>TblRezone[[#This Row],[Hour]]</f>
        <v>71</v>
      </c>
      <c r="B74" s="146">
        <f ca="1">TblImps[[#This Row],[Time]]</f>
        <v>44813.666666666497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7">
        <f ca="1">TblPop[[#This Row],[Military]]/TblPop[[#This Row],[Total]]</f>
        <v>0.35029686174724345</v>
      </c>
      <c r="H74" s="148">
        <f ca="1">MIN(TblPop[[#This Row],[Peasants]],TblPop[[#This Row],[Jobs]])</f>
        <v>1532</v>
      </c>
      <c r="I74" s="147">
        <f ca="1">MIN(OFFSET(TblPop[[#This Row],[Jobs]],1,0)/TblPop[[#This Row],[Peasants]],1)</f>
        <v>1</v>
      </c>
      <c r="J74" s="148">
        <f ca="1">SUM(TblConstr[[#This Row],[Tot Alc]:[Tot GT]],TblConstr[[#This Row],[Tot Shr]:[Tot Doc]],TblConstr[[#This Row],[Dest Alc]:[Dest GT]],TblConstr[[#This Row],[Dest Shr]:[Dest Doc]])*building_employment</f>
        <v>1600</v>
      </c>
      <c r="K74" s="149"/>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50"/>
      <c r="U74" s="97">
        <f ca="1">ROUND(TblPop[[#This Row],[Raw max]]*(1+TblPop[[#This Row],[Max pop]]),0)+MIN(TblPop[[#This Row],[Military]]-TblPop[[#This Row],[Draftees]]-SUM(TblMili[[#This Row],[Train Unit 1]:[Train Arch]]),ROUND((barracks_size + tech_8_3*TblTech[[#This Row],[8-3]])*(1 + Production!O74/100*prestige_pop_multiplier),0)*TblConstr[[#This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Row],[Peasants]]*Constants!$B$54,0), 0)</f>
        <v>0</v>
      </c>
      <c r="AA74" s="150"/>
      <c r="AB74" s="151">
        <f ca="1">Overview!$I$16 + IF(Magic!AE74&gt;0,Constants!$F$78) + ROUND(6*(Construction!BM75+Construction!CK74)/IF(Explore!S75&gt;0,Construction!F75-20,Construction!F75),4) + tech_6_5_2*Techs!BJ74 + tech_8_4*Techs!BT74</f>
        <v>0</v>
      </c>
      <c r="AC74" s="147">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45">
        <f>TblRezone[[#This Row],[Hour]]</f>
        <v>72</v>
      </c>
      <c r="B75" s="146">
        <f ca="1">TblImps[[#This Row],[Time]]</f>
        <v>44813.708333333161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7">
        <f ca="1">TblPop[[#This Row],[Military]]/TblPop[[#This Row],[Total]]</f>
        <v>0.35029686174724345</v>
      </c>
      <c r="H75" s="148">
        <f ca="1">MIN(TblPop[[#This Row],[Peasants]],TblPop[[#This Row],[Jobs]])</f>
        <v>1532</v>
      </c>
      <c r="I75" s="147">
        <f ca="1">MIN(OFFSET(TblPop[[#This Row],[Jobs]],1,0)/TblPop[[#This Row],[Peasants]],1)</f>
        <v>1</v>
      </c>
      <c r="J75" s="148">
        <f ca="1">SUM(TblConstr[[#This Row],[Tot Alc]:[Tot GT]],TblConstr[[#This Row],[Tot Shr]:[Tot Doc]],TblConstr[[#This Row],[Dest Alc]:[Dest GT]],TblConstr[[#This Row],[Dest Shr]:[Dest Doc]])*building_employment</f>
        <v>1600</v>
      </c>
      <c r="K75" s="149"/>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50"/>
      <c r="U75" s="97">
        <f ca="1">ROUND(TblPop[[#This Row],[Raw max]]*(1+TblPop[[#This Row],[Max pop]]),0)+MIN(TblPop[[#This Row],[Military]]-TblPop[[#This Row],[Draftees]]-SUM(TblMili[[#This Row],[Train Unit 1]:[Train Arch]]),ROUND((barracks_size + tech_8_3*TblTech[[#This Row],[8-3]])*(1 + Production!O75/100*prestige_pop_multiplier),0)*TblConstr[[#This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Row],[Peasants]]*Constants!$B$54,0), 0)</f>
        <v>0</v>
      </c>
      <c r="AA75" s="150"/>
      <c r="AB75" s="151">
        <f ca="1">Overview!$I$16 + IF(Magic!AE75&gt;0,Constants!$F$78) + ROUND(6*(Construction!BM76+Construction!CK75)/IF(Explore!S76&gt;0,Construction!F76-20,Construction!F76),4) + tech_6_5_2*Techs!BJ75 + tech_8_4*Techs!BT75</f>
        <v>0</v>
      </c>
      <c r="AC75" s="147">
        <f ca="1">(Overview!$I$15 + Imps!Z75+ tech_2_5*Techs!AB75 + tech_3_6*Techs!AM75 + tech_6_5*Techs!BJ75 + tech_6_1*Techs!BF75 + tech_7_3_2*Techs!BN75) * (1 + Production!O75/100*prestige_pop_multiplier) + Production!O75/100*prestige_pop_multiplier</f>
        <v>2.5000000000000001E-2</v>
      </c>
    </row>
    <row r="76" spans="1:29" x14ac:dyDescent="0.2">
      <c r="A76" s="152">
        <f>TblRezone[[#This Row],[Hour]]</f>
        <v>73</v>
      </c>
      <c r="B76" s="153">
        <f ca="1">TblImps[[#This Row],[Time]]</f>
        <v>44813.749999999825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54">
        <f ca="1">TblPop[[#This Row],[Military]]/TblPop[[#This Row],[Total]]</f>
        <v>0.35029686174724345</v>
      </c>
      <c r="H76" s="155">
        <f ca="1">MIN(TblPop[[#This Row],[Peasants]],TblPop[[#This Row],[Jobs]])</f>
        <v>1532</v>
      </c>
      <c r="I76" s="154">
        <f ca="1">MIN(OFFSET(TblPop[[#This Row],[Jobs]],1,0)/TblPop[[#This Row],[Peasants]],1)</f>
        <v>1</v>
      </c>
      <c r="J76" s="148">
        <f ca="1">SUM(TblConstr[[#This Row],[Tot Alc]:[Tot GT]],TblConstr[[#This Row],[Tot Shr]:[Tot Doc]],TblConstr[[#This Row],[Dest Alc]:[Dest GT]],TblConstr[[#This Row],[Dest Shr]:[Dest Doc]])*building_employment</f>
        <v>1600</v>
      </c>
      <c r="K76" s="149"/>
      <c r="L76" s="156">
        <f ca="1">TblPop[[#This Row],[Draftees]]</f>
        <v>626</v>
      </c>
      <c r="M76" s="156">
        <f ca="1">TblMili[[#This Row],[Unit 1]]</f>
        <v>0</v>
      </c>
      <c r="N76" s="156">
        <f ca="1">TblMili[[#This Row],[Unit 2]]</f>
        <v>150</v>
      </c>
      <c r="O76" s="156">
        <f ca="1">TblMili[[#This Row],[Unit 3]]</f>
        <v>0</v>
      </c>
      <c r="P76" s="156">
        <f ca="1">TblMili[[#This Row],[Unit 4]]</f>
        <v>0</v>
      </c>
      <c r="Q76" s="156">
        <f ca="1">TblMili[[#This Row],[Spies]]</f>
        <v>25</v>
      </c>
      <c r="R76" s="156">
        <f ca="1">TblMili[[#This Row],[Wizards]]</f>
        <v>25</v>
      </c>
      <c r="S76" s="156">
        <f ca="1">TblMili[[#This Row],[Archmages]]</f>
        <v>0</v>
      </c>
      <c r="T76" s="157"/>
      <c r="U76" s="35">
        <f ca="1">ROUND(TblPop[[#This Row],[Raw max]]*(1+TblPop[[#This Row],[Max pop]]),0)+MIN(TblPop[[#This Row],[Military]]-TblPop[[#This Row],[Draftees]]-SUM(TblMili[[#This Row],[Train Unit 1]:[Train Arch]]),ROUND((barracks_size + tech_8_3*TblTech[[#This Row],[8-3]])*(1 + Production!O76/100*prestige_pop_multiplier),0)*TblConstr[[#This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Row],[Peasants]]*Constants!$B$54,0), 0)</f>
        <v>0</v>
      </c>
      <c r="AA76" s="157"/>
      <c r="AB76" s="158">
        <f ca="1">Overview!$I$16 + IF(Magic!AE76&gt;0,Constants!$F$78) + ROUND(6*(Construction!BM77+Construction!CK76)/IF(Explore!S77&gt;0,Construction!F77-20,Construction!F77),4) + tech_6_5_2*Techs!BJ76 + tech_8_4*Techs!BT76</f>
        <v>0</v>
      </c>
      <c r="AC76" s="147">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45">
        <f>TblRezone[[#This Row],[Hour]]</f>
        <v>74</v>
      </c>
      <c r="B77" s="146">
        <f ca="1">TblImps[[#This Row],[Time]]</f>
        <v>44813.79166666649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7">
        <f ca="1">TblPop[[#This Row],[Military]]/TblPop[[#This Row],[Total]]</f>
        <v>0.35029686174724345</v>
      </c>
      <c r="H77" s="148">
        <f ca="1">MIN(TblPop[[#This Row],[Peasants]],TblPop[[#This Row],[Jobs]])</f>
        <v>1532</v>
      </c>
      <c r="I77" s="147">
        <f ca="1">MIN(OFFSET(TblPop[[#This Row],[Jobs]],1,0)/TblPop[[#This Row],[Peasants]],1)</f>
        <v>1</v>
      </c>
      <c r="J77" s="148">
        <f ca="1">SUM(TblConstr[[#This Row],[Tot Alc]:[Tot GT]],TblConstr[[#This Row],[Tot Shr]:[Tot Doc]],TblConstr[[#This Row],[Dest Alc]:[Dest GT]],TblConstr[[#This Row],[Dest Shr]:[Dest Doc]])*building_employment</f>
        <v>1600</v>
      </c>
      <c r="K77" s="149"/>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50"/>
      <c r="U77" s="97">
        <f ca="1">ROUND(TblPop[[#This Row],[Raw max]]*(1+TblPop[[#This Row],[Max pop]]),0)+MIN(TblPop[[#This Row],[Military]]-TblPop[[#This Row],[Draftees]]-SUM(TblMili[[#This Row],[Train Unit 1]:[Train Arch]]),ROUND((barracks_size + tech_8_3*TblTech[[#This Row],[8-3]])*(1 + Production!O77/100*prestige_pop_multiplier),0)*TblConstr[[#This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Row],[Peasants]]*Constants!$B$54,0), 0)</f>
        <v>0</v>
      </c>
      <c r="AA77" s="150"/>
      <c r="AB77" s="151">
        <f ca="1">Overview!$I$16 + IF(Magic!AE77&gt;0,Constants!$F$78) + ROUND(6*(Construction!BM78+Construction!CK77)/IF(Explore!S78&gt;0,Construction!F78-20,Construction!F78),4) + tech_6_5_2*Techs!BJ77 + tech_8_4*Techs!BT77</f>
        <v>0</v>
      </c>
      <c r="AC77" s="147">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45">
        <f>TblRezone[[#This Row],[Hour]]</f>
        <v>75</v>
      </c>
      <c r="B78" s="146">
        <f ca="1">TblImps[[#This Row],[Time]]</f>
        <v>44813.833333333154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7">
        <f ca="1">TblPop[[#This Row],[Military]]/TblPop[[#This Row],[Total]]</f>
        <v>0.35029686174724345</v>
      </c>
      <c r="H78" s="148">
        <f ca="1">MIN(TblPop[[#This Row],[Peasants]],TblPop[[#This Row],[Jobs]])</f>
        <v>1532</v>
      </c>
      <c r="I78" s="147">
        <f ca="1">MIN(OFFSET(TblPop[[#This Row],[Jobs]],1,0)/TblPop[[#This Row],[Peasants]],1)</f>
        <v>1</v>
      </c>
      <c r="J78" s="148">
        <f ca="1">SUM(TblConstr[[#This Row],[Tot Alc]:[Tot GT]],TblConstr[[#This Row],[Tot Shr]:[Tot Doc]],TblConstr[[#This Row],[Dest Alc]:[Dest GT]],TblConstr[[#This Row],[Dest Shr]:[Dest Doc]])*building_employment</f>
        <v>1600</v>
      </c>
      <c r="K78" s="149"/>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50"/>
      <c r="U78" s="97">
        <f ca="1">ROUND(TblPop[[#This Row],[Raw max]]*(1+TblPop[[#This Row],[Max pop]]),0)+MIN(TblPop[[#This Row],[Military]]-TblPop[[#This Row],[Draftees]]-SUM(TblMili[[#This Row],[Train Unit 1]:[Train Arch]]),ROUND((barracks_size + tech_8_3*TblTech[[#This Row],[8-3]])*(1 + Production!O78/100*prestige_pop_multiplier),0)*TblConstr[[#This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Row],[Peasants]]*Constants!$B$54,0), 0)</f>
        <v>0</v>
      </c>
      <c r="AA78" s="150"/>
      <c r="AB78" s="151">
        <f ca="1">Overview!$I$16 + IF(Magic!AE78&gt;0,Constants!$F$78) + ROUND(6*(Construction!BM79+Construction!CK78)/IF(Explore!S79&gt;0,Construction!F79-20,Construction!F79),4) + tech_6_5_2*Techs!BJ78 + tech_8_4*Techs!BT78</f>
        <v>0</v>
      </c>
      <c r="AC78" s="147">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45">
        <f>TblRezone[[#This Row],[Hour]]</f>
        <v>76</v>
      </c>
      <c r="B79" s="146">
        <f ca="1">TblImps[[#This Row],[Time]]</f>
        <v>44813.874999999818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7">
        <f ca="1">TblPop[[#This Row],[Military]]/TblPop[[#This Row],[Total]]</f>
        <v>0.35029686174724345</v>
      </c>
      <c r="H79" s="148">
        <f ca="1">MIN(TblPop[[#This Row],[Peasants]],TblPop[[#This Row],[Jobs]])</f>
        <v>1532</v>
      </c>
      <c r="I79" s="147">
        <f ca="1">MIN(OFFSET(TblPop[[#This Row],[Jobs]],1,0)/TblPop[[#This Row],[Peasants]],1)</f>
        <v>1</v>
      </c>
      <c r="J79" s="148">
        <f ca="1">SUM(TblConstr[[#This Row],[Tot Alc]:[Tot GT]],TblConstr[[#This Row],[Tot Shr]:[Tot Doc]],TblConstr[[#This Row],[Dest Alc]:[Dest GT]],TblConstr[[#This Row],[Dest Shr]:[Dest Doc]])*building_employment</f>
        <v>1600</v>
      </c>
      <c r="K79" s="149"/>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50"/>
      <c r="U79" s="97">
        <f ca="1">ROUND(TblPop[[#This Row],[Raw max]]*(1+TblPop[[#This Row],[Max pop]]),0)+MIN(TblPop[[#This Row],[Military]]-TblPop[[#This Row],[Draftees]]-SUM(TblMili[[#This Row],[Train Unit 1]:[Train Arch]]),ROUND((barracks_size + tech_8_3*TblTech[[#This Row],[8-3]])*(1 + Production!O79/100*prestige_pop_multiplier),0)*TblConstr[[#This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Row],[Peasants]]*Constants!$B$54,0), 0)</f>
        <v>0</v>
      </c>
      <c r="AA79" s="150"/>
      <c r="AB79" s="151">
        <f ca="1">Overview!$I$16 + IF(Magic!AE79&gt;0,Constants!$F$78) + ROUND(6*(Construction!BM80+Construction!CK79)/IF(Explore!S80&gt;0,Construction!F80-20,Construction!F80),4) + tech_6_5_2*Techs!BJ79 + tech_8_4*Techs!BT79</f>
        <v>0</v>
      </c>
      <c r="AC79" s="147">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45">
        <f>TblRezone[[#This Row],[Hour]]</f>
        <v>77</v>
      </c>
      <c r="B80" s="146">
        <f ca="1">TblImps[[#This Row],[Time]]</f>
        <v>44813.916666666482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7">
        <f ca="1">TblPop[[#This Row],[Military]]/TblPop[[#This Row],[Total]]</f>
        <v>0.35029686174724345</v>
      </c>
      <c r="H80" s="148">
        <f ca="1">MIN(TblPop[[#This Row],[Peasants]],TblPop[[#This Row],[Jobs]])</f>
        <v>1532</v>
      </c>
      <c r="I80" s="147">
        <f ca="1">MIN(OFFSET(TblPop[[#This Row],[Jobs]],1,0)/TblPop[[#This Row],[Peasants]],1)</f>
        <v>1</v>
      </c>
      <c r="J80" s="148">
        <f ca="1">SUM(TblConstr[[#This Row],[Tot Alc]:[Tot GT]],TblConstr[[#This Row],[Tot Shr]:[Tot Doc]],TblConstr[[#This Row],[Dest Alc]:[Dest GT]],TblConstr[[#This Row],[Dest Shr]:[Dest Doc]])*building_employment</f>
        <v>1600</v>
      </c>
      <c r="K80" s="149"/>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50"/>
      <c r="U80" s="97">
        <f ca="1">ROUND(TblPop[[#This Row],[Raw max]]*(1+TblPop[[#This Row],[Max pop]]),0)+MIN(TblPop[[#This Row],[Military]]-TblPop[[#This Row],[Draftees]]-SUM(TblMili[[#This Row],[Train Unit 1]:[Train Arch]]),ROUND((barracks_size + tech_8_3*TblTech[[#This Row],[8-3]])*(1 + Production!O80/100*prestige_pop_multiplier),0)*TblConstr[[#This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Row],[Peasants]]*Constants!$B$54,0), 0)</f>
        <v>0</v>
      </c>
      <c r="AA80" s="150"/>
      <c r="AB80" s="151">
        <f ca="1">Overview!$I$16 + IF(Magic!AE80&gt;0,Constants!$F$78) + ROUND(6*(Construction!BM81+Construction!CK80)/IF(Explore!S81&gt;0,Construction!F81-20,Construction!F81),4) + tech_6_5_2*Techs!BJ80 + tech_8_4*Techs!BT80</f>
        <v>0</v>
      </c>
      <c r="AC80" s="147">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45">
        <f>TblRezone[[#This Row],[Hour]]</f>
        <v>78</v>
      </c>
      <c r="B81" s="146">
        <f ca="1">TblImps[[#This Row],[Time]]</f>
        <v>44813.958333333147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7">
        <f ca="1">TblPop[[#This Row],[Military]]/TblPop[[#This Row],[Total]]</f>
        <v>0.35029686174724345</v>
      </c>
      <c r="H81" s="148">
        <f ca="1">MIN(TblPop[[#This Row],[Peasants]],TblPop[[#This Row],[Jobs]])</f>
        <v>1532</v>
      </c>
      <c r="I81" s="147">
        <f ca="1">MIN(OFFSET(TblPop[[#This Row],[Jobs]],1,0)/TblPop[[#This Row],[Peasants]],1)</f>
        <v>1</v>
      </c>
      <c r="J81" s="148">
        <f ca="1">SUM(TblConstr[[#This Row],[Tot Alc]:[Tot GT]],TblConstr[[#This Row],[Tot Shr]:[Tot Doc]],TblConstr[[#This Row],[Dest Alc]:[Dest GT]],TblConstr[[#This Row],[Dest Shr]:[Dest Doc]])*building_employment</f>
        <v>1600</v>
      </c>
      <c r="K81" s="149"/>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50"/>
      <c r="U81" s="97">
        <f ca="1">ROUND(TblPop[[#This Row],[Raw max]]*(1+TblPop[[#This Row],[Max pop]]),0)+MIN(TblPop[[#This Row],[Military]]-TblPop[[#This Row],[Draftees]]-SUM(TblMili[[#This Row],[Train Unit 1]:[Train Arch]]),ROUND((barracks_size + tech_8_3*TblTech[[#This Row],[8-3]])*(1 + Production!O81/100*prestige_pop_multiplier),0)*TblConstr[[#This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Row],[Peasants]]*Constants!$B$54,0), 0)</f>
        <v>0</v>
      </c>
      <c r="AA81" s="150"/>
      <c r="AB81" s="151">
        <f ca="1">Overview!$I$16 + IF(Magic!AE81&gt;0,Constants!$F$78) + ROUND(6*(Construction!BM82+Construction!CK81)/IF(Explore!S82&gt;0,Construction!F82-20,Construction!F82),4) + tech_6_5_2*Techs!BJ81 + tech_8_4*Techs!BT81</f>
        <v>0</v>
      </c>
      <c r="AC81" s="147">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45">
        <f>TblRezone[[#This Row],[Hour]]</f>
        <v>79</v>
      </c>
      <c r="B82" s="146">
        <f ca="1">TblImps[[#This Row],[Time]]</f>
        <v>44813.999999999811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7">
        <f ca="1">TblPop[[#This Row],[Military]]/TblPop[[#This Row],[Total]]</f>
        <v>0.35029686174724345</v>
      </c>
      <c r="H82" s="148">
        <f ca="1">MIN(TblPop[[#This Row],[Peasants]],TblPop[[#This Row],[Jobs]])</f>
        <v>1532</v>
      </c>
      <c r="I82" s="147">
        <f ca="1">MIN(OFFSET(TblPop[[#This Row],[Jobs]],1,0)/TblPop[[#This Row],[Peasants]],1)</f>
        <v>1</v>
      </c>
      <c r="J82" s="148">
        <f ca="1">SUM(TblConstr[[#This Row],[Tot Alc]:[Tot GT]],TblConstr[[#This Row],[Tot Shr]:[Tot Doc]],TblConstr[[#This Row],[Dest Alc]:[Dest GT]],TblConstr[[#This Row],[Dest Shr]:[Dest Doc]])*building_employment</f>
        <v>1600</v>
      </c>
      <c r="K82" s="149"/>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50"/>
      <c r="U82" s="97">
        <f ca="1">ROUND(TblPop[[#This Row],[Raw max]]*(1+TblPop[[#This Row],[Max pop]]),0)+MIN(TblPop[[#This Row],[Military]]-TblPop[[#This Row],[Draftees]]-SUM(TblMili[[#This Row],[Train Unit 1]:[Train Arch]]),ROUND((barracks_size + tech_8_3*TblTech[[#This Row],[8-3]])*(1 + Production!O82/100*prestige_pop_multiplier),0)*TblConstr[[#This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Row],[Peasants]]*Constants!$B$54,0), 0)</f>
        <v>0</v>
      </c>
      <c r="AA82" s="150"/>
      <c r="AB82" s="151">
        <f ca="1">Overview!$I$16 + IF(Magic!AE82&gt;0,Constants!$F$78) + ROUND(6*(Construction!BM83+Construction!CK82)/IF(Explore!S83&gt;0,Construction!F83-20,Construction!F83),4) + tech_6_5_2*Techs!BJ82 + tech_8_4*Techs!BT82</f>
        <v>0</v>
      </c>
      <c r="AC82" s="147">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45">
        <f>TblRezone[[#This Row],[Hour]]</f>
        <v>80</v>
      </c>
      <c r="B83" s="146">
        <f ca="1">TblImps[[#This Row],[Time]]</f>
        <v>44814.041666666475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7">
        <f ca="1">TblPop[[#This Row],[Military]]/TblPop[[#This Row],[Total]]</f>
        <v>0.35029686174724345</v>
      </c>
      <c r="H83" s="148">
        <f ca="1">MIN(TblPop[[#This Row],[Peasants]],TblPop[[#This Row],[Jobs]])</f>
        <v>1532</v>
      </c>
      <c r="I83" s="147">
        <f ca="1">MIN(OFFSET(TblPop[[#This Row],[Jobs]],1,0)/TblPop[[#This Row],[Peasants]],1)</f>
        <v>1</v>
      </c>
      <c r="J83" s="148">
        <f ca="1">SUM(TblConstr[[#This Row],[Tot Alc]:[Tot GT]],TblConstr[[#This Row],[Tot Shr]:[Tot Doc]],TblConstr[[#This Row],[Dest Alc]:[Dest GT]],TblConstr[[#This Row],[Dest Shr]:[Dest Doc]])*building_employment</f>
        <v>1600</v>
      </c>
      <c r="K83" s="149"/>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50"/>
      <c r="U83" s="97">
        <f ca="1">ROUND(TblPop[[#This Row],[Raw max]]*(1+TblPop[[#This Row],[Max pop]]),0)+MIN(TblPop[[#This Row],[Military]]-TblPop[[#This Row],[Draftees]]-SUM(TblMili[[#This Row],[Train Unit 1]:[Train Arch]]),ROUND((barracks_size + tech_8_3*TblTech[[#This Row],[8-3]])*(1 + Production!O83/100*prestige_pop_multiplier),0)*TblConstr[[#This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Row],[Peasants]]*Constants!$B$54,0), 0)</f>
        <v>0</v>
      </c>
      <c r="AA83" s="150"/>
      <c r="AB83" s="151">
        <f ca="1">Overview!$I$16 + IF(Magic!AE83&gt;0,Constants!$F$78) + ROUND(6*(Construction!BM84+Construction!CK83)/IF(Explore!S84&gt;0,Construction!F84-20,Construction!F84),4) + tech_6_5_2*Techs!BJ83 + tech_8_4*Techs!BT83</f>
        <v>0</v>
      </c>
      <c r="AC83" s="147">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45">
        <f>TblRezone[[#This Row],[Hour]]</f>
        <v>81</v>
      </c>
      <c r="B84" s="146">
        <f ca="1">TblImps[[#This Row],[Time]]</f>
        <v>44814.083333333139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7">
        <f ca="1">TblPop[[#This Row],[Military]]/TblPop[[#This Row],[Total]]</f>
        <v>0.35029686174724345</v>
      </c>
      <c r="H84" s="148">
        <f ca="1">MIN(TblPop[[#This Row],[Peasants]],TblPop[[#This Row],[Jobs]])</f>
        <v>1532</v>
      </c>
      <c r="I84" s="147">
        <f ca="1">MIN(OFFSET(TblPop[[#This Row],[Jobs]],1,0)/TblPop[[#This Row],[Peasants]],1)</f>
        <v>1</v>
      </c>
      <c r="J84" s="148">
        <f ca="1">SUM(TblConstr[[#This Row],[Tot Alc]:[Tot GT]],TblConstr[[#This Row],[Tot Shr]:[Tot Doc]],TblConstr[[#This Row],[Dest Alc]:[Dest GT]],TblConstr[[#This Row],[Dest Shr]:[Dest Doc]])*building_employment</f>
        <v>1600</v>
      </c>
      <c r="K84" s="149"/>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50"/>
      <c r="U84" s="97">
        <f ca="1">ROUND(TblPop[[#This Row],[Raw max]]*(1+TblPop[[#This Row],[Max pop]]),0)+MIN(TblPop[[#This Row],[Military]]-TblPop[[#This Row],[Draftees]]-SUM(TblMili[[#This Row],[Train Unit 1]:[Train Arch]]),ROUND((barracks_size + tech_8_3*TblTech[[#This Row],[8-3]])*(1 + Production!O84/100*prestige_pop_multiplier),0)*TblConstr[[#This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Row],[Peasants]]*Constants!$B$54,0), 0)</f>
        <v>0</v>
      </c>
      <c r="AA84" s="150"/>
      <c r="AB84" s="151">
        <f ca="1">Overview!$I$16 + IF(Magic!AE84&gt;0,Constants!$F$78) + ROUND(6*(Construction!BM85+Construction!CK84)/IF(Explore!S85&gt;0,Construction!F85-20,Construction!F85),4) + tech_6_5_2*Techs!BJ84 + tech_8_4*Techs!BT84</f>
        <v>0</v>
      </c>
      <c r="AC84" s="147">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45">
        <f>TblRezone[[#This Row],[Hour]]</f>
        <v>82</v>
      </c>
      <c r="B85" s="146">
        <f ca="1">TblImps[[#This Row],[Time]]</f>
        <v>44814.124999999804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7">
        <f ca="1">TblPop[[#This Row],[Military]]/TblPop[[#This Row],[Total]]</f>
        <v>0.35029686174724345</v>
      </c>
      <c r="H85" s="148">
        <f ca="1">MIN(TblPop[[#This Row],[Peasants]],TblPop[[#This Row],[Jobs]])</f>
        <v>1532</v>
      </c>
      <c r="I85" s="147">
        <f ca="1">MIN(OFFSET(TblPop[[#This Row],[Jobs]],1,0)/TblPop[[#This Row],[Peasants]],1)</f>
        <v>1</v>
      </c>
      <c r="J85" s="148">
        <f ca="1">SUM(TblConstr[[#This Row],[Tot Alc]:[Tot GT]],TblConstr[[#This Row],[Tot Shr]:[Tot Doc]],TblConstr[[#This Row],[Dest Alc]:[Dest GT]],TblConstr[[#This Row],[Dest Shr]:[Dest Doc]])*building_employment</f>
        <v>1600</v>
      </c>
      <c r="K85" s="149"/>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50"/>
      <c r="U85" s="97">
        <f ca="1">ROUND(TblPop[[#This Row],[Raw max]]*(1+TblPop[[#This Row],[Max pop]]),0)+MIN(TblPop[[#This Row],[Military]]-TblPop[[#This Row],[Draftees]]-SUM(TblMili[[#This Row],[Train Unit 1]:[Train Arch]]),ROUND((barracks_size + tech_8_3*TblTech[[#This Row],[8-3]])*(1 + Production!O85/100*prestige_pop_multiplier),0)*TblConstr[[#This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Row],[Peasants]]*Constants!$B$54,0), 0)</f>
        <v>0</v>
      </c>
      <c r="AA85" s="150"/>
      <c r="AB85" s="151">
        <f ca="1">Overview!$I$16 + IF(Magic!AE85&gt;0,Constants!$F$78) + ROUND(6*(Construction!BM86+Construction!CK85)/IF(Explore!S86&gt;0,Construction!F86-20,Construction!F86),4) + tech_6_5_2*Techs!BJ85 + tech_8_4*Techs!BT85</f>
        <v>0</v>
      </c>
      <c r="AC85" s="147">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45">
        <f>TblRezone[[#This Row],[Hour]]</f>
        <v>83</v>
      </c>
      <c r="B86" s="146">
        <f ca="1">TblImps[[#This Row],[Time]]</f>
        <v>44814.166666666468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7">
        <f ca="1">TblPop[[#This Row],[Military]]/TblPop[[#This Row],[Total]]</f>
        <v>0.35029686174724345</v>
      </c>
      <c r="H86" s="148">
        <f ca="1">MIN(TblPop[[#This Row],[Peasants]],TblPop[[#This Row],[Jobs]])</f>
        <v>1532</v>
      </c>
      <c r="I86" s="147">
        <f ca="1">MIN(OFFSET(TblPop[[#This Row],[Jobs]],1,0)/TblPop[[#This Row],[Peasants]],1)</f>
        <v>1</v>
      </c>
      <c r="J86" s="148">
        <f ca="1">SUM(TblConstr[[#This Row],[Tot Alc]:[Tot GT]],TblConstr[[#This Row],[Tot Shr]:[Tot Doc]],TblConstr[[#This Row],[Dest Alc]:[Dest GT]],TblConstr[[#This Row],[Dest Shr]:[Dest Doc]])*building_employment</f>
        <v>1600</v>
      </c>
      <c r="K86" s="149"/>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50"/>
      <c r="U86" s="97">
        <f ca="1">ROUND(TblPop[[#This Row],[Raw max]]*(1+TblPop[[#This Row],[Max pop]]),0)+MIN(TblPop[[#This Row],[Military]]-TblPop[[#This Row],[Draftees]]-SUM(TblMili[[#This Row],[Train Unit 1]:[Train Arch]]),ROUND((barracks_size + tech_8_3*TblTech[[#This Row],[8-3]])*(1 + Production!O86/100*prestige_pop_multiplier),0)*TblConstr[[#This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Row],[Peasants]]*Constants!$B$54,0), 0)</f>
        <v>0</v>
      </c>
      <c r="AA86" s="150"/>
      <c r="AB86" s="151">
        <f ca="1">Overview!$I$16 + IF(Magic!AE86&gt;0,Constants!$F$78) + ROUND(6*(Construction!BM87+Construction!CK86)/IF(Explore!S87&gt;0,Construction!F87-20,Construction!F87),4) + tech_6_5_2*Techs!BJ86 + tech_8_4*Techs!BT86</f>
        <v>0</v>
      </c>
      <c r="AC86" s="147">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45">
        <f>TblRezone[[#This Row],[Hour]]</f>
        <v>84</v>
      </c>
      <c r="B87" s="146">
        <f ca="1">TblImps[[#This Row],[Time]]</f>
        <v>44814.208333333132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7">
        <f ca="1">TblPop[[#This Row],[Military]]/TblPop[[#This Row],[Total]]</f>
        <v>0.35029686174724345</v>
      </c>
      <c r="H87" s="148">
        <f ca="1">MIN(TblPop[[#This Row],[Peasants]],TblPop[[#This Row],[Jobs]])</f>
        <v>1532</v>
      </c>
      <c r="I87" s="147">
        <f ca="1">MIN(OFFSET(TblPop[[#This Row],[Jobs]],1,0)/TblPop[[#This Row],[Peasants]],1)</f>
        <v>1</v>
      </c>
      <c r="J87" s="148">
        <f ca="1">SUM(TblConstr[[#This Row],[Tot Alc]:[Tot GT]],TblConstr[[#This Row],[Tot Shr]:[Tot Doc]],TblConstr[[#This Row],[Dest Alc]:[Dest GT]],TblConstr[[#This Row],[Dest Shr]:[Dest Doc]])*building_employment</f>
        <v>1600</v>
      </c>
      <c r="K87" s="149"/>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50"/>
      <c r="U87" s="97">
        <f ca="1">ROUND(TblPop[[#This Row],[Raw max]]*(1+TblPop[[#This Row],[Max pop]]),0)+MIN(TblPop[[#This Row],[Military]]-TblPop[[#This Row],[Draftees]]-SUM(TblMili[[#This Row],[Train Unit 1]:[Train Arch]]),ROUND((barracks_size + tech_8_3*TblTech[[#This Row],[8-3]])*(1 + Production!O87/100*prestige_pop_multiplier),0)*TblConstr[[#This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Row],[Peasants]]*Constants!$B$54,0), 0)</f>
        <v>0</v>
      </c>
      <c r="AA87" s="150"/>
      <c r="AB87" s="151">
        <f ca="1">Overview!$I$16 + IF(Magic!AE87&gt;0,Constants!$F$78) + ROUND(6*(Construction!BM88+Construction!CK87)/IF(Explore!S88&gt;0,Construction!F88-20,Construction!F88),4) + tech_6_5_2*Techs!BJ87 + tech_8_4*Techs!BT87</f>
        <v>0</v>
      </c>
      <c r="AC87" s="147">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45">
        <f>TblRezone[[#This Row],[Hour]]</f>
        <v>85</v>
      </c>
      <c r="B88" s="146">
        <f ca="1">TblImps[[#This Row],[Time]]</f>
        <v>44814.249999999796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7">
        <f ca="1">TblPop[[#This Row],[Military]]/TblPop[[#This Row],[Total]]</f>
        <v>0.35029686174724345</v>
      </c>
      <c r="H88" s="148">
        <f ca="1">MIN(TblPop[[#This Row],[Peasants]],TblPop[[#This Row],[Jobs]])</f>
        <v>1532</v>
      </c>
      <c r="I88" s="147">
        <f ca="1">MIN(OFFSET(TblPop[[#This Row],[Jobs]],1,0)/TblPop[[#This Row],[Peasants]],1)</f>
        <v>1</v>
      </c>
      <c r="J88" s="148">
        <f ca="1">SUM(TblConstr[[#This Row],[Tot Alc]:[Tot GT]],TblConstr[[#This Row],[Tot Shr]:[Tot Doc]],TblConstr[[#This Row],[Dest Alc]:[Dest GT]],TblConstr[[#This Row],[Dest Shr]:[Dest Doc]])*building_employment</f>
        <v>1600</v>
      </c>
      <c r="K88" s="149"/>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50"/>
      <c r="U88" s="97">
        <f ca="1">ROUND(TblPop[[#This Row],[Raw max]]*(1+TblPop[[#This Row],[Max pop]]),0)+MIN(TblPop[[#This Row],[Military]]-TblPop[[#This Row],[Draftees]]-SUM(TblMili[[#This Row],[Train Unit 1]:[Train Arch]]),ROUND((barracks_size + tech_8_3*TblTech[[#This Row],[8-3]])*(1 + Production!O88/100*prestige_pop_multiplier),0)*TblConstr[[#This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Row],[Peasants]]*Constants!$B$54,0), 0)</f>
        <v>0</v>
      </c>
      <c r="AA88" s="150"/>
      <c r="AB88" s="151">
        <f ca="1">Overview!$I$16 + IF(Magic!AE88&gt;0,Constants!$F$78) + ROUND(6*(Construction!BM89+Construction!CK88)/IF(Explore!S89&gt;0,Construction!F89-20,Construction!F89),4) + tech_6_5_2*Techs!BJ88 + tech_8_4*Techs!BT88</f>
        <v>0</v>
      </c>
      <c r="AC88" s="147">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45">
        <f>TblRezone[[#This Row],[Hour]]</f>
        <v>86</v>
      </c>
      <c r="B89" s="146">
        <f ca="1">TblImps[[#This Row],[Time]]</f>
        <v>44814.291666666461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7">
        <f ca="1">TblPop[[#This Row],[Military]]/TblPop[[#This Row],[Total]]</f>
        <v>0.35029686174724345</v>
      </c>
      <c r="H89" s="148">
        <f ca="1">MIN(TblPop[[#This Row],[Peasants]],TblPop[[#This Row],[Jobs]])</f>
        <v>1532</v>
      </c>
      <c r="I89" s="147">
        <f ca="1">MIN(OFFSET(TblPop[[#This Row],[Jobs]],1,0)/TblPop[[#This Row],[Peasants]],1)</f>
        <v>1</v>
      </c>
      <c r="J89" s="148">
        <f ca="1">SUM(TblConstr[[#This Row],[Tot Alc]:[Tot GT]],TblConstr[[#This Row],[Tot Shr]:[Tot Doc]],TblConstr[[#This Row],[Dest Alc]:[Dest GT]],TblConstr[[#This Row],[Dest Shr]:[Dest Doc]])*building_employment</f>
        <v>1600</v>
      </c>
      <c r="K89" s="149"/>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50"/>
      <c r="U89" s="97">
        <f ca="1">ROUND(TblPop[[#This Row],[Raw max]]*(1+TblPop[[#This Row],[Max pop]]),0)+MIN(TblPop[[#This Row],[Military]]-TblPop[[#This Row],[Draftees]]-SUM(TblMili[[#This Row],[Train Unit 1]:[Train Arch]]),ROUND((barracks_size + tech_8_3*TblTech[[#This Row],[8-3]])*(1 + Production!O89/100*prestige_pop_multiplier),0)*TblConstr[[#This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Row],[Peasants]]*Constants!$B$54,0), 0)</f>
        <v>0</v>
      </c>
      <c r="AA89" s="150"/>
      <c r="AB89" s="151">
        <f ca="1">Overview!$I$16 + IF(Magic!AE89&gt;0,Constants!$F$78) + ROUND(6*(Construction!BM90+Construction!CK89)/IF(Explore!S90&gt;0,Construction!F90-20,Construction!F90),4) + tech_6_5_2*Techs!BJ89 + tech_8_4*Techs!BT89</f>
        <v>0</v>
      </c>
      <c r="AC89" s="147">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45">
        <f>TblRezone[[#This Row],[Hour]]</f>
        <v>87</v>
      </c>
      <c r="B90" s="146">
        <f ca="1">TblImps[[#This Row],[Time]]</f>
        <v>44814.333333333125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7">
        <f ca="1">TblPop[[#This Row],[Military]]/TblPop[[#This Row],[Total]]</f>
        <v>0.35029686174724345</v>
      </c>
      <c r="H90" s="148">
        <f ca="1">MIN(TblPop[[#This Row],[Peasants]],TblPop[[#This Row],[Jobs]])</f>
        <v>1532</v>
      </c>
      <c r="I90" s="147">
        <f ca="1">MIN(OFFSET(TblPop[[#This Row],[Jobs]],1,0)/TblPop[[#This Row],[Peasants]],1)</f>
        <v>1</v>
      </c>
      <c r="J90" s="148">
        <f ca="1">SUM(TblConstr[[#This Row],[Tot Alc]:[Tot GT]],TblConstr[[#This Row],[Tot Shr]:[Tot Doc]],TblConstr[[#This Row],[Dest Alc]:[Dest GT]],TblConstr[[#This Row],[Dest Shr]:[Dest Doc]])*building_employment</f>
        <v>1600</v>
      </c>
      <c r="K90" s="149"/>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50"/>
      <c r="U90" s="97">
        <f ca="1">ROUND(TblPop[[#This Row],[Raw max]]*(1+TblPop[[#This Row],[Max pop]]),0)+MIN(TblPop[[#This Row],[Military]]-TblPop[[#This Row],[Draftees]]-SUM(TblMili[[#This Row],[Train Unit 1]:[Train Arch]]),ROUND((barracks_size + tech_8_3*TblTech[[#This Row],[8-3]])*(1 + Production!O90/100*prestige_pop_multiplier),0)*TblConstr[[#This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Row],[Peasants]]*Constants!$B$54,0), 0)</f>
        <v>0</v>
      </c>
      <c r="AA90" s="150"/>
      <c r="AB90" s="151">
        <f ca="1">Overview!$I$16 + IF(Magic!AE90&gt;0,Constants!$F$78) + ROUND(6*(Construction!BM91+Construction!CK90)/IF(Explore!S91&gt;0,Construction!F91-20,Construction!F91),4) + tech_6_5_2*Techs!BJ90 + tech_8_4*Techs!BT90</f>
        <v>0</v>
      </c>
      <c r="AC90" s="147">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45">
        <f>TblRezone[[#This Row],[Hour]]</f>
        <v>88</v>
      </c>
      <c r="B91" s="146">
        <f ca="1">TblImps[[#This Row],[Time]]</f>
        <v>44814.374999999789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7">
        <f ca="1">TblPop[[#This Row],[Military]]/TblPop[[#This Row],[Total]]</f>
        <v>0.35029686174724345</v>
      </c>
      <c r="H91" s="148">
        <f ca="1">MIN(TblPop[[#This Row],[Peasants]],TblPop[[#This Row],[Jobs]])</f>
        <v>1532</v>
      </c>
      <c r="I91" s="147">
        <f ca="1">MIN(OFFSET(TblPop[[#This Row],[Jobs]],1,0)/TblPop[[#This Row],[Peasants]],1)</f>
        <v>1</v>
      </c>
      <c r="J91" s="148">
        <f ca="1">SUM(TblConstr[[#This Row],[Tot Alc]:[Tot GT]],TblConstr[[#This Row],[Tot Shr]:[Tot Doc]],TblConstr[[#This Row],[Dest Alc]:[Dest GT]],TblConstr[[#This Row],[Dest Shr]:[Dest Doc]])*building_employment</f>
        <v>1600</v>
      </c>
      <c r="K91" s="149"/>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50"/>
      <c r="U91" s="97">
        <f ca="1">ROUND(TblPop[[#This Row],[Raw max]]*(1+TblPop[[#This Row],[Max pop]]),0)+MIN(TblPop[[#This Row],[Military]]-TblPop[[#This Row],[Draftees]]-SUM(TblMili[[#This Row],[Train Unit 1]:[Train Arch]]),ROUND((barracks_size + tech_8_3*TblTech[[#This Row],[8-3]])*(1 + Production!O91/100*prestige_pop_multiplier),0)*TblConstr[[#This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Row],[Peasants]]*Constants!$B$54,0), 0)</f>
        <v>0</v>
      </c>
      <c r="AA91" s="150"/>
      <c r="AB91" s="151">
        <f ca="1">Overview!$I$16 + IF(Magic!AE91&gt;0,Constants!$F$78) + ROUND(6*(Construction!BM92+Construction!CK91)/IF(Explore!S92&gt;0,Construction!F92-20,Construction!F92),4) + tech_6_5_2*Techs!BJ91 + tech_8_4*Techs!BT91</f>
        <v>0</v>
      </c>
      <c r="AC91" s="147">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45">
        <f>TblRezone[[#This Row],[Hour]]</f>
        <v>89</v>
      </c>
      <c r="B92" s="146">
        <f ca="1">TblImps[[#This Row],[Time]]</f>
        <v>44814.416666666453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7">
        <f ca="1">TblPop[[#This Row],[Military]]/TblPop[[#This Row],[Total]]</f>
        <v>0.35029686174724345</v>
      </c>
      <c r="H92" s="148">
        <f ca="1">MIN(TblPop[[#This Row],[Peasants]],TblPop[[#This Row],[Jobs]])</f>
        <v>1532</v>
      </c>
      <c r="I92" s="147">
        <f ca="1">MIN(OFFSET(TblPop[[#This Row],[Jobs]],1,0)/TblPop[[#This Row],[Peasants]],1)</f>
        <v>1</v>
      </c>
      <c r="J92" s="148">
        <f ca="1">SUM(TblConstr[[#This Row],[Tot Alc]:[Tot GT]],TblConstr[[#This Row],[Tot Shr]:[Tot Doc]],TblConstr[[#This Row],[Dest Alc]:[Dest GT]],TblConstr[[#This Row],[Dest Shr]:[Dest Doc]])*building_employment</f>
        <v>1600</v>
      </c>
      <c r="K92" s="149"/>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50"/>
      <c r="U92" s="97">
        <f ca="1">ROUND(TblPop[[#This Row],[Raw max]]*(1+TblPop[[#This Row],[Max pop]]),0)+MIN(TblPop[[#This Row],[Military]]-TblPop[[#This Row],[Draftees]]-SUM(TblMili[[#This Row],[Train Unit 1]:[Train Arch]]),ROUND((barracks_size + tech_8_3*TblTech[[#This Row],[8-3]])*(1 + Production!O92/100*prestige_pop_multiplier),0)*TblConstr[[#This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Row],[Peasants]]*Constants!$B$54,0), 0)</f>
        <v>0</v>
      </c>
      <c r="AA92" s="150"/>
      <c r="AB92" s="151">
        <f ca="1">Overview!$I$16 + IF(Magic!AE92&gt;0,Constants!$F$78) + ROUND(6*(Construction!BM93+Construction!CK92)/IF(Explore!S93&gt;0,Construction!F93-20,Construction!F93),4) + tech_6_5_2*Techs!BJ92 + tech_8_4*Techs!BT92</f>
        <v>0</v>
      </c>
      <c r="AC92" s="147">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45">
        <f>TblRezone[[#This Row],[Hour]]</f>
        <v>90</v>
      </c>
      <c r="B93" s="146">
        <f ca="1">TblImps[[#This Row],[Time]]</f>
        <v>44814.458333333117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7">
        <f ca="1">TblPop[[#This Row],[Military]]/TblPop[[#This Row],[Total]]</f>
        <v>0.35029686174724345</v>
      </c>
      <c r="H93" s="148">
        <f ca="1">MIN(TblPop[[#This Row],[Peasants]],TblPop[[#This Row],[Jobs]])</f>
        <v>1532</v>
      </c>
      <c r="I93" s="147">
        <f ca="1">MIN(OFFSET(TblPop[[#This Row],[Jobs]],1,0)/TblPop[[#This Row],[Peasants]],1)</f>
        <v>1</v>
      </c>
      <c r="J93" s="148">
        <f ca="1">SUM(TblConstr[[#This Row],[Tot Alc]:[Tot GT]],TblConstr[[#This Row],[Tot Shr]:[Tot Doc]],TblConstr[[#This Row],[Dest Alc]:[Dest GT]],TblConstr[[#This Row],[Dest Shr]:[Dest Doc]])*building_employment</f>
        <v>1600</v>
      </c>
      <c r="K93" s="149"/>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50"/>
      <c r="U93" s="97">
        <f ca="1">ROUND(TblPop[[#This Row],[Raw max]]*(1+TblPop[[#This Row],[Max pop]]),0)+MIN(TblPop[[#This Row],[Military]]-TblPop[[#This Row],[Draftees]]-SUM(TblMili[[#This Row],[Train Unit 1]:[Train Arch]]),ROUND((barracks_size + tech_8_3*TblTech[[#This Row],[8-3]])*(1 + Production!O93/100*prestige_pop_multiplier),0)*TblConstr[[#This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Row],[Peasants]]*Constants!$B$54,0), 0)</f>
        <v>0</v>
      </c>
      <c r="AA93" s="150"/>
      <c r="AB93" s="151">
        <f ca="1">Overview!$I$16 + IF(Magic!AE93&gt;0,Constants!$F$78) + ROUND(6*(Construction!BM94+Construction!CK93)/IF(Explore!S94&gt;0,Construction!F94-20,Construction!F94),4) + tech_6_5_2*Techs!BJ93 + tech_8_4*Techs!BT93</f>
        <v>0</v>
      </c>
      <c r="AC93" s="147">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45">
        <f>TblRezone[[#This Row],[Hour]]</f>
        <v>91</v>
      </c>
      <c r="B94" s="146">
        <f ca="1">TblImps[[#This Row],[Time]]</f>
        <v>44814.499999999782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7">
        <f ca="1">TblPop[[#This Row],[Military]]/TblPop[[#This Row],[Total]]</f>
        <v>0.35029686174724345</v>
      </c>
      <c r="H94" s="148">
        <f ca="1">MIN(TblPop[[#This Row],[Peasants]],TblPop[[#This Row],[Jobs]])</f>
        <v>1532</v>
      </c>
      <c r="I94" s="147">
        <f ca="1">MIN(OFFSET(TblPop[[#This Row],[Jobs]],1,0)/TblPop[[#This Row],[Peasants]],1)</f>
        <v>1</v>
      </c>
      <c r="J94" s="148">
        <f ca="1">SUM(TblConstr[[#This Row],[Tot Alc]:[Tot GT]],TblConstr[[#This Row],[Tot Shr]:[Tot Doc]],TblConstr[[#This Row],[Dest Alc]:[Dest GT]],TblConstr[[#This Row],[Dest Shr]:[Dest Doc]])*building_employment</f>
        <v>1600</v>
      </c>
      <c r="K94" s="149"/>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50"/>
      <c r="U94" s="97">
        <f ca="1">ROUND(TblPop[[#This Row],[Raw max]]*(1+TblPop[[#This Row],[Max pop]]),0)+MIN(TblPop[[#This Row],[Military]]-TblPop[[#This Row],[Draftees]]-SUM(TblMili[[#This Row],[Train Unit 1]:[Train Arch]]),ROUND((barracks_size + tech_8_3*TblTech[[#This Row],[8-3]])*(1 + Production!O94/100*prestige_pop_multiplier),0)*TblConstr[[#This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Row],[Peasants]]*Constants!$B$54,0), 0)</f>
        <v>0</v>
      </c>
      <c r="AA94" s="150"/>
      <c r="AB94" s="151">
        <f ca="1">Overview!$I$16 + IF(Magic!AE94&gt;0,Constants!$F$78) + ROUND(6*(Construction!BM95+Construction!CK94)/IF(Explore!S95&gt;0,Construction!F95-20,Construction!F95),4) + tech_6_5_2*Techs!BJ94 + tech_8_4*Techs!BT94</f>
        <v>0</v>
      </c>
      <c r="AC94" s="147">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45">
        <f>TblRezone[[#This Row],[Hour]]</f>
        <v>92</v>
      </c>
      <c r="B95" s="146">
        <f ca="1">TblImps[[#This Row],[Time]]</f>
        <v>44814.541666666446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7">
        <f ca="1">TblPop[[#This Row],[Military]]/TblPop[[#This Row],[Total]]</f>
        <v>0.35029686174724345</v>
      </c>
      <c r="H95" s="148">
        <f ca="1">MIN(TblPop[[#This Row],[Peasants]],TblPop[[#This Row],[Jobs]])</f>
        <v>1532</v>
      </c>
      <c r="I95" s="147">
        <f ca="1">MIN(OFFSET(TblPop[[#This Row],[Jobs]],1,0)/TblPop[[#This Row],[Peasants]],1)</f>
        <v>1</v>
      </c>
      <c r="J95" s="148">
        <f ca="1">SUM(TblConstr[[#This Row],[Tot Alc]:[Tot GT]],TblConstr[[#This Row],[Tot Shr]:[Tot Doc]],TblConstr[[#This Row],[Dest Alc]:[Dest GT]],TblConstr[[#This Row],[Dest Shr]:[Dest Doc]])*building_employment</f>
        <v>1600</v>
      </c>
      <c r="K95" s="149"/>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50"/>
      <c r="U95" s="97">
        <f ca="1">ROUND(TblPop[[#This Row],[Raw max]]*(1+TblPop[[#This Row],[Max pop]]),0)+MIN(TblPop[[#This Row],[Military]]-TblPop[[#This Row],[Draftees]]-SUM(TblMili[[#This Row],[Train Unit 1]:[Train Arch]]),ROUND((barracks_size + tech_8_3*TblTech[[#This Row],[8-3]])*(1 + Production!O95/100*prestige_pop_multiplier),0)*TblConstr[[#This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Row],[Peasants]]*Constants!$B$54,0), 0)</f>
        <v>0</v>
      </c>
      <c r="AA95" s="150"/>
      <c r="AB95" s="151">
        <f ca="1">Overview!$I$16 + IF(Magic!AE95&gt;0,Constants!$F$78) + ROUND(6*(Construction!BM96+Construction!CK95)/IF(Explore!S96&gt;0,Construction!F96-20,Construction!F96),4) + tech_6_5_2*Techs!BJ95 + tech_8_4*Techs!BT95</f>
        <v>0</v>
      </c>
      <c r="AC95" s="147">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45">
        <f>TblRezone[[#This Row],[Hour]]</f>
        <v>93</v>
      </c>
      <c r="B96" s="146">
        <f ca="1">TblImps[[#This Row],[Time]]</f>
        <v>44814.58333333311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7">
        <f ca="1">TblPop[[#This Row],[Military]]/TblPop[[#This Row],[Total]]</f>
        <v>0.35029686174724345</v>
      </c>
      <c r="H96" s="148">
        <f ca="1">MIN(TblPop[[#This Row],[Peasants]],TblPop[[#This Row],[Jobs]])</f>
        <v>1532</v>
      </c>
      <c r="I96" s="147">
        <f ca="1">MIN(OFFSET(TblPop[[#This Row],[Jobs]],1,0)/TblPop[[#This Row],[Peasants]],1)</f>
        <v>1</v>
      </c>
      <c r="J96" s="148">
        <f ca="1">SUM(TblConstr[[#This Row],[Tot Alc]:[Tot GT]],TblConstr[[#This Row],[Tot Shr]:[Tot Doc]],TblConstr[[#This Row],[Dest Alc]:[Dest GT]],TblConstr[[#This Row],[Dest Shr]:[Dest Doc]])*building_employment</f>
        <v>1600</v>
      </c>
      <c r="K96" s="149"/>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50"/>
      <c r="U96" s="97">
        <f ca="1">ROUND(TblPop[[#This Row],[Raw max]]*(1+TblPop[[#This Row],[Max pop]]),0)+MIN(TblPop[[#This Row],[Military]]-TblPop[[#This Row],[Draftees]]-SUM(TblMili[[#This Row],[Train Unit 1]:[Train Arch]]),ROUND((barracks_size + tech_8_3*TblTech[[#This Row],[8-3]])*(1 + Production!O96/100*prestige_pop_multiplier),0)*TblConstr[[#This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Row],[Peasants]]*Constants!$B$54,0), 0)</f>
        <v>0</v>
      </c>
      <c r="AA96" s="150"/>
      <c r="AB96" s="151">
        <f ca="1">Overview!$I$16 + IF(Magic!AE96&gt;0,Constants!$F$78) + ROUND(6*(Construction!BM97+Construction!CK96)/IF(Explore!S97&gt;0,Construction!F97-20,Construction!F97),4) + tech_6_5_2*Techs!BJ96 + tech_8_4*Techs!BT96</f>
        <v>0</v>
      </c>
      <c r="AC96" s="147">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45">
        <f>TblRezone[[#This Row],[Hour]]</f>
        <v>94</v>
      </c>
      <c r="B97" s="146">
        <f ca="1">TblImps[[#This Row],[Time]]</f>
        <v>44814.624999999774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7">
        <f ca="1">TblPop[[#This Row],[Military]]/TblPop[[#This Row],[Total]]</f>
        <v>0.35029686174724345</v>
      </c>
      <c r="H97" s="148">
        <f ca="1">MIN(TblPop[[#This Row],[Peasants]],TblPop[[#This Row],[Jobs]])</f>
        <v>1532</v>
      </c>
      <c r="I97" s="147">
        <f ca="1">MIN(OFFSET(TblPop[[#This Row],[Jobs]],1,0)/TblPop[[#This Row],[Peasants]],1)</f>
        <v>1</v>
      </c>
      <c r="J97" s="148">
        <f ca="1">SUM(TblConstr[[#This Row],[Tot Alc]:[Tot GT]],TblConstr[[#This Row],[Tot Shr]:[Tot Doc]],TblConstr[[#This Row],[Dest Alc]:[Dest GT]],TblConstr[[#This Row],[Dest Shr]:[Dest Doc]])*building_employment</f>
        <v>1600</v>
      </c>
      <c r="K97" s="149"/>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50"/>
      <c r="U97" s="97">
        <f ca="1">ROUND(TblPop[[#This Row],[Raw max]]*(1+TblPop[[#This Row],[Max pop]]),0)+MIN(TblPop[[#This Row],[Military]]-TblPop[[#This Row],[Draftees]]-SUM(TblMili[[#This Row],[Train Unit 1]:[Train Arch]]),ROUND((barracks_size + tech_8_3*TblTech[[#This Row],[8-3]])*(1 + Production!O97/100*prestige_pop_multiplier),0)*TblConstr[[#This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Row],[Peasants]]*Constants!$B$54,0), 0)</f>
        <v>0</v>
      </c>
      <c r="AA97" s="150"/>
      <c r="AB97" s="151">
        <f ca="1">Overview!$I$16 + IF(Magic!AE97&gt;0,Constants!$F$78) + ROUND(6*(Construction!BM98+Construction!CK97)/IF(Explore!S98&gt;0,Construction!F98-20,Construction!F98),4) + tech_6_5_2*Techs!BJ97 + tech_8_4*Techs!BT97</f>
        <v>0</v>
      </c>
      <c r="AC97" s="147">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45">
        <f>TblRezone[[#This Row],[Hour]]</f>
        <v>95</v>
      </c>
      <c r="B98" s="146">
        <f ca="1">TblImps[[#This Row],[Time]]</f>
        <v>44814.666666666439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7">
        <f ca="1">TblPop[[#This Row],[Military]]/TblPop[[#This Row],[Total]]</f>
        <v>0.35029686174724345</v>
      </c>
      <c r="H98" s="148">
        <f ca="1">MIN(TblPop[[#This Row],[Peasants]],TblPop[[#This Row],[Jobs]])</f>
        <v>1532</v>
      </c>
      <c r="I98" s="147">
        <f ca="1">MIN(OFFSET(TblPop[[#This Row],[Jobs]],1,0)/TblPop[[#This Row],[Peasants]],1)</f>
        <v>1</v>
      </c>
      <c r="J98" s="148">
        <f ca="1">SUM(TblConstr[[#This Row],[Tot Alc]:[Tot GT]],TblConstr[[#This Row],[Tot Shr]:[Tot Doc]],TblConstr[[#This Row],[Dest Alc]:[Dest GT]],TblConstr[[#This Row],[Dest Shr]:[Dest Doc]])*building_employment</f>
        <v>1600</v>
      </c>
      <c r="K98" s="149"/>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50"/>
      <c r="U98" s="97">
        <f ca="1">ROUND(TblPop[[#This Row],[Raw max]]*(1+TblPop[[#This Row],[Max pop]]),0)+MIN(TblPop[[#This Row],[Military]]-TblPop[[#This Row],[Draftees]]-SUM(TblMili[[#This Row],[Train Unit 1]:[Train Arch]]),ROUND((barracks_size + tech_8_3*TblTech[[#This Row],[8-3]])*(1 + Production!O98/100*prestige_pop_multiplier),0)*TblConstr[[#This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Row],[Peasants]]*Constants!$B$54,0), 0)</f>
        <v>0</v>
      </c>
      <c r="AA98" s="150"/>
      <c r="AB98" s="151">
        <f ca="1">Overview!$I$16 + IF(Magic!AE98&gt;0,Constants!$F$78) + ROUND(6*(Construction!BM99+Construction!CK98)/IF(Explore!S99&gt;0,Construction!F99-20,Construction!F99),4) + tech_6_5_2*Techs!BJ98 + tech_8_4*Techs!BT98</f>
        <v>0</v>
      </c>
      <c r="AC98" s="147">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45">
        <f>TblRezone[[#This Row],[Hour]]</f>
        <v>96</v>
      </c>
      <c r="B99" s="146">
        <f ca="1">TblImps[[#This Row],[Time]]</f>
        <v>44814.708333333103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7">
        <f ca="1">TblPop[[#This Row],[Military]]/TblPop[[#This Row],[Total]]</f>
        <v>0.35029686174724345</v>
      </c>
      <c r="H99" s="148">
        <f ca="1">MIN(TblPop[[#This Row],[Peasants]],TblPop[[#This Row],[Jobs]])</f>
        <v>1532</v>
      </c>
      <c r="I99" s="147">
        <f ca="1">MIN(OFFSET(TblPop[[#This Row],[Jobs]],1,0)/TblPop[[#This Row],[Peasants]],1)</f>
        <v>1</v>
      </c>
      <c r="J99" s="148">
        <f ca="1">SUM(TblConstr[[#This Row],[Tot Alc]:[Tot GT]],TblConstr[[#This Row],[Tot Shr]:[Tot Doc]],TblConstr[[#This Row],[Dest Alc]:[Dest GT]],TblConstr[[#This Row],[Dest Shr]:[Dest Doc]])*building_employment</f>
        <v>1600</v>
      </c>
      <c r="K99" s="149"/>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50"/>
      <c r="U99" s="97">
        <f ca="1">ROUND(TblPop[[#This Row],[Raw max]]*(1+TblPop[[#This Row],[Max pop]]),0)+MIN(TblPop[[#This Row],[Military]]-TblPop[[#This Row],[Draftees]]-SUM(TblMili[[#This Row],[Train Unit 1]:[Train Arch]]),ROUND((barracks_size + tech_8_3*TblTech[[#This Row],[8-3]])*(1 + Production!O99/100*prestige_pop_multiplier),0)*TblConstr[[#This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Row],[Peasants]]*Constants!$B$54,0), 0)</f>
        <v>0</v>
      </c>
      <c r="AA99" s="150"/>
      <c r="AB99" s="151">
        <f ca="1">Overview!$I$16 + IF(Magic!AE99&gt;0,Constants!$F$78) + ROUND(6*(Construction!BM100+Construction!CK99)/IF(Explore!S100&gt;0,Construction!F100-20,Construction!F100),4) + tech_6_5_2*Techs!BJ99 + tech_8_4*Techs!BT99</f>
        <v>0</v>
      </c>
      <c r="AC99" s="147">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45">
        <f>TblRezone[[#This Row],[Hour]]</f>
        <v>97</v>
      </c>
      <c r="B100" s="146">
        <f ca="1">TblImps[[#This Row],[Time]]</f>
        <v>44814.749999999767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7">
        <f ca="1">TblPop[[#This Row],[Military]]/TblPop[[#This Row],[Total]]</f>
        <v>0.35029686174724345</v>
      </c>
      <c r="H100" s="148">
        <f ca="1">MIN(TblPop[[#This Row],[Peasants]],TblPop[[#This Row],[Jobs]])</f>
        <v>1532</v>
      </c>
      <c r="I100" s="147">
        <f ca="1">MIN(OFFSET(TblPop[[#This Row],[Jobs]],1,0)/TblPop[[#This Row],[Peasants]],1)</f>
        <v>1</v>
      </c>
      <c r="J100" s="148">
        <f ca="1">SUM(TblConstr[[#This Row],[Tot Alc]:[Tot GT]],TblConstr[[#This Row],[Tot Shr]:[Tot Doc]],TblConstr[[#This Row],[Dest Alc]:[Dest GT]],TblConstr[[#This Row],[Dest Shr]:[Dest Doc]])*building_employment</f>
        <v>1600</v>
      </c>
      <c r="K100" s="149"/>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50"/>
      <c r="U100" s="97">
        <f ca="1">ROUND(TblPop[[#This Row],[Raw max]]*(1+TblPop[[#This Row],[Max pop]]),0)+MIN(TblPop[[#This Row],[Military]]-TblPop[[#This Row],[Draftees]]-SUM(TblMili[[#This Row],[Train Unit 1]:[Train Arch]]),ROUND((barracks_size + tech_8_3*TblTech[[#This Row],[8-3]])*(1 + Production!O100/100*prestige_pop_multiplier),0)*TblConstr[[#This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Row],[Peasants]]*Constants!$B$54,0), 0)</f>
        <v>0</v>
      </c>
      <c r="AA100" s="150"/>
      <c r="AB100" s="151">
        <f ca="1">Overview!$I$16 + IF(Magic!AE100&gt;0,Constants!$F$78) + ROUND(6*(Construction!BM101+Construction!CK100)/IF(Explore!S101&gt;0,Construction!F101-20,Construction!F101),4) + tech_6_5_2*Techs!BJ100 + tech_8_4*Techs!BT100</f>
        <v>0</v>
      </c>
      <c r="AC100" s="147">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45">
        <f>TblRezone[[#This Row],[Hour]]</f>
        <v>98</v>
      </c>
      <c r="B101" s="146">
        <f ca="1">TblImps[[#This Row],[Time]]</f>
        <v>44814.791666666431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7">
        <f ca="1">TblPop[[#This Row],[Military]]/TblPop[[#This Row],[Total]]</f>
        <v>0.35029686174724345</v>
      </c>
      <c r="H101" s="148">
        <f ca="1">MIN(TblPop[[#This Row],[Peasants]],TblPop[[#This Row],[Jobs]])</f>
        <v>1532</v>
      </c>
      <c r="I101" s="147">
        <f ca="1">MIN(OFFSET(TblPop[[#This Row],[Jobs]],1,0)/TblPop[[#This Row],[Peasants]],1)</f>
        <v>1</v>
      </c>
      <c r="J101" s="148">
        <f ca="1">SUM(TblConstr[[#This Row],[Tot Alc]:[Tot GT]],TblConstr[[#This Row],[Tot Shr]:[Tot Doc]],TblConstr[[#This Row],[Dest Alc]:[Dest GT]],TblConstr[[#This Row],[Dest Shr]:[Dest Doc]])*building_employment</f>
        <v>1600</v>
      </c>
      <c r="K101" s="149"/>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50"/>
      <c r="U101" s="97">
        <f ca="1">ROUND(TblPop[[#This Row],[Raw max]]*(1+TblPop[[#This Row],[Max pop]]),0)+MIN(TblPop[[#This Row],[Military]]-TblPop[[#This Row],[Draftees]]-SUM(TblMili[[#This Row],[Train Unit 1]:[Train Arch]]),ROUND((barracks_size + tech_8_3*TblTech[[#This Row],[8-3]])*(1 + Production!O101/100*prestige_pop_multiplier),0)*TblConstr[[#This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Row],[Peasants]]*Constants!$B$54,0), 0)</f>
        <v>0</v>
      </c>
      <c r="AA101" s="150"/>
      <c r="AB101" s="151">
        <f ca="1">Overview!$I$16 + IF(Magic!AE101&gt;0,Constants!$F$78) + ROUND(6*(Construction!BM102+Construction!CK101)/IF(Explore!S102&gt;0,Construction!F102-20,Construction!F102),4) + tech_6_5_2*Techs!BJ101 + tech_8_4*Techs!BT101</f>
        <v>0</v>
      </c>
      <c r="AC101" s="147">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45">
        <f>TblRezone[[#This Row],[Hour]]</f>
        <v>99</v>
      </c>
      <c r="B102" s="146">
        <f ca="1">TblImps[[#This Row],[Time]]</f>
        <v>44814.833333333096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7">
        <f ca="1">TblPop[[#This Row],[Military]]/TblPop[[#This Row],[Total]]</f>
        <v>0.35029686174724345</v>
      </c>
      <c r="H102" s="148">
        <f ca="1">MIN(TblPop[[#This Row],[Peasants]],TblPop[[#This Row],[Jobs]])</f>
        <v>1532</v>
      </c>
      <c r="I102" s="147">
        <f ca="1">MIN(OFFSET(TblPop[[#This Row],[Jobs]],1,0)/TblPop[[#This Row],[Peasants]],1)</f>
        <v>1</v>
      </c>
      <c r="J102" s="148">
        <f ca="1">SUM(TblConstr[[#This Row],[Tot Alc]:[Tot GT]],TblConstr[[#This Row],[Tot Shr]:[Tot Doc]],TblConstr[[#This Row],[Dest Alc]:[Dest GT]],TblConstr[[#This Row],[Dest Shr]:[Dest Doc]])*building_employment</f>
        <v>1600</v>
      </c>
      <c r="K102" s="149"/>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50"/>
      <c r="U102" s="97">
        <f ca="1">ROUND(TblPop[[#This Row],[Raw max]]*(1+TblPop[[#This Row],[Max pop]]),0)+MIN(TblPop[[#This Row],[Military]]-TblPop[[#This Row],[Draftees]]-SUM(TblMili[[#This Row],[Train Unit 1]:[Train Arch]]),ROUND((barracks_size + tech_8_3*TblTech[[#This Row],[8-3]])*(1 + Production!O102/100*prestige_pop_multiplier),0)*TblConstr[[#This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Row],[Peasants]]*Constants!$B$54,0), 0)</f>
        <v>0</v>
      </c>
      <c r="AA102" s="150"/>
      <c r="AB102" s="151">
        <f ca="1">Overview!$I$16 + IF(Magic!AE102&gt;0,Constants!$F$78) + ROUND(6*(Construction!BM103+Construction!CK102)/IF(Explore!S103&gt;0,Construction!F103-20,Construction!F103),4) + tech_6_5_2*Techs!BJ102 + tech_8_4*Techs!BT102</f>
        <v>0</v>
      </c>
      <c r="AC102" s="147">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45">
        <f>TblRezone[[#This Row],[Hour]]</f>
        <v>100</v>
      </c>
      <c r="B103" s="146">
        <f ca="1">TblImps[[#This Row],[Time]]</f>
        <v>44814.87499999976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7">
        <f ca="1">TblPop[[#This Row],[Military]]/TblPop[[#This Row],[Total]]</f>
        <v>0.35029686174724345</v>
      </c>
      <c r="H103" s="148">
        <f ca="1">MIN(TblPop[[#This Row],[Peasants]],TblPop[[#This Row],[Jobs]])</f>
        <v>1532</v>
      </c>
      <c r="I103" s="147">
        <f ca="1">MIN(OFFSET(TblPop[[#This Row],[Jobs]],1,0)/TblPop[[#This Row],[Peasants]],1)</f>
        <v>1</v>
      </c>
      <c r="J103" s="148">
        <f ca="1">SUM(TblConstr[[#This Row],[Tot Alc]:[Tot GT]],TblConstr[[#This Row],[Tot Shr]:[Tot Doc]],TblConstr[[#This Row],[Dest Alc]:[Dest GT]],TblConstr[[#This Row],[Dest Shr]:[Dest Doc]])*building_employment</f>
        <v>1600</v>
      </c>
      <c r="K103" s="149"/>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50"/>
      <c r="U103" s="97">
        <f ca="1">ROUND(TblPop[[#This Row],[Raw max]]*(1+TblPop[[#This Row],[Max pop]]),0)+MIN(TblPop[[#This Row],[Military]]-TblPop[[#This Row],[Draftees]]-SUM(TblMili[[#This Row],[Train Unit 1]:[Train Arch]]),ROUND((barracks_size + tech_8_3*TblTech[[#This Row],[8-3]])*(1 + Production!O103/100*prestige_pop_multiplier),0)*TblConstr[[#This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Row],[Peasants]]*Constants!$B$54,0), 0)</f>
        <v>0</v>
      </c>
      <c r="AA103" s="150"/>
      <c r="AB103" s="151">
        <f ca="1">Overview!$I$16 + IF(Magic!AE103&gt;0,Constants!$F$78) + ROUND(6*(Construction!BM104+Construction!CK103)/IF(Explore!S104&gt;0,Construction!F104-20,Construction!F104),4) + tech_6_5_2*Techs!BJ103 + tech_8_4*Techs!BT103</f>
        <v>0</v>
      </c>
      <c r="AC103" s="147">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45">
        <f>TblRezone[[#This Row],[Hour]]</f>
        <v>101</v>
      </c>
      <c r="B104" s="146">
        <f ca="1">TblImps[[#This Row],[Time]]</f>
        <v>44814.916666666424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7">
        <f ca="1">TblPop[[#This Row],[Military]]/TblPop[[#This Row],[Total]]</f>
        <v>0.35029686174724345</v>
      </c>
      <c r="H104" s="148">
        <f ca="1">MIN(TblPop[[#This Row],[Peasants]],TblPop[[#This Row],[Jobs]])</f>
        <v>1532</v>
      </c>
      <c r="I104" s="147">
        <f ca="1">MIN(OFFSET(TblPop[[#This Row],[Jobs]],1,0)/TblPop[[#This Row],[Peasants]],1)</f>
        <v>1</v>
      </c>
      <c r="J104" s="148">
        <f ca="1">SUM(TblConstr[[#This Row],[Tot Alc]:[Tot GT]],TblConstr[[#This Row],[Tot Shr]:[Tot Doc]],TblConstr[[#This Row],[Dest Alc]:[Dest GT]],TblConstr[[#This Row],[Dest Shr]:[Dest Doc]])*building_employment</f>
        <v>1600</v>
      </c>
      <c r="K104" s="149"/>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50"/>
      <c r="U104" s="97">
        <f ca="1">ROUND(TblPop[[#This Row],[Raw max]]*(1+TblPop[[#This Row],[Max pop]]),0)+MIN(TblPop[[#This Row],[Military]]-TblPop[[#This Row],[Draftees]]-SUM(TblMili[[#This Row],[Train Unit 1]:[Train Arch]]),ROUND((barracks_size + tech_8_3*TblTech[[#This Row],[8-3]])*(1 + Production!O104/100*prestige_pop_multiplier),0)*TblConstr[[#This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Row],[Peasants]]*Constants!$B$54,0), 0)</f>
        <v>0</v>
      </c>
      <c r="AA104" s="150"/>
      <c r="AB104" s="151">
        <f ca="1">Overview!$I$16 + IF(Magic!AE104&gt;0,Constants!$F$78) + ROUND(6*(Construction!BM105+Construction!CK104)/IF(Explore!S105&gt;0,Construction!F105-20,Construction!F105),4) + tech_6_5_2*Techs!BJ104 + tech_8_4*Techs!BT104</f>
        <v>0</v>
      </c>
      <c r="AC104" s="147">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45">
        <f>TblRezone[[#This Row],[Hour]]</f>
        <v>102</v>
      </c>
      <c r="B105" s="146">
        <f ca="1">TblImps[[#This Row],[Time]]</f>
        <v>44814.958333333088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7">
        <f ca="1">TblPop[[#This Row],[Military]]/TblPop[[#This Row],[Total]]</f>
        <v>0.35029686174724345</v>
      </c>
      <c r="H105" s="148">
        <f ca="1">MIN(TblPop[[#This Row],[Peasants]],TblPop[[#This Row],[Jobs]])</f>
        <v>1532</v>
      </c>
      <c r="I105" s="147">
        <f ca="1">MIN(OFFSET(TblPop[[#This Row],[Jobs]],1,0)/TblPop[[#This Row],[Peasants]],1)</f>
        <v>1</v>
      </c>
      <c r="J105" s="148">
        <f ca="1">SUM(TblConstr[[#This Row],[Tot Alc]:[Tot GT]],TblConstr[[#This Row],[Tot Shr]:[Tot Doc]],TblConstr[[#This Row],[Dest Alc]:[Dest GT]],TblConstr[[#This Row],[Dest Shr]:[Dest Doc]])*building_employment</f>
        <v>1600</v>
      </c>
      <c r="K105" s="149"/>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50"/>
      <c r="U105" s="97">
        <f ca="1">ROUND(TblPop[[#This Row],[Raw max]]*(1+TblPop[[#This Row],[Max pop]]),0)+MIN(TblPop[[#This Row],[Military]]-TblPop[[#This Row],[Draftees]]-SUM(TblMili[[#This Row],[Train Unit 1]:[Train Arch]]),ROUND((barracks_size + tech_8_3*TblTech[[#This Row],[8-3]])*(1 + Production!O105/100*prestige_pop_multiplier),0)*TblConstr[[#This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Row],[Peasants]]*Constants!$B$54,0), 0)</f>
        <v>0</v>
      </c>
      <c r="AA105" s="150"/>
      <c r="AB105" s="151">
        <f ca="1">Overview!$I$16 + IF(Magic!AE105&gt;0,Constants!$F$78) + ROUND(6*(Construction!BM106+Construction!CK105)/IF(Explore!S106&gt;0,Construction!F106-20,Construction!F106),4) + tech_6_5_2*Techs!BJ105 + tech_8_4*Techs!BT105</f>
        <v>0</v>
      </c>
      <c r="AC105" s="147">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45">
        <f>TblRezone[[#This Row],[Hour]]</f>
        <v>103</v>
      </c>
      <c r="B106" s="146">
        <f ca="1">TblImps[[#This Row],[Time]]</f>
        <v>44814.999999999753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7">
        <f ca="1">TblPop[[#This Row],[Military]]/TblPop[[#This Row],[Total]]</f>
        <v>0.35029686174724345</v>
      </c>
      <c r="H106" s="148">
        <f ca="1">MIN(TblPop[[#This Row],[Peasants]],TblPop[[#This Row],[Jobs]])</f>
        <v>1532</v>
      </c>
      <c r="I106" s="147">
        <f ca="1">MIN(OFFSET(TblPop[[#This Row],[Jobs]],1,0)/TblPop[[#This Row],[Peasants]],1)</f>
        <v>1</v>
      </c>
      <c r="J106" s="148">
        <f ca="1">SUM(TblConstr[[#This Row],[Tot Alc]:[Tot GT]],TblConstr[[#This Row],[Tot Shr]:[Tot Doc]],TblConstr[[#This Row],[Dest Alc]:[Dest GT]],TblConstr[[#This Row],[Dest Shr]:[Dest Doc]])*building_employment</f>
        <v>1600</v>
      </c>
      <c r="K106" s="149"/>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50"/>
      <c r="U106" s="97">
        <f ca="1">ROUND(TblPop[[#This Row],[Raw max]]*(1+TblPop[[#This Row],[Max pop]]),0)+MIN(TblPop[[#This Row],[Military]]-TblPop[[#This Row],[Draftees]]-SUM(TblMili[[#This Row],[Train Unit 1]:[Train Arch]]),ROUND((barracks_size + tech_8_3*TblTech[[#This Row],[8-3]])*(1 + Production!O106/100*prestige_pop_multiplier),0)*TblConstr[[#This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Row],[Peasants]]*Constants!$B$54,0), 0)</f>
        <v>0</v>
      </c>
      <c r="AA106" s="150"/>
      <c r="AB106" s="151">
        <f ca="1">Overview!$I$16 + IF(Magic!AE106&gt;0,Constants!$F$78) + ROUND(6*(Construction!BM107+Construction!CK106)/IF(Explore!S107&gt;0,Construction!F107-20,Construction!F107),4) + tech_6_5_2*Techs!BJ106 + tech_8_4*Techs!BT106</f>
        <v>0</v>
      </c>
      <c r="AC106" s="147">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45">
        <f>TblRezone[[#This Row],[Hour]]</f>
        <v>104</v>
      </c>
      <c r="B107" s="146">
        <f ca="1">TblImps[[#This Row],[Time]]</f>
        <v>44815.041666666417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7">
        <f ca="1">TblPop[[#This Row],[Military]]/TblPop[[#This Row],[Total]]</f>
        <v>0.35029686174724345</v>
      </c>
      <c r="H107" s="148">
        <f ca="1">MIN(TblPop[[#This Row],[Peasants]],TblPop[[#This Row],[Jobs]])</f>
        <v>1532</v>
      </c>
      <c r="I107" s="147">
        <f ca="1">MIN(OFFSET(TblPop[[#This Row],[Jobs]],1,0)/TblPop[[#This Row],[Peasants]],1)</f>
        <v>1</v>
      </c>
      <c r="J107" s="148">
        <f ca="1">SUM(TblConstr[[#This Row],[Tot Alc]:[Tot GT]],TblConstr[[#This Row],[Tot Shr]:[Tot Doc]],TblConstr[[#This Row],[Dest Alc]:[Dest GT]],TblConstr[[#This Row],[Dest Shr]:[Dest Doc]])*building_employment</f>
        <v>1600</v>
      </c>
      <c r="K107" s="149"/>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50"/>
      <c r="U107" s="97">
        <f ca="1">ROUND(TblPop[[#This Row],[Raw max]]*(1+TblPop[[#This Row],[Max pop]]),0)+MIN(TblPop[[#This Row],[Military]]-TblPop[[#This Row],[Draftees]]-SUM(TblMili[[#This Row],[Train Unit 1]:[Train Arch]]),ROUND((barracks_size + tech_8_3*TblTech[[#This Row],[8-3]])*(1 + Production!O107/100*prestige_pop_multiplier),0)*TblConstr[[#This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Row],[Peasants]]*Constants!$B$54,0), 0)</f>
        <v>0</v>
      </c>
      <c r="AA107" s="150"/>
      <c r="AB107" s="151">
        <f ca="1">Overview!$I$16 + IF(Magic!AE107&gt;0,Constants!$F$78) + ROUND(6*(Construction!BM108+Construction!CK107)/IF(Explore!S108&gt;0,Construction!F108-20,Construction!F108),4) + tech_6_5_2*Techs!BJ107 + tech_8_4*Techs!BT107</f>
        <v>0</v>
      </c>
      <c r="AC107" s="147">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45">
        <f>TblRezone[[#This Row],[Hour]]</f>
        <v>105</v>
      </c>
      <c r="B108" s="146">
        <f ca="1">TblImps[[#This Row],[Time]]</f>
        <v>44815.083333333081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7">
        <f ca="1">TblPop[[#This Row],[Military]]/TblPop[[#This Row],[Total]]</f>
        <v>0.35029686174724345</v>
      </c>
      <c r="H108" s="148">
        <f ca="1">MIN(TblPop[[#This Row],[Peasants]],TblPop[[#This Row],[Jobs]])</f>
        <v>1532</v>
      </c>
      <c r="I108" s="147">
        <f ca="1">MIN(OFFSET(TblPop[[#This Row],[Jobs]],1,0)/TblPop[[#This Row],[Peasants]],1)</f>
        <v>1</v>
      </c>
      <c r="J108" s="148">
        <f ca="1">SUM(TblConstr[[#This Row],[Tot Alc]:[Tot GT]],TblConstr[[#This Row],[Tot Shr]:[Tot Doc]],TblConstr[[#This Row],[Dest Alc]:[Dest GT]],TblConstr[[#This Row],[Dest Shr]:[Dest Doc]])*building_employment</f>
        <v>1600</v>
      </c>
      <c r="K108" s="149"/>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50"/>
      <c r="U108" s="97">
        <f ca="1">ROUND(TblPop[[#This Row],[Raw max]]*(1+TblPop[[#This Row],[Max pop]]),0)+MIN(TblPop[[#This Row],[Military]]-TblPop[[#This Row],[Draftees]]-SUM(TblMili[[#This Row],[Train Unit 1]:[Train Arch]]),ROUND((barracks_size + tech_8_3*TblTech[[#This Row],[8-3]])*(1 + Production!O108/100*prestige_pop_multiplier),0)*TblConstr[[#This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Row],[Peasants]]*Constants!$B$54,0), 0)</f>
        <v>0</v>
      </c>
      <c r="AA108" s="150"/>
      <c r="AB108" s="151">
        <f ca="1">Overview!$I$16 + IF(Magic!AE108&gt;0,Constants!$F$78) + ROUND(6*(Construction!BM109+Construction!CK108)/IF(Explore!S109&gt;0,Construction!F109-20,Construction!F109),4) + tech_6_5_2*Techs!BJ108 + tech_8_4*Techs!BT108</f>
        <v>0</v>
      </c>
      <c r="AC108" s="147">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45">
        <f>TblRezone[[#This Row],[Hour]]</f>
        <v>106</v>
      </c>
      <c r="B109" s="146">
        <f ca="1">TblImps[[#This Row],[Time]]</f>
        <v>44815.124999999745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7">
        <f ca="1">TblPop[[#This Row],[Military]]/TblPop[[#This Row],[Total]]</f>
        <v>0.35029686174724345</v>
      </c>
      <c r="H109" s="148">
        <f ca="1">MIN(TblPop[[#This Row],[Peasants]],TblPop[[#This Row],[Jobs]])</f>
        <v>1532</v>
      </c>
      <c r="I109" s="147">
        <f ca="1">MIN(OFFSET(TblPop[[#This Row],[Jobs]],1,0)/TblPop[[#This Row],[Peasants]],1)</f>
        <v>1</v>
      </c>
      <c r="J109" s="148">
        <f ca="1">SUM(TblConstr[[#This Row],[Tot Alc]:[Tot GT]],TblConstr[[#This Row],[Tot Shr]:[Tot Doc]],TblConstr[[#This Row],[Dest Alc]:[Dest GT]],TblConstr[[#This Row],[Dest Shr]:[Dest Doc]])*building_employment</f>
        <v>1600</v>
      </c>
      <c r="K109" s="149"/>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50"/>
      <c r="U109" s="97">
        <f ca="1">ROUND(TblPop[[#This Row],[Raw max]]*(1+TblPop[[#This Row],[Max pop]]),0)+MIN(TblPop[[#This Row],[Military]]-TblPop[[#This Row],[Draftees]]-SUM(TblMili[[#This Row],[Train Unit 1]:[Train Arch]]),ROUND((barracks_size + tech_8_3*TblTech[[#This Row],[8-3]])*(1 + Production!O109/100*prestige_pop_multiplier),0)*TblConstr[[#This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Row],[Peasants]]*Constants!$B$54,0), 0)</f>
        <v>0</v>
      </c>
      <c r="AA109" s="150"/>
      <c r="AB109" s="151">
        <f ca="1">Overview!$I$16 + IF(Magic!AE109&gt;0,Constants!$F$78) + ROUND(6*(Construction!BM110+Construction!CK109)/IF(Explore!S110&gt;0,Construction!F110-20,Construction!F110),4) + tech_6_5_2*Techs!BJ109 + tech_8_4*Techs!BT109</f>
        <v>0</v>
      </c>
      <c r="AC109" s="147">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45">
        <f>TblRezone[[#This Row],[Hour]]</f>
        <v>107</v>
      </c>
      <c r="B110" s="146">
        <f ca="1">TblImps[[#This Row],[Time]]</f>
        <v>44815.16666666641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7">
        <f ca="1">TblPop[[#This Row],[Military]]/TblPop[[#This Row],[Total]]</f>
        <v>0.35029686174724345</v>
      </c>
      <c r="H110" s="148">
        <f ca="1">MIN(TblPop[[#This Row],[Peasants]],TblPop[[#This Row],[Jobs]])</f>
        <v>1532</v>
      </c>
      <c r="I110" s="147">
        <f ca="1">MIN(OFFSET(TblPop[[#This Row],[Jobs]],1,0)/TblPop[[#This Row],[Peasants]],1)</f>
        <v>1</v>
      </c>
      <c r="J110" s="148">
        <f ca="1">SUM(TblConstr[[#This Row],[Tot Alc]:[Tot GT]],TblConstr[[#This Row],[Tot Shr]:[Tot Doc]],TblConstr[[#This Row],[Dest Alc]:[Dest GT]],TblConstr[[#This Row],[Dest Shr]:[Dest Doc]])*building_employment</f>
        <v>1600</v>
      </c>
      <c r="K110" s="149"/>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50"/>
      <c r="U110" s="97">
        <f ca="1">ROUND(TblPop[[#This Row],[Raw max]]*(1+TblPop[[#This Row],[Max pop]]),0)+MIN(TblPop[[#This Row],[Military]]-TblPop[[#This Row],[Draftees]]-SUM(TblMili[[#This Row],[Train Unit 1]:[Train Arch]]),ROUND((barracks_size + tech_8_3*TblTech[[#This Row],[8-3]])*(1 + Production!O110/100*prestige_pop_multiplier),0)*TblConstr[[#This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Row],[Peasants]]*Constants!$B$54,0), 0)</f>
        <v>0</v>
      </c>
      <c r="AA110" s="150"/>
      <c r="AB110" s="151">
        <f ca="1">Overview!$I$16 + IF(Magic!AE110&gt;0,Constants!$F$78) + ROUND(6*(Construction!BM111+Construction!CK110)/IF(Explore!S111&gt;0,Construction!F111-20,Construction!F111),4) + tech_6_5_2*Techs!BJ110 + tech_8_4*Techs!BT110</f>
        <v>0</v>
      </c>
      <c r="AC110" s="147">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45">
        <f>TblRezone[[#This Row],[Hour]]</f>
        <v>108</v>
      </c>
      <c r="B111" s="146">
        <f ca="1">TblImps[[#This Row],[Time]]</f>
        <v>44815.208333333074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7">
        <f ca="1">TblPop[[#This Row],[Military]]/TblPop[[#This Row],[Total]]</f>
        <v>0.35029686174724345</v>
      </c>
      <c r="H111" s="148">
        <f ca="1">MIN(TblPop[[#This Row],[Peasants]],TblPop[[#This Row],[Jobs]])</f>
        <v>1532</v>
      </c>
      <c r="I111" s="147">
        <f ca="1">MIN(OFFSET(TblPop[[#This Row],[Jobs]],1,0)/TblPop[[#This Row],[Peasants]],1)</f>
        <v>1</v>
      </c>
      <c r="J111" s="148">
        <f ca="1">SUM(TblConstr[[#This Row],[Tot Alc]:[Tot GT]],TblConstr[[#This Row],[Tot Shr]:[Tot Doc]],TblConstr[[#This Row],[Dest Alc]:[Dest GT]],TblConstr[[#This Row],[Dest Shr]:[Dest Doc]])*building_employment</f>
        <v>1600</v>
      </c>
      <c r="K111" s="149"/>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50"/>
      <c r="U111" s="97">
        <f ca="1">ROUND(TblPop[[#This Row],[Raw max]]*(1+TblPop[[#This Row],[Max pop]]),0)+MIN(TblPop[[#This Row],[Military]]-TblPop[[#This Row],[Draftees]]-SUM(TblMili[[#This Row],[Train Unit 1]:[Train Arch]]),ROUND((barracks_size + tech_8_3*TblTech[[#This Row],[8-3]])*(1 + Production!O111/100*prestige_pop_multiplier),0)*TblConstr[[#This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Row],[Peasants]]*Constants!$B$54,0), 0)</f>
        <v>0</v>
      </c>
      <c r="AA111" s="150"/>
      <c r="AB111" s="151">
        <f ca="1">Overview!$I$16 + IF(Magic!AE111&gt;0,Constants!$F$78) + ROUND(6*(Construction!BM112+Construction!CK111)/IF(Explore!S112&gt;0,Construction!F112-20,Construction!F112),4) + tech_6_5_2*Techs!BJ111 + tech_8_4*Techs!BT111</f>
        <v>0</v>
      </c>
      <c r="AC111" s="147">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45">
        <f>TblRezone[[#This Row],[Hour]]</f>
        <v>109</v>
      </c>
      <c r="B112" s="146">
        <f ca="1">TblImps[[#This Row],[Time]]</f>
        <v>44815.249999999738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7">
        <f ca="1">TblPop[[#This Row],[Military]]/TblPop[[#This Row],[Total]]</f>
        <v>0.35029686174724345</v>
      </c>
      <c r="H112" s="148">
        <f ca="1">MIN(TblPop[[#This Row],[Peasants]],TblPop[[#This Row],[Jobs]])</f>
        <v>1532</v>
      </c>
      <c r="I112" s="147">
        <f ca="1">MIN(OFFSET(TblPop[[#This Row],[Jobs]],1,0)/TblPop[[#This Row],[Peasants]],1)</f>
        <v>1</v>
      </c>
      <c r="J112" s="148">
        <f ca="1">SUM(TblConstr[[#This Row],[Tot Alc]:[Tot GT]],TblConstr[[#This Row],[Tot Shr]:[Tot Doc]],TblConstr[[#This Row],[Dest Alc]:[Dest GT]],TblConstr[[#This Row],[Dest Shr]:[Dest Doc]])*building_employment</f>
        <v>1600</v>
      </c>
      <c r="K112" s="149"/>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50"/>
      <c r="U112" s="97">
        <f ca="1">ROUND(TblPop[[#This Row],[Raw max]]*(1+TblPop[[#This Row],[Max pop]]),0)+MIN(TblPop[[#This Row],[Military]]-TblPop[[#This Row],[Draftees]]-SUM(TblMili[[#This Row],[Train Unit 1]:[Train Arch]]),ROUND((barracks_size + tech_8_3*TblTech[[#This Row],[8-3]])*(1 + Production!O112/100*prestige_pop_multiplier),0)*TblConstr[[#This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Row],[Peasants]]*Constants!$B$54,0), 0)</f>
        <v>0</v>
      </c>
      <c r="AA112" s="150"/>
      <c r="AB112" s="151">
        <f ca="1">Overview!$I$16 + IF(Magic!AE112&gt;0,Constants!$F$78) + ROUND(6*(Construction!BM113+Construction!CK112)/IF(Explore!S113&gt;0,Construction!F113-20,Construction!F113),4) + tech_6_5_2*Techs!BJ112 + tech_8_4*Techs!BT112</f>
        <v>0</v>
      </c>
      <c r="AC112" s="147">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45">
        <f>TblRezone[[#This Row],[Hour]]</f>
        <v>110</v>
      </c>
      <c r="B113" s="146">
        <f ca="1">TblImps[[#This Row],[Time]]</f>
        <v>44815.291666666402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7">
        <f ca="1">TblPop[[#This Row],[Military]]/TblPop[[#This Row],[Total]]</f>
        <v>0.35029686174724345</v>
      </c>
      <c r="H113" s="148">
        <f ca="1">MIN(TblPop[[#This Row],[Peasants]],TblPop[[#This Row],[Jobs]])</f>
        <v>1532</v>
      </c>
      <c r="I113" s="147">
        <f ca="1">MIN(OFFSET(TblPop[[#This Row],[Jobs]],1,0)/TblPop[[#This Row],[Peasants]],1)</f>
        <v>1</v>
      </c>
      <c r="J113" s="148">
        <f ca="1">SUM(TblConstr[[#This Row],[Tot Alc]:[Tot GT]],TblConstr[[#This Row],[Tot Shr]:[Tot Doc]],TblConstr[[#This Row],[Dest Alc]:[Dest GT]],TblConstr[[#This Row],[Dest Shr]:[Dest Doc]])*building_employment</f>
        <v>1600</v>
      </c>
      <c r="K113" s="149"/>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50"/>
      <c r="U113" s="97">
        <f ca="1">ROUND(TblPop[[#This Row],[Raw max]]*(1+TblPop[[#This Row],[Max pop]]),0)+MIN(TblPop[[#This Row],[Military]]-TblPop[[#This Row],[Draftees]]-SUM(TblMili[[#This Row],[Train Unit 1]:[Train Arch]]),ROUND((barracks_size + tech_8_3*TblTech[[#This Row],[8-3]])*(1 + Production!O113/100*prestige_pop_multiplier),0)*TblConstr[[#This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Row],[Peasants]]*Constants!$B$54,0), 0)</f>
        <v>0</v>
      </c>
      <c r="AA113" s="150"/>
      <c r="AB113" s="151">
        <f ca="1">Overview!$I$16 + IF(Magic!AE113&gt;0,Constants!$F$78) + ROUND(6*(Construction!BM114+Construction!CK113)/IF(Explore!S114&gt;0,Construction!F114-20,Construction!F114),4) + tech_6_5_2*Techs!BJ113 + tech_8_4*Techs!BT113</f>
        <v>0</v>
      </c>
      <c r="AC113" s="147">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45">
        <f>TblRezone[[#This Row],[Hour]]</f>
        <v>111</v>
      </c>
      <c r="B114" s="146">
        <f ca="1">TblImps[[#This Row],[Time]]</f>
        <v>44815.333333333067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7">
        <f ca="1">TblPop[[#This Row],[Military]]/TblPop[[#This Row],[Total]]</f>
        <v>0.35029686174724345</v>
      </c>
      <c r="H114" s="148">
        <f ca="1">MIN(TblPop[[#This Row],[Peasants]],TblPop[[#This Row],[Jobs]])</f>
        <v>1532</v>
      </c>
      <c r="I114" s="147">
        <f ca="1">MIN(OFFSET(TblPop[[#This Row],[Jobs]],1,0)/TblPop[[#This Row],[Peasants]],1)</f>
        <v>1</v>
      </c>
      <c r="J114" s="148">
        <f ca="1">SUM(TblConstr[[#This Row],[Tot Alc]:[Tot GT]],TblConstr[[#This Row],[Tot Shr]:[Tot Doc]],TblConstr[[#This Row],[Dest Alc]:[Dest GT]],TblConstr[[#This Row],[Dest Shr]:[Dest Doc]])*building_employment</f>
        <v>1600</v>
      </c>
      <c r="K114" s="149"/>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50"/>
      <c r="U114" s="97">
        <f ca="1">ROUND(TblPop[[#This Row],[Raw max]]*(1+TblPop[[#This Row],[Max pop]]),0)+MIN(TblPop[[#This Row],[Military]]-TblPop[[#This Row],[Draftees]]-SUM(TblMili[[#This Row],[Train Unit 1]:[Train Arch]]),ROUND((barracks_size + tech_8_3*TblTech[[#This Row],[8-3]])*(1 + Production!O114/100*prestige_pop_multiplier),0)*TblConstr[[#This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Row],[Peasants]]*Constants!$B$54,0), 0)</f>
        <v>0</v>
      </c>
      <c r="AA114" s="150"/>
      <c r="AB114" s="151">
        <f ca="1">Overview!$I$16 + IF(Magic!AE114&gt;0,Constants!$F$78) + ROUND(6*(Construction!BM115+Construction!CK114)/IF(Explore!S115&gt;0,Construction!F115-20,Construction!F115),4) + tech_6_5_2*Techs!BJ114 + tech_8_4*Techs!BT114</f>
        <v>0</v>
      </c>
      <c r="AC114" s="147">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45">
        <f>TblRezone[[#This Row],[Hour]]</f>
        <v>112</v>
      </c>
      <c r="B115" s="146">
        <f ca="1">TblImps[[#This Row],[Time]]</f>
        <v>44815.374999999731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7">
        <f ca="1">TblPop[[#This Row],[Military]]/TblPop[[#This Row],[Total]]</f>
        <v>0.35029686174724345</v>
      </c>
      <c r="H115" s="148">
        <f ca="1">MIN(TblPop[[#This Row],[Peasants]],TblPop[[#This Row],[Jobs]])</f>
        <v>1532</v>
      </c>
      <c r="I115" s="147">
        <f ca="1">MIN(OFFSET(TblPop[[#This Row],[Jobs]],1,0)/TblPop[[#This Row],[Peasants]],1)</f>
        <v>1</v>
      </c>
      <c r="J115" s="148">
        <f ca="1">SUM(TblConstr[[#This Row],[Tot Alc]:[Tot GT]],TblConstr[[#This Row],[Tot Shr]:[Tot Doc]],TblConstr[[#This Row],[Dest Alc]:[Dest GT]],TblConstr[[#This Row],[Dest Shr]:[Dest Doc]])*building_employment</f>
        <v>1600</v>
      </c>
      <c r="K115" s="149"/>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50"/>
      <c r="U115" s="97">
        <f ca="1">ROUND(TblPop[[#This Row],[Raw max]]*(1+TblPop[[#This Row],[Max pop]]),0)+MIN(TblPop[[#This Row],[Military]]-TblPop[[#This Row],[Draftees]]-SUM(TblMili[[#This Row],[Train Unit 1]:[Train Arch]]),ROUND((barracks_size + tech_8_3*TblTech[[#This Row],[8-3]])*(1 + Production!O115/100*prestige_pop_multiplier),0)*TblConstr[[#This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Row],[Peasants]]*Constants!$B$54,0), 0)</f>
        <v>0</v>
      </c>
      <c r="AA115" s="150"/>
      <c r="AB115" s="151">
        <f ca="1">Overview!$I$16 + IF(Magic!AE115&gt;0,Constants!$F$78) + ROUND(6*(Construction!BM116+Construction!CK115)/IF(Explore!S116&gt;0,Construction!F116-20,Construction!F116),4) + tech_6_5_2*Techs!BJ115 + tech_8_4*Techs!BT115</f>
        <v>0</v>
      </c>
      <c r="AC115" s="147">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45">
        <f>TblRezone[[#This Row],[Hour]]</f>
        <v>113</v>
      </c>
      <c r="B116" s="146">
        <f ca="1">TblImps[[#This Row],[Time]]</f>
        <v>44815.416666666395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7">
        <f ca="1">TblPop[[#This Row],[Military]]/TblPop[[#This Row],[Total]]</f>
        <v>0.35029686174724345</v>
      </c>
      <c r="H116" s="148">
        <f ca="1">MIN(TblPop[[#This Row],[Peasants]],TblPop[[#This Row],[Jobs]])</f>
        <v>1532</v>
      </c>
      <c r="I116" s="147">
        <f ca="1">MIN(OFFSET(TblPop[[#This Row],[Jobs]],1,0)/TblPop[[#This Row],[Peasants]],1)</f>
        <v>1</v>
      </c>
      <c r="J116" s="148">
        <f ca="1">SUM(TblConstr[[#This Row],[Tot Alc]:[Tot GT]],TblConstr[[#This Row],[Tot Shr]:[Tot Doc]],TblConstr[[#This Row],[Dest Alc]:[Dest GT]],TblConstr[[#This Row],[Dest Shr]:[Dest Doc]])*building_employment</f>
        <v>1600</v>
      </c>
      <c r="K116" s="149"/>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50"/>
      <c r="U116" s="97">
        <f ca="1">ROUND(TblPop[[#This Row],[Raw max]]*(1+TblPop[[#This Row],[Max pop]]),0)+MIN(TblPop[[#This Row],[Military]]-TblPop[[#This Row],[Draftees]]-SUM(TblMili[[#This Row],[Train Unit 1]:[Train Arch]]),ROUND((barracks_size + tech_8_3*TblTech[[#This Row],[8-3]])*(1 + Production!O116/100*prestige_pop_multiplier),0)*TblConstr[[#This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Row],[Peasants]]*Constants!$B$54,0), 0)</f>
        <v>0</v>
      </c>
      <c r="AA116" s="150"/>
      <c r="AB116" s="151">
        <f ca="1">Overview!$I$16 + IF(Magic!AE116&gt;0,Constants!$F$78) + ROUND(6*(Construction!BM117+Construction!CK116)/IF(Explore!S117&gt;0,Construction!F117-20,Construction!F117),4) + tech_6_5_2*Techs!BJ116 + tech_8_4*Techs!BT116</f>
        <v>0</v>
      </c>
      <c r="AC116" s="147">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45">
        <f>TblRezone[[#This Row],[Hour]]</f>
        <v>114</v>
      </c>
      <c r="B117" s="146">
        <f ca="1">TblImps[[#This Row],[Time]]</f>
        <v>44815.458333333059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7">
        <f ca="1">TblPop[[#This Row],[Military]]/TblPop[[#This Row],[Total]]</f>
        <v>0.35029686174724345</v>
      </c>
      <c r="H117" s="148">
        <f ca="1">MIN(TblPop[[#This Row],[Peasants]],TblPop[[#This Row],[Jobs]])</f>
        <v>1532</v>
      </c>
      <c r="I117" s="147">
        <f ca="1">MIN(OFFSET(TblPop[[#This Row],[Jobs]],1,0)/TblPop[[#This Row],[Peasants]],1)</f>
        <v>1</v>
      </c>
      <c r="J117" s="148">
        <f ca="1">SUM(TblConstr[[#This Row],[Tot Alc]:[Tot GT]],TblConstr[[#This Row],[Tot Shr]:[Tot Doc]],TblConstr[[#This Row],[Dest Alc]:[Dest GT]],TblConstr[[#This Row],[Dest Shr]:[Dest Doc]])*building_employment</f>
        <v>1600</v>
      </c>
      <c r="K117" s="149"/>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50"/>
      <c r="U117" s="97">
        <f ca="1">ROUND(TblPop[[#This Row],[Raw max]]*(1+TblPop[[#This Row],[Max pop]]),0)+MIN(TblPop[[#This Row],[Military]]-TblPop[[#This Row],[Draftees]]-SUM(TblMili[[#This Row],[Train Unit 1]:[Train Arch]]),ROUND((barracks_size + tech_8_3*TblTech[[#This Row],[8-3]])*(1 + Production!O117/100*prestige_pop_multiplier),0)*TblConstr[[#This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Row],[Peasants]]*Constants!$B$54,0), 0)</f>
        <v>0</v>
      </c>
      <c r="AA117" s="150"/>
      <c r="AB117" s="151">
        <f ca="1">Overview!$I$16 + IF(Magic!AE117&gt;0,Constants!$F$78) + ROUND(6*(Construction!BM118+Construction!CK117)/IF(Explore!S118&gt;0,Construction!F118-20,Construction!F118),4) + tech_6_5_2*Techs!BJ117 + tech_8_4*Techs!BT117</f>
        <v>0</v>
      </c>
      <c r="AC117" s="147">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45">
        <f>TblRezone[[#This Row],[Hour]]</f>
        <v>115</v>
      </c>
      <c r="B118" s="146">
        <f ca="1">TblImps[[#This Row],[Time]]</f>
        <v>44815.499999999724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7">
        <f ca="1">TblPop[[#This Row],[Military]]/TblPop[[#This Row],[Total]]</f>
        <v>0.35029686174724345</v>
      </c>
      <c r="H118" s="148">
        <f ca="1">MIN(TblPop[[#This Row],[Peasants]],TblPop[[#This Row],[Jobs]])</f>
        <v>1532</v>
      </c>
      <c r="I118" s="147">
        <f ca="1">MIN(OFFSET(TblPop[[#This Row],[Jobs]],1,0)/TblPop[[#This Row],[Peasants]],1)</f>
        <v>1</v>
      </c>
      <c r="J118" s="148">
        <f ca="1">SUM(TblConstr[[#This Row],[Tot Alc]:[Tot GT]],TblConstr[[#This Row],[Tot Shr]:[Tot Doc]],TblConstr[[#This Row],[Dest Alc]:[Dest GT]],TblConstr[[#This Row],[Dest Shr]:[Dest Doc]])*building_employment</f>
        <v>1600</v>
      </c>
      <c r="K118" s="149"/>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50"/>
      <c r="U118" s="97">
        <f ca="1">ROUND(TblPop[[#This Row],[Raw max]]*(1+TblPop[[#This Row],[Max pop]]),0)+MIN(TblPop[[#This Row],[Military]]-TblPop[[#This Row],[Draftees]]-SUM(TblMili[[#This Row],[Train Unit 1]:[Train Arch]]),ROUND((barracks_size + tech_8_3*TblTech[[#This Row],[8-3]])*(1 + Production!O118/100*prestige_pop_multiplier),0)*TblConstr[[#This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Row],[Peasants]]*Constants!$B$54,0), 0)</f>
        <v>0</v>
      </c>
      <c r="AA118" s="150"/>
      <c r="AB118" s="151">
        <f ca="1">Overview!$I$16 + IF(Magic!AE118&gt;0,Constants!$F$78) + ROUND(6*(Construction!BM119+Construction!CK118)/IF(Explore!S119&gt;0,Construction!F119-20,Construction!F119),4) + tech_6_5_2*Techs!BJ118 + tech_8_4*Techs!BT118</f>
        <v>0</v>
      </c>
      <c r="AC118" s="147">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45">
        <f>TblRezone[[#This Row],[Hour]]</f>
        <v>116</v>
      </c>
      <c r="B119" s="146">
        <f ca="1">TblImps[[#This Row],[Time]]</f>
        <v>44815.541666666388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7">
        <f ca="1">TblPop[[#This Row],[Military]]/TblPop[[#This Row],[Total]]</f>
        <v>0.35029686174724345</v>
      </c>
      <c r="H119" s="148">
        <f ca="1">MIN(TblPop[[#This Row],[Peasants]],TblPop[[#This Row],[Jobs]])</f>
        <v>1532</v>
      </c>
      <c r="I119" s="147">
        <f ca="1">MIN(OFFSET(TblPop[[#This Row],[Jobs]],1,0)/TblPop[[#This Row],[Peasants]],1)</f>
        <v>1</v>
      </c>
      <c r="J119" s="148">
        <f ca="1">SUM(TblConstr[[#This Row],[Tot Alc]:[Tot GT]],TblConstr[[#This Row],[Tot Shr]:[Tot Doc]],TblConstr[[#This Row],[Dest Alc]:[Dest GT]],TblConstr[[#This Row],[Dest Shr]:[Dest Doc]])*building_employment</f>
        <v>1600</v>
      </c>
      <c r="K119" s="149"/>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50"/>
      <c r="U119" s="97">
        <f ca="1">ROUND(TblPop[[#This Row],[Raw max]]*(1+TblPop[[#This Row],[Max pop]]),0)+MIN(TblPop[[#This Row],[Military]]-TblPop[[#This Row],[Draftees]]-SUM(TblMili[[#This Row],[Train Unit 1]:[Train Arch]]),ROUND((barracks_size + tech_8_3*TblTech[[#This Row],[8-3]])*(1 + Production!O119/100*prestige_pop_multiplier),0)*TblConstr[[#This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Row],[Peasants]]*Constants!$B$54,0), 0)</f>
        <v>0</v>
      </c>
      <c r="AA119" s="150"/>
      <c r="AB119" s="151">
        <f ca="1">Overview!$I$16 + IF(Magic!AE119&gt;0,Constants!$F$78) + ROUND(6*(Construction!BM120+Construction!CK119)/IF(Explore!S120&gt;0,Construction!F120-20,Construction!F120),4) + tech_6_5_2*Techs!BJ119 + tech_8_4*Techs!BT119</f>
        <v>0</v>
      </c>
      <c r="AC119" s="147">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45">
        <f>TblRezone[[#This Row],[Hour]]</f>
        <v>117</v>
      </c>
      <c r="B120" s="146">
        <f ca="1">TblImps[[#This Row],[Time]]</f>
        <v>44815.583333333052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7">
        <f ca="1">TblPop[[#This Row],[Military]]/TblPop[[#This Row],[Total]]</f>
        <v>0.35029686174724345</v>
      </c>
      <c r="H120" s="148">
        <f ca="1">MIN(TblPop[[#This Row],[Peasants]],TblPop[[#This Row],[Jobs]])</f>
        <v>1532</v>
      </c>
      <c r="I120" s="147">
        <f ca="1">MIN(OFFSET(TblPop[[#This Row],[Jobs]],1,0)/TblPop[[#This Row],[Peasants]],1)</f>
        <v>1</v>
      </c>
      <c r="J120" s="148">
        <f ca="1">SUM(TblConstr[[#This Row],[Tot Alc]:[Tot GT]],TblConstr[[#This Row],[Tot Shr]:[Tot Doc]],TblConstr[[#This Row],[Dest Alc]:[Dest GT]],TblConstr[[#This Row],[Dest Shr]:[Dest Doc]])*building_employment</f>
        <v>1600</v>
      </c>
      <c r="K120" s="149"/>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50"/>
      <c r="U120" s="97">
        <f ca="1">ROUND(TblPop[[#This Row],[Raw max]]*(1+TblPop[[#This Row],[Max pop]]),0)+MIN(TblPop[[#This Row],[Military]]-TblPop[[#This Row],[Draftees]]-SUM(TblMili[[#This Row],[Train Unit 1]:[Train Arch]]),ROUND((barracks_size + tech_8_3*TblTech[[#This Row],[8-3]])*(1 + Production!O120/100*prestige_pop_multiplier),0)*TblConstr[[#This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Row],[Peasants]]*Constants!$B$54,0), 0)</f>
        <v>0</v>
      </c>
      <c r="AA120" s="150"/>
      <c r="AB120" s="151">
        <f ca="1">Overview!$I$16 + IF(Magic!AE120&gt;0,Constants!$F$78) + ROUND(6*(Construction!BM121+Construction!CK120)/IF(Explore!S121&gt;0,Construction!F121-20,Construction!F121),4) + tech_6_5_2*Techs!BJ120 + tech_8_4*Techs!BT120</f>
        <v>0</v>
      </c>
      <c r="AC120" s="147">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45">
        <f>TblRezone[[#This Row],[Hour]]</f>
        <v>118</v>
      </c>
      <c r="B121" s="146">
        <f ca="1">TblImps[[#This Row],[Time]]</f>
        <v>44815.624999999716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7">
        <f ca="1">TblPop[[#This Row],[Military]]/TblPop[[#This Row],[Total]]</f>
        <v>0.35029686174724345</v>
      </c>
      <c r="H121" s="148">
        <f ca="1">MIN(TblPop[[#This Row],[Peasants]],TblPop[[#This Row],[Jobs]])</f>
        <v>1532</v>
      </c>
      <c r="I121" s="147">
        <f ca="1">MIN(OFFSET(TblPop[[#This Row],[Jobs]],1,0)/TblPop[[#This Row],[Peasants]],1)</f>
        <v>1</v>
      </c>
      <c r="J121" s="148">
        <f ca="1">SUM(TblConstr[[#This Row],[Tot Alc]:[Tot GT]],TblConstr[[#This Row],[Tot Shr]:[Tot Doc]],TblConstr[[#This Row],[Dest Alc]:[Dest GT]],TblConstr[[#This Row],[Dest Shr]:[Dest Doc]])*building_employment</f>
        <v>1600</v>
      </c>
      <c r="K121" s="149"/>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50"/>
      <c r="U121" s="97">
        <f ca="1">ROUND(TblPop[[#This Row],[Raw max]]*(1+TblPop[[#This Row],[Max pop]]),0)+MIN(TblPop[[#This Row],[Military]]-TblPop[[#This Row],[Draftees]]-SUM(TblMili[[#This Row],[Train Unit 1]:[Train Arch]]),ROUND((barracks_size + tech_8_3*TblTech[[#This Row],[8-3]])*(1 + Production!O121/100*prestige_pop_multiplier),0)*TblConstr[[#This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Row],[Peasants]]*Constants!$B$54,0), 0)</f>
        <v>0</v>
      </c>
      <c r="AA121" s="150"/>
      <c r="AB121" s="151">
        <f ca="1">Overview!$I$16 + IF(Magic!AE121&gt;0,Constants!$F$78) + ROUND(6*(Construction!BM122+Construction!CK121)/IF(Explore!S122&gt;0,Construction!F122-20,Construction!F122),4) + tech_6_5_2*Techs!BJ121 + tech_8_4*Techs!BT121</f>
        <v>0</v>
      </c>
      <c r="AC121" s="147">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45">
        <f>TblRezone[[#This Row],[Hour]]</f>
        <v>119</v>
      </c>
      <c r="B122" s="146">
        <f ca="1">TblImps[[#This Row],[Time]]</f>
        <v>44815.66666666638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7">
        <f ca="1">TblPop[[#This Row],[Military]]/TblPop[[#This Row],[Total]]</f>
        <v>0.35029686174724345</v>
      </c>
      <c r="H122" s="148">
        <f ca="1">MIN(TblPop[[#This Row],[Peasants]],TblPop[[#This Row],[Jobs]])</f>
        <v>1532</v>
      </c>
      <c r="I122" s="147">
        <f ca="1">MIN(OFFSET(TblPop[[#This Row],[Jobs]],1,0)/TblPop[[#This Row],[Peasants]],1)</f>
        <v>1</v>
      </c>
      <c r="J122" s="148">
        <f ca="1">SUM(TblConstr[[#This Row],[Tot Alc]:[Tot GT]],TblConstr[[#This Row],[Tot Shr]:[Tot Doc]],TblConstr[[#This Row],[Dest Alc]:[Dest GT]],TblConstr[[#This Row],[Dest Shr]:[Dest Doc]])*building_employment</f>
        <v>1600</v>
      </c>
      <c r="K122" s="149"/>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50"/>
      <c r="U122" s="97">
        <f ca="1">ROUND(TblPop[[#This Row],[Raw max]]*(1+TblPop[[#This Row],[Max pop]]),0)+MIN(TblPop[[#This Row],[Military]]-TblPop[[#This Row],[Draftees]]-SUM(TblMili[[#This Row],[Train Unit 1]:[Train Arch]]),ROUND((barracks_size + tech_8_3*TblTech[[#This Row],[8-3]])*(1 + Production!O122/100*prestige_pop_multiplier),0)*TblConstr[[#This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Row],[Peasants]]*Constants!$B$54,0), 0)</f>
        <v>0</v>
      </c>
      <c r="AA122" s="150"/>
      <c r="AB122" s="151">
        <f ca="1">Overview!$I$16 + IF(Magic!AE122&gt;0,Constants!$F$78) + ROUND(6*(Construction!BM123+Construction!CK122)/IF(Explore!S123&gt;0,Construction!F123-20,Construction!F123),4) + tech_6_5_2*Techs!BJ122 + tech_8_4*Techs!BT122</f>
        <v>0</v>
      </c>
      <c r="AC122" s="147">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45">
        <f>TblRezone[[#This Row],[Hour]]</f>
        <v>120</v>
      </c>
      <c r="B123" s="146">
        <f ca="1">TblImps[[#This Row],[Time]]</f>
        <v>44815.708333333045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7">
        <f ca="1">TblPop[[#This Row],[Military]]/TblPop[[#This Row],[Total]]</f>
        <v>0.35029686174724345</v>
      </c>
      <c r="H123" s="148">
        <f ca="1">MIN(TblPop[[#This Row],[Peasants]],TblPop[[#This Row],[Jobs]])</f>
        <v>1532</v>
      </c>
      <c r="I123" s="147">
        <f ca="1">MIN(OFFSET(TblPop[[#This Row],[Jobs]],1,0)/TblPop[[#This Row],[Peasants]],1)</f>
        <v>1</v>
      </c>
      <c r="J123" s="148">
        <f ca="1">SUM(TblConstr[[#This Row],[Tot Alc]:[Tot GT]],TblConstr[[#This Row],[Tot Shr]:[Tot Doc]],TblConstr[[#This Row],[Dest Alc]:[Dest GT]],TblConstr[[#This Row],[Dest Shr]:[Dest Doc]])*building_employment</f>
        <v>1600</v>
      </c>
      <c r="K123" s="149"/>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50"/>
      <c r="U123" s="97">
        <f ca="1">ROUND(TblPop[[#This Row],[Raw max]]*(1+TblPop[[#This Row],[Max pop]]),0)+MIN(TblPop[[#This Row],[Military]]-TblPop[[#This Row],[Draftees]]-SUM(TblMili[[#This Row],[Train Unit 1]:[Train Arch]]),ROUND((barracks_size + tech_8_3*TblTech[[#This Row],[8-3]])*(1 + Production!O123/100*prestige_pop_multiplier),0)*TblConstr[[#This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Row],[Peasants]]*Constants!$B$54,0), 0)</f>
        <v>0</v>
      </c>
      <c r="AA123" s="150"/>
      <c r="AB123" s="151">
        <f ca="1">Overview!$I$16 + IF(Magic!AE123&gt;0,Constants!$F$78) + ROUND(6*(Construction!BM124+Construction!CK123)/IF(Explore!S124&gt;0,Construction!F124-20,Construction!F124),4) + tech_6_5_2*Techs!BJ123 + tech_8_4*Techs!BT123</f>
        <v>0</v>
      </c>
      <c r="AC123" s="147">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45">
        <f>TblRezone[[#This Row],[Hour]]</f>
        <v>121</v>
      </c>
      <c r="B124" s="146">
        <f ca="1">TblImps[[#This Row],[Time]]</f>
        <v>44815.749999999709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7">
        <f ca="1">TblPop[[#This Row],[Military]]/TblPop[[#This Row],[Total]]</f>
        <v>0.35029686174724345</v>
      </c>
      <c r="H124" s="148">
        <f ca="1">MIN(TblPop[[#This Row],[Peasants]],TblPop[[#This Row],[Jobs]])</f>
        <v>1532</v>
      </c>
      <c r="I124" s="147">
        <f ca="1">MIN(OFFSET(TblPop[[#This Row],[Jobs]],1,0)/TblPop[[#This Row],[Peasants]],1)</f>
        <v>1</v>
      </c>
      <c r="J124" s="148">
        <f ca="1">SUM(TblConstr[[#This Row],[Tot Alc]:[Tot GT]],TblConstr[[#This Row],[Tot Shr]:[Tot Doc]],TblConstr[[#This Row],[Dest Alc]:[Dest GT]],TblConstr[[#This Row],[Dest Shr]:[Dest Doc]])*building_employment</f>
        <v>1600</v>
      </c>
      <c r="K124" s="149"/>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50"/>
      <c r="U124" s="97">
        <f ca="1">ROUND(TblPop[[#This Row],[Raw max]]*(1+TblPop[[#This Row],[Max pop]]),0)+MIN(TblPop[[#This Row],[Military]]-TblPop[[#This Row],[Draftees]]-SUM(TblMili[[#This Row],[Train Unit 1]:[Train Arch]]),ROUND((barracks_size + tech_8_3*TblTech[[#This Row],[8-3]])*(1 + Production!O124/100*prestige_pop_multiplier),0)*TblConstr[[#This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Row],[Peasants]]*Constants!$B$54,0), 0)</f>
        <v>0</v>
      </c>
      <c r="AA124" s="150"/>
      <c r="AB124" s="151">
        <f ca="1">Overview!$I$16 + IF(Magic!AE124&gt;0,Constants!$F$78) + ROUND(6*(Construction!BM125+Construction!CK124)/IF(Explore!S125&gt;0,Construction!F125-20,Construction!F125),4) + tech_6_5_2*Techs!BJ124 + tech_8_4*Techs!BT124</f>
        <v>0</v>
      </c>
      <c r="AC124" s="147">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45">
        <f>TblRezone[[#This Row],[Hour]]</f>
        <v>122</v>
      </c>
      <c r="B125" s="146">
        <f ca="1">TblImps[[#This Row],[Time]]</f>
        <v>44815.791666666373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7">
        <f ca="1">TblPop[[#This Row],[Military]]/TblPop[[#This Row],[Total]]</f>
        <v>0.35029686174724345</v>
      </c>
      <c r="H125" s="148">
        <f ca="1">MIN(TblPop[[#This Row],[Peasants]],TblPop[[#This Row],[Jobs]])</f>
        <v>1532</v>
      </c>
      <c r="I125" s="147">
        <f ca="1">MIN(OFFSET(TblPop[[#This Row],[Jobs]],1,0)/TblPop[[#This Row],[Peasants]],1)</f>
        <v>1</v>
      </c>
      <c r="J125" s="148">
        <f ca="1">SUM(TblConstr[[#This Row],[Tot Alc]:[Tot GT]],TblConstr[[#This Row],[Tot Shr]:[Tot Doc]],TblConstr[[#This Row],[Dest Alc]:[Dest GT]],TblConstr[[#This Row],[Dest Shr]:[Dest Doc]])*building_employment</f>
        <v>1600</v>
      </c>
      <c r="K125" s="149"/>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50"/>
      <c r="U125" s="97">
        <f ca="1">ROUND(TblPop[[#This Row],[Raw max]]*(1+TblPop[[#This Row],[Max pop]]),0)+MIN(TblPop[[#This Row],[Military]]-TblPop[[#This Row],[Draftees]]-SUM(TblMili[[#This Row],[Train Unit 1]:[Train Arch]]),ROUND((barracks_size + tech_8_3*TblTech[[#This Row],[8-3]])*(1 + Production!O125/100*prestige_pop_multiplier),0)*TblConstr[[#This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Row],[Peasants]]*Constants!$B$54,0), 0)</f>
        <v>0</v>
      </c>
      <c r="AA125" s="150"/>
      <c r="AB125" s="151">
        <f ca="1">Overview!$I$16 + IF(Magic!AE125&gt;0,Constants!$F$78) + ROUND(6*(Construction!BM126+Construction!CK125)/IF(Explore!S126&gt;0,Construction!F126-20,Construction!F126),4) + tech_6_5_2*Techs!BJ125 + tech_8_4*Techs!BT125</f>
        <v>0</v>
      </c>
      <c r="AC125" s="147">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45">
        <f>TblRezone[[#This Row],[Hour]]</f>
        <v>123</v>
      </c>
      <c r="B126" s="146">
        <f ca="1">TblImps[[#This Row],[Time]]</f>
        <v>44815.833333333037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7">
        <f ca="1">TblPop[[#This Row],[Military]]/TblPop[[#This Row],[Total]]</f>
        <v>0.35029686174724345</v>
      </c>
      <c r="H126" s="148">
        <f ca="1">MIN(TblPop[[#This Row],[Peasants]],TblPop[[#This Row],[Jobs]])</f>
        <v>1532</v>
      </c>
      <c r="I126" s="147">
        <f ca="1">MIN(OFFSET(TblPop[[#This Row],[Jobs]],1,0)/TblPop[[#This Row],[Peasants]],1)</f>
        <v>1</v>
      </c>
      <c r="J126" s="148">
        <f ca="1">SUM(TblConstr[[#This Row],[Tot Alc]:[Tot GT]],TblConstr[[#This Row],[Tot Shr]:[Tot Doc]],TblConstr[[#This Row],[Dest Alc]:[Dest GT]],TblConstr[[#This Row],[Dest Shr]:[Dest Doc]])*building_employment</f>
        <v>1600</v>
      </c>
      <c r="K126" s="149"/>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50"/>
      <c r="U126" s="97">
        <f ca="1">ROUND(TblPop[[#This Row],[Raw max]]*(1+TblPop[[#This Row],[Max pop]]),0)+MIN(TblPop[[#This Row],[Military]]-TblPop[[#This Row],[Draftees]]-SUM(TblMili[[#This Row],[Train Unit 1]:[Train Arch]]),ROUND((barracks_size + tech_8_3*TblTech[[#This Row],[8-3]])*(1 + Production!O126/100*prestige_pop_multiplier),0)*TblConstr[[#This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Row],[Peasants]]*Constants!$B$54,0), 0)</f>
        <v>0</v>
      </c>
      <c r="AA126" s="150"/>
      <c r="AB126" s="151">
        <f ca="1">Overview!$I$16 + IF(Magic!AE126&gt;0,Constants!$F$78) + ROUND(6*(Construction!BM127+Construction!CK126)/IF(Explore!S127&gt;0,Construction!F127-20,Construction!F127),4) + tech_6_5_2*Techs!BJ126 + tech_8_4*Techs!BT126</f>
        <v>0</v>
      </c>
      <c r="AC126" s="147">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45">
        <f>TblRezone[[#This Row],[Hour]]</f>
        <v>124</v>
      </c>
      <c r="B127" s="146">
        <f ca="1">TblImps[[#This Row],[Time]]</f>
        <v>44815.874999999702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7">
        <f ca="1">TblPop[[#This Row],[Military]]/TblPop[[#This Row],[Total]]</f>
        <v>0.35029686174724345</v>
      </c>
      <c r="H127" s="148">
        <f ca="1">MIN(TblPop[[#This Row],[Peasants]],TblPop[[#This Row],[Jobs]])</f>
        <v>1532</v>
      </c>
      <c r="I127" s="147">
        <f ca="1">MIN(OFFSET(TblPop[[#This Row],[Jobs]],1,0)/TblPop[[#This Row],[Peasants]],1)</f>
        <v>1</v>
      </c>
      <c r="J127" s="148">
        <f ca="1">SUM(TblConstr[[#This Row],[Tot Alc]:[Tot GT]],TblConstr[[#This Row],[Tot Shr]:[Tot Doc]],TblConstr[[#This Row],[Dest Alc]:[Dest GT]],TblConstr[[#This Row],[Dest Shr]:[Dest Doc]])*building_employment</f>
        <v>1600</v>
      </c>
      <c r="K127" s="149"/>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50"/>
      <c r="U127" s="97">
        <f ca="1">ROUND(TblPop[[#This Row],[Raw max]]*(1+TblPop[[#This Row],[Max pop]]),0)+MIN(TblPop[[#This Row],[Military]]-TblPop[[#This Row],[Draftees]]-SUM(TblMili[[#This Row],[Train Unit 1]:[Train Arch]]),ROUND((barracks_size + tech_8_3*TblTech[[#This Row],[8-3]])*(1 + Production!O127/100*prestige_pop_multiplier),0)*TblConstr[[#This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Row],[Peasants]]*Constants!$B$54,0), 0)</f>
        <v>0</v>
      </c>
      <c r="AA127" s="150"/>
      <c r="AB127" s="151">
        <f ca="1">Overview!$I$16 + IF(Magic!AE127&gt;0,Constants!$F$78) + ROUND(6*(Construction!BM128+Construction!CK127)/IF(Explore!S128&gt;0,Construction!F128-20,Construction!F128),4) + tech_6_5_2*Techs!BJ127 + tech_8_4*Techs!BT127</f>
        <v>0</v>
      </c>
      <c r="AC127" s="147">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45">
        <f>TblRezone[[#This Row],[Hour]]</f>
        <v>125</v>
      </c>
      <c r="B128" s="146">
        <f ca="1">TblImps[[#This Row],[Time]]</f>
        <v>44815.916666666366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7">
        <f ca="1">TblPop[[#This Row],[Military]]/TblPop[[#This Row],[Total]]</f>
        <v>0.35029686174724345</v>
      </c>
      <c r="H128" s="148">
        <f ca="1">MIN(TblPop[[#This Row],[Peasants]],TblPop[[#This Row],[Jobs]])</f>
        <v>1532</v>
      </c>
      <c r="I128" s="147">
        <f ca="1">MIN(OFFSET(TblPop[[#This Row],[Jobs]],1,0)/TblPop[[#This Row],[Peasants]],1)</f>
        <v>1</v>
      </c>
      <c r="J128" s="148">
        <f ca="1">SUM(TblConstr[[#This Row],[Tot Alc]:[Tot GT]],TblConstr[[#This Row],[Tot Shr]:[Tot Doc]],TblConstr[[#This Row],[Dest Alc]:[Dest GT]],TblConstr[[#This Row],[Dest Shr]:[Dest Doc]])*building_employment</f>
        <v>1600</v>
      </c>
      <c r="K128" s="149"/>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50"/>
      <c r="U128" s="97">
        <f ca="1">ROUND(TblPop[[#This Row],[Raw max]]*(1+TblPop[[#This Row],[Max pop]]),0)+MIN(TblPop[[#This Row],[Military]]-TblPop[[#This Row],[Draftees]]-SUM(TblMili[[#This Row],[Train Unit 1]:[Train Arch]]),ROUND((barracks_size + tech_8_3*TblTech[[#This Row],[8-3]])*(1 + Production!O128/100*prestige_pop_multiplier),0)*TblConstr[[#This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Row],[Peasants]]*Constants!$B$54,0), 0)</f>
        <v>0</v>
      </c>
      <c r="AA128" s="150"/>
      <c r="AB128" s="151">
        <f ca="1">Overview!$I$16 + IF(Magic!AE128&gt;0,Constants!$F$78) + ROUND(6*(Construction!BM129+Construction!CK128)/IF(Explore!S129&gt;0,Construction!F129-20,Construction!F129),4) + tech_6_5_2*Techs!BJ128 + tech_8_4*Techs!BT128</f>
        <v>0</v>
      </c>
      <c r="AC128" s="147">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45">
        <f>TblRezone[[#This Row],[Hour]]</f>
        <v>126</v>
      </c>
      <c r="B129" s="146">
        <f ca="1">TblImps[[#This Row],[Time]]</f>
        <v>44815.95833333303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7">
        <f ca="1">TblPop[[#This Row],[Military]]/TblPop[[#This Row],[Total]]</f>
        <v>0.35029686174724345</v>
      </c>
      <c r="H129" s="148">
        <f ca="1">MIN(TblPop[[#This Row],[Peasants]],TblPop[[#This Row],[Jobs]])</f>
        <v>1532</v>
      </c>
      <c r="I129" s="147">
        <f ca="1">MIN(OFFSET(TblPop[[#This Row],[Jobs]],1,0)/TblPop[[#This Row],[Peasants]],1)</f>
        <v>1</v>
      </c>
      <c r="J129" s="148">
        <f ca="1">SUM(TblConstr[[#This Row],[Tot Alc]:[Tot GT]],TblConstr[[#This Row],[Tot Shr]:[Tot Doc]],TblConstr[[#This Row],[Dest Alc]:[Dest GT]],TblConstr[[#This Row],[Dest Shr]:[Dest Doc]])*building_employment</f>
        <v>1600</v>
      </c>
      <c r="K129" s="149"/>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50"/>
      <c r="U129" s="97">
        <f ca="1">ROUND(TblPop[[#This Row],[Raw max]]*(1+TblPop[[#This Row],[Max pop]]),0)+MIN(TblPop[[#This Row],[Military]]-TblPop[[#This Row],[Draftees]]-SUM(TblMili[[#This Row],[Train Unit 1]:[Train Arch]]),ROUND((barracks_size + tech_8_3*TblTech[[#This Row],[8-3]])*(1 + Production!O129/100*prestige_pop_multiplier),0)*TblConstr[[#This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Row],[Peasants]]*Constants!$B$54,0), 0)</f>
        <v>0</v>
      </c>
      <c r="AA129" s="150"/>
      <c r="AB129" s="151">
        <f ca="1">Overview!$I$16 + IF(Magic!AE129&gt;0,Constants!$F$78) + ROUND(6*(Construction!BM130+Construction!CK129)/IF(Explore!S130&gt;0,Construction!F130-20,Construction!F130),4) + tech_6_5_2*Techs!BJ129 + tech_8_4*Techs!BT129</f>
        <v>0</v>
      </c>
      <c r="AC129" s="147">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45">
        <f>TblRezone[[#This Row],[Hour]]</f>
        <v>127</v>
      </c>
      <c r="B130" s="146">
        <f ca="1">TblImps[[#This Row],[Time]]</f>
        <v>44815.999999999694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7">
        <f ca="1">TblPop[[#This Row],[Military]]/TblPop[[#This Row],[Total]]</f>
        <v>0.35029686174724345</v>
      </c>
      <c r="H130" s="148">
        <f ca="1">MIN(TblPop[[#This Row],[Peasants]],TblPop[[#This Row],[Jobs]])</f>
        <v>1532</v>
      </c>
      <c r="I130" s="147">
        <f ca="1">MIN(OFFSET(TblPop[[#This Row],[Jobs]],1,0)/TblPop[[#This Row],[Peasants]],1)</f>
        <v>1</v>
      </c>
      <c r="J130" s="148">
        <f ca="1">SUM(TblConstr[[#This Row],[Tot Alc]:[Tot GT]],TblConstr[[#This Row],[Tot Shr]:[Tot Doc]],TblConstr[[#This Row],[Dest Alc]:[Dest GT]],TblConstr[[#This Row],[Dest Shr]:[Dest Doc]])*building_employment</f>
        <v>1600</v>
      </c>
      <c r="K130" s="149"/>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50"/>
      <c r="U130" s="97">
        <f ca="1">ROUND(TblPop[[#This Row],[Raw max]]*(1+TblPop[[#This Row],[Max pop]]),0)+MIN(TblPop[[#This Row],[Military]]-TblPop[[#This Row],[Draftees]]-SUM(TblMili[[#This Row],[Train Unit 1]:[Train Arch]]),ROUND((barracks_size + tech_8_3*TblTech[[#This Row],[8-3]])*(1 + Production!O130/100*prestige_pop_multiplier),0)*TblConstr[[#This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Row],[Peasants]]*Constants!$B$54,0), 0)</f>
        <v>0</v>
      </c>
      <c r="AA130" s="150"/>
      <c r="AB130" s="151">
        <f ca="1">Overview!$I$16 + IF(Magic!AE130&gt;0,Constants!$F$78) + ROUND(6*(Construction!BM131+Construction!CK130)/IF(Explore!S131&gt;0,Construction!F131-20,Construction!F131),4) + tech_6_5_2*Techs!BJ130 + tech_8_4*Techs!BT130</f>
        <v>0</v>
      </c>
      <c r="AC130" s="147">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45">
        <f>TblRezone[[#This Row],[Hour]]</f>
        <v>128</v>
      </c>
      <c r="B131" s="146">
        <f ca="1">TblImps[[#This Row],[Time]]</f>
        <v>44816.041666666359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7">
        <f ca="1">TblPop[[#This Row],[Military]]/TblPop[[#This Row],[Total]]</f>
        <v>0.35029686174724345</v>
      </c>
      <c r="H131" s="148">
        <f ca="1">MIN(TblPop[[#This Row],[Peasants]],TblPop[[#This Row],[Jobs]])</f>
        <v>1532</v>
      </c>
      <c r="I131" s="147">
        <f ca="1">MIN(OFFSET(TblPop[[#This Row],[Jobs]],1,0)/TblPop[[#This Row],[Peasants]],1)</f>
        <v>1</v>
      </c>
      <c r="J131" s="148">
        <f ca="1">SUM(TblConstr[[#This Row],[Tot Alc]:[Tot GT]],TblConstr[[#This Row],[Tot Shr]:[Tot Doc]],TblConstr[[#This Row],[Dest Alc]:[Dest GT]],TblConstr[[#This Row],[Dest Shr]:[Dest Doc]])*building_employment</f>
        <v>1600</v>
      </c>
      <c r="K131" s="149"/>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50"/>
      <c r="U131" s="97">
        <f ca="1">ROUND(TblPop[[#This Row],[Raw max]]*(1+TblPop[[#This Row],[Max pop]]),0)+MIN(TblPop[[#This Row],[Military]]-TblPop[[#This Row],[Draftees]]-SUM(TblMili[[#This Row],[Train Unit 1]:[Train Arch]]),ROUND((barracks_size + tech_8_3*TblTech[[#This Row],[8-3]])*(1 + Production!O131/100*prestige_pop_multiplier),0)*TblConstr[[#This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Row],[Peasants]]*Constants!$B$54,0), 0)</f>
        <v>0</v>
      </c>
      <c r="AA131" s="150"/>
      <c r="AB131" s="151">
        <f ca="1">Overview!$I$16 + IF(Magic!AE131&gt;0,Constants!$F$78) + ROUND(6*(Construction!BM132+Construction!CK131)/IF(Explore!S132&gt;0,Construction!F132-20,Construction!F132),4) + tech_6_5_2*Techs!BJ131 + tech_8_4*Techs!BT131</f>
        <v>0</v>
      </c>
      <c r="AC131" s="147">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45">
        <f>TblRezone[[#This Row],[Hour]]</f>
        <v>129</v>
      </c>
      <c r="B132" s="146">
        <f ca="1">TblImps[[#This Row],[Time]]</f>
        <v>44816.083333333023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7">
        <f ca="1">TblPop[[#This Row],[Military]]/TblPop[[#This Row],[Total]]</f>
        <v>0.35029686174724345</v>
      </c>
      <c r="H132" s="148">
        <f ca="1">MIN(TblPop[[#This Row],[Peasants]],TblPop[[#This Row],[Jobs]])</f>
        <v>1532</v>
      </c>
      <c r="I132" s="147">
        <f ca="1">MIN(OFFSET(TblPop[[#This Row],[Jobs]],1,0)/TblPop[[#This Row],[Peasants]],1)</f>
        <v>1</v>
      </c>
      <c r="J132" s="148">
        <f ca="1">SUM(TblConstr[[#This Row],[Tot Alc]:[Tot GT]],TblConstr[[#This Row],[Tot Shr]:[Tot Doc]],TblConstr[[#This Row],[Dest Alc]:[Dest GT]],TblConstr[[#This Row],[Dest Shr]:[Dest Doc]])*building_employment</f>
        <v>1600</v>
      </c>
      <c r="K132" s="149"/>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50"/>
      <c r="U132" s="97">
        <f ca="1">ROUND(TblPop[[#This Row],[Raw max]]*(1+TblPop[[#This Row],[Max pop]]),0)+MIN(TblPop[[#This Row],[Military]]-TblPop[[#This Row],[Draftees]]-SUM(TblMili[[#This Row],[Train Unit 1]:[Train Arch]]),ROUND((barracks_size + tech_8_3*TblTech[[#This Row],[8-3]])*(1 + Production!O132/100*prestige_pop_multiplier),0)*TblConstr[[#This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Row],[Peasants]]*Constants!$B$54,0), 0)</f>
        <v>0</v>
      </c>
      <c r="AA132" s="150"/>
      <c r="AB132" s="151">
        <f ca="1">Overview!$I$16 + IF(Magic!AE132&gt;0,Constants!$F$78) + ROUND(6*(Construction!BM133+Construction!CK132)/IF(Explore!S133&gt;0,Construction!F133-20,Construction!F133),4) + tech_6_5_2*Techs!BJ132 + tech_8_4*Techs!BT132</f>
        <v>0</v>
      </c>
      <c r="AC132" s="147">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45">
        <f>TblRezone[[#This Row],[Hour]]</f>
        <v>130</v>
      </c>
      <c r="B133" s="146">
        <f ca="1">TblImps[[#This Row],[Time]]</f>
        <v>44816.124999999687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7">
        <f ca="1">TblPop[[#This Row],[Military]]/TblPop[[#This Row],[Total]]</f>
        <v>0.35029686174724345</v>
      </c>
      <c r="H133" s="148">
        <f ca="1">MIN(TblPop[[#This Row],[Peasants]],TblPop[[#This Row],[Jobs]])</f>
        <v>1532</v>
      </c>
      <c r="I133" s="147">
        <f ca="1">MIN(OFFSET(TblPop[[#This Row],[Jobs]],1,0)/TblPop[[#This Row],[Peasants]],1)</f>
        <v>1</v>
      </c>
      <c r="J133" s="148">
        <f ca="1">SUM(TblConstr[[#This Row],[Tot Alc]:[Tot GT]],TblConstr[[#This Row],[Tot Shr]:[Tot Doc]],TblConstr[[#This Row],[Dest Alc]:[Dest GT]],TblConstr[[#This Row],[Dest Shr]:[Dest Doc]])*building_employment</f>
        <v>1600</v>
      </c>
      <c r="K133" s="149"/>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50"/>
      <c r="U133" s="97">
        <f ca="1">ROUND(TblPop[[#This Row],[Raw max]]*(1+TblPop[[#This Row],[Max pop]]),0)+MIN(TblPop[[#This Row],[Military]]-TblPop[[#This Row],[Draftees]]-SUM(TblMili[[#This Row],[Train Unit 1]:[Train Arch]]),ROUND((barracks_size + tech_8_3*TblTech[[#This Row],[8-3]])*(1 + Production!O133/100*prestige_pop_multiplier),0)*TblConstr[[#This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Row],[Peasants]]*Constants!$B$54,0), 0)</f>
        <v>0</v>
      </c>
      <c r="AA133" s="150"/>
      <c r="AB133" s="151">
        <f ca="1">Overview!$I$16 + IF(Magic!AE133&gt;0,Constants!$F$78) + ROUND(6*(Construction!BM134+Construction!CK133)/IF(Explore!S134&gt;0,Construction!F134-20,Construction!F134),4) + tech_6_5_2*Techs!BJ133 + tech_8_4*Techs!BT133</f>
        <v>0</v>
      </c>
      <c r="AC133" s="147">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45">
        <f>TblRezone[[#This Row],[Hour]]</f>
        <v>131</v>
      </c>
      <c r="B134" s="146">
        <f ca="1">TblImps[[#This Row],[Time]]</f>
        <v>44816.166666666351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7">
        <f ca="1">TblPop[[#This Row],[Military]]/TblPop[[#This Row],[Total]]</f>
        <v>0.35029686174724345</v>
      </c>
      <c r="H134" s="148">
        <f ca="1">MIN(TblPop[[#This Row],[Peasants]],TblPop[[#This Row],[Jobs]])</f>
        <v>1532</v>
      </c>
      <c r="I134" s="147">
        <f ca="1">MIN(OFFSET(TblPop[[#This Row],[Jobs]],1,0)/TblPop[[#This Row],[Peasants]],1)</f>
        <v>1</v>
      </c>
      <c r="J134" s="148">
        <f ca="1">SUM(TblConstr[[#This Row],[Tot Alc]:[Tot GT]],TblConstr[[#This Row],[Tot Shr]:[Tot Doc]],TblConstr[[#This Row],[Dest Alc]:[Dest GT]],TblConstr[[#This Row],[Dest Shr]:[Dest Doc]])*building_employment</f>
        <v>1600</v>
      </c>
      <c r="K134" s="149"/>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50"/>
      <c r="U134" s="97">
        <f ca="1">ROUND(TblPop[[#This Row],[Raw max]]*(1+TblPop[[#This Row],[Max pop]]),0)+MIN(TblPop[[#This Row],[Military]]-TblPop[[#This Row],[Draftees]]-SUM(TblMili[[#This Row],[Train Unit 1]:[Train Arch]]),ROUND((barracks_size + tech_8_3*TblTech[[#This Row],[8-3]])*(1 + Production!O134/100*prestige_pop_multiplier),0)*TblConstr[[#This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Row],[Peasants]]*Constants!$B$54,0), 0)</f>
        <v>0</v>
      </c>
      <c r="AA134" s="150"/>
      <c r="AB134" s="151">
        <f ca="1">Overview!$I$16 + IF(Magic!AE134&gt;0,Constants!$F$78) + ROUND(6*(Construction!BM135+Construction!CK134)/IF(Explore!S135&gt;0,Construction!F135-20,Construction!F135),4) + tech_6_5_2*Techs!BJ134 + tech_8_4*Techs!BT134</f>
        <v>0</v>
      </c>
      <c r="AC134" s="147">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45">
        <f>TblRezone[[#This Row],[Hour]]</f>
        <v>132</v>
      </c>
      <c r="B135" s="146">
        <f ca="1">TblImps[[#This Row],[Time]]</f>
        <v>44816.208333333016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7">
        <f ca="1">TblPop[[#This Row],[Military]]/TblPop[[#This Row],[Total]]</f>
        <v>0.35029686174724345</v>
      </c>
      <c r="H135" s="148">
        <f ca="1">MIN(TblPop[[#This Row],[Peasants]],TblPop[[#This Row],[Jobs]])</f>
        <v>1532</v>
      </c>
      <c r="I135" s="147">
        <f ca="1">MIN(OFFSET(TblPop[[#This Row],[Jobs]],1,0)/TblPop[[#This Row],[Peasants]],1)</f>
        <v>1</v>
      </c>
      <c r="J135" s="148">
        <f ca="1">SUM(TblConstr[[#This Row],[Tot Alc]:[Tot GT]],TblConstr[[#This Row],[Tot Shr]:[Tot Doc]],TblConstr[[#This Row],[Dest Alc]:[Dest GT]],TblConstr[[#This Row],[Dest Shr]:[Dest Doc]])*building_employment</f>
        <v>1600</v>
      </c>
      <c r="K135" s="149"/>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50"/>
      <c r="U135" s="97">
        <f ca="1">ROUND(TblPop[[#This Row],[Raw max]]*(1+TblPop[[#This Row],[Max pop]]),0)+MIN(TblPop[[#This Row],[Military]]-TblPop[[#This Row],[Draftees]]-SUM(TblMili[[#This Row],[Train Unit 1]:[Train Arch]]),ROUND((barracks_size + tech_8_3*TblTech[[#This Row],[8-3]])*(1 + Production!O135/100*prestige_pop_multiplier),0)*TblConstr[[#This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Row],[Peasants]]*Constants!$B$54,0), 0)</f>
        <v>0</v>
      </c>
      <c r="AA135" s="150"/>
      <c r="AB135" s="151">
        <f ca="1">Overview!$I$16 + IF(Magic!AE135&gt;0,Constants!$F$78) + ROUND(6*(Construction!BM136+Construction!CK135)/IF(Explore!S136&gt;0,Construction!F136-20,Construction!F136),4) + tech_6_5_2*Techs!BJ135 + tech_8_4*Techs!BT135</f>
        <v>0</v>
      </c>
      <c r="AC135" s="147">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45">
        <f>TblRezone[[#This Row],[Hour]]</f>
        <v>133</v>
      </c>
      <c r="B136" s="146">
        <f ca="1">TblImps[[#This Row],[Time]]</f>
        <v>44816.24999999968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7">
        <f ca="1">TblPop[[#This Row],[Military]]/TblPop[[#This Row],[Total]]</f>
        <v>0.35029686174724345</v>
      </c>
      <c r="H136" s="148">
        <f ca="1">MIN(TblPop[[#This Row],[Peasants]],TblPop[[#This Row],[Jobs]])</f>
        <v>1532</v>
      </c>
      <c r="I136" s="147">
        <f ca="1">MIN(OFFSET(TblPop[[#This Row],[Jobs]],1,0)/TblPop[[#This Row],[Peasants]],1)</f>
        <v>0</v>
      </c>
      <c r="J136" s="148">
        <f ca="1">SUM(TblConstr[[#This Row],[Tot Alc]:[Tot GT]],TblConstr[[#This Row],[Tot Shr]:[Tot Doc]],TblConstr[[#This Row],[Dest Alc]:[Dest GT]],TblConstr[[#This Row],[Dest Shr]:[Dest Doc]])*building_employment</f>
        <v>1600</v>
      </c>
      <c r="K136" s="149"/>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50"/>
      <c r="U136" s="97">
        <f ca="1">ROUND(TblPop[[#This Row],[Raw max]]*(1+TblPop[[#This Row],[Max pop]]),0)+MIN(TblPop[[#This Row],[Military]]-TblPop[[#This Row],[Draftees]]-SUM(TblMili[[#This Row],[Train Unit 1]:[Train Arch]]),ROUND((barracks_size + tech_8_3*TblTech[[#This Row],[8-3]])*(1 + Production!O136/100*prestige_pop_multiplier),0)*TblConstr[[#This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Row],[Peasants]]*Constants!$B$54,0), 0)</f>
        <v>0</v>
      </c>
      <c r="AA136" s="150"/>
      <c r="AB136" s="151" t="e">
        <f ca="1">Overview!$I$16 + IF(Magic!AE136&gt;0,Constants!$F$78) + ROUND(6*(Construction!BM137+Construction!CK136)/IF(Explore!S137&gt;0,Construction!E137-20,Construction!E137),4) + tech_6_5_2*Techs!BJ136 + tech_8_4*Techs!BT136</f>
        <v>#DIV/0!</v>
      </c>
      <c r="AC136" s="147">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495" t="s">
        <v>321</v>
      </c>
      <c r="D1269" s="448"/>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60" priority="1" stopIfTrue="1">
      <formula>OR(C4&lt;0,ROW()-3=$C$1270)</formula>
    </cfRule>
  </conditionalFormatting>
  <conditionalFormatting sqref="A1269:XFD1270">
    <cfRule type="expression" dxfId="859" priority="106" stopIfTrue="1">
      <formula>$C$1270&gt;144</formula>
    </cfRule>
  </conditionalFormatting>
  <conditionalFormatting sqref="A4:AC136">
    <cfRule type="expression" dxfId="858" priority="12" stopIfTrue="1">
      <formula>ROW()-3=$C$1270</formula>
    </cfRule>
    <cfRule type="expression" dxfId="857" priority="112">
      <formula>$A4=73</formula>
    </cfRule>
    <cfRule type="expression" dxfId="856" priority="113">
      <formula>ROUND(($A4-1)/12,0)=INT($A4-1)/12</formula>
    </cfRule>
  </conditionalFormatting>
  <conditionalFormatting sqref="A1:XFD3">
    <cfRule type="expression" dxfId="855"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234</v>
      </c>
      <c r="E1" s="5" t="s">
        <v>17</v>
      </c>
      <c r="S1" s="498" t="s">
        <v>253</v>
      </c>
      <c r="T1" s="498"/>
      <c r="U1" s="498"/>
      <c r="AA1" s="498" t="s">
        <v>85</v>
      </c>
      <c r="AB1" s="498"/>
      <c r="AH1" s="498" t="s">
        <v>170</v>
      </c>
      <c r="AI1" s="498"/>
      <c r="AJ1" s="498"/>
      <c r="AK1" s="498"/>
      <c r="AL1" s="498"/>
      <c r="AM1" s="498"/>
      <c r="AO1" s="5" t="s">
        <v>19</v>
      </c>
      <c r="AT1" s="498" t="s">
        <v>190</v>
      </c>
      <c r="AU1" s="498"/>
      <c r="BC1" s="5" t="s">
        <v>427</v>
      </c>
      <c r="BI1" s="5" t="s">
        <v>17</v>
      </c>
    </row>
    <row r="2" spans="1:65" s="5" customFormat="1" x14ac:dyDescent="0.2">
      <c r="A2" s="28"/>
    </row>
    <row r="3" spans="1:65" s="159" customFormat="1" ht="25.5" x14ac:dyDescent="0.2">
      <c r="A3" s="143" t="s">
        <v>0</v>
      </c>
      <c r="B3" s="143" t="s">
        <v>316</v>
      </c>
      <c r="C3" s="143" t="s">
        <v>327</v>
      </c>
      <c r="D3" s="143" t="s">
        <v>791</v>
      </c>
      <c r="E3" s="143" t="s">
        <v>1</v>
      </c>
      <c r="F3" s="143" t="s">
        <v>21</v>
      </c>
      <c r="G3" s="143" t="s">
        <v>236</v>
      </c>
      <c r="H3" s="143" t="s">
        <v>2</v>
      </c>
      <c r="I3" s="143" t="s">
        <v>5</v>
      </c>
      <c r="J3" s="143" t="s">
        <v>7</v>
      </c>
      <c r="K3" s="143" t="s">
        <v>12</v>
      </c>
      <c r="L3" s="143" t="s">
        <v>3</v>
      </c>
      <c r="M3" s="143" t="s">
        <v>4</v>
      </c>
      <c r="N3" s="143" t="s">
        <v>82</v>
      </c>
      <c r="O3" s="143" t="s">
        <v>357</v>
      </c>
      <c r="P3" s="143" t="s">
        <v>377</v>
      </c>
      <c r="Q3" s="143" t="s">
        <v>378</v>
      </c>
      <c r="R3" s="143" t="s">
        <v>792</v>
      </c>
      <c r="S3" s="143" t="s">
        <v>6</v>
      </c>
      <c r="T3" s="143" t="s">
        <v>9</v>
      </c>
      <c r="U3" s="143" t="s">
        <v>8</v>
      </c>
      <c r="V3" s="143" t="s">
        <v>13</v>
      </c>
      <c r="W3" s="143" t="s">
        <v>10</v>
      </c>
      <c r="X3" s="143" t="s">
        <v>11</v>
      </c>
      <c r="Y3" s="143" t="s">
        <v>50</v>
      </c>
      <c r="Z3" s="143" t="s">
        <v>793</v>
      </c>
      <c r="AA3" s="143" t="s">
        <v>858</v>
      </c>
      <c r="AB3" s="143" t="s">
        <v>859</v>
      </c>
      <c r="AC3" s="143" t="s">
        <v>860</v>
      </c>
      <c r="AD3" s="143" t="s">
        <v>861</v>
      </c>
      <c r="AE3" s="143" t="s">
        <v>862</v>
      </c>
      <c r="AF3" s="143" t="s">
        <v>863</v>
      </c>
      <c r="AG3" s="143" t="s">
        <v>794</v>
      </c>
      <c r="AH3" s="143" t="s">
        <v>864</v>
      </c>
      <c r="AI3" s="143" t="s">
        <v>865</v>
      </c>
      <c r="AJ3" s="143" t="s">
        <v>866</v>
      </c>
      <c r="AK3" s="143" t="s">
        <v>867</v>
      </c>
      <c r="AL3" s="143" t="s">
        <v>868</v>
      </c>
      <c r="AM3" s="143" t="s">
        <v>869</v>
      </c>
      <c r="AN3" s="143" t="s">
        <v>809</v>
      </c>
      <c r="AO3" s="143" t="s">
        <v>14</v>
      </c>
      <c r="AP3" s="143" t="s">
        <v>20</v>
      </c>
      <c r="AQ3" s="143" t="s">
        <v>16</v>
      </c>
      <c r="AR3" s="143" t="s">
        <v>15</v>
      </c>
      <c r="AS3" s="143" t="s">
        <v>810</v>
      </c>
      <c r="AT3" s="143" t="s">
        <v>870</v>
      </c>
      <c r="AU3" s="143" t="s">
        <v>871</v>
      </c>
      <c r="AV3" s="143" t="s">
        <v>872</v>
      </c>
      <c r="AW3" s="143" t="s">
        <v>873</v>
      </c>
      <c r="AX3" s="143" t="s">
        <v>874</v>
      </c>
      <c r="AY3" s="143" t="s">
        <v>811</v>
      </c>
      <c r="AZ3" s="143" t="s">
        <v>331</v>
      </c>
      <c r="BA3" s="143" t="s">
        <v>332</v>
      </c>
      <c r="BB3" s="143" t="s">
        <v>875</v>
      </c>
      <c r="BC3" s="143" t="s">
        <v>876</v>
      </c>
      <c r="BD3" s="143" t="s">
        <v>877</v>
      </c>
      <c r="BE3" s="143" t="s">
        <v>878</v>
      </c>
      <c r="BF3" s="143" t="s">
        <v>879</v>
      </c>
      <c r="BG3" s="143" t="s">
        <v>880</v>
      </c>
      <c r="BH3" s="143" t="s">
        <v>199</v>
      </c>
      <c r="BI3" s="143" t="s">
        <v>881</v>
      </c>
      <c r="BJ3" s="143" t="s">
        <v>882</v>
      </c>
      <c r="BK3" s="143" t="s">
        <v>883</v>
      </c>
      <c r="BL3" s="143" t="s">
        <v>884</v>
      </c>
      <c r="BM3" s="143" t="s">
        <v>885</v>
      </c>
    </row>
    <row r="4" spans="1:65" x14ac:dyDescent="0.2">
      <c r="A4" s="145">
        <f>TblRezone[[#This Row],[Hour]]</f>
        <v>1</v>
      </c>
      <c r="B4" s="160">
        <f>TblImps[[#This Row],[Time]]</f>
        <v>44810.75</v>
      </c>
      <c r="C4" s="161"/>
      <c r="D4" s="162"/>
      <c r="E4" s="97">
        <f ca="1">TblConstr[[#This Row],[Land]]</f>
        <v>250</v>
      </c>
      <c r="F4" s="97">
        <f>TblPop[[#This Row],[Peasants]]</f>
        <v>1300</v>
      </c>
      <c r="G4" s="97">
        <f ca="1">TblMili[[#This Row],[Networth (2)]]</f>
        <v>6450</v>
      </c>
      <c r="H4" s="409">
        <f ca="1">start_plat - TblProd[[#This Row],[Expenses Platinum]] + IF(TblProd[[#This Row],[Plat Bonus]],TblPop[[#This Row],[Peasants]]*4)+days_late*days_late_plat + SUM(TblConstr[[#This Row],[Dest Hom]:[Dest Doc]])*Construction!AM4*tech_3_3_2*TblTech[[#This Row],[3-3]]</f>
        <v>100000</v>
      </c>
      <c r="I4" s="409">
        <f>start_food+days_late*days_late_food</f>
        <v>15000</v>
      </c>
      <c r="J4" s="409">
        <f ca="1">start_lumber - TblProd[[#This Row],[Expenses Lumber]]+days_late*days_late_lumber + SUM(TblConstr[[#This Row],[Dest Hom]:[Dest Doc]])*TblConstr[[#This Row],[CPA Lumber -DB]]*tech_3_3_2*TblTech[[#This Row],[3-3]]</f>
        <v>15000</v>
      </c>
      <c r="K4" s="409">
        <f ca="1">start_mana - TblProd[[#This Row],[Expenses Mana]]+days_late*days_late_mana</f>
        <v>0</v>
      </c>
      <c r="L4" s="409">
        <f ca="1">start_ore - TblProd[[#This Row],[Expenses Ore]]+days_late*days_late_ore</f>
        <v>0</v>
      </c>
      <c r="M4" s="409">
        <f>start_gems - TblProd[[#This Row],[Expenses Gems]]</f>
        <v>10000</v>
      </c>
      <c r="N4" s="409">
        <f>start_boats</f>
        <v>0</v>
      </c>
      <c r="O4" s="409">
        <f>start_prestige</f>
        <v>250</v>
      </c>
      <c r="P4" s="410">
        <f ca="1">ROUNDDOWN(-TblProd[[#This Row],[Required]]*TblTech[[#This Row],[…]],0) + IF(TblProd[[#This Row],[Plat Bonus]]&lt;&gt;"",350,0)</f>
        <v>0</v>
      </c>
      <c r="Q4" s="117">
        <f ca="1">MAX(_xlfn.CEILING.MATH(TblProd[[#This Row],[Land]]*2.5+IFERROR(OFFSET(TblTech[[#This Row],[Sum of tech]],-1,0)*150,0)),3750)</f>
        <v>3750</v>
      </c>
      <c r="R4" s="150"/>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63">
        <f ca="1">OFFSET(TblConstr[[#This Row],[Tot Doc]],1,0)*dock_boats_hr * (1 + tech_4_1*TblTech[[#This Row],[4-1]])</f>
        <v>0</v>
      </c>
      <c r="Z4" s="162"/>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2]]/2,0),)</f>
        <v>0</v>
      </c>
      <c r="AF4" s="97">
        <f ca="1">OFFSET(TblConstr[[#This Row],[Tot DM]],1,0)*dm_gems</f>
        <v>0</v>
      </c>
      <c r="AG4" s="150"/>
      <c r="AH4" s="164">
        <f ca="1">MIN(race_platinum_bonus + IF(Magic!AD4&gt;0,midas_bonus) + TblImps[[#This Row],[Science]] - TblProd[[#This Row],[Guard]]*(0.02 + tech_5_7*TblTech[[#This Row],[5-7]]) + tech_1_5*TblTech[[#This Row],[1-5]] + tech_4_4*TblTech[[#This Row],[4-4]], 0.5)</f>
        <v>0</v>
      </c>
      <c r="AI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64">
        <f>race_lumber_bonus+ IF(TblMagic[[#This Row],[Active Gaia''s Blessing]]&gt;0,gaias_blessing_lumber)+ tech_1_3*TblTech[[#This Row],[1-3]] + tech_1_6*TblTech[[#This Row],[1-6]] + tech_3_3*TblTech[[#This Row],[3-3]]</f>
        <v>0</v>
      </c>
      <c r="AK4" s="164">
        <f ca="1">race_mana_bonus+ 0 + TblImps[[#This Row],[Towers]] + tech_1_2*TblTech[[#This Row],[1-2]] + tech_3_4*TblTech[[#This Row],[3-4]]</f>
        <v>0</v>
      </c>
      <c r="AL4" s="164">
        <f>race_ore_bonus + IF(TblMagic[[#This Row],[Active Miner''s Sight]]&gt;0,miners_sight_bonus,IF(TblMagic[[#This Row],[Active Mining Strength]]&gt;0,mining_strength_bonus)) +  tech_1_6*TblTech[[#This Row],[1-6]]</f>
        <v>0</v>
      </c>
      <c r="AM4" s="164">
        <f>race_gem_bonus+ tech_3_2*TblTech[[#This Row],[3-2]] + tech_4_3*TblTech[[#This Row],[4-3]] + tech_6_2*TblTech[[#This Row],[6-2]]</f>
        <v>0</v>
      </c>
      <c r="AN4" s="150"/>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62"/>
      <c r="AT4" s="97">
        <f ca="1">TblExplore[[#This Row],[Platinum (2)]]+TblConstr[[#This Row],[Total Plat Cost]]+TblMili[[#This Row],[Plat Cost]]+TblRezone[[#This Row],[Platinum cost]]+TblImps[[#This Row],[P1]]-TblProd[[#This Row],[Bank Plat]]</f>
        <v>0</v>
      </c>
      <c r="AU4" s="97">
        <f ca="1">TblConstr[[#This Row],[Total Lum Cost]]+TblImps[[#This Row],[L1]]-TblProd[[#This Row],[Bank Lumber]] + Military!$CH$25*TblMili[[#This Row],[Sec. rec. Cost]]</f>
        <v>0</v>
      </c>
      <c r="AV4" s="97">
        <f ca="1">TblMagic[[#This Row],[Mana cost]] + Military!$CH$26*TblMili[[#This Row],[Sec. rec. Cost]]</f>
        <v>0</v>
      </c>
      <c r="AW4" s="97">
        <f ca="1">Military!$CH$24*TblMili[[#This Row],[Sec. rec. Cost]]+TblImps[[#This Row],[O1]]-TblProd[[#This Row],[Bank Ore]]</f>
        <v>0</v>
      </c>
      <c r="AX4" s="97">
        <f>TblImps[[#This Row],[G1]]-TblProd[[#This Row],[Bank Gems]]</f>
        <v>0</v>
      </c>
      <c r="AY4" s="150"/>
      <c r="AZ4" s="62" t="b">
        <f>IF(TblProd[[#This Row],[Set Guard]]&lt;&gt;"",TblProd[[#This Row],[Set Guard]],FALSE)</f>
        <v>0</v>
      </c>
      <c r="BA4" s="161"/>
      <c r="BB4" s="45">
        <f>TblProd[[#This Row],[Hour]]</f>
        <v>1</v>
      </c>
      <c r="BC4" s="166">
        <f>-TblProd[[#This Row],[Bank Lumber]] / 2 + -TblProd[[#This Row],[Bank Gems]] * 2</f>
        <v>0</v>
      </c>
      <c r="BD4" s="166"/>
      <c r="BE4" s="166"/>
      <c r="BF4" s="166"/>
      <c r="BG4" s="167">
        <f>TblProd[[#This Row],[Time]]</f>
        <v>44810.75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7">
        <f ca="1">TblProd[[#This Row],[Platinum]]</f>
        <v>100000</v>
      </c>
      <c r="BJ4" s="97">
        <f>TblProd[[#This Row],[Food]]</f>
        <v>15000</v>
      </c>
      <c r="BK4" s="97">
        <f ca="1">TblProd[[#This Row],[Lumber]]</f>
        <v>15000</v>
      </c>
      <c r="BL4" s="97">
        <f ca="1">TblProd[[#This Row],[Mana]]</f>
        <v>0</v>
      </c>
      <c r="BM4" s="97">
        <f ca="1">TblProd[[#This Row],[Ore]]</f>
        <v>0</v>
      </c>
    </row>
    <row r="5" spans="1:65" x14ac:dyDescent="0.2">
      <c r="A5" s="145">
        <v>2</v>
      </c>
      <c r="B5" s="160">
        <f ca="1">TblImps[[#This Row],[Time]]</f>
        <v>44810.791666666664</v>
      </c>
      <c r="C5" s="161"/>
      <c r="D5" s="162"/>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104860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10000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50"/>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63">
        <f ca="1">OFFSET(TblConstr[[#This Row],[Tot Doc]],1,0)*dock_boats_hr * (1 + tech_4_1*TblTech[[#This Row],[4-1]])</f>
        <v>0</v>
      </c>
      <c r="Z5" s="162"/>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2]]/2,0),)</f>
        <v>0</v>
      </c>
      <c r="AF5" s="97">
        <f ca="1">OFFSET(TblConstr[[#This Row],[Tot DM]],1,0)*dm_gems</f>
        <v>0</v>
      </c>
      <c r="AG5" s="150"/>
      <c r="AH5" s="164">
        <f ca="1">MIN(race_platinum_bonus + IF(Magic!AD5&gt;0,midas_bonus) + TblImps[[#This Row],[Science]] - TblProd[[#This Row],[Guard]]*(0.02 + tech_5_7*TblTech[[#This Row],[5-7]]) + tech_1_5*TblTech[[#This Row],[1-5]] + tech_4_4*TblTech[[#This Row],[4-4]], 0.5)</f>
        <v>0</v>
      </c>
      <c r="AI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64">
        <f ca="1">race_lumber_bonus+ IF(TblMagic[[#This Row],[Active Gaia''s Blessing]]&gt;0,gaias_blessing_lumber)+ tech_1_3*TblTech[[#This Row],[1-3]] + tech_1_6*TblTech[[#This Row],[1-6]] + tech_3_3*TblTech[[#This Row],[3-3]]</f>
        <v>0</v>
      </c>
      <c r="AK5" s="164">
        <f ca="1">race_mana_bonus+ 0 + TblImps[[#This Row],[Towers]] + tech_1_2*TblTech[[#This Row],[1-2]] + tech_3_4*TblTech[[#This Row],[3-4]]</f>
        <v>0</v>
      </c>
      <c r="AL5" s="164">
        <f ca="1">race_ore_bonus + IF(TblMagic[[#This Row],[Active Miner''s Sight]]&gt;0,miners_sight_bonus,IF(TblMagic[[#This Row],[Active Mining Strength]]&gt;0,mining_strength_bonus)) +  tech_1_6*TblTech[[#This Row],[1-6]]</f>
        <v>0</v>
      </c>
      <c r="AM5" s="164">
        <f>race_gem_bonus+ tech_3_2*TblTech[[#This Row],[3-2]] + tech_4_3*TblTech[[#This Row],[4-3]] + tech_6_2*TblTech[[#This Row],[6-2]]</f>
        <v>0</v>
      </c>
      <c r="AN5" s="150"/>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62"/>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Military!$CH$25*TblMili[[#This Row],[Sec. rec. Cost]]</f>
        <v>0</v>
      </c>
      <c r="AV5" s="97">
        <f ca="1">TblMagic[[#This Row],[Mana cost]] + Military!$CH$26*TblMili[[#This Row],[Sec. rec. Cost]]</f>
        <v>0</v>
      </c>
      <c r="AW5" s="97">
        <f ca="1">Military!$CH$24*TblMili[[#This Row],[Sec. rec. Cost]]+TblImps[[#This Row],[O1]]-TblProd[[#This Row],[Bank Ore]]</f>
        <v>0</v>
      </c>
      <c r="AX5" s="97">
        <f>TblImps[[#This Row],[G1]]-TblProd[[#This Row],[Bank Gems]]</f>
        <v>0</v>
      </c>
      <c r="AY5" s="150"/>
      <c r="AZ5" s="62" t="b">
        <f ca="1">IF(TblProd[[#This Row],[Set Guard]]&lt;&gt;"",TblProd[[#This Row],[Set Guard]],OFFSET(TblProd[[#This Row],[Guard]],-1,0))</f>
        <v>0</v>
      </c>
      <c r="BA5" s="161"/>
      <c r="BB5" s="45">
        <f>TblProd[[#This Row],[Hour]]</f>
        <v>2</v>
      </c>
      <c r="BC5" s="166">
        <f>-TblProd[[#This Row],[Bank Lumber]] / 2 + -TblProd[[#This Row],[Bank Gems]] * 2</f>
        <v>0</v>
      </c>
      <c r="BD5" s="166"/>
      <c r="BE5" s="166"/>
      <c r="BF5" s="166"/>
      <c r="BG5" s="167">
        <f ca="1">TblProd[[#This Row],[Time]]</f>
        <v>44810.791666666664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104860</v>
      </c>
      <c r="BJ5" s="97">
        <f ca="1">TblProd[[#This Row],[Food]]</f>
        <v>17030</v>
      </c>
      <c r="BK5" s="97">
        <f ca="1">TblProd[[#This Row],[Lumber]]</f>
        <v>15850</v>
      </c>
      <c r="BL5" s="97">
        <f ca="1">TblProd[[#This Row],[Mana]]</f>
        <v>0</v>
      </c>
      <c r="BM5" s="97">
        <f ca="1">TblProd[[#This Row],[Ore]]</f>
        <v>0</v>
      </c>
    </row>
    <row r="6" spans="1:65" x14ac:dyDescent="0.2">
      <c r="A6" s="145">
        <v>3</v>
      </c>
      <c r="B6" s="160">
        <f ca="1">TblImps[[#This Row],[Time]]</f>
        <v>44810.833333333328</v>
      </c>
      <c r="C6" s="161"/>
      <c r="D6" s="162"/>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109790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10000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50"/>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63">
        <f ca="1">OFFSET(TblConstr[[#This Row],[Tot Doc]],1,0)*dock_boats_hr * (1 + tech_4_1*TblTech[[#This Row],[4-1]])</f>
        <v>0</v>
      </c>
      <c r="Z6" s="162"/>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2]]/2,0),)</f>
        <v>0</v>
      </c>
      <c r="AF6" s="97">
        <f ca="1">OFFSET(TblConstr[[#This Row],[Tot DM]],1,0)*dm_gems</f>
        <v>0</v>
      </c>
      <c r="AG6" s="150"/>
      <c r="AH6" s="164">
        <f ca="1">MIN(race_platinum_bonus + IF(Magic!AD6&gt;0,midas_bonus) + TblImps[[#This Row],[Science]] - TblProd[[#This Row],[Guard]]*(0.02 + tech_5_7*TblTech[[#This Row],[5-7]]) + tech_1_5*TblTech[[#This Row],[1-5]] + tech_4_4*TblTech[[#This Row],[4-4]], 0.5)</f>
        <v>0</v>
      </c>
      <c r="AI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64">
        <f ca="1">race_lumber_bonus+ IF(TblMagic[[#This Row],[Active Gaia''s Blessing]]&gt;0,gaias_blessing_lumber)+ tech_1_3*TblTech[[#This Row],[1-3]] + tech_1_6*TblTech[[#This Row],[1-6]] + tech_3_3*TblTech[[#This Row],[3-3]]</f>
        <v>0</v>
      </c>
      <c r="AK6" s="164">
        <f ca="1">race_mana_bonus+ 0 + TblImps[[#This Row],[Towers]] + tech_1_2*TblTech[[#This Row],[1-2]] + tech_3_4*TblTech[[#This Row],[3-4]]</f>
        <v>0</v>
      </c>
      <c r="AL6" s="164">
        <f ca="1">race_ore_bonus + IF(TblMagic[[#This Row],[Active Miner''s Sight]]&gt;0,miners_sight_bonus,IF(TblMagic[[#This Row],[Active Mining Strength]]&gt;0,mining_strength_bonus)) +  tech_1_6*TblTech[[#This Row],[1-6]]</f>
        <v>0</v>
      </c>
      <c r="AM6" s="164">
        <f>race_gem_bonus+ tech_3_2*TblTech[[#This Row],[3-2]] + tech_4_3*TblTech[[#This Row],[4-3]] + tech_6_2*TblTech[[#This Row],[6-2]]</f>
        <v>0</v>
      </c>
      <c r="AN6" s="150"/>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62"/>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Military!$CH$25*TblMili[[#This Row],[Sec. rec. Cost]]</f>
        <v>0</v>
      </c>
      <c r="AV6" s="97">
        <f ca="1">TblMagic[[#This Row],[Mana cost]] + Military!$CH$26*TblMili[[#This Row],[Sec. rec. Cost]]</f>
        <v>0</v>
      </c>
      <c r="AW6" s="97">
        <f ca="1">Military!$CH$24*TblMili[[#This Row],[Sec. rec. Cost]]+TblImps[[#This Row],[O1]]-TblProd[[#This Row],[Bank Ore]]</f>
        <v>0</v>
      </c>
      <c r="AX6" s="97">
        <f>TblImps[[#This Row],[G1]]-TblProd[[#This Row],[Bank Gems]]</f>
        <v>0</v>
      </c>
      <c r="AY6" s="150"/>
      <c r="AZ6" s="62" t="b">
        <f ca="1">IF(TblProd[[#This Row],[Set Guard]]&lt;&gt;"",TblProd[[#This Row],[Set Guard]],OFFSET(TblProd[[#This Row],[Guard]],-1,0))</f>
        <v>0</v>
      </c>
      <c r="BA6" s="161"/>
      <c r="BB6" s="45">
        <f>TblProd[[#This Row],[Hour]]</f>
        <v>3</v>
      </c>
      <c r="BC6" s="166">
        <f>-TblProd[[#This Row],[Bank Lumber]] / 2 + -TblProd[[#This Row],[Bank Gems]] * 2</f>
        <v>0</v>
      </c>
      <c r="BD6" s="166"/>
      <c r="BE6" s="166"/>
      <c r="BF6" s="166"/>
      <c r="BG6" s="167">
        <f ca="1">TblProd[[#This Row],[Time]]</f>
        <v>44810.833333333328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109790</v>
      </c>
      <c r="BJ6" s="97">
        <f ca="1">TblProd[[#This Row],[Food]]</f>
        <v>19030</v>
      </c>
      <c r="BK6" s="97">
        <f ca="1">TblProd[[#This Row],[Lumber]]</f>
        <v>16692</v>
      </c>
      <c r="BL6" s="97">
        <f ca="1">TblProd[[#This Row],[Mana]]</f>
        <v>0</v>
      </c>
      <c r="BM6" s="97">
        <f ca="1">TblProd[[#This Row],[Ore]]</f>
        <v>0</v>
      </c>
    </row>
    <row r="7" spans="1:65" x14ac:dyDescent="0.2">
      <c r="A7" s="145">
        <v>4</v>
      </c>
      <c r="B7" s="160">
        <f ca="1">TblImps[[#This Row],[Time]]</f>
        <v>44810.874999999993</v>
      </c>
      <c r="C7" s="161"/>
      <c r="D7" s="162"/>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114790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10000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50"/>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63">
        <f ca="1">OFFSET(TblConstr[[#This Row],[Tot Doc]],1,0)*dock_boats_hr * (1 + tech_4_1*TblTech[[#This Row],[4-1]])</f>
        <v>0</v>
      </c>
      <c r="Z7" s="162"/>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2]]/2,0),)</f>
        <v>0</v>
      </c>
      <c r="AF7" s="97">
        <f ca="1">OFFSET(TblConstr[[#This Row],[Tot DM]],1,0)*dm_gems</f>
        <v>0</v>
      </c>
      <c r="AG7" s="150"/>
      <c r="AH7" s="164">
        <f ca="1">MIN(race_platinum_bonus + IF(Magic!AD7&gt;0,midas_bonus) + TblImps[[#This Row],[Science]] - TblProd[[#This Row],[Guard]]*(0.02 + tech_5_7*TblTech[[#This Row],[5-7]]) + tech_1_5*TblTech[[#This Row],[1-5]] + tech_4_4*TblTech[[#This Row],[4-4]], 0.5)</f>
        <v>0</v>
      </c>
      <c r="AI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64">
        <f ca="1">race_lumber_bonus+ IF(TblMagic[[#This Row],[Active Gaia''s Blessing]]&gt;0,gaias_blessing_lumber)+ tech_1_3*TblTech[[#This Row],[1-3]] + tech_1_6*TblTech[[#This Row],[1-6]] + tech_3_3*TblTech[[#This Row],[3-3]]</f>
        <v>0</v>
      </c>
      <c r="AK7" s="164">
        <f ca="1">race_mana_bonus+ 0 + TblImps[[#This Row],[Towers]] + tech_1_2*TblTech[[#This Row],[1-2]] + tech_3_4*TblTech[[#This Row],[3-4]]</f>
        <v>0</v>
      </c>
      <c r="AL7" s="164">
        <f ca="1">race_ore_bonus + IF(TblMagic[[#This Row],[Active Miner''s Sight]]&gt;0,miners_sight_bonus,IF(TblMagic[[#This Row],[Active Mining Strength]]&gt;0,mining_strength_bonus)) +  tech_1_6*TblTech[[#This Row],[1-6]]</f>
        <v>0</v>
      </c>
      <c r="AM7" s="164">
        <f>race_gem_bonus+ tech_3_2*TblTech[[#This Row],[3-2]] + tech_4_3*TblTech[[#This Row],[4-3]] + tech_6_2*TblTech[[#This Row],[6-2]]</f>
        <v>0</v>
      </c>
      <c r="AN7" s="150"/>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62"/>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Military!$CH$25*TblMili[[#This Row],[Sec. rec. Cost]]</f>
        <v>0</v>
      </c>
      <c r="AV7" s="97">
        <f ca="1">TblMagic[[#This Row],[Mana cost]] + Military!$CH$26*TblMili[[#This Row],[Sec. rec. Cost]]</f>
        <v>0</v>
      </c>
      <c r="AW7" s="97">
        <f ca="1">Military!$CH$24*TblMili[[#This Row],[Sec. rec. Cost]]+TblImps[[#This Row],[O1]]-TblProd[[#This Row],[Bank Ore]]</f>
        <v>0</v>
      </c>
      <c r="AX7" s="97">
        <f>TblImps[[#This Row],[G1]]-TblProd[[#This Row],[Bank Gems]]</f>
        <v>0</v>
      </c>
      <c r="AY7" s="150"/>
      <c r="AZ7" s="62" t="b">
        <f ca="1">IF(TblProd[[#This Row],[Set Guard]]&lt;&gt;"",TblProd[[#This Row],[Set Guard]],OFFSET(TblProd[[#This Row],[Guard]],-1,0))</f>
        <v>0</v>
      </c>
      <c r="BA7" s="161"/>
      <c r="BB7" s="45">
        <f>TblProd[[#This Row],[Hour]]</f>
        <v>4</v>
      </c>
      <c r="BC7" s="166">
        <f>-TblProd[[#This Row],[Bank Lumber]] / 2 + -TblProd[[#This Row],[Bank Gems]] * 2</f>
        <v>0</v>
      </c>
      <c r="BD7" s="166"/>
      <c r="BE7" s="166"/>
      <c r="BF7" s="166"/>
      <c r="BG7" s="167">
        <f ca="1">TblProd[[#This Row],[Time]]</f>
        <v>44810.874999999993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114790</v>
      </c>
      <c r="BJ7" s="97">
        <f ca="1">TblProd[[#This Row],[Food]]</f>
        <v>21000</v>
      </c>
      <c r="BK7" s="97">
        <f ca="1">TblProd[[#This Row],[Lumber]]</f>
        <v>17525</v>
      </c>
      <c r="BL7" s="97">
        <f ca="1">TblProd[[#This Row],[Mana]]</f>
        <v>0</v>
      </c>
      <c r="BM7" s="97">
        <f ca="1">TblProd[[#This Row],[Ore]]</f>
        <v>0</v>
      </c>
    </row>
    <row r="8" spans="1:65" x14ac:dyDescent="0.2">
      <c r="A8" s="145">
        <v>5</v>
      </c>
      <c r="B8" s="160">
        <f ca="1">TblImps[[#This Row],[Time]]</f>
        <v>44810.916666666657</v>
      </c>
      <c r="C8" s="161"/>
      <c r="D8" s="162"/>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119860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10000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50"/>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63">
        <f ca="1">OFFSET(TblConstr[[#This Row],[Tot Doc]],1,0)*dock_boats_hr * (1 + tech_4_1*TblTech[[#This Row],[4-1]])</f>
        <v>0</v>
      </c>
      <c r="Z8" s="162"/>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2]]/2,0),)</f>
        <v>0</v>
      </c>
      <c r="AF8" s="97">
        <f ca="1">OFFSET(TblConstr[[#This Row],[Tot DM]],1,0)*dm_gems</f>
        <v>0</v>
      </c>
      <c r="AG8" s="150"/>
      <c r="AH8" s="164">
        <f ca="1">MIN(race_platinum_bonus + IF(Magic!AD8&gt;0,midas_bonus) + TblImps[[#This Row],[Science]] - TblProd[[#This Row],[Guard]]*(0.02 + tech_5_7*TblTech[[#This Row],[5-7]]) + tech_1_5*TblTech[[#This Row],[1-5]] + tech_4_4*TblTech[[#This Row],[4-4]], 0.5)</f>
        <v>0</v>
      </c>
      <c r="AI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64">
        <f ca="1">race_lumber_bonus+ IF(TblMagic[[#This Row],[Active Gaia''s Blessing]]&gt;0,gaias_blessing_lumber)+ tech_1_3*TblTech[[#This Row],[1-3]] + tech_1_6*TblTech[[#This Row],[1-6]] + tech_3_3*TblTech[[#This Row],[3-3]]</f>
        <v>0</v>
      </c>
      <c r="AK8" s="164">
        <f ca="1">race_mana_bonus+ 0 + TblImps[[#This Row],[Towers]] + tech_1_2*TblTech[[#This Row],[1-2]] + tech_3_4*TblTech[[#This Row],[3-4]]</f>
        <v>0</v>
      </c>
      <c r="AL8" s="164">
        <f ca="1">race_ore_bonus + IF(TblMagic[[#This Row],[Active Miner''s Sight]]&gt;0,miners_sight_bonus,IF(TblMagic[[#This Row],[Active Mining Strength]]&gt;0,mining_strength_bonus)) +  tech_1_6*TblTech[[#This Row],[1-6]]</f>
        <v>0</v>
      </c>
      <c r="AM8" s="164">
        <f>race_gem_bonus+ tech_3_2*TblTech[[#This Row],[3-2]] + tech_4_3*TblTech[[#This Row],[4-3]] + tech_6_2*TblTech[[#This Row],[6-2]]</f>
        <v>0</v>
      </c>
      <c r="AN8" s="150"/>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62"/>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Military!$CH$25*TblMili[[#This Row],[Sec. rec. Cost]]</f>
        <v>0</v>
      </c>
      <c r="AV8" s="97">
        <f ca="1">TblMagic[[#This Row],[Mana cost]] + Military!$CH$26*TblMili[[#This Row],[Sec. rec. Cost]]</f>
        <v>0</v>
      </c>
      <c r="AW8" s="97">
        <f ca="1">Military!$CH$24*TblMili[[#This Row],[Sec. rec. Cost]]+TblImps[[#This Row],[O1]]-TblProd[[#This Row],[Bank Ore]]</f>
        <v>0</v>
      </c>
      <c r="AX8" s="97">
        <f>TblImps[[#This Row],[G1]]-TblProd[[#This Row],[Bank Gems]]</f>
        <v>0</v>
      </c>
      <c r="AY8" s="150"/>
      <c r="AZ8" s="62" t="b">
        <f ca="1">IF(TblProd[[#This Row],[Set Guard]]&lt;&gt;"",TblProd[[#This Row],[Set Guard]],OFFSET(TblProd[[#This Row],[Guard]],-1,0))</f>
        <v>0</v>
      </c>
      <c r="BA8" s="161"/>
      <c r="BB8" s="45">
        <f>TblProd[[#This Row],[Hour]]</f>
        <v>5</v>
      </c>
      <c r="BC8" s="166">
        <f>-TblProd[[#This Row],[Bank Lumber]] / 2 + -TblProd[[#This Row],[Bank Gems]] * 2</f>
        <v>0</v>
      </c>
      <c r="BD8" s="166"/>
      <c r="BE8" s="166"/>
      <c r="BF8" s="166"/>
      <c r="BG8" s="167">
        <f ca="1">TblProd[[#This Row],[Time]]</f>
        <v>44810.916666666657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119860</v>
      </c>
      <c r="BJ8" s="97">
        <f ca="1">TblProd[[#This Row],[Food]]</f>
        <v>22941</v>
      </c>
      <c r="BK8" s="97">
        <f ca="1">TblProd[[#This Row],[Lumber]]</f>
        <v>18350</v>
      </c>
      <c r="BL8" s="97">
        <f ca="1">TblProd[[#This Row],[Mana]]</f>
        <v>0</v>
      </c>
      <c r="BM8" s="97">
        <f ca="1">TblProd[[#This Row],[Ore]]</f>
        <v>0</v>
      </c>
    </row>
    <row r="9" spans="1:65" x14ac:dyDescent="0.2">
      <c r="A9" s="145">
        <v>6</v>
      </c>
      <c r="B9" s="160">
        <f ca="1">TblImps[[#This Row],[Time]]</f>
        <v>44810.958333333321</v>
      </c>
      <c r="C9" s="161"/>
      <c r="D9" s="162"/>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125003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10000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50"/>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63">
        <f ca="1">OFFSET(TblConstr[[#This Row],[Tot Doc]],1,0)*dock_boats_hr * (1 + tech_4_1*TblTech[[#This Row],[4-1]])</f>
        <v>0</v>
      </c>
      <c r="Z9" s="162"/>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2]]/2,0),)</f>
        <v>0</v>
      </c>
      <c r="AF9" s="97">
        <f ca="1">OFFSET(TblConstr[[#This Row],[Tot DM]],1,0)*dm_gems</f>
        <v>0</v>
      </c>
      <c r="AG9" s="150"/>
      <c r="AH9" s="164">
        <f ca="1">MIN(race_platinum_bonus + IF(Magic!AD9&gt;0,midas_bonus) + TblImps[[#This Row],[Science]] - TblProd[[#This Row],[Guard]]*(0.02 + tech_5_7*TblTech[[#This Row],[5-7]]) + tech_1_5*TblTech[[#This Row],[1-5]] + tech_4_4*TblTech[[#This Row],[4-4]], 0.5)</f>
        <v>0</v>
      </c>
      <c r="AI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64">
        <f ca="1">race_lumber_bonus+ IF(TblMagic[[#This Row],[Active Gaia''s Blessing]]&gt;0,gaias_blessing_lumber)+ tech_1_3*TblTech[[#This Row],[1-3]] + tech_1_6*TblTech[[#This Row],[1-6]] + tech_3_3*TblTech[[#This Row],[3-3]]</f>
        <v>0</v>
      </c>
      <c r="AK9" s="164">
        <f ca="1">race_mana_bonus+ 0 + TblImps[[#This Row],[Towers]] + tech_1_2*TblTech[[#This Row],[1-2]] + tech_3_4*TblTech[[#This Row],[3-4]]</f>
        <v>0</v>
      </c>
      <c r="AL9" s="164">
        <f ca="1">race_ore_bonus + IF(TblMagic[[#This Row],[Active Miner''s Sight]]&gt;0,miners_sight_bonus,IF(TblMagic[[#This Row],[Active Mining Strength]]&gt;0,mining_strength_bonus)) +  tech_1_6*TblTech[[#This Row],[1-6]]</f>
        <v>0</v>
      </c>
      <c r="AM9" s="164">
        <f>race_gem_bonus+ tech_3_2*TblTech[[#This Row],[3-2]] + tech_4_3*TblTech[[#This Row],[4-3]] + tech_6_2*TblTech[[#This Row],[6-2]]</f>
        <v>0</v>
      </c>
      <c r="AN9" s="150"/>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62"/>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Military!$CH$25*TblMili[[#This Row],[Sec. rec. Cost]]</f>
        <v>0</v>
      </c>
      <c r="AV9" s="97">
        <f ca="1">TblMagic[[#This Row],[Mana cost]] + Military!$CH$26*TblMili[[#This Row],[Sec. rec. Cost]]</f>
        <v>0</v>
      </c>
      <c r="AW9" s="97">
        <f ca="1">Military!$CH$24*TblMili[[#This Row],[Sec. rec. Cost]]+TblImps[[#This Row],[O1]]-TblProd[[#This Row],[Bank Ore]]</f>
        <v>0</v>
      </c>
      <c r="AX9" s="97">
        <f>TblImps[[#This Row],[G1]]-TblProd[[#This Row],[Bank Gems]]</f>
        <v>0</v>
      </c>
      <c r="AY9" s="150"/>
      <c r="AZ9" s="62" t="b">
        <f ca="1">IF(TblProd[[#This Row],[Set Guard]]&lt;&gt;"",TblProd[[#This Row],[Set Guard]],OFFSET(TblProd[[#This Row],[Guard]],-1,0))</f>
        <v>0</v>
      </c>
      <c r="BA9" s="161"/>
      <c r="BB9" s="45">
        <f>TblProd[[#This Row],[Hour]]</f>
        <v>6</v>
      </c>
      <c r="BC9" s="166">
        <f>-TblProd[[#This Row],[Bank Lumber]] / 2 + -TblProd[[#This Row],[Bank Gems]] * 2</f>
        <v>0</v>
      </c>
      <c r="BD9" s="166"/>
      <c r="BE9" s="166"/>
      <c r="BF9" s="166"/>
      <c r="BG9" s="167">
        <f ca="1">TblProd[[#This Row],[Time]]</f>
        <v>44810.958333333321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125003</v>
      </c>
      <c r="BJ9" s="97">
        <f ca="1">TblProd[[#This Row],[Food]]</f>
        <v>24852</v>
      </c>
      <c r="BK9" s="97">
        <f ca="1">TblProd[[#This Row],[Lumber]]</f>
        <v>19167</v>
      </c>
      <c r="BL9" s="97">
        <f ca="1">TblProd[[#This Row],[Mana]]</f>
        <v>0</v>
      </c>
      <c r="BM9" s="97">
        <f ca="1">TblProd[[#This Row],[Ore]]</f>
        <v>0</v>
      </c>
    </row>
    <row r="10" spans="1:65" x14ac:dyDescent="0.2">
      <c r="A10" s="145">
        <v>7</v>
      </c>
      <c r="B10" s="160">
        <f ca="1">TblImps[[#This Row],[Time]]</f>
        <v>44810.999999999985</v>
      </c>
      <c r="C10" s="161"/>
      <c r="D10" s="162"/>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130222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10000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50"/>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63">
        <f ca="1">OFFSET(TblConstr[[#This Row],[Tot Doc]],1,0)*dock_boats_hr * (1 + tech_4_1*TblTech[[#This Row],[4-1]])</f>
        <v>0</v>
      </c>
      <c r="Z10" s="162"/>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2]]/2,0),)</f>
        <v>0</v>
      </c>
      <c r="AF10" s="97">
        <f ca="1">OFFSET(TblConstr[[#This Row],[Tot DM]],1,0)*dm_gems</f>
        <v>0</v>
      </c>
      <c r="AG10" s="150"/>
      <c r="AH10" s="164">
        <f ca="1">MIN(race_platinum_bonus + IF(Magic!AD10&gt;0,midas_bonus) + TblImps[[#This Row],[Science]] - TblProd[[#This Row],[Guard]]*(0.02 + tech_5_7*TblTech[[#This Row],[5-7]]) + tech_1_5*TblTech[[#This Row],[1-5]] + tech_4_4*TblTech[[#This Row],[4-4]], 0.5)</f>
        <v>0</v>
      </c>
      <c r="AI1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64">
        <f ca="1">race_lumber_bonus+ IF(TblMagic[[#This Row],[Active Gaia''s Blessing]]&gt;0,gaias_blessing_lumber)+ tech_1_3*TblTech[[#This Row],[1-3]] + tech_1_6*TblTech[[#This Row],[1-6]] + tech_3_3*TblTech[[#This Row],[3-3]]</f>
        <v>0</v>
      </c>
      <c r="AK10" s="164">
        <f ca="1">race_mana_bonus+ 0 + TblImps[[#This Row],[Towers]] + tech_1_2*TblTech[[#This Row],[1-2]] + tech_3_4*TblTech[[#This Row],[3-4]]</f>
        <v>0</v>
      </c>
      <c r="AL10" s="164">
        <f ca="1">race_ore_bonus + IF(TblMagic[[#This Row],[Active Miner''s Sight]]&gt;0,miners_sight_bonus,IF(TblMagic[[#This Row],[Active Mining Strength]]&gt;0,mining_strength_bonus)) +  tech_1_6*TblTech[[#This Row],[1-6]]</f>
        <v>0</v>
      </c>
      <c r="AM10" s="164">
        <f>race_gem_bonus+ tech_3_2*TblTech[[#This Row],[3-2]] + tech_4_3*TblTech[[#This Row],[4-3]] + tech_6_2*TblTech[[#This Row],[6-2]]</f>
        <v>0</v>
      </c>
      <c r="AN10" s="150"/>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62"/>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Military!$CH$25*TblMili[[#This Row],[Sec. rec. Cost]]</f>
        <v>0</v>
      </c>
      <c r="AV10" s="97">
        <f ca="1">TblMagic[[#This Row],[Mana cost]] + Military!$CH$26*TblMili[[#This Row],[Sec. rec. Cost]]</f>
        <v>0</v>
      </c>
      <c r="AW10" s="97">
        <f ca="1">Military!$CH$24*TblMili[[#This Row],[Sec. rec. Cost]]+TblImps[[#This Row],[O1]]-TblProd[[#This Row],[Bank Ore]]</f>
        <v>0</v>
      </c>
      <c r="AX10" s="97">
        <f>TblImps[[#This Row],[G1]]-TblProd[[#This Row],[Bank Gems]]</f>
        <v>0</v>
      </c>
      <c r="AY10" s="150"/>
      <c r="AZ10" s="62" t="b">
        <f ca="1">IF(TblProd[[#This Row],[Set Guard]]&lt;&gt;"",TblProd[[#This Row],[Set Guard]],OFFSET(TblProd[[#This Row],[Guard]],-1,0))</f>
        <v>0</v>
      </c>
      <c r="BA10" s="161"/>
      <c r="BB10" s="45">
        <f>TblProd[[#This Row],[Hour]]</f>
        <v>7</v>
      </c>
      <c r="BC10" s="166">
        <f>-TblProd[[#This Row],[Bank Lumber]] / 2 + -TblProd[[#This Row],[Bank Gems]] * 2</f>
        <v>0</v>
      </c>
      <c r="BD10" s="166"/>
      <c r="BE10" s="166"/>
      <c r="BF10" s="166"/>
      <c r="BG10" s="167">
        <f ca="1">TblProd[[#This Row],[Time]]</f>
        <v>44810.999999999985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130222</v>
      </c>
      <c r="BJ10" s="97">
        <f ca="1">TblProd[[#This Row],[Food]]</f>
        <v>26733</v>
      </c>
      <c r="BK10" s="97">
        <f ca="1">TblProd[[#This Row],[Lumber]]</f>
        <v>19975</v>
      </c>
      <c r="BL10" s="97">
        <f ca="1">TblProd[[#This Row],[Mana]]</f>
        <v>0</v>
      </c>
      <c r="BM10" s="97">
        <f ca="1">TblProd[[#This Row],[Ore]]</f>
        <v>0</v>
      </c>
    </row>
    <row r="11" spans="1:65" x14ac:dyDescent="0.2">
      <c r="A11" s="145">
        <v>8</v>
      </c>
      <c r="B11" s="160">
        <f ca="1">TblImps[[#This Row],[Time]]</f>
        <v>44811.04166666665</v>
      </c>
      <c r="C11" s="161"/>
      <c r="D11" s="162"/>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135519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10000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50"/>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63">
        <f ca="1">OFFSET(TblConstr[[#This Row],[Tot Doc]],1,0)*dock_boats_hr * (1 + tech_4_1*TblTech[[#This Row],[4-1]])</f>
        <v>0</v>
      </c>
      <c r="Z11" s="162"/>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2]]/2,0),)</f>
        <v>0</v>
      </c>
      <c r="AF11" s="97">
        <f ca="1">OFFSET(TblConstr[[#This Row],[Tot DM]],1,0)*dm_gems</f>
        <v>0</v>
      </c>
      <c r="AG11" s="150"/>
      <c r="AH11" s="164">
        <f ca="1">MIN(race_platinum_bonus + IF(Magic!AD11&gt;0,midas_bonus) + TblImps[[#This Row],[Science]] - TblProd[[#This Row],[Guard]]*(0.02 + tech_5_7*TblTech[[#This Row],[5-7]]) + tech_1_5*TblTech[[#This Row],[1-5]] + tech_4_4*TblTech[[#This Row],[4-4]], 0.5)</f>
        <v>0</v>
      </c>
      <c r="AI1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64">
        <f ca="1">race_lumber_bonus+ IF(TblMagic[[#This Row],[Active Gaia''s Blessing]]&gt;0,gaias_blessing_lumber)+ tech_1_3*TblTech[[#This Row],[1-3]] + tech_1_6*TblTech[[#This Row],[1-6]] + tech_3_3*TblTech[[#This Row],[3-3]]</f>
        <v>0</v>
      </c>
      <c r="AK11" s="164">
        <f ca="1">race_mana_bonus+ 0 + TblImps[[#This Row],[Towers]] + tech_1_2*TblTech[[#This Row],[1-2]] + tech_3_4*TblTech[[#This Row],[3-4]]</f>
        <v>0</v>
      </c>
      <c r="AL11" s="164">
        <f ca="1">race_ore_bonus + IF(TblMagic[[#This Row],[Active Miner''s Sight]]&gt;0,miners_sight_bonus,IF(TblMagic[[#This Row],[Active Mining Strength]]&gt;0,mining_strength_bonus)) +  tech_1_6*TblTech[[#This Row],[1-6]]</f>
        <v>0</v>
      </c>
      <c r="AM11" s="164">
        <f>race_gem_bonus+ tech_3_2*TblTech[[#This Row],[3-2]] + tech_4_3*TblTech[[#This Row],[4-3]] + tech_6_2*TblTech[[#This Row],[6-2]]</f>
        <v>0</v>
      </c>
      <c r="AN11" s="150"/>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62"/>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Military!$CH$25*TblMili[[#This Row],[Sec. rec. Cost]]</f>
        <v>0</v>
      </c>
      <c r="AV11" s="97">
        <f ca="1">TblMagic[[#This Row],[Mana cost]] + Military!$CH$26*TblMili[[#This Row],[Sec. rec. Cost]]</f>
        <v>0</v>
      </c>
      <c r="AW11" s="97">
        <f ca="1">Military!$CH$24*TblMili[[#This Row],[Sec. rec. Cost]]+TblImps[[#This Row],[O1]]-TblProd[[#This Row],[Bank Ore]]</f>
        <v>0</v>
      </c>
      <c r="AX11" s="97">
        <f>TblImps[[#This Row],[G1]]-TblProd[[#This Row],[Bank Gems]]</f>
        <v>0</v>
      </c>
      <c r="AY11" s="150"/>
      <c r="AZ11" s="62" t="b">
        <f ca="1">IF(TblProd[[#This Row],[Set Guard]]&lt;&gt;"",TblProd[[#This Row],[Set Guard]],OFFSET(TblProd[[#This Row],[Guard]],-1,0))</f>
        <v>0</v>
      </c>
      <c r="BA11" s="161"/>
      <c r="BB11" s="45">
        <f>TblProd[[#This Row],[Hour]]</f>
        <v>8</v>
      </c>
      <c r="BC11" s="166">
        <f>-TblProd[[#This Row],[Bank Lumber]] / 2 + -TblProd[[#This Row],[Bank Gems]] * 2</f>
        <v>0</v>
      </c>
      <c r="BD11" s="166"/>
      <c r="BE11" s="166"/>
      <c r="BF11" s="166"/>
      <c r="BG11" s="167">
        <f ca="1">TblProd[[#This Row],[Time]]</f>
        <v>44811.04166666665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135519</v>
      </c>
      <c r="BJ11" s="97">
        <f ca="1">TblProd[[#This Row],[Food]]</f>
        <v>28585</v>
      </c>
      <c r="BK11" s="97">
        <f ca="1">TblProd[[#This Row],[Lumber]]</f>
        <v>20775</v>
      </c>
      <c r="BL11" s="97">
        <f ca="1">TblProd[[#This Row],[Mana]]</f>
        <v>0</v>
      </c>
      <c r="BM11" s="97">
        <f ca="1">TblProd[[#This Row],[Ore]]</f>
        <v>0</v>
      </c>
    </row>
    <row r="12" spans="1:65" x14ac:dyDescent="0.2">
      <c r="A12" s="145">
        <v>9</v>
      </c>
      <c r="B12" s="160">
        <f ca="1">TblImps[[#This Row],[Time]]</f>
        <v>44811.083333333314</v>
      </c>
      <c r="C12" s="161"/>
      <c r="D12" s="162"/>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140892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10000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50"/>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63">
        <f ca="1">OFFSET(TblConstr[[#This Row],[Tot Doc]],1,0)*dock_boats_hr * (1 + tech_4_1*TblTech[[#This Row],[4-1]])</f>
        <v>0</v>
      </c>
      <c r="Z12" s="162"/>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2]]/2,0),)</f>
        <v>0</v>
      </c>
      <c r="AF12" s="97">
        <f ca="1">OFFSET(TblConstr[[#This Row],[Tot DM]],1,0)*dm_gems</f>
        <v>0</v>
      </c>
      <c r="AG12" s="150"/>
      <c r="AH12" s="164">
        <f ca="1">MIN(race_platinum_bonus + IF(Magic!AD12&gt;0,midas_bonus) + TblImps[[#This Row],[Science]] - TblProd[[#This Row],[Guard]]*(0.02 + tech_5_7*TblTech[[#This Row],[5-7]]) + tech_1_5*TblTech[[#This Row],[1-5]] + tech_4_4*TblTech[[#This Row],[4-4]], 0.5)</f>
        <v>0</v>
      </c>
      <c r="AI1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64">
        <f ca="1">race_lumber_bonus+ IF(TblMagic[[#This Row],[Active Gaia''s Blessing]]&gt;0,gaias_blessing_lumber)+ tech_1_3*TblTech[[#This Row],[1-3]] + tech_1_6*TblTech[[#This Row],[1-6]] + tech_3_3*TblTech[[#This Row],[3-3]]</f>
        <v>0</v>
      </c>
      <c r="AK12" s="164">
        <f ca="1">race_mana_bonus+ 0 + TblImps[[#This Row],[Towers]] + tech_1_2*TblTech[[#This Row],[1-2]] + tech_3_4*TblTech[[#This Row],[3-4]]</f>
        <v>0</v>
      </c>
      <c r="AL12" s="164">
        <f ca="1">race_ore_bonus + IF(TblMagic[[#This Row],[Active Miner''s Sight]]&gt;0,miners_sight_bonus,IF(TblMagic[[#This Row],[Active Mining Strength]]&gt;0,mining_strength_bonus)) +  tech_1_6*TblTech[[#This Row],[1-6]]</f>
        <v>0</v>
      </c>
      <c r="AM12" s="164">
        <f>race_gem_bonus+ tech_3_2*TblTech[[#This Row],[3-2]] + tech_4_3*TblTech[[#This Row],[4-3]] + tech_6_2*TblTech[[#This Row],[6-2]]</f>
        <v>0</v>
      </c>
      <c r="AN12" s="150"/>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62"/>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Military!$CH$25*TblMili[[#This Row],[Sec. rec. Cost]]</f>
        <v>0</v>
      </c>
      <c r="AV12" s="97">
        <f ca="1">TblMagic[[#This Row],[Mana cost]] + Military!$CH$26*TblMili[[#This Row],[Sec. rec. Cost]]</f>
        <v>0</v>
      </c>
      <c r="AW12" s="97">
        <f ca="1">Military!$CH$24*TblMili[[#This Row],[Sec. rec. Cost]]+TblImps[[#This Row],[O1]]-TblProd[[#This Row],[Bank Ore]]</f>
        <v>0</v>
      </c>
      <c r="AX12" s="97">
        <f>TblImps[[#This Row],[G1]]-TblProd[[#This Row],[Bank Gems]]</f>
        <v>0</v>
      </c>
      <c r="AY12" s="150"/>
      <c r="AZ12" s="62" t="b">
        <f ca="1">IF(TblProd[[#This Row],[Set Guard]]&lt;&gt;"",TblProd[[#This Row],[Set Guard]],OFFSET(TblProd[[#This Row],[Guard]],-1,0))</f>
        <v>0</v>
      </c>
      <c r="BA12" s="161"/>
      <c r="BB12" s="45">
        <f>TblProd[[#This Row],[Hour]]</f>
        <v>9</v>
      </c>
      <c r="BC12" s="166">
        <f>-TblProd[[#This Row],[Bank Lumber]] / 2 + -TblProd[[#This Row],[Bank Gems]] * 2</f>
        <v>0</v>
      </c>
      <c r="BD12" s="166"/>
      <c r="BE12" s="166"/>
      <c r="BF12" s="166"/>
      <c r="BG12" s="167">
        <f ca="1">TblProd[[#This Row],[Time]]</f>
        <v>44811.083333333314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140892</v>
      </c>
      <c r="BJ12" s="97">
        <f ca="1">TblProd[[#This Row],[Food]]</f>
        <v>30407</v>
      </c>
      <c r="BK12" s="97">
        <f ca="1">TblProd[[#This Row],[Lumber]]</f>
        <v>21567</v>
      </c>
      <c r="BL12" s="97">
        <f ca="1">TblProd[[#This Row],[Mana]]</f>
        <v>0</v>
      </c>
      <c r="BM12" s="97">
        <f ca="1">TblProd[[#This Row],[Ore]]</f>
        <v>0</v>
      </c>
    </row>
    <row r="13" spans="1:65" x14ac:dyDescent="0.2">
      <c r="A13" s="145">
        <v>10</v>
      </c>
      <c r="B13" s="160">
        <f ca="1">TblImps[[#This Row],[Time]]</f>
        <v>44811.124999999978</v>
      </c>
      <c r="C13" s="161"/>
      <c r="D13" s="162"/>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146343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10000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50"/>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63">
        <f ca="1">OFFSET(TblConstr[[#This Row],[Tot Doc]],1,0)*dock_boats_hr * (1 + tech_4_1*TblTech[[#This Row],[4-1]])</f>
        <v>0</v>
      </c>
      <c r="Z13" s="162"/>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2]]/2,0),)</f>
        <v>0</v>
      </c>
      <c r="AF13" s="97">
        <f ca="1">OFFSET(TblConstr[[#This Row],[Tot DM]],1,0)*dm_gems</f>
        <v>0</v>
      </c>
      <c r="AG13" s="150"/>
      <c r="AH13" s="164">
        <f ca="1">MIN(race_platinum_bonus + IF(Magic!AD13&gt;0,midas_bonus) + TblImps[[#This Row],[Science]] - TblProd[[#This Row],[Guard]]*(0.02 + tech_5_7*TblTech[[#This Row],[5-7]]) + tech_1_5*TblTech[[#This Row],[1-5]] + tech_4_4*TblTech[[#This Row],[4-4]], 0.5)</f>
        <v>0</v>
      </c>
      <c r="AI1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64">
        <f ca="1">race_lumber_bonus+ IF(TblMagic[[#This Row],[Active Gaia''s Blessing]]&gt;0,gaias_blessing_lumber)+ tech_1_3*TblTech[[#This Row],[1-3]] + tech_1_6*TblTech[[#This Row],[1-6]] + tech_3_3*TblTech[[#This Row],[3-3]]</f>
        <v>0</v>
      </c>
      <c r="AK13" s="164">
        <f ca="1">race_mana_bonus+ 0 + TblImps[[#This Row],[Towers]] + tech_1_2*TblTech[[#This Row],[1-2]] + tech_3_4*TblTech[[#This Row],[3-4]]</f>
        <v>0</v>
      </c>
      <c r="AL13" s="164">
        <f ca="1">race_ore_bonus + IF(TblMagic[[#This Row],[Active Miner''s Sight]]&gt;0,miners_sight_bonus,IF(TblMagic[[#This Row],[Active Mining Strength]]&gt;0,mining_strength_bonus)) +  tech_1_6*TblTech[[#This Row],[1-6]]</f>
        <v>0</v>
      </c>
      <c r="AM13" s="164">
        <f>race_gem_bonus+ tech_3_2*TblTech[[#This Row],[3-2]] + tech_4_3*TblTech[[#This Row],[4-3]] + tech_6_2*TblTech[[#This Row],[6-2]]</f>
        <v>0</v>
      </c>
      <c r="AN13" s="150"/>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62"/>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Military!$CH$25*TblMili[[#This Row],[Sec. rec. Cost]]</f>
        <v>0</v>
      </c>
      <c r="AV13" s="97">
        <f ca="1">TblMagic[[#This Row],[Mana cost]] + Military!$CH$26*TblMili[[#This Row],[Sec. rec. Cost]]</f>
        <v>0</v>
      </c>
      <c r="AW13" s="97">
        <f ca="1">Military!$CH$24*TblMili[[#This Row],[Sec. rec. Cost]]+TblImps[[#This Row],[O1]]-TblProd[[#This Row],[Bank Ore]]</f>
        <v>0</v>
      </c>
      <c r="AX13" s="97">
        <f>TblImps[[#This Row],[G1]]-TblProd[[#This Row],[Bank Gems]]</f>
        <v>0</v>
      </c>
      <c r="AY13" s="150"/>
      <c r="AZ13" s="62" t="b">
        <f ca="1">IF(TblProd[[#This Row],[Set Guard]]&lt;&gt;"",TblProd[[#This Row],[Set Guard]],OFFSET(TblProd[[#This Row],[Guard]],-1,0))</f>
        <v>0</v>
      </c>
      <c r="BA13" s="161"/>
      <c r="BB13" s="45">
        <f>TblProd[[#This Row],[Hour]]</f>
        <v>10</v>
      </c>
      <c r="BC13" s="166">
        <f>-TblProd[[#This Row],[Bank Lumber]] / 2 + -TblProd[[#This Row],[Bank Gems]] * 2</f>
        <v>0</v>
      </c>
      <c r="BD13" s="166"/>
      <c r="BE13" s="166"/>
      <c r="BF13" s="166"/>
      <c r="BG13" s="167">
        <f ca="1">TblProd[[#This Row],[Time]]</f>
        <v>44811.124999999978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146343</v>
      </c>
      <c r="BJ13" s="97">
        <f ca="1">TblProd[[#This Row],[Food]]</f>
        <v>32200</v>
      </c>
      <c r="BK13" s="97">
        <f ca="1">TblProd[[#This Row],[Lumber]]</f>
        <v>22351</v>
      </c>
      <c r="BL13" s="97">
        <f ca="1">TblProd[[#This Row],[Mana]]</f>
        <v>0</v>
      </c>
      <c r="BM13" s="97">
        <f ca="1">TblProd[[#This Row],[Ore]]</f>
        <v>0</v>
      </c>
    </row>
    <row r="14" spans="1:65" x14ac:dyDescent="0.2">
      <c r="A14" s="145">
        <v>11</v>
      </c>
      <c r="B14" s="160">
        <f ca="1">TblImps[[#This Row],[Time]]</f>
        <v>44811.166666666642</v>
      </c>
      <c r="C14" s="161"/>
      <c r="D14" s="162"/>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151875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10000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50"/>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63">
        <f ca="1">OFFSET(TblConstr[[#This Row],[Tot Doc]],1,0)*dock_boats_hr * (1 + tech_4_1*TblTech[[#This Row],[4-1]])</f>
        <v>0</v>
      </c>
      <c r="Z14" s="162"/>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2]]/2,0),)</f>
        <v>0</v>
      </c>
      <c r="AF14" s="97">
        <f ca="1">OFFSET(TblConstr[[#This Row],[Tot DM]],1,0)*dm_gems</f>
        <v>0</v>
      </c>
      <c r="AG14" s="150"/>
      <c r="AH14" s="164">
        <f ca="1">MIN(race_platinum_bonus + IF(Magic!AD14&gt;0,midas_bonus) + TblImps[[#This Row],[Science]] - TblProd[[#This Row],[Guard]]*(0.02 + tech_5_7*TblTech[[#This Row],[5-7]]) + tech_1_5*TblTech[[#This Row],[1-5]] + tech_4_4*TblTech[[#This Row],[4-4]], 0.5)</f>
        <v>0</v>
      </c>
      <c r="AI1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64">
        <f ca="1">race_lumber_bonus+ IF(TblMagic[[#This Row],[Active Gaia''s Blessing]]&gt;0,gaias_blessing_lumber)+ tech_1_3*TblTech[[#This Row],[1-3]] + tech_1_6*TblTech[[#This Row],[1-6]] + tech_3_3*TblTech[[#This Row],[3-3]]</f>
        <v>0</v>
      </c>
      <c r="AK14" s="164">
        <f ca="1">race_mana_bonus+ 0 + TblImps[[#This Row],[Towers]] + tech_1_2*TblTech[[#This Row],[1-2]] + tech_3_4*TblTech[[#This Row],[3-4]]</f>
        <v>0</v>
      </c>
      <c r="AL14" s="164">
        <f ca="1">race_ore_bonus + IF(TblMagic[[#This Row],[Active Miner''s Sight]]&gt;0,miners_sight_bonus,IF(TblMagic[[#This Row],[Active Mining Strength]]&gt;0,mining_strength_bonus)) +  tech_1_6*TblTech[[#This Row],[1-6]]</f>
        <v>0</v>
      </c>
      <c r="AM14" s="164">
        <f>race_gem_bonus+ tech_3_2*TblTech[[#This Row],[3-2]] + tech_4_3*TblTech[[#This Row],[4-3]] + tech_6_2*TblTech[[#This Row],[6-2]]</f>
        <v>0</v>
      </c>
      <c r="AN14" s="150"/>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62"/>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Military!$CH$25*TblMili[[#This Row],[Sec. rec. Cost]]</f>
        <v>0</v>
      </c>
      <c r="AV14" s="97">
        <f ca="1">TblMagic[[#This Row],[Mana cost]] + Military!$CH$26*TblMili[[#This Row],[Sec. rec. Cost]]</f>
        <v>0</v>
      </c>
      <c r="AW14" s="97">
        <f ca="1">Military!$CH$24*TblMili[[#This Row],[Sec. rec. Cost]]+TblImps[[#This Row],[O1]]-TblProd[[#This Row],[Bank Ore]]</f>
        <v>0</v>
      </c>
      <c r="AX14" s="97">
        <f>TblImps[[#This Row],[G1]]-TblProd[[#This Row],[Bank Gems]]</f>
        <v>0</v>
      </c>
      <c r="AY14" s="150"/>
      <c r="AZ14" s="62" t="b">
        <f ca="1">IF(TblProd[[#This Row],[Set Guard]]&lt;&gt;"",TblProd[[#This Row],[Set Guard]],OFFSET(TblProd[[#This Row],[Guard]],-1,0))</f>
        <v>0</v>
      </c>
      <c r="BA14" s="161"/>
      <c r="BB14" s="45">
        <f>TblProd[[#This Row],[Hour]]</f>
        <v>11</v>
      </c>
      <c r="BC14" s="166">
        <f>-TblProd[[#This Row],[Bank Lumber]] / 2 + -TblProd[[#This Row],[Bank Gems]] * 2</f>
        <v>0</v>
      </c>
      <c r="BD14" s="166"/>
      <c r="BE14" s="166"/>
      <c r="BF14" s="166"/>
      <c r="BG14" s="167">
        <f ca="1">TblProd[[#This Row],[Time]]</f>
        <v>44811.166666666642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151875</v>
      </c>
      <c r="BJ14" s="97">
        <f ca="1">TblProd[[#This Row],[Food]]</f>
        <v>33964</v>
      </c>
      <c r="BK14" s="97">
        <f ca="1">TblProd[[#This Row],[Lumber]]</f>
        <v>23127</v>
      </c>
      <c r="BL14" s="97">
        <f ca="1">TblProd[[#This Row],[Mana]]</f>
        <v>0</v>
      </c>
      <c r="BM14" s="97">
        <f ca="1">TblProd[[#This Row],[Ore]]</f>
        <v>0</v>
      </c>
    </row>
    <row r="15" spans="1:65" x14ac:dyDescent="0.2">
      <c r="A15" s="145">
        <v>12</v>
      </c>
      <c r="B15" s="160">
        <f ca="1">TblImps[[#This Row],[Time]]</f>
        <v>44811.208333333307</v>
      </c>
      <c r="C15" s="161"/>
      <c r="D15" s="162"/>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157491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10000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50"/>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63">
        <f ca="1">OFFSET(TblConstr[[#This Row],[Tot Doc]],1,0)*dock_boats_hr * (1 + tech_4_1*TblTech[[#This Row],[4-1]])</f>
        <v>0</v>
      </c>
      <c r="Z15" s="162"/>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2]]/2,0),)</f>
        <v>0</v>
      </c>
      <c r="AF15" s="97">
        <f ca="1">OFFSET(TblConstr[[#This Row],[Tot DM]],1,0)*dm_gems</f>
        <v>0</v>
      </c>
      <c r="AG15" s="150"/>
      <c r="AH15" s="164">
        <f ca="1">MIN(race_platinum_bonus + IF(Magic!AD15&gt;0,midas_bonus) + TblImps[[#This Row],[Science]] - TblProd[[#This Row],[Guard]]*(0.02 + tech_5_7*TblTech[[#This Row],[5-7]]) + tech_1_5*TblTech[[#This Row],[1-5]] + tech_4_4*TblTech[[#This Row],[4-4]], 0.5)</f>
        <v>0</v>
      </c>
      <c r="AI1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64">
        <f ca="1">race_lumber_bonus+ IF(TblMagic[[#This Row],[Active Gaia''s Blessing]]&gt;0,gaias_blessing_lumber)+ tech_1_3*TblTech[[#This Row],[1-3]] + tech_1_6*TblTech[[#This Row],[1-6]] + tech_3_3*TblTech[[#This Row],[3-3]]</f>
        <v>0</v>
      </c>
      <c r="AK15" s="164">
        <f ca="1">race_mana_bonus+ 0 + TblImps[[#This Row],[Towers]] + tech_1_2*TblTech[[#This Row],[1-2]] + tech_3_4*TblTech[[#This Row],[3-4]]</f>
        <v>0</v>
      </c>
      <c r="AL15" s="164">
        <f ca="1">race_ore_bonus + IF(TblMagic[[#This Row],[Active Miner''s Sight]]&gt;0,miners_sight_bonus,IF(TblMagic[[#This Row],[Active Mining Strength]]&gt;0,mining_strength_bonus)) +  tech_1_6*TblTech[[#This Row],[1-6]]</f>
        <v>0</v>
      </c>
      <c r="AM15" s="164">
        <f>race_gem_bonus+ tech_3_2*TblTech[[#This Row],[3-2]] + tech_4_3*TblTech[[#This Row],[4-3]] + tech_6_2*TblTech[[#This Row],[6-2]]</f>
        <v>0</v>
      </c>
      <c r="AN15" s="150"/>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62"/>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Military!$CH$25*TblMili[[#This Row],[Sec. rec. Cost]]</f>
        <v>0</v>
      </c>
      <c r="AV15" s="97">
        <f ca="1">TblMagic[[#This Row],[Mana cost]] + Military!$CH$26*TblMili[[#This Row],[Sec. rec. Cost]]</f>
        <v>0</v>
      </c>
      <c r="AW15" s="97">
        <f ca="1">Military!$CH$24*TblMili[[#This Row],[Sec. rec. Cost]]+TblImps[[#This Row],[O1]]-TblProd[[#This Row],[Bank Ore]]</f>
        <v>0</v>
      </c>
      <c r="AX15" s="97">
        <f>TblImps[[#This Row],[G1]]-TblProd[[#This Row],[Bank Gems]]</f>
        <v>0</v>
      </c>
      <c r="AY15" s="150"/>
      <c r="AZ15" s="62" t="b">
        <f ca="1">IF(TblProd[[#This Row],[Set Guard]]&lt;&gt;"",TblProd[[#This Row],[Set Guard]],OFFSET(TblProd[[#This Row],[Guard]],-1,0))</f>
        <v>0</v>
      </c>
      <c r="BA15" s="161"/>
      <c r="BB15" s="45">
        <f>TblProd[[#This Row],[Hour]]</f>
        <v>12</v>
      </c>
      <c r="BC15" s="166">
        <f>-TblProd[[#This Row],[Bank Lumber]] / 2 + -TblProd[[#This Row],[Bank Gems]] * 2</f>
        <v>0</v>
      </c>
      <c r="BD15" s="166"/>
      <c r="BE15" s="166"/>
      <c r="BF15" s="166"/>
      <c r="BG15" s="167">
        <f ca="1">TblProd[[#This Row],[Time]]</f>
        <v>44811.208333333307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157491</v>
      </c>
      <c r="BJ15" s="97">
        <f ca="1">TblProd[[#This Row],[Food]]</f>
        <v>35699</v>
      </c>
      <c r="BK15" s="97">
        <f ca="1">TblProd[[#This Row],[Lumber]]</f>
        <v>23896</v>
      </c>
      <c r="BL15" s="97">
        <f ca="1">TblProd[[#This Row],[Mana]]</f>
        <v>0</v>
      </c>
      <c r="BM15" s="97">
        <f ca="1">TblProd[[#This Row],[Ore]]</f>
        <v>0</v>
      </c>
    </row>
    <row r="16" spans="1:65" x14ac:dyDescent="0.2">
      <c r="A16" s="145">
        <v>13</v>
      </c>
      <c r="B16" s="160">
        <f ca="1">TblImps[[#This Row],[Time]]</f>
        <v>44811.249999999971</v>
      </c>
      <c r="C16" s="161"/>
      <c r="D16" s="162"/>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163161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10000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50"/>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63">
        <f ca="1">OFFSET(TblConstr[[#This Row],[Tot Doc]],1,0)*dock_boats_hr * (1 + tech_4_1*TblTech[[#This Row],[4-1]])</f>
        <v>0</v>
      </c>
      <c r="Z16" s="162"/>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2]]/2,0),)</f>
        <v>0</v>
      </c>
      <c r="AF16" s="97">
        <f ca="1">OFFSET(TblConstr[[#This Row],[Tot DM]],1,0)*dm_gems</f>
        <v>0</v>
      </c>
      <c r="AG16" s="150"/>
      <c r="AH16" s="164">
        <f ca="1">MIN(race_platinum_bonus + IF(Magic!AD16&gt;0,midas_bonus) + TblImps[[#This Row],[Science]] - TblProd[[#This Row],[Guard]]*(0.02 + tech_5_7*TblTech[[#This Row],[5-7]]) + tech_1_5*TblTech[[#This Row],[1-5]] + tech_4_4*TblTech[[#This Row],[4-4]], 0.5)</f>
        <v>0</v>
      </c>
      <c r="AI1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64">
        <f ca="1">race_lumber_bonus+ IF(TblMagic[[#This Row],[Active Gaia''s Blessing]]&gt;0,gaias_blessing_lumber)+ tech_1_3*TblTech[[#This Row],[1-3]] + tech_1_6*TblTech[[#This Row],[1-6]] + tech_3_3*TblTech[[#This Row],[3-3]]</f>
        <v>0</v>
      </c>
      <c r="AK16" s="164">
        <f ca="1">race_mana_bonus+ 0 + TblImps[[#This Row],[Towers]] + tech_1_2*TblTech[[#This Row],[1-2]] + tech_3_4*TblTech[[#This Row],[3-4]]</f>
        <v>0</v>
      </c>
      <c r="AL16" s="164">
        <f ca="1">race_ore_bonus + IF(TblMagic[[#This Row],[Active Miner''s Sight]]&gt;0,miners_sight_bonus,IF(TblMagic[[#This Row],[Active Mining Strength]]&gt;0,mining_strength_bonus)) +  tech_1_6*TblTech[[#This Row],[1-6]]</f>
        <v>0</v>
      </c>
      <c r="AM16" s="164">
        <f>race_gem_bonus+ tech_3_2*TblTech[[#This Row],[3-2]] + tech_4_3*TblTech[[#This Row],[4-3]] + tech_6_2*TblTech[[#This Row],[6-2]]</f>
        <v>0</v>
      </c>
      <c r="AN16" s="150"/>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62"/>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Military!$CH$25*TblMili[[#This Row],[Sec. rec. Cost]]</f>
        <v>0</v>
      </c>
      <c r="AV16" s="97">
        <f ca="1">TblMagic[[#This Row],[Mana cost]] + Military!$CH$26*TblMili[[#This Row],[Sec. rec. Cost]]</f>
        <v>0</v>
      </c>
      <c r="AW16" s="97">
        <f ca="1">Military!$CH$24*TblMili[[#This Row],[Sec. rec. Cost]]+TblImps[[#This Row],[O1]]-TblProd[[#This Row],[Bank Ore]]</f>
        <v>0</v>
      </c>
      <c r="AX16" s="97">
        <f>TblImps[[#This Row],[G1]]-TblProd[[#This Row],[Bank Gems]]</f>
        <v>0</v>
      </c>
      <c r="AY16" s="150"/>
      <c r="AZ16" s="62" t="b">
        <f ca="1">IF(TblProd[[#This Row],[Set Guard]]&lt;&gt;"",TblProd[[#This Row],[Set Guard]],OFFSET(TblProd[[#This Row],[Guard]],-1,0))</f>
        <v>0</v>
      </c>
      <c r="BA16" s="161"/>
      <c r="BB16" s="45">
        <f>TblProd[[#This Row],[Hour]]</f>
        <v>13</v>
      </c>
      <c r="BC16" s="166">
        <f>-TblProd[[#This Row],[Bank Lumber]] / 2 + -TblProd[[#This Row],[Bank Gems]] * 2</f>
        <v>0</v>
      </c>
      <c r="BD16" s="166"/>
      <c r="BE16" s="166"/>
      <c r="BF16" s="166"/>
      <c r="BG16" s="167">
        <f ca="1">TblProd[[#This Row],[Time]]</f>
        <v>44811.249999999971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163161</v>
      </c>
      <c r="BJ16" s="97">
        <f ca="1">TblProd[[#This Row],[Food]]</f>
        <v>37405</v>
      </c>
      <c r="BK16" s="97">
        <f ca="1">TblProd[[#This Row],[Lumber]]</f>
        <v>24657</v>
      </c>
      <c r="BL16" s="97">
        <f ca="1">TblProd[[#This Row],[Mana]]</f>
        <v>0</v>
      </c>
      <c r="BM16" s="97">
        <f ca="1">TblProd[[#This Row],[Ore]]</f>
        <v>0</v>
      </c>
    </row>
    <row r="17" spans="1:65" x14ac:dyDescent="0.2">
      <c r="A17" s="145">
        <v>14</v>
      </c>
      <c r="B17" s="160">
        <f ca="1">TblImps[[#This Row],[Time]]</f>
        <v>44811.291666666635</v>
      </c>
      <c r="C17" s="161"/>
      <c r="D17" s="162"/>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168831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10000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50"/>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63">
        <f ca="1">OFFSET(TblConstr[[#This Row],[Tot Doc]],1,0)*dock_boats_hr * (1 + tech_4_1*TblTech[[#This Row],[4-1]])</f>
        <v>0</v>
      </c>
      <c r="Z17" s="162"/>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2]]/2,0),)</f>
        <v>0</v>
      </c>
      <c r="AF17" s="97">
        <f ca="1">OFFSET(TblConstr[[#This Row],[Tot DM]],1,0)*dm_gems</f>
        <v>0</v>
      </c>
      <c r="AG17" s="150"/>
      <c r="AH17" s="164">
        <f ca="1">MIN(race_platinum_bonus + IF(Magic!AD17&gt;0,midas_bonus) + TblImps[[#This Row],[Science]] - TblProd[[#This Row],[Guard]]*(0.02 + tech_5_7*TblTech[[#This Row],[5-7]]) + tech_1_5*TblTech[[#This Row],[1-5]] + tech_4_4*TblTech[[#This Row],[4-4]], 0.5)</f>
        <v>0</v>
      </c>
      <c r="AI1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64">
        <f ca="1">race_lumber_bonus+ IF(TblMagic[[#This Row],[Active Gaia''s Blessing]]&gt;0,gaias_blessing_lumber)+ tech_1_3*TblTech[[#This Row],[1-3]] + tech_1_6*TblTech[[#This Row],[1-6]] + tech_3_3*TblTech[[#This Row],[3-3]]</f>
        <v>0</v>
      </c>
      <c r="AK17" s="164">
        <f ca="1">race_mana_bonus+ 0 + TblImps[[#This Row],[Towers]] + tech_1_2*TblTech[[#This Row],[1-2]] + tech_3_4*TblTech[[#This Row],[3-4]]</f>
        <v>0</v>
      </c>
      <c r="AL17" s="164">
        <f ca="1">race_ore_bonus + IF(TblMagic[[#This Row],[Active Miner''s Sight]]&gt;0,miners_sight_bonus,IF(TblMagic[[#This Row],[Active Mining Strength]]&gt;0,mining_strength_bonus)) +  tech_1_6*TblTech[[#This Row],[1-6]]</f>
        <v>0</v>
      </c>
      <c r="AM17" s="164">
        <f>race_gem_bonus+ tech_3_2*TblTech[[#This Row],[3-2]] + tech_4_3*TblTech[[#This Row],[4-3]] + tech_6_2*TblTech[[#This Row],[6-2]]</f>
        <v>0</v>
      </c>
      <c r="AN17" s="150"/>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62"/>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Military!$CH$25*TblMili[[#This Row],[Sec. rec. Cost]]</f>
        <v>0</v>
      </c>
      <c r="AV17" s="97">
        <f ca="1">TblMagic[[#This Row],[Mana cost]] + Military!$CH$26*TblMili[[#This Row],[Sec. rec. Cost]]</f>
        <v>0</v>
      </c>
      <c r="AW17" s="97">
        <f ca="1">Military!$CH$24*TblMili[[#This Row],[Sec. rec. Cost]]+TblImps[[#This Row],[O1]]-TblProd[[#This Row],[Bank Ore]]</f>
        <v>0</v>
      </c>
      <c r="AX17" s="97">
        <f>TblImps[[#This Row],[G1]]-TblProd[[#This Row],[Bank Gems]]</f>
        <v>0</v>
      </c>
      <c r="AY17" s="150"/>
      <c r="AZ17" s="62" t="b">
        <f ca="1">IF(TblProd[[#This Row],[Set Guard]]&lt;&gt;"",TblProd[[#This Row],[Set Guard]],OFFSET(TblProd[[#This Row],[Guard]],-1,0))</f>
        <v>0</v>
      </c>
      <c r="BA17" s="161"/>
      <c r="BB17" s="45">
        <f>TblProd[[#This Row],[Hour]]</f>
        <v>14</v>
      </c>
      <c r="BC17" s="166">
        <f>-TblProd[[#This Row],[Bank Lumber]] / 2 + -TblProd[[#This Row],[Bank Gems]] * 2</f>
        <v>0</v>
      </c>
      <c r="BD17" s="166"/>
      <c r="BE17" s="166"/>
      <c r="BF17" s="166"/>
      <c r="BG17" s="167">
        <f ca="1">TblProd[[#This Row],[Time]]</f>
        <v>44811.291666666635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168831</v>
      </c>
      <c r="BJ17" s="97">
        <f ca="1">TblProd[[#This Row],[Food]]</f>
        <v>39082</v>
      </c>
      <c r="BK17" s="97">
        <f ca="1">TblProd[[#This Row],[Lumber]]</f>
        <v>25410</v>
      </c>
      <c r="BL17" s="97">
        <f ca="1">TblProd[[#This Row],[Mana]]</f>
        <v>0</v>
      </c>
      <c r="BM17" s="97">
        <f ca="1">TblProd[[#This Row],[Ore]]</f>
        <v>0</v>
      </c>
    </row>
    <row r="18" spans="1:65" x14ac:dyDescent="0.2">
      <c r="A18" s="145">
        <v>15</v>
      </c>
      <c r="B18" s="160">
        <f ca="1">TblImps[[#This Row],[Time]]</f>
        <v>44811.333333333299</v>
      </c>
      <c r="C18" s="161"/>
      <c r="D18" s="162"/>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174501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10000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50"/>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63">
        <f ca="1">OFFSET(TblConstr[[#This Row],[Tot Doc]],1,0)*dock_boats_hr * (1 + tech_4_1*TblTech[[#This Row],[4-1]])</f>
        <v>0</v>
      </c>
      <c r="Z18" s="162"/>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2]]/2,0),)</f>
        <v>0</v>
      </c>
      <c r="AF18" s="97">
        <f ca="1">OFFSET(TblConstr[[#This Row],[Tot DM]],1,0)*dm_gems</f>
        <v>0</v>
      </c>
      <c r="AG18" s="150"/>
      <c r="AH18" s="164">
        <f ca="1">MIN(race_platinum_bonus + IF(Magic!AD18&gt;0,midas_bonus) + TblImps[[#This Row],[Science]] - TblProd[[#This Row],[Guard]]*(0.02 + tech_5_7*TblTech[[#This Row],[5-7]]) + tech_1_5*TblTech[[#This Row],[1-5]] + tech_4_4*TblTech[[#This Row],[4-4]], 0.5)</f>
        <v>0</v>
      </c>
      <c r="AI1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64">
        <f ca="1">race_lumber_bonus+ IF(TblMagic[[#This Row],[Active Gaia''s Blessing]]&gt;0,gaias_blessing_lumber)+ tech_1_3*TblTech[[#This Row],[1-3]] + tech_1_6*TblTech[[#This Row],[1-6]] + tech_3_3*TblTech[[#This Row],[3-3]]</f>
        <v>0</v>
      </c>
      <c r="AK18" s="164">
        <f ca="1">race_mana_bonus+ 0 + TblImps[[#This Row],[Towers]] + tech_1_2*TblTech[[#This Row],[1-2]] + tech_3_4*TblTech[[#This Row],[3-4]]</f>
        <v>0</v>
      </c>
      <c r="AL18" s="164">
        <f ca="1">race_ore_bonus + IF(TblMagic[[#This Row],[Active Miner''s Sight]]&gt;0,miners_sight_bonus,IF(TblMagic[[#This Row],[Active Mining Strength]]&gt;0,mining_strength_bonus)) +  tech_1_6*TblTech[[#This Row],[1-6]]</f>
        <v>0</v>
      </c>
      <c r="AM18" s="164">
        <f>race_gem_bonus+ tech_3_2*TblTech[[#This Row],[3-2]] + tech_4_3*TblTech[[#This Row],[4-3]] + tech_6_2*TblTech[[#This Row],[6-2]]</f>
        <v>0</v>
      </c>
      <c r="AN18" s="150"/>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62"/>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Military!$CH$25*TblMili[[#This Row],[Sec. rec. Cost]]</f>
        <v>0</v>
      </c>
      <c r="AV18" s="97">
        <f ca="1">TblMagic[[#This Row],[Mana cost]] + Military!$CH$26*TblMili[[#This Row],[Sec. rec. Cost]]</f>
        <v>0</v>
      </c>
      <c r="AW18" s="97">
        <f ca="1">Military!$CH$24*TblMili[[#This Row],[Sec. rec. Cost]]+TblImps[[#This Row],[O1]]-TblProd[[#This Row],[Bank Ore]]</f>
        <v>0</v>
      </c>
      <c r="AX18" s="97">
        <f>TblImps[[#This Row],[G1]]-TblProd[[#This Row],[Bank Gems]]</f>
        <v>0</v>
      </c>
      <c r="AY18" s="150"/>
      <c r="AZ18" s="62" t="b">
        <f ca="1">IF(TblProd[[#This Row],[Set Guard]]&lt;&gt;"",TblProd[[#This Row],[Set Guard]],OFFSET(TblProd[[#This Row],[Guard]],-1,0))</f>
        <v>0</v>
      </c>
      <c r="BA18" s="161"/>
      <c r="BB18" s="45">
        <f>TblProd[[#This Row],[Hour]]</f>
        <v>15</v>
      </c>
      <c r="BC18" s="166">
        <f>-TblProd[[#This Row],[Bank Lumber]] / 2 + -TblProd[[#This Row],[Bank Gems]] * 2</f>
        <v>0</v>
      </c>
      <c r="BD18" s="166"/>
      <c r="BE18" s="166"/>
      <c r="BF18" s="166"/>
      <c r="BG18" s="167">
        <f ca="1">TblProd[[#This Row],[Time]]</f>
        <v>44811.333333333299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174501</v>
      </c>
      <c r="BJ18" s="97">
        <f ca="1">TblProd[[#This Row],[Food]]</f>
        <v>40730</v>
      </c>
      <c r="BK18" s="97">
        <f ca="1">TblProd[[#This Row],[Lumber]]</f>
        <v>26156</v>
      </c>
      <c r="BL18" s="97">
        <f ca="1">TblProd[[#This Row],[Mana]]</f>
        <v>0</v>
      </c>
      <c r="BM18" s="97">
        <f ca="1">TblProd[[#This Row],[Ore]]</f>
        <v>0</v>
      </c>
    </row>
    <row r="19" spans="1:65" x14ac:dyDescent="0.2">
      <c r="A19" s="145">
        <v>16</v>
      </c>
      <c r="B19" s="160">
        <f ca="1">TblImps[[#This Row],[Time]]</f>
        <v>44811.374999999964</v>
      </c>
      <c r="C19" s="161"/>
      <c r="D19" s="162"/>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180171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10000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50"/>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63">
        <f ca="1">OFFSET(TblConstr[[#This Row],[Tot Doc]],1,0)*dock_boats_hr * (1 + tech_4_1*TblTech[[#This Row],[4-1]])</f>
        <v>0</v>
      </c>
      <c r="Z19" s="162"/>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2]]/2,0),)</f>
        <v>0</v>
      </c>
      <c r="AF19" s="97">
        <f ca="1">OFFSET(TblConstr[[#This Row],[Tot DM]],1,0)*dm_gems</f>
        <v>0</v>
      </c>
      <c r="AG19" s="150"/>
      <c r="AH19" s="164">
        <f ca="1">MIN(race_platinum_bonus + IF(Magic!AD19&gt;0,midas_bonus) + TblImps[[#This Row],[Science]] - TblProd[[#This Row],[Guard]]*(0.02 + tech_5_7*TblTech[[#This Row],[5-7]]) + tech_1_5*TblTech[[#This Row],[1-5]] + tech_4_4*TblTech[[#This Row],[4-4]], 0.5)</f>
        <v>0</v>
      </c>
      <c r="AI1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64">
        <f ca="1">race_lumber_bonus+ IF(TblMagic[[#This Row],[Active Gaia''s Blessing]]&gt;0,gaias_blessing_lumber)+ tech_1_3*TblTech[[#This Row],[1-3]] + tech_1_6*TblTech[[#This Row],[1-6]] + tech_3_3*TblTech[[#This Row],[3-3]]</f>
        <v>0</v>
      </c>
      <c r="AK19" s="164">
        <f ca="1">race_mana_bonus+ 0 + TblImps[[#This Row],[Towers]] + tech_1_2*TblTech[[#This Row],[1-2]] + tech_3_4*TblTech[[#This Row],[3-4]]</f>
        <v>0</v>
      </c>
      <c r="AL19" s="164">
        <f ca="1">race_ore_bonus + IF(TblMagic[[#This Row],[Active Miner''s Sight]]&gt;0,miners_sight_bonus,IF(TblMagic[[#This Row],[Active Mining Strength]]&gt;0,mining_strength_bonus)) +  tech_1_6*TblTech[[#This Row],[1-6]]</f>
        <v>0</v>
      </c>
      <c r="AM19" s="164">
        <f>race_gem_bonus+ tech_3_2*TblTech[[#This Row],[3-2]] + tech_4_3*TblTech[[#This Row],[4-3]] + tech_6_2*TblTech[[#This Row],[6-2]]</f>
        <v>0</v>
      </c>
      <c r="AN19" s="150"/>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62"/>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Military!$CH$25*TblMili[[#This Row],[Sec. rec. Cost]]</f>
        <v>0</v>
      </c>
      <c r="AV19" s="97">
        <f ca="1">TblMagic[[#This Row],[Mana cost]] + Military!$CH$26*TblMili[[#This Row],[Sec. rec. Cost]]</f>
        <v>0</v>
      </c>
      <c r="AW19" s="97">
        <f ca="1">Military!$CH$24*TblMili[[#This Row],[Sec. rec. Cost]]+TblImps[[#This Row],[O1]]-TblProd[[#This Row],[Bank Ore]]</f>
        <v>0</v>
      </c>
      <c r="AX19" s="97">
        <f>TblImps[[#This Row],[G1]]-TblProd[[#This Row],[Bank Gems]]</f>
        <v>0</v>
      </c>
      <c r="AY19" s="150"/>
      <c r="AZ19" s="62" t="b">
        <f ca="1">IF(TblProd[[#This Row],[Set Guard]]&lt;&gt;"",TblProd[[#This Row],[Set Guard]],OFFSET(TblProd[[#This Row],[Guard]],-1,0))</f>
        <v>0</v>
      </c>
      <c r="BA19" s="161"/>
      <c r="BB19" s="45">
        <f>TblProd[[#This Row],[Hour]]</f>
        <v>16</v>
      </c>
      <c r="BC19" s="166">
        <f>-TblProd[[#This Row],[Bank Lumber]] / 2 + -TblProd[[#This Row],[Bank Gems]] * 2</f>
        <v>0</v>
      </c>
      <c r="BD19" s="166"/>
      <c r="BE19" s="166"/>
      <c r="BF19" s="166"/>
      <c r="BG19" s="167">
        <f ca="1">TblProd[[#This Row],[Time]]</f>
        <v>44811.374999999964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180171</v>
      </c>
      <c r="BJ19" s="97">
        <f ca="1">TblProd[[#This Row],[Food]]</f>
        <v>42349</v>
      </c>
      <c r="BK19" s="97">
        <f ca="1">TblProd[[#This Row],[Lumber]]</f>
        <v>26894</v>
      </c>
      <c r="BL19" s="97">
        <f ca="1">TblProd[[#This Row],[Mana]]</f>
        <v>0</v>
      </c>
      <c r="BM19" s="97">
        <f ca="1">TblProd[[#This Row],[Ore]]</f>
        <v>0</v>
      </c>
    </row>
    <row r="20" spans="1:65" x14ac:dyDescent="0.2">
      <c r="A20" s="145">
        <v>17</v>
      </c>
      <c r="B20" s="160">
        <f ca="1">TblImps[[#This Row],[Time]]</f>
        <v>44811.416666666628</v>
      </c>
      <c r="C20" s="161"/>
      <c r="D20" s="162"/>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185841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10000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50"/>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63">
        <f ca="1">OFFSET(TblConstr[[#This Row],[Tot Doc]],1,0)*dock_boats_hr * (1 + tech_4_1*TblTech[[#This Row],[4-1]])</f>
        <v>0</v>
      </c>
      <c r="Z20" s="162"/>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2]]/2,0),)</f>
        <v>0</v>
      </c>
      <c r="AF20" s="97">
        <f ca="1">OFFSET(TblConstr[[#This Row],[Tot DM]],1,0)*dm_gems</f>
        <v>0</v>
      </c>
      <c r="AG20" s="150"/>
      <c r="AH20" s="164">
        <f ca="1">MIN(race_platinum_bonus + IF(Magic!AD20&gt;0,midas_bonus) + TblImps[[#This Row],[Science]] - TblProd[[#This Row],[Guard]]*(0.02 + tech_5_7*TblTech[[#This Row],[5-7]]) + tech_1_5*TblTech[[#This Row],[1-5]] + tech_4_4*TblTech[[#This Row],[4-4]], 0.5)</f>
        <v>0</v>
      </c>
      <c r="AI2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64">
        <f ca="1">race_lumber_bonus+ IF(TblMagic[[#This Row],[Active Gaia''s Blessing]]&gt;0,gaias_blessing_lumber)+ tech_1_3*TblTech[[#This Row],[1-3]] + tech_1_6*TblTech[[#This Row],[1-6]] + tech_3_3*TblTech[[#This Row],[3-3]]</f>
        <v>0</v>
      </c>
      <c r="AK20" s="164">
        <f ca="1">race_mana_bonus+ 0 + TblImps[[#This Row],[Towers]] + tech_1_2*TblTech[[#This Row],[1-2]] + tech_3_4*TblTech[[#This Row],[3-4]]</f>
        <v>0</v>
      </c>
      <c r="AL20" s="164">
        <f ca="1">race_ore_bonus + IF(TblMagic[[#This Row],[Active Miner''s Sight]]&gt;0,miners_sight_bonus,IF(TblMagic[[#This Row],[Active Mining Strength]]&gt;0,mining_strength_bonus)) +  tech_1_6*TblTech[[#This Row],[1-6]]</f>
        <v>0</v>
      </c>
      <c r="AM20" s="164">
        <f>race_gem_bonus+ tech_3_2*TblTech[[#This Row],[3-2]] + tech_4_3*TblTech[[#This Row],[4-3]] + tech_6_2*TblTech[[#This Row],[6-2]]</f>
        <v>0</v>
      </c>
      <c r="AN20" s="150"/>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62"/>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Military!$CH$25*TblMili[[#This Row],[Sec. rec. Cost]]</f>
        <v>0</v>
      </c>
      <c r="AV20" s="97">
        <f ca="1">TblMagic[[#This Row],[Mana cost]] + Military!$CH$26*TblMili[[#This Row],[Sec. rec. Cost]]</f>
        <v>0</v>
      </c>
      <c r="AW20" s="97">
        <f ca="1">Military!$CH$24*TblMili[[#This Row],[Sec. rec. Cost]]+TblImps[[#This Row],[O1]]-TblProd[[#This Row],[Bank Ore]]</f>
        <v>0</v>
      </c>
      <c r="AX20" s="97">
        <f>TblImps[[#This Row],[G1]]-TblProd[[#This Row],[Bank Gems]]</f>
        <v>0</v>
      </c>
      <c r="AY20" s="150"/>
      <c r="AZ20" s="62" t="b">
        <f ca="1">IF(TblProd[[#This Row],[Set Guard]]&lt;&gt;"",TblProd[[#This Row],[Set Guard]],OFFSET(TblProd[[#This Row],[Guard]],-1,0))</f>
        <v>0</v>
      </c>
      <c r="BA20" s="161"/>
      <c r="BB20" s="45">
        <f>TblProd[[#This Row],[Hour]]</f>
        <v>17</v>
      </c>
      <c r="BC20" s="166">
        <f>-TblProd[[#This Row],[Bank Lumber]] / 2 + -TblProd[[#This Row],[Bank Gems]] * 2</f>
        <v>0</v>
      </c>
      <c r="BD20" s="166"/>
      <c r="BE20" s="166"/>
      <c r="BF20" s="166"/>
      <c r="BG20" s="167">
        <f ca="1">TblProd[[#This Row],[Time]]</f>
        <v>44811.416666666628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185841</v>
      </c>
      <c r="BJ20" s="97">
        <f ca="1">TblProd[[#This Row],[Food]]</f>
        <v>43939</v>
      </c>
      <c r="BK20" s="97">
        <f ca="1">TblProd[[#This Row],[Lumber]]</f>
        <v>27625</v>
      </c>
      <c r="BL20" s="97">
        <f ca="1">TblProd[[#This Row],[Mana]]</f>
        <v>0</v>
      </c>
      <c r="BM20" s="97">
        <f ca="1">TblProd[[#This Row],[Ore]]</f>
        <v>0</v>
      </c>
    </row>
    <row r="21" spans="1:65" x14ac:dyDescent="0.2">
      <c r="A21" s="145">
        <v>18</v>
      </c>
      <c r="B21" s="160">
        <f ca="1">TblImps[[#This Row],[Time]]</f>
        <v>44811.458333333292</v>
      </c>
      <c r="C21" s="161"/>
      <c r="D21" s="162"/>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191511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10000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50"/>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63">
        <f ca="1">OFFSET(TblConstr[[#This Row],[Tot Doc]],1,0)*dock_boats_hr * (1 + tech_4_1*TblTech[[#This Row],[4-1]])</f>
        <v>0</v>
      </c>
      <c r="Z21" s="162"/>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2]]/2,0),)</f>
        <v>0</v>
      </c>
      <c r="AF21" s="97">
        <f ca="1">OFFSET(TblConstr[[#This Row],[Tot DM]],1,0)*dm_gems</f>
        <v>0</v>
      </c>
      <c r="AG21" s="150"/>
      <c r="AH21" s="164">
        <f ca="1">MIN(race_platinum_bonus + IF(Magic!AD21&gt;0,midas_bonus) + TblImps[[#This Row],[Science]] - TblProd[[#This Row],[Guard]]*(0.02 + tech_5_7*TblTech[[#This Row],[5-7]]) + tech_1_5*TblTech[[#This Row],[1-5]] + tech_4_4*TblTech[[#This Row],[4-4]], 0.5)</f>
        <v>0</v>
      </c>
      <c r="AI2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64">
        <f ca="1">race_lumber_bonus+ IF(TblMagic[[#This Row],[Active Gaia''s Blessing]]&gt;0,gaias_blessing_lumber)+ tech_1_3*TblTech[[#This Row],[1-3]] + tech_1_6*TblTech[[#This Row],[1-6]] + tech_3_3*TblTech[[#This Row],[3-3]]</f>
        <v>0</v>
      </c>
      <c r="AK21" s="164">
        <f ca="1">race_mana_bonus+ 0 + TblImps[[#This Row],[Towers]] + tech_1_2*TblTech[[#This Row],[1-2]] + tech_3_4*TblTech[[#This Row],[3-4]]</f>
        <v>0</v>
      </c>
      <c r="AL21" s="164">
        <f ca="1">race_ore_bonus + IF(TblMagic[[#This Row],[Active Miner''s Sight]]&gt;0,miners_sight_bonus,IF(TblMagic[[#This Row],[Active Mining Strength]]&gt;0,mining_strength_bonus)) +  tech_1_6*TblTech[[#This Row],[1-6]]</f>
        <v>0</v>
      </c>
      <c r="AM21" s="164">
        <f>race_gem_bonus+ tech_3_2*TblTech[[#This Row],[3-2]] + tech_4_3*TblTech[[#This Row],[4-3]] + tech_6_2*TblTech[[#This Row],[6-2]]</f>
        <v>0</v>
      </c>
      <c r="AN21" s="150"/>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62"/>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Military!$CH$25*TblMili[[#This Row],[Sec. rec. Cost]]</f>
        <v>0</v>
      </c>
      <c r="AV21" s="97">
        <f ca="1">TblMagic[[#This Row],[Mana cost]] + Military!$CH$26*TblMili[[#This Row],[Sec. rec. Cost]]</f>
        <v>0</v>
      </c>
      <c r="AW21" s="97">
        <f ca="1">Military!$CH$24*TblMili[[#This Row],[Sec. rec. Cost]]+TblImps[[#This Row],[O1]]-TblProd[[#This Row],[Bank Ore]]</f>
        <v>0</v>
      </c>
      <c r="AX21" s="97">
        <f>TblImps[[#This Row],[G1]]-TblProd[[#This Row],[Bank Gems]]</f>
        <v>0</v>
      </c>
      <c r="AY21" s="150"/>
      <c r="AZ21" s="62" t="b">
        <f ca="1">IF(TblProd[[#This Row],[Set Guard]]&lt;&gt;"",TblProd[[#This Row],[Set Guard]],OFFSET(TblProd[[#This Row],[Guard]],-1,0))</f>
        <v>0</v>
      </c>
      <c r="BA21" s="161"/>
      <c r="BB21" s="45">
        <f>TblProd[[#This Row],[Hour]]</f>
        <v>18</v>
      </c>
      <c r="BC21" s="166">
        <f>-TblProd[[#This Row],[Bank Lumber]] / 2 + -TblProd[[#This Row],[Bank Gems]] * 2</f>
        <v>0</v>
      </c>
      <c r="BD21" s="166"/>
      <c r="BE21" s="166"/>
      <c r="BF21" s="166"/>
      <c r="BG21" s="167">
        <f ca="1">TblProd[[#This Row],[Time]]</f>
        <v>44811.458333333292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191511</v>
      </c>
      <c r="BJ21" s="97">
        <f ca="1">TblProd[[#This Row],[Food]]</f>
        <v>45500</v>
      </c>
      <c r="BK21" s="97">
        <f ca="1">TblProd[[#This Row],[Lumber]]</f>
        <v>28349</v>
      </c>
      <c r="BL21" s="97">
        <f ca="1">TblProd[[#This Row],[Mana]]</f>
        <v>0</v>
      </c>
      <c r="BM21" s="97">
        <f ca="1">TblProd[[#This Row],[Ore]]</f>
        <v>0</v>
      </c>
    </row>
    <row r="22" spans="1:65" x14ac:dyDescent="0.2">
      <c r="A22" s="145">
        <v>19</v>
      </c>
      <c r="B22" s="160">
        <f ca="1">TblImps[[#This Row],[Time]]</f>
        <v>44811.499999999956</v>
      </c>
      <c r="C22" s="161"/>
      <c r="D22" s="162"/>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197181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10000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50"/>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63">
        <f ca="1">OFFSET(TblConstr[[#This Row],[Tot Doc]],1,0)*dock_boats_hr * (1 + tech_4_1*TblTech[[#This Row],[4-1]])</f>
        <v>0</v>
      </c>
      <c r="Z22" s="162"/>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2]]/2,0),)</f>
        <v>0</v>
      </c>
      <c r="AF22" s="97">
        <f ca="1">OFFSET(TblConstr[[#This Row],[Tot DM]],1,0)*dm_gems</f>
        <v>0</v>
      </c>
      <c r="AG22" s="150"/>
      <c r="AH22" s="164">
        <f ca="1">MIN(race_platinum_bonus + IF(Magic!AD22&gt;0,midas_bonus) + TblImps[[#This Row],[Science]] - TblProd[[#This Row],[Guard]]*(0.02 + tech_5_7*TblTech[[#This Row],[5-7]]) + tech_1_5*TblTech[[#This Row],[1-5]] + tech_4_4*TblTech[[#This Row],[4-4]], 0.5)</f>
        <v>0</v>
      </c>
      <c r="AI2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64">
        <f ca="1">race_lumber_bonus+ IF(TblMagic[[#This Row],[Active Gaia''s Blessing]]&gt;0,gaias_blessing_lumber)+ tech_1_3*TblTech[[#This Row],[1-3]] + tech_1_6*TblTech[[#This Row],[1-6]] + tech_3_3*TblTech[[#This Row],[3-3]]</f>
        <v>0</v>
      </c>
      <c r="AK22" s="164">
        <f ca="1">race_mana_bonus+ 0 + TblImps[[#This Row],[Towers]] + tech_1_2*TblTech[[#This Row],[1-2]] + tech_3_4*TblTech[[#This Row],[3-4]]</f>
        <v>0</v>
      </c>
      <c r="AL22" s="164">
        <f ca="1">race_ore_bonus + IF(TblMagic[[#This Row],[Active Miner''s Sight]]&gt;0,miners_sight_bonus,IF(TblMagic[[#This Row],[Active Mining Strength]]&gt;0,mining_strength_bonus)) +  tech_1_6*TblTech[[#This Row],[1-6]]</f>
        <v>0</v>
      </c>
      <c r="AM22" s="164">
        <f>race_gem_bonus+ tech_3_2*TblTech[[#This Row],[3-2]] + tech_4_3*TblTech[[#This Row],[4-3]] + tech_6_2*TblTech[[#This Row],[6-2]]</f>
        <v>0</v>
      </c>
      <c r="AN22" s="150"/>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62"/>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Military!$CH$25*TblMili[[#This Row],[Sec. rec. Cost]]</f>
        <v>0</v>
      </c>
      <c r="AV22" s="97">
        <f ca="1">TblMagic[[#This Row],[Mana cost]] + Military!$CH$26*TblMili[[#This Row],[Sec. rec. Cost]]</f>
        <v>0</v>
      </c>
      <c r="AW22" s="97">
        <f ca="1">Military!$CH$24*TblMili[[#This Row],[Sec. rec. Cost]]+TblImps[[#This Row],[O1]]-TblProd[[#This Row],[Bank Ore]]</f>
        <v>0</v>
      </c>
      <c r="AX22" s="97">
        <f>TblImps[[#This Row],[G1]]-TblProd[[#This Row],[Bank Gems]]</f>
        <v>0</v>
      </c>
      <c r="AY22" s="150"/>
      <c r="AZ22" s="62" t="b">
        <f ca="1">IF(TblProd[[#This Row],[Set Guard]]&lt;&gt;"",TblProd[[#This Row],[Set Guard]],OFFSET(TblProd[[#This Row],[Guard]],-1,0))</f>
        <v>0</v>
      </c>
      <c r="BA22" s="161"/>
      <c r="BB22" s="45">
        <f>TblProd[[#This Row],[Hour]]</f>
        <v>19</v>
      </c>
      <c r="BC22" s="166">
        <f>-TblProd[[#This Row],[Bank Lumber]] / 2 + -TblProd[[#This Row],[Bank Gems]] * 2</f>
        <v>0</v>
      </c>
      <c r="BD22" s="166"/>
      <c r="BE22" s="166"/>
      <c r="BF22" s="166"/>
      <c r="BG22" s="167">
        <f ca="1">TblProd[[#This Row],[Time]]</f>
        <v>44811.499999999956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197181</v>
      </c>
      <c r="BJ22" s="97">
        <f ca="1">TblProd[[#This Row],[Food]]</f>
        <v>47036</v>
      </c>
      <c r="BK22" s="97">
        <f ca="1">TblProd[[#This Row],[Lumber]]</f>
        <v>29066</v>
      </c>
      <c r="BL22" s="97">
        <f ca="1">TblProd[[#This Row],[Mana]]</f>
        <v>0</v>
      </c>
      <c r="BM22" s="97">
        <f ca="1">TblProd[[#This Row],[Ore]]</f>
        <v>0</v>
      </c>
    </row>
    <row r="23" spans="1:65" x14ac:dyDescent="0.2">
      <c r="A23" s="145">
        <v>20</v>
      </c>
      <c r="B23" s="160">
        <f ca="1">TblImps[[#This Row],[Time]]</f>
        <v>44811.541666666621</v>
      </c>
      <c r="C23" s="161"/>
      <c r="D23" s="162"/>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202851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10000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50"/>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63">
        <f ca="1">OFFSET(TblConstr[[#This Row],[Tot Doc]],1,0)*dock_boats_hr * (1 + tech_4_1*TblTech[[#This Row],[4-1]])</f>
        <v>0</v>
      </c>
      <c r="Z23" s="162"/>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2]]/2,0),)</f>
        <v>0</v>
      </c>
      <c r="AF23" s="97">
        <f ca="1">OFFSET(TblConstr[[#This Row],[Tot DM]],1,0)*dm_gems</f>
        <v>0</v>
      </c>
      <c r="AG23" s="150"/>
      <c r="AH23" s="164">
        <f ca="1">MIN(race_platinum_bonus + IF(Magic!AD23&gt;0,midas_bonus) + TblImps[[#This Row],[Science]] - TblProd[[#This Row],[Guard]]*(0.02 + tech_5_7*TblTech[[#This Row],[5-7]]) + tech_1_5*TblTech[[#This Row],[1-5]] + tech_4_4*TblTech[[#This Row],[4-4]], 0.5)</f>
        <v>0</v>
      </c>
      <c r="AI2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64">
        <f ca="1">race_lumber_bonus+ IF(TblMagic[[#This Row],[Active Gaia''s Blessing]]&gt;0,gaias_blessing_lumber)+ tech_1_3*TblTech[[#This Row],[1-3]] + tech_1_6*TblTech[[#This Row],[1-6]] + tech_3_3*TblTech[[#This Row],[3-3]]</f>
        <v>0</v>
      </c>
      <c r="AK23" s="164">
        <f ca="1">race_mana_bonus+ 0 + TblImps[[#This Row],[Towers]] + tech_1_2*TblTech[[#This Row],[1-2]] + tech_3_4*TblTech[[#This Row],[3-4]]</f>
        <v>0</v>
      </c>
      <c r="AL23" s="164">
        <f ca="1">race_ore_bonus + IF(TblMagic[[#This Row],[Active Miner''s Sight]]&gt;0,miners_sight_bonus,IF(TblMagic[[#This Row],[Active Mining Strength]]&gt;0,mining_strength_bonus)) +  tech_1_6*TblTech[[#This Row],[1-6]]</f>
        <v>0</v>
      </c>
      <c r="AM23" s="164">
        <f>race_gem_bonus+ tech_3_2*TblTech[[#This Row],[3-2]] + tech_4_3*TblTech[[#This Row],[4-3]] + tech_6_2*TblTech[[#This Row],[6-2]]</f>
        <v>0</v>
      </c>
      <c r="AN23" s="150"/>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62"/>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Military!$CH$25*TblMili[[#This Row],[Sec. rec. Cost]]</f>
        <v>0</v>
      </c>
      <c r="AV23" s="97">
        <f ca="1">TblMagic[[#This Row],[Mana cost]] + Military!$CH$26*TblMili[[#This Row],[Sec. rec. Cost]]</f>
        <v>0</v>
      </c>
      <c r="AW23" s="97">
        <f ca="1">Military!$CH$24*TblMili[[#This Row],[Sec. rec. Cost]]+TblImps[[#This Row],[O1]]-TblProd[[#This Row],[Bank Ore]]</f>
        <v>0</v>
      </c>
      <c r="AX23" s="97">
        <f>TblImps[[#This Row],[G1]]-TblProd[[#This Row],[Bank Gems]]</f>
        <v>0</v>
      </c>
      <c r="AY23" s="150"/>
      <c r="AZ23" s="62" t="b">
        <f ca="1">IF(TblProd[[#This Row],[Set Guard]]&lt;&gt;"",TblProd[[#This Row],[Set Guard]],OFFSET(TblProd[[#This Row],[Guard]],-1,0))</f>
        <v>0</v>
      </c>
      <c r="BA23" s="161"/>
      <c r="BB23" s="45">
        <f>TblProd[[#This Row],[Hour]]</f>
        <v>20</v>
      </c>
      <c r="BC23" s="166">
        <f>-TblProd[[#This Row],[Bank Lumber]] / 2 + -TblProd[[#This Row],[Bank Gems]] * 2</f>
        <v>0</v>
      </c>
      <c r="BD23" s="166"/>
      <c r="BE23" s="166"/>
      <c r="BF23" s="166"/>
      <c r="BG23" s="167">
        <f ca="1">TblProd[[#This Row],[Time]]</f>
        <v>44811.541666666621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202851</v>
      </c>
      <c r="BJ23" s="97">
        <f ca="1">TblProd[[#This Row],[Food]]</f>
        <v>48556</v>
      </c>
      <c r="BK23" s="97">
        <f ca="1">TblProd[[#This Row],[Lumber]]</f>
        <v>29775</v>
      </c>
      <c r="BL23" s="97">
        <f ca="1">TblProd[[#This Row],[Mana]]</f>
        <v>0</v>
      </c>
      <c r="BM23" s="97">
        <f ca="1">TblProd[[#This Row],[Ore]]</f>
        <v>0</v>
      </c>
    </row>
    <row r="24" spans="1:65" x14ac:dyDescent="0.2">
      <c r="A24" s="145">
        <v>21</v>
      </c>
      <c r="B24" s="160">
        <f ca="1">TblImps[[#This Row],[Time]]</f>
        <v>44811.583333333285</v>
      </c>
      <c r="C24" s="161"/>
      <c r="D24" s="162"/>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208521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10000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50"/>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63">
        <f ca="1">OFFSET(TblConstr[[#This Row],[Tot Doc]],1,0)*dock_boats_hr * (1 + tech_4_1*TblTech[[#This Row],[4-1]])</f>
        <v>0</v>
      </c>
      <c r="Z24" s="162"/>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2]]/2,0),)</f>
        <v>0</v>
      </c>
      <c r="AF24" s="97">
        <f ca="1">OFFSET(TblConstr[[#This Row],[Tot DM]],1,0)*dm_gems</f>
        <v>0</v>
      </c>
      <c r="AG24" s="150"/>
      <c r="AH24" s="164">
        <f ca="1">MIN(race_platinum_bonus + IF(Magic!AD24&gt;0,midas_bonus) + TblImps[[#This Row],[Science]] - TblProd[[#This Row],[Guard]]*(0.02 + tech_5_7*TblTech[[#This Row],[5-7]]) + tech_1_5*TblTech[[#This Row],[1-5]] + tech_4_4*TblTech[[#This Row],[4-4]], 0.5)</f>
        <v>0</v>
      </c>
      <c r="AI2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64">
        <f ca="1">race_lumber_bonus+ IF(TblMagic[[#This Row],[Active Gaia''s Blessing]]&gt;0,gaias_blessing_lumber)+ tech_1_3*TblTech[[#This Row],[1-3]] + tech_1_6*TblTech[[#This Row],[1-6]] + tech_3_3*TblTech[[#This Row],[3-3]]</f>
        <v>0</v>
      </c>
      <c r="AK24" s="164">
        <f ca="1">race_mana_bonus+ 0 + TblImps[[#This Row],[Towers]] + tech_1_2*TblTech[[#This Row],[1-2]] + tech_3_4*TblTech[[#This Row],[3-4]]</f>
        <v>0</v>
      </c>
      <c r="AL24" s="164">
        <f ca="1">race_ore_bonus + IF(TblMagic[[#This Row],[Active Miner''s Sight]]&gt;0,miners_sight_bonus,IF(TblMagic[[#This Row],[Active Mining Strength]]&gt;0,mining_strength_bonus)) +  tech_1_6*TblTech[[#This Row],[1-6]]</f>
        <v>0</v>
      </c>
      <c r="AM24" s="164">
        <f>race_gem_bonus+ tech_3_2*TblTech[[#This Row],[3-2]] + tech_4_3*TblTech[[#This Row],[4-3]] + tech_6_2*TblTech[[#This Row],[6-2]]</f>
        <v>0</v>
      </c>
      <c r="AN24" s="150"/>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62"/>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Military!$CH$25*TblMili[[#This Row],[Sec. rec. Cost]]</f>
        <v>0</v>
      </c>
      <c r="AV24" s="97">
        <f ca="1">TblMagic[[#This Row],[Mana cost]] + Military!$CH$26*TblMili[[#This Row],[Sec. rec. Cost]]</f>
        <v>0</v>
      </c>
      <c r="AW24" s="97">
        <f ca="1">Military!$CH$24*TblMili[[#This Row],[Sec. rec. Cost]]+TblImps[[#This Row],[O1]]-TblProd[[#This Row],[Bank Ore]]</f>
        <v>0</v>
      </c>
      <c r="AX24" s="97">
        <f>TblImps[[#This Row],[G1]]-TblProd[[#This Row],[Bank Gems]]</f>
        <v>0</v>
      </c>
      <c r="AY24" s="150"/>
      <c r="AZ24" s="62" t="b">
        <f ca="1">IF(TblProd[[#This Row],[Set Guard]]&lt;&gt;"",TblProd[[#This Row],[Set Guard]],OFFSET(TblProd[[#This Row],[Guard]],-1,0))</f>
        <v>0</v>
      </c>
      <c r="BA24" s="161"/>
      <c r="BB24" s="45">
        <f>TblProd[[#This Row],[Hour]]</f>
        <v>21</v>
      </c>
      <c r="BC24" s="166">
        <f>-TblProd[[#This Row],[Bank Lumber]] / 2 + -TblProd[[#This Row],[Bank Gems]] * 2</f>
        <v>0</v>
      </c>
      <c r="BD24" s="166"/>
      <c r="BE24" s="166"/>
      <c r="BF24" s="166"/>
      <c r="BG24" s="167">
        <f ca="1">TblProd[[#This Row],[Time]]</f>
        <v>44811.583333333285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208521</v>
      </c>
      <c r="BJ24" s="97">
        <f ca="1">TblProd[[#This Row],[Food]]</f>
        <v>50061</v>
      </c>
      <c r="BK24" s="97">
        <f ca="1">TblProd[[#This Row],[Lumber]]</f>
        <v>30477</v>
      </c>
      <c r="BL24" s="97">
        <f ca="1">TblProd[[#This Row],[Mana]]</f>
        <v>0</v>
      </c>
      <c r="BM24" s="97">
        <f ca="1">TblProd[[#This Row],[Ore]]</f>
        <v>0</v>
      </c>
    </row>
    <row r="25" spans="1:65" x14ac:dyDescent="0.2">
      <c r="A25" s="145">
        <v>22</v>
      </c>
      <c r="B25" s="160">
        <f ca="1">TblImps[[#This Row],[Time]]</f>
        <v>44811.624999999949</v>
      </c>
      <c r="C25" s="161"/>
      <c r="D25" s="162"/>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214191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10000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50"/>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63">
        <f ca="1">OFFSET(TblConstr[[#This Row],[Tot Doc]],1,0)*dock_boats_hr * (1 + tech_4_1*TblTech[[#This Row],[4-1]])</f>
        <v>0</v>
      </c>
      <c r="Z25" s="162"/>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2]]/2,0),)</f>
        <v>0</v>
      </c>
      <c r="AF25" s="97">
        <f ca="1">OFFSET(TblConstr[[#This Row],[Tot DM]],1,0)*dm_gems</f>
        <v>0</v>
      </c>
      <c r="AG25" s="150"/>
      <c r="AH25" s="164">
        <f ca="1">MIN(race_platinum_bonus + IF(Magic!AD25&gt;0,midas_bonus) + TblImps[[#This Row],[Science]] - TblProd[[#This Row],[Guard]]*(0.02 + tech_5_7*TblTech[[#This Row],[5-7]]) + tech_1_5*TblTech[[#This Row],[1-5]] + tech_4_4*TblTech[[#This Row],[4-4]], 0.5)</f>
        <v>0</v>
      </c>
      <c r="AI2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64">
        <f ca="1">race_lumber_bonus+ IF(TblMagic[[#This Row],[Active Gaia''s Blessing]]&gt;0,gaias_blessing_lumber)+ tech_1_3*TblTech[[#This Row],[1-3]] + tech_1_6*TblTech[[#This Row],[1-6]] + tech_3_3*TblTech[[#This Row],[3-3]]</f>
        <v>0</v>
      </c>
      <c r="AK25" s="164">
        <f ca="1">race_mana_bonus+ 0 + TblImps[[#This Row],[Towers]] + tech_1_2*TblTech[[#This Row],[1-2]] + tech_3_4*TblTech[[#This Row],[3-4]]</f>
        <v>0</v>
      </c>
      <c r="AL25" s="164">
        <f ca="1">race_ore_bonus + IF(TblMagic[[#This Row],[Active Miner''s Sight]]&gt;0,miners_sight_bonus,IF(TblMagic[[#This Row],[Active Mining Strength]]&gt;0,mining_strength_bonus)) +  tech_1_6*TblTech[[#This Row],[1-6]]</f>
        <v>0</v>
      </c>
      <c r="AM25" s="164">
        <f>race_gem_bonus+ tech_3_2*TblTech[[#This Row],[3-2]] + tech_4_3*TblTech[[#This Row],[4-3]] + tech_6_2*TblTech[[#This Row],[6-2]]</f>
        <v>0</v>
      </c>
      <c r="AN25" s="150"/>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62"/>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Military!$CH$25*TblMili[[#This Row],[Sec. rec. Cost]]</f>
        <v>0</v>
      </c>
      <c r="AV25" s="97">
        <f ca="1">TblMagic[[#This Row],[Mana cost]] + Military!$CH$26*TblMili[[#This Row],[Sec. rec. Cost]]</f>
        <v>0</v>
      </c>
      <c r="AW25" s="97">
        <f ca="1">Military!$CH$24*TblMili[[#This Row],[Sec. rec. Cost]]+TblImps[[#This Row],[O1]]-TblProd[[#This Row],[Bank Ore]]</f>
        <v>0</v>
      </c>
      <c r="AX25" s="97">
        <f>TblImps[[#This Row],[G1]]-TblProd[[#This Row],[Bank Gems]]</f>
        <v>0</v>
      </c>
      <c r="AY25" s="150"/>
      <c r="AZ25" s="62" t="b">
        <f ca="1">IF(TblProd[[#This Row],[Set Guard]]&lt;&gt;"",TblProd[[#This Row],[Set Guard]],OFFSET(TblProd[[#This Row],[Guard]],-1,0))</f>
        <v>0</v>
      </c>
      <c r="BA25" s="161"/>
      <c r="BB25" s="45">
        <f>TblProd[[#This Row],[Hour]]</f>
        <v>22</v>
      </c>
      <c r="BC25" s="166">
        <f>-TblProd[[#This Row],[Bank Lumber]] / 2 + -TblProd[[#This Row],[Bank Gems]] * 2</f>
        <v>0</v>
      </c>
      <c r="BD25" s="166"/>
      <c r="BE25" s="166"/>
      <c r="BF25" s="166"/>
      <c r="BG25" s="167">
        <f ca="1">TblProd[[#This Row],[Time]]</f>
        <v>44811.624999999949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214191</v>
      </c>
      <c r="BJ25" s="97">
        <f ca="1">TblProd[[#This Row],[Food]]</f>
        <v>51551</v>
      </c>
      <c r="BK25" s="97">
        <f ca="1">TblProd[[#This Row],[Lumber]]</f>
        <v>31172</v>
      </c>
      <c r="BL25" s="97">
        <f ca="1">TblProd[[#This Row],[Mana]]</f>
        <v>0</v>
      </c>
      <c r="BM25" s="97">
        <f ca="1">TblProd[[#This Row],[Ore]]</f>
        <v>0</v>
      </c>
    </row>
    <row r="26" spans="1:65" x14ac:dyDescent="0.2">
      <c r="A26" s="145">
        <v>23</v>
      </c>
      <c r="B26" s="160">
        <f ca="1">TblImps[[#This Row],[Time]]</f>
        <v>44811.666666666613</v>
      </c>
      <c r="C26" s="161"/>
      <c r="D26" s="162"/>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219861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10000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50"/>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63">
        <f ca="1">OFFSET(TblConstr[[#This Row],[Tot Doc]],1,0)*dock_boats_hr * (1 + tech_4_1*TblTech[[#This Row],[4-1]])</f>
        <v>0</v>
      </c>
      <c r="Z26" s="162"/>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2]]/2,0),)</f>
        <v>0</v>
      </c>
      <c r="AF26" s="97">
        <f ca="1">OFFSET(TblConstr[[#This Row],[Tot DM]],1,0)*dm_gems</f>
        <v>0</v>
      </c>
      <c r="AG26" s="150"/>
      <c r="AH26" s="164">
        <f ca="1">MIN(race_platinum_bonus + IF(Magic!AD26&gt;0,midas_bonus) + TblImps[[#This Row],[Science]] - TblProd[[#This Row],[Guard]]*(0.02 + tech_5_7*TblTech[[#This Row],[5-7]]) + tech_1_5*TblTech[[#This Row],[1-5]] + tech_4_4*TblTech[[#This Row],[4-4]], 0.5)</f>
        <v>0</v>
      </c>
      <c r="AI2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64">
        <f ca="1">race_lumber_bonus+ IF(TblMagic[[#This Row],[Active Gaia''s Blessing]]&gt;0,gaias_blessing_lumber)+ tech_1_3*TblTech[[#This Row],[1-3]] + tech_1_6*TblTech[[#This Row],[1-6]] + tech_3_3*TblTech[[#This Row],[3-3]]</f>
        <v>0</v>
      </c>
      <c r="AK26" s="164">
        <f ca="1">race_mana_bonus+ 0 + TblImps[[#This Row],[Towers]] + tech_1_2*TblTech[[#This Row],[1-2]] + tech_3_4*TblTech[[#This Row],[3-4]]</f>
        <v>0</v>
      </c>
      <c r="AL26" s="164">
        <f ca="1">race_ore_bonus + IF(TblMagic[[#This Row],[Active Miner''s Sight]]&gt;0,miners_sight_bonus,IF(TblMagic[[#This Row],[Active Mining Strength]]&gt;0,mining_strength_bonus)) +  tech_1_6*TblTech[[#This Row],[1-6]]</f>
        <v>0</v>
      </c>
      <c r="AM26" s="164">
        <f>race_gem_bonus+ tech_3_2*TblTech[[#This Row],[3-2]] + tech_4_3*TblTech[[#This Row],[4-3]] + tech_6_2*TblTech[[#This Row],[6-2]]</f>
        <v>0</v>
      </c>
      <c r="AN26" s="150"/>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62"/>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Military!$CH$25*TblMili[[#This Row],[Sec. rec. Cost]]</f>
        <v>0</v>
      </c>
      <c r="AV26" s="97">
        <f ca="1">TblMagic[[#This Row],[Mana cost]] + Military!$CH$26*TblMili[[#This Row],[Sec. rec. Cost]]</f>
        <v>0</v>
      </c>
      <c r="AW26" s="97">
        <f ca="1">Military!$CH$24*TblMili[[#This Row],[Sec. rec. Cost]]+TblImps[[#This Row],[O1]]-TblProd[[#This Row],[Bank Ore]]</f>
        <v>0</v>
      </c>
      <c r="AX26" s="97">
        <f>TblImps[[#This Row],[G1]]-TblProd[[#This Row],[Bank Gems]]</f>
        <v>0</v>
      </c>
      <c r="AY26" s="150"/>
      <c r="AZ26" s="62" t="b">
        <f ca="1">IF(TblProd[[#This Row],[Set Guard]]&lt;&gt;"",TblProd[[#This Row],[Set Guard]],OFFSET(TblProd[[#This Row],[Guard]],-1,0))</f>
        <v>0</v>
      </c>
      <c r="BA26" s="161"/>
      <c r="BB26" s="45">
        <f>TblProd[[#This Row],[Hour]]</f>
        <v>23</v>
      </c>
      <c r="BC26" s="166">
        <f>-TblProd[[#This Row],[Bank Lumber]] / 2 + -TblProd[[#This Row],[Bank Gems]] * 2</f>
        <v>0</v>
      </c>
      <c r="BD26" s="166"/>
      <c r="BE26" s="166"/>
      <c r="BF26" s="166"/>
      <c r="BG26" s="167">
        <f ca="1">TblProd[[#This Row],[Time]]</f>
        <v>44811.666666666613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219861</v>
      </c>
      <c r="BJ26" s="97">
        <f ca="1">TblProd[[#This Row],[Food]]</f>
        <v>53026</v>
      </c>
      <c r="BK26" s="97">
        <f ca="1">TblProd[[#This Row],[Lumber]]</f>
        <v>31860</v>
      </c>
      <c r="BL26" s="97">
        <f ca="1">TblProd[[#This Row],[Mana]]</f>
        <v>0</v>
      </c>
      <c r="BM26" s="97">
        <f ca="1">TblProd[[#This Row],[Ore]]</f>
        <v>0</v>
      </c>
    </row>
    <row r="27" spans="1:65" x14ac:dyDescent="0.2">
      <c r="A27" s="145">
        <v>24</v>
      </c>
      <c r="B27" s="160">
        <f ca="1">TblImps[[#This Row],[Time]]</f>
        <v>44811.708333333278</v>
      </c>
      <c r="C27" s="161"/>
      <c r="D27" s="162"/>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225531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10000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50"/>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63">
        <f ca="1">OFFSET(TblConstr[[#This Row],[Tot Doc]],1,0)*dock_boats_hr * (1 + tech_4_1*TblTech[[#This Row],[4-1]])</f>
        <v>0</v>
      </c>
      <c r="Z27" s="162"/>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2]]/2,0),)</f>
        <v>0</v>
      </c>
      <c r="AF27" s="97">
        <f ca="1">OFFSET(TblConstr[[#This Row],[Tot DM]],1,0)*dm_gems</f>
        <v>0</v>
      </c>
      <c r="AG27" s="150"/>
      <c r="AH27" s="164">
        <f ca="1">MIN(race_platinum_bonus + IF(Magic!AD27&gt;0,midas_bonus) + TblImps[[#This Row],[Science]] - TblProd[[#This Row],[Guard]]*(0.02 + tech_5_7*TblTech[[#This Row],[5-7]]) + tech_1_5*TblTech[[#This Row],[1-5]] + tech_4_4*TblTech[[#This Row],[4-4]], 0.5)</f>
        <v>0</v>
      </c>
      <c r="AI2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64">
        <f ca="1">race_lumber_bonus+ IF(TblMagic[[#This Row],[Active Gaia''s Blessing]]&gt;0,gaias_blessing_lumber)+ tech_1_3*TblTech[[#This Row],[1-3]] + tech_1_6*TblTech[[#This Row],[1-6]] + tech_3_3*TblTech[[#This Row],[3-3]]</f>
        <v>0</v>
      </c>
      <c r="AK27" s="164">
        <f ca="1">race_mana_bonus+ 0 + TblImps[[#This Row],[Towers]] + tech_1_2*TblTech[[#This Row],[1-2]] + tech_3_4*TblTech[[#This Row],[3-4]]</f>
        <v>0</v>
      </c>
      <c r="AL27" s="164">
        <f ca="1">race_ore_bonus + IF(TblMagic[[#This Row],[Active Miner''s Sight]]&gt;0,miners_sight_bonus,IF(TblMagic[[#This Row],[Active Mining Strength]]&gt;0,mining_strength_bonus)) +  tech_1_6*TblTech[[#This Row],[1-6]]</f>
        <v>0</v>
      </c>
      <c r="AM27" s="164">
        <f>race_gem_bonus+ tech_3_2*TblTech[[#This Row],[3-2]] + tech_4_3*TblTech[[#This Row],[4-3]] + tech_6_2*TblTech[[#This Row],[6-2]]</f>
        <v>0</v>
      </c>
      <c r="AN27" s="150"/>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62"/>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Military!$CH$25*TblMili[[#This Row],[Sec. rec. Cost]]</f>
        <v>0</v>
      </c>
      <c r="AV27" s="97">
        <f ca="1">TblMagic[[#This Row],[Mana cost]] + Military!$CH$26*TblMili[[#This Row],[Sec. rec. Cost]]</f>
        <v>0</v>
      </c>
      <c r="AW27" s="97">
        <f ca="1">Military!$CH$24*TblMili[[#This Row],[Sec. rec. Cost]]+TblImps[[#This Row],[O1]]-TblProd[[#This Row],[Bank Ore]]</f>
        <v>0</v>
      </c>
      <c r="AX27" s="97">
        <f>TblImps[[#This Row],[G1]]-TblProd[[#This Row],[Bank Gems]]</f>
        <v>0</v>
      </c>
      <c r="AY27" s="150"/>
      <c r="AZ27" s="62" t="b">
        <f ca="1">IF(TblProd[[#This Row],[Set Guard]]&lt;&gt;"",TblProd[[#This Row],[Set Guard]],OFFSET(TblProd[[#This Row],[Guard]],-1,0))</f>
        <v>0</v>
      </c>
      <c r="BA27" s="161"/>
      <c r="BB27" s="45">
        <f>TblProd[[#This Row],[Hour]]</f>
        <v>24</v>
      </c>
      <c r="BC27" s="166">
        <f>-TblProd[[#This Row],[Bank Lumber]] / 2 + -TblProd[[#This Row],[Bank Gems]] * 2</f>
        <v>0</v>
      </c>
      <c r="BD27" s="166"/>
      <c r="BE27" s="166"/>
      <c r="BF27" s="166"/>
      <c r="BG27" s="167">
        <f ca="1">TblProd[[#This Row],[Time]]</f>
        <v>44811.708333333278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225531</v>
      </c>
      <c r="BJ27" s="97">
        <f ca="1">TblProd[[#This Row],[Food]]</f>
        <v>54486</v>
      </c>
      <c r="BK27" s="97">
        <f ca="1">TblProd[[#This Row],[Lumber]]</f>
        <v>32541</v>
      </c>
      <c r="BL27" s="97">
        <f ca="1">TblProd[[#This Row],[Mana]]</f>
        <v>0</v>
      </c>
      <c r="BM27" s="97">
        <f ca="1">TblProd[[#This Row],[Ore]]</f>
        <v>0</v>
      </c>
    </row>
    <row r="28" spans="1:65" x14ac:dyDescent="0.2">
      <c r="A28" s="145">
        <v>25</v>
      </c>
      <c r="B28" s="160">
        <f ca="1">TblImps[[#This Row],[Time]]</f>
        <v>44811.749999999942</v>
      </c>
      <c r="C28" s="161"/>
      <c r="D28" s="162"/>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231201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10000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50"/>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63">
        <f ca="1">OFFSET(TblConstr[[#This Row],[Tot Doc]],1,0)*dock_boats_hr * (1 + tech_4_1*TblTech[[#This Row],[4-1]])</f>
        <v>0</v>
      </c>
      <c r="Z28" s="162"/>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2]]/2,0),)</f>
        <v>0</v>
      </c>
      <c r="AF28" s="97">
        <f ca="1">OFFSET(TblConstr[[#This Row],[Tot DM]],1,0)*dm_gems</f>
        <v>0</v>
      </c>
      <c r="AG28" s="150"/>
      <c r="AH28" s="164">
        <f ca="1">MIN(race_platinum_bonus + IF(Magic!AD28&gt;0,midas_bonus) + TblImps[[#This Row],[Science]] - TblProd[[#This Row],[Guard]]*(0.02 + tech_5_7*TblTech[[#This Row],[5-7]]) + tech_1_5*TblTech[[#This Row],[1-5]] + tech_4_4*TblTech[[#This Row],[4-4]], 0.5)</f>
        <v>0</v>
      </c>
      <c r="AI2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64">
        <f ca="1">race_lumber_bonus+ IF(TblMagic[[#This Row],[Active Gaia''s Blessing]]&gt;0,gaias_blessing_lumber)+ tech_1_3*TblTech[[#This Row],[1-3]] + tech_1_6*TblTech[[#This Row],[1-6]] + tech_3_3*TblTech[[#This Row],[3-3]]</f>
        <v>0</v>
      </c>
      <c r="AK28" s="164">
        <f ca="1">race_mana_bonus+ 0 + TblImps[[#This Row],[Towers]] + tech_1_2*TblTech[[#This Row],[1-2]] + tech_3_4*TblTech[[#This Row],[3-4]]</f>
        <v>0</v>
      </c>
      <c r="AL28" s="164">
        <f ca="1">race_ore_bonus + IF(TblMagic[[#This Row],[Active Miner''s Sight]]&gt;0,miners_sight_bonus,IF(TblMagic[[#This Row],[Active Mining Strength]]&gt;0,mining_strength_bonus)) +  tech_1_6*TblTech[[#This Row],[1-6]]</f>
        <v>0</v>
      </c>
      <c r="AM28" s="164">
        <f>race_gem_bonus+ tech_3_2*TblTech[[#This Row],[3-2]] + tech_4_3*TblTech[[#This Row],[4-3]] + tech_6_2*TblTech[[#This Row],[6-2]]</f>
        <v>0</v>
      </c>
      <c r="AN28" s="150"/>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62"/>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Military!$CH$25*TblMili[[#This Row],[Sec. rec. Cost]]</f>
        <v>0</v>
      </c>
      <c r="AV28" s="97">
        <f ca="1">TblMagic[[#This Row],[Mana cost]] + Military!$CH$26*TblMili[[#This Row],[Sec. rec. Cost]]</f>
        <v>0</v>
      </c>
      <c r="AW28" s="97">
        <f ca="1">Military!$CH$24*TblMili[[#This Row],[Sec. rec. Cost]]+TblImps[[#This Row],[O1]]-TblProd[[#This Row],[Bank Ore]]</f>
        <v>0</v>
      </c>
      <c r="AX28" s="97">
        <f>TblImps[[#This Row],[G1]]-TblProd[[#This Row],[Bank Gems]]</f>
        <v>0</v>
      </c>
      <c r="AY28" s="150"/>
      <c r="AZ28" s="62" t="b">
        <f ca="1">IF(TblProd[[#This Row],[Set Guard]]&lt;&gt;"",TblProd[[#This Row],[Set Guard]],OFFSET(TblProd[[#This Row],[Guard]],-1,0))</f>
        <v>0</v>
      </c>
      <c r="BA28" s="161"/>
      <c r="BB28" s="45">
        <f>TblProd[[#This Row],[Hour]]</f>
        <v>25</v>
      </c>
      <c r="BC28" s="166">
        <f>-TblProd[[#This Row],[Bank Lumber]] / 2 + -TblProd[[#This Row],[Bank Gems]] * 2</f>
        <v>0</v>
      </c>
      <c r="BD28" s="166"/>
      <c r="BE28" s="166"/>
      <c r="BF28" s="166"/>
      <c r="BG28" s="167">
        <f ca="1">TblProd[[#This Row],[Time]]</f>
        <v>44811.749999999942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231201</v>
      </c>
      <c r="BJ28" s="97">
        <f ca="1">TblProd[[#This Row],[Food]]</f>
        <v>55932</v>
      </c>
      <c r="BK28" s="97">
        <f ca="1">TblProd[[#This Row],[Lumber]]</f>
        <v>33216</v>
      </c>
      <c r="BL28" s="97">
        <f ca="1">TblProd[[#This Row],[Mana]]</f>
        <v>0</v>
      </c>
      <c r="BM28" s="97">
        <f ca="1">TblProd[[#This Row],[Ore]]</f>
        <v>0</v>
      </c>
    </row>
    <row r="29" spans="1:65" x14ac:dyDescent="0.2">
      <c r="A29" s="145">
        <v>26</v>
      </c>
      <c r="B29" s="160">
        <f ca="1">TblImps[[#This Row],[Time]]</f>
        <v>44811.791666666606</v>
      </c>
      <c r="C29" s="161"/>
      <c r="D29" s="162"/>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236871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10000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50"/>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63">
        <f ca="1">OFFSET(TblConstr[[#This Row],[Tot Doc]],1,0)*dock_boats_hr * (1 + tech_4_1*TblTech[[#This Row],[4-1]])</f>
        <v>0</v>
      </c>
      <c r="Z29" s="162"/>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2]]/2,0),)</f>
        <v>0</v>
      </c>
      <c r="AF29" s="97">
        <f ca="1">OFFSET(TblConstr[[#This Row],[Tot DM]],1,0)*dm_gems</f>
        <v>0</v>
      </c>
      <c r="AG29" s="150"/>
      <c r="AH29" s="164">
        <f ca="1">MIN(race_platinum_bonus + IF(Magic!AD29&gt;0,midas_bonus) + TblImps[[#This Row],[Science]] - TblProd[[#This Row],[Guard]]*(0.02 + tech_5_7*TblTech[[#This Row],[5-7]]) + tech_1_5*TblTech[[#This Row],[1-5]] + tech_4_4*TblTech[[#This Row],[4-4]], 0.5)</f>
        <v>0</v>
      </c>
      <c r="AI2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64">
        <f ca="1">race_lumber_bonus+ IF(TblMagic[[#This Row],[Active Gaia''s Blessing]]&gt;0,gaias_blessing_lumber)+ tech_1_3*TblTech[[#This Row],[1-3]] + tech_1_6*TblTech[[#This Row],[1-6]] + tech_3_3*TblTech[[#This Row],[3-3]]</f>
        <v>0</v>
      </c>
      <c r="AK29" s="164">
        <f ca="1">race_mana_bonus+ 0 + TblImps[[#This Row],[Towers]] + tech_1_2*TblTech[[#This Row],[1-2]] + tech_3_4*TblTech[[#This Row],[3-4]]</f>
        <v>0</v>
      </c>
      <c r="AL29" s="164">
        <f ca="1">race_ore_bonus + IF(TblMagic[[#This Row],[Active Miner''s Sight]]&gt;0,miners_sight_bonus,IF(TblMagic[[#This Row],[Active Mining Strength]]&gt;0,mining_strength_bonus)) +  tech_1_6*TblTech[[#This Row],[1-6]]</f>
        <v>0</v>
      </c>
      <c r="AM29" s="164">
        <f>race_gem_bonus+ tech_3_2*TblTech[[#This Row],[3-2]] + tech_4_3*TblTech[[#This Row],[4-3]] + tech_6_2*TblTech[[#This Row],[6-2]]</f>
        <v>0</v>
      </c>
      <c r="AN29" s="150"/>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62"/>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Military!$CH$25*TblMili[[#This Row],[Sec. rec. Cost]]</f>
        <v>0</v>
      </c>
      <c r="AV29" s="97">
        <f ca="1">TblMagic[[#This Row],[Mana cost]] + Military!$CH$26*TblMili[[#This Row],[Sec. rec. Cost]]</f>
        <v>0</v>
      </c>
      <c r="AW29" s="97">
        <f ca="1">Military!$CH$24*TblMili[[#This Row],[Sec. rec. Cost]]+TblImps[[#This Row],[O1]]-TblProd[[#This Row],[Bank Ore]]</f>
        <v>0</v>
      </c>
      <c r="AX29" s="97">
        <f>TblImps[[#This Row],[G1]]-TblProd[[#This Row],[Bank Gems]]</f>
        <v>0</v>
      </c>
      <c r="AY29" s="150"/>
      <c r="AZ29" s="62" t="b">
        <f ca="1">IF(TblProd[[#This Row],[Set Guard]]&lt;&gt;"",TblProd[[#This Row],[Set Guard]],OFFSET(TblProd[[#This Row],[Guard]],-1,0))</f>
        <v>0</v>
      </c>
      <c r="BA29" s="161"/>
      <c r="BB29" s="45">
        <f>TblProd[[#This Row],[Hour]]</f>
        <v>26</v>
      </c>
      <c r="BC29" s="166">
        <f>-TblProd[[#This Row],[Bank Lumber]] / 2 + -TblProd[[#This Row],[Bank Gems]] * 2</f>
        <v>0</v>
      </c>
      <c r="BD29" s="166"/>
      <c r="BE29" s="166"/>
      <c r="BF29" s="166"/>
      <c r="BG29" s="167">
        <f ca="1">TblProd[[#This Row],[Time]]</f>
        <v>44811.791666666606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236871</v>
      </c>
      <c r="BJ29" s="97">
        <f ca="1">TblProd[[#This Row],[Food]]</f>
        <v>57363</v>
      </c>
      <c r="BK29" s="97">
        <f ca="1">TblProd[[#This Row],[Lumber]]</f>
        <v>33884</v>
      </c>
      <c r="BL29" s="97">
        <f ca="1">TblProd[[#This Row],[Mana]]</f>
        <v>0</v>
      </c>
      <c r="BM29" s="97">
        <f ca="1">TblProd[[#This Row],[Ore]]</f>
        <v>0</v>
      </c>
    </row>
    <row r="30" spans="1:65" x14ac:dyDescent="0.2">
      <c r="A30" s="145">
        <v>27</v>
      </c>
      <c r="B30" s="160">
        <f ca="1">TblImps[[#This Row],[Time]]</f>
        <v>44811.83333333327</v>
      </c>
      <c r="C30" s="161"/>
      <c r="D30" s="162"/>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242541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10000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50"/>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63">
        <f ca="1">OFFSET(TblConstr[[#This Row],[Tot Doc]],1,0)*dock_boats_hr * (1 + tech_4_1*TblTech[[#This Row],[4-1]])</f>
        <v>0</v>
      </c>
      <c r="Z30" s="162"/>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2]]/2,0),)</f>
        <v>0</v>
      </c>
      <c r="AF30" s="97">
        <f ca="1">OFFSET(TblConstr[[#This Row],[Tot DM]],1,0)*dm_gems</f>
        <v>0</v>
      </c>
      <c r="AG30" s="150"/>
      <c r="AH30" s="164">
        <f ca="1">MIN(race_platinum_bonus + IF(Magic!AD30&gt;0,midas_bonus) + TblImps[[#This Row],[Science]] - TblProd[[#This Row],[Guard]]*(0.02 + tech_5_7*TblTech[[#This Row],[5-7]]) + tech_1_5*TblTech[[#This Row],[1-5]] + tech_4_4*TblTech[[#This Row],[4-4]], 0.5)</f>
        <v>0</v>
      </c>
      <c r="AI3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64">
        <f ca="1">race_lumber_bonus+ IF(TblMagic[[#This Row],[Active Gaia''s Blessing]]&gt;0,gaias_blessing_lumber)+ tech_1_3*TblTech[[#This Row],[1-3]] + tech_1_6*TblTech[[#This Row],[1-6]] + tech_3_3*TblTech[[#This Row],[3-3]]</f>
        <v>0</v>
      </c>
      <c r="AK30" s="164">
        <f ca="1">race_mana_bonus+ 0 + TblImps[[#This Row],[Towers]] + tech_1_2*TblTech[[#This Row],[1-2]] + tech_3_4*TblTech[[#This Row],[3-4]]</f>
        <v>0</v>
      </c>
      <c r="AL30" s="164">
        <f ca="1">race_ore_bonus + IF(TblMagic[[#This Row],[Active Miner''s Sight]]&gt;0,miners_sight_bonus,IF(TblMagic[[#This Row],[Active Mining Strength]]&gt;0,mining_strength_bonus)) +  tech_1_6*TblTech[[#This Row],[1-6]]</f>
        <v>0</v>
      </c>
      <c r="AM30" s="164">
        <f>race_gem_bonus+ tech_3_2*TblTech[[#This Row],[3-2]] + tech_4_3*TblTech[[#This Row],[4-3]] + tech_6_2*TblTech[[#This Row],[6-2]]</f>
        <v>0</v>
      </c>
      <c r="AN30" s="150"/>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62"/>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Military!$CH$25*TblMili[[#This Row],[Sec. rec. Cost]]</f>
        <v>0</v>
      </c>
      <c r="AV30" s="97">
        <f ca="1">TblMagic[[#This Row],[Mana cost]] + Military!$CH$26*TblMili[[#This Row],[Sec. rec. Cost]]</f>
        <v>0</v>
      </c>
      <c r="AW30" s="97">
        <f ca="1">Military!$CH$24*TblMili[[#This Row],[Sec. rec. Cost]]+TblImps[[#This Row],[O1]]-TblProd[[#This Row],[Bank Ore]]</f>
        <v>0</v>
      </c>
      <c r="AX30" s="97">
        <f>TblImps[[#This Row],[G1]]-TblProd[[#This Row],[Bank Gems]]</f>
        <v>0</v>
      </c>
      <c r="AY30" s="150"/>
      <c r="AZ30" s="62" t="b">
        <f ca="1">IF(TblProd[[#This Row],[Set Guard]]&lt;&gt;"",TblProd[[#This Row],[Set Guard]],OFFSET(TblProd[[#This Row],[Guard]],-1,0))</f>
        <v>0</v>
      </c>
      <c r="BA30" s="161"/>
      <c r="BB30" s="45">
        <f>TblProd[[#This Row],[Hour]]</f>
        <v>27</v>
      </c>
      <c r="BC30" s="166">
        <f>-TblProd[[#This Row],[Bank Lumber]] / 2 + -TblProd[[#This Row],[Bank Gems]] * 2</f>
        <v>0</v>
      </c>
      <c r="BD30" s="166"/>
      <c r="BE30" s="166"/>
      <c r="BF30" s="166"/>
      <c r="BG30" s="167">
        <f ca="1">TblProd[[#This Row],[Time]]</f>
        <v>44811.83333333327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242541</v>
      </c>
      <c r="BJ30" s="97">
        <f ca="1">TblProd[[#This Row],[Food]]</f>
        <v>58780</v>
      </c>
      <c r="BK30" s="97">
        <f ca="1">TblProd[[#This Row],[Lumber]]</f>
        <v>34545</v>
      </c>
      <c r="BL30" s="97">
        <f ca="1">TblProd[[#This Row],[Mana]]</f>
        <v>0</v>
      </c>
      <c r="BM30" s="97">
        <f ca="1">TblProd[[#This Row],[Ore]]</f>
        <v>0</v>
      </c>
    </row>
    <row r="31" spans="1:65" x14ac:dyDescent="0.2">
      <c r="A31" s="145">
        <v>28</v>
      </c>
      <c r="B31" s="160">
        <f ca="1">TblImps[[#This Row],[Time]]</f>
        <v>44811.874999999935</v>
      </c>
      <c r="C31" s="161"/>
      <c r="D31" s="162"/>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248211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10000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50"/>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63">
        <f ca="1">OFFSET(TblConstr[[#This Row],[Tot Doc]],1,0)*dock_boats_hr * (1 + tech_4_1*TblTech[[#This Row],[4-1]])</f>
        <v>0</v>
      </c>
      <c r="Z31" s="162"/>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2]]/2,0),)</f>
        <v>0</v>
      </c>
      <c r="AF31" s="97">
        <f ca="1">OFFSET(TblConstr[[#This Row],[Tot DM]],1,0)*dm_gems</f>
        <v>0</v>
      </c>
      <c r="AG31" s="150"/>
      <c r="AH31" s="164">
        <f ca="1">MIN(race_platinum_bonus + IF(Magic!AD31&gt;0,midas_bonus) + TblImps[[#This Row],[Science]] - TblProd[[#This Row],[Guard]]*(0.02 + tech_5_7*TblTech[[#This Row],[5-7]]) + tech_1_5*TblTech[[#This Row],[1-5]] + tech_4_4*TblTech[[#This Row],[4-4]], 0.5)</f>
        <v>0</v>
      </c>
      <c r="AI3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64">
        <f ca="1">race_lumber_bonus+ IF(TblMagic[[#This Row],[Active Gaia''s Blessing]]&gt;0,gaias_blessing_lumber)+ tech_1_3*TblTech[[#This Row],[1-3]] + tech_1_6*TblTech[[#This Row],[1-6]] + tech_3_3*TblTech[[#This Row],[3-3]]</f>
        <v>0</v>
      </c>
      <c r="AK31" s="164">
        <f ca="1">race_mana_bonus+ 0 + TblImps[[#This Row],[Towers]] + tech_1_2*TblTech[[#This Row],[1-2]] + tech_3_4*TblTech[[#This Row],[3-4]]</f>
        <v>0</v>
      </c>
      <c r="AL31" s="164">
        <f ca="1">race_ore_bonus + IF(TblMagic[[#This Row],[Active Miner''s Sight]]&gt;0,miners_sight_bonus,IF(TblMagic[[#This Row],[Active Mining Strength]]&gt;0,mining_strength_bonus)) +  tech_1_6*TblTech[[#This Row],[1-6]]</f>
        <v>0</v>
      </c>
      <c r="AM31" s="164">
        <f>race_gem_bonus+ tech_3_2*TblTech[[#This Row],[3-2]] + tech_4_3*TblTech[[#This Row],[4-3]] + tech_6_2*TblTech[[#This Row],[6-2]]</f>
        <v>0</v>
      </c>
      <c r="AN31" s="150"/>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62"/>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Military!$CH$25*TblMili[[#This Row],[Sec. rec. Cost]]</f>
        <v>0</v>
      </c>
      <c r="AV31" s="97">
        <f ca="1">TblMagic[[#This Row],[Mana cost]] + Military!$CH$26*TblMili[[#This Row],[Sec. rec. Cost]]</f>
        <v>0</v>
      </c>
      <c r="AW31" s="97">
        <f ca="1">Military!$CH$24*TblMili[[#This Row],[Sec. rec. Cost]]+TblImps[[#This Row],[O1]]-TblProd[[#This Row],[Bank Ore]]</f>
        <v>0</v>
      </c>
      <c r="AX31" s="97">
        <f>TblImps[[#This Row],[G1]]-TblProd[[#This Row],[Bank Gems]]</f>
        <v>0</v>
      </c>
      <c r="AY31" s="150"/>
      <c r="AZ31" s="62" t="b">
        <f ca="1">IF(TblProd[[#This Row],[Set Guard]]&lt;&gt;"",TblProd[[#This Row],[Set Guard]],OFFSET(TblProd[[#This Row],[Guard]],-1,0))</f>
        <v>0</v>
      </c>
      <c r="BA31" s="161"/>
      <c r="BB31" s="45">
        <f>TblProd[[#This Row],[Hour]]</f>
        <v>28</v>
      </c>
      <c r="BC31" s="166">
        <f>-TblProd[[#This Row],[Bank Lumber]] / 2 + -TblProd[[#This Row],[Bank Gems]] * 2</f>
        <v>0</v>
      </c>
      <c r="BD31" s="166"/>
      <c r="BE31" s="166"/>
      <c r="BF31" s="166"/>
      <c r="BG31" s="167">
        <f ca="1">TblProd[[#This Row],[Time]]</f>
        <v>44811.874999999935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248211</v>
      </c>
      <c r="BJ31" s="97">
        <f ca="1">TblProd[[#This Row],[Food]]</f>
        <v>60183</v>
      </c>
      <c r="BK31" s="97">
        <f ca="1">TblProd[[#This Row],[Lumber]]</f>
        <v>35200</v>
      </c>
      <c r="BL31" s="97">
        <f ca="1">TblProd[[#This Row],[Mana]]</f>
        <v>0</v>
      </c>
      <c r="BM31" s="97">
        <f ca="1">TblProd[[#This Row],[Ore]]</f>
        <v>0</v>
      </c>
    </row>
    <row r="32" spans="1:65" x14ac:dyDescent="0.2">
      <c r="A32" s="145">
        <v>29</v>
      </c>
      <c r="B32" s="160">
        <f ca="1">TblImps[[#This Row],[Time]]</f>
        <v>44811.916666666599</v>
      </c>
      <c r="C32" s="161"/>
      <c r="D32" s="162"/>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253881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10000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50"/>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63">
        <f ca="1">OFFSET(TblConstr[[#This Row],[Tot Doc]],1,0)*dock_boats_hr * (1 + tech_4_1*TblTech[[#This Row],[4-1]])</f>
        <v>0</v>
      </c>
      <c r="Z32" s="162"/>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2]]/2,0),)</f>
        <v>0</v>
      </c>
      <c r="AF32" s="97">
        <f ca="1">OFFSET(TblConstr[[#This Row],[Tot DM]],1,0)*dm_gems</f>
        <v>0</v>
      </c>
      <c r="AG32" s="150"/>
      <c r="AH32" s="164">
        <f ca="1">MIN(race_platinum_bonus + IF(Magic!AD32&gt;0,midas_bonus) + TblImps[[#This Row],[Science]] - TblProd[[#This Row],[Guard]]*(0.02 + tech_5_7*TblTech[[#This Row],[5-7]]) + tech_1_5*TblTech[[#This Row],[1-5]] + tech_4_4*TblTech[[#This Row],[4-4]], 0.5)</f>
        <v>0</v>
      </c>
      <c r="AI3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64">
        <f ca="1">race_lumber_bonus+ IF(TblMagic[[#This Row],[Active Gaia''s Blessing]]&gt;0,gaias_blessing_lumber)+ tech_1_3*TblTech[[#This Row],[1-3]] + tech_1_6*TblTech[[#This Row],[1-6]] + tech_3_3*TblTech[[#This Row],[3-3]]</f>
        <v>0</v>
      </c>
      <c r="AK32" s="164">
        <f ca="1">race_mana_bonus+ 0 + TblImps[[#This Row],[Towers]] + tech_1_2*TblTech[[#This Row],[1-2]] + tech_3_4*TblTech[[#This Row],[3-4]]</f>
        <v>0</v>
      </c>
      <c r="AL32" s="164">
        <f ca="1">race_ore_bonus + IF(TblMagic[[#This Row],[Active Miner''s Sight]]&gt;0,miners_sight_bonus,IF(TblMagic[[#This Row],[Active Mining Strength]]&gt;0,mining_strength_bonus)) +  tech_1_6*TblTech[[#This Row],[1-6]]</f>
        <v>0</v>
      </c>
      <c r="AM32" s="164">
        <f>race_gem_bonus+ tech_3_2*TblTech[[#This Row],[3-2]] + tech_4_3*TblTech[[#This Row],[4-3]] + tech_6_2*TblTech[[#This Row],[6-2]]</f>
        <v>0</v>
      </c>
      <c r="AN32" s="150"/>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62"/>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Military!$CH$25*TblMili[[#This Row],[Sec. rec. Cost]]</f>
        <v>0</v>
      </c>
      <c r="AV32" s="97">
        <f ca="1">TblMagic[[#This Row],[Mana cost]] + Military!$CH$26*TblMili[[#This Row],[Sec. rec. Cost]]</f>
        <v>0</v>
      </c>
      <c r="AW32" s="97">
        <f ca="1">Military!$CH$24*TblMili[[#This Row],[Sec. rec. Cost]]+TblImps[[#This Row],[O1]]-TblProd[[#This Row],[Bank Ore]]</f>
        <v>0</v>
      </c>
      <c r="AX32" s="97">
        <f>TblImps[[#This Row],[G1]]-TblProd[[#This Row],[Bank Gems]]</f>
        <v>0</v>
      </c>
      <c r="AY32" s="150"/>
      <c r="AZ32" s="62" t="b">
        <f ca="1">IF(TblProd[[#This Row],[Set Guard]]&lt;&gt;"",TblProd[[#This Row],[Set Guard]],OFFSET(TblProd[[#This Row],[Guard]],-1,0))</f>
        <v>0</v>
      </c>
      <c r="BA32" s="161"/>
      <c r="BB32" s="45">
        <f>TblProd[[#This Row],[Hour]]</f>
        <v>29</v>
      </c>
      <c r="BC32" s="166">
        <f>-TblProd[[#This Row],[Bank Lumber]] / 2 + -TblProd[[#This Row],[Bank Gems]] * 2</f>
        <v>0</v>
      </c>
      <c r="BD32" s="166"/>
      <c r="BE32" s="166"/>
      <c r="BF32" s="166"/>
      <c r="BG32" s="167">
        <f ca="1">TblProd[[#This Row],[Time]]</f>
        <v>44811.916666666599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253881</v>
      </c>
      <c r="BJ32" s="97">
        <f ca="1">TblProd[[#This Row],[Food]]</f>
        <v>61572</v>
      </c>
      <c r="BK32" s="97">
        <f ca="1">TblProd[[#This Row],[Lumber]]</f>
        <v>35848</v>
      </c>
      <c r="BL32" s="97">
        <f ca="1">TblProd[[#This Row],[Mana]]</f>
        <v>0</v>
      </c>
      <c r="BM32" s="97">
        <f ca="1">TblProd[[#This Row],[Ore]]</f>
        <v>0</v>
      </c>
    </row>
    <row r="33" spans="1:65" x14ac:dyDescent="0.2">
      <c r="A33" s="145">
        <v>30</v>
      </c>
      <c r="B33" s="160">
        <f ca="1">TblImps[[#This Row],[Time]]</f>
        <v>44811.958333333263</v>
      </c>
      <c r="C33" s="161"/>
      <c r="D33" s="162"/>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259551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10000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50"/>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63">
        <f ca="1">OFFSET(TblConstr[[#This Row],[Tot Doc]],1,0)*dock_boats_hr * (1 + tech_4_1*TblTech[[#This Row],[4-1]])</f>
        <v>0</v>
      </c>
      <c r="Z33" s="162"/>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2]]/2,0),)</f>
        <v>0</v>
      </c>
      <c r="AF33" s="97">
        <f ca="1">OFFSET(TblConstr[[#This Row],[Tot DM]],1,0)*dm_gems</f>
        <v>0</v>
      </c>
      <c r="AG33" s="150"/>
      <c r="AH33" s="164">
        <f ca="1">MIN(race_platinum_bonus + IF(Magic!AD33&gt;0,midas_bonus) + TblImps[[#This Row],[Science]] - TblProd[[#This Row],[Guard]]*(0.02 + tech_5_7*TblTech[[#This Row],[5-7]]) + tech_1_5*TblTech[[#This Row],[1-5]] + tech_4_4*TblTech[[#This Row],[4-4]], 0.5)</f>
        <v>0</v>
      </c>
      <c r="AI3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64">
        <f ca="1">race_lumber_bonus+ IF(TblMagic[[#This Row],[Active Gaia''s Blessing]]&gt;0,gaias_blessing_lumber)+ tech_1_3*TblTech[[#This Row],[1-3]] + tech_1_6*TblTech[[#This Row],[1-6]] + tech_3_3*TblTech[[#This Row],[3-3]]</f>
        <v>0</v>
      </c>
      <c r="AK33" s="164">
        <f ca="1">race_mana_bonus+ 0 + TblImps[[#This Row],[Towers]] + tech_1_2*TblTech[[#This Row],[1-2]] + tech_3_4*TblTech[[#This Row],[3-4]]</f>
        <v>0</v>
      </c>
      <c r="AL33" s="164">
        <f ca="1">race_ore_bonus + IF(TblMagic[[#This Row],[Active Miner''s Sight]]&gt;0,miners_sight_bonus,IF(TblMagic[[#This Row],[Active Mining Strength]]&gt;0,mining_strength_bonus)) +  tech_1_6*TblTech[[#This Row],[1-6]]</f>
        <v>0</v>
      </c>
      <c r="AM33" s="164">
        <f>race_gem_bonus+ tech_3_2*TblTech[[#This Row],[3-2]] + tech_4_3*TblTech[[#This Row],[4-3]] + tech_6_2*TblTech[[#This Row],[6-2]]</f>
        <v>0</v>
      </c>
      <c r="AN33" s="150"/>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62"/>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Military!$CH$25*TblMili[[#This Row],[Sec. rec. Cost]]</f>
        <v>0</v>
      </c>
      <c r="AV33" s="97">
        <f ca="1">TblMagic[[#This Row],[Mana cost]] + Military!$CH$26*TblMili[[#This Row],[Sec. rec. Cost]]</f>
        <v>0</v>
      </c>
      <c r="AW33" s="97">
        <f ca="1">Military!$CH$24*TblMili[[#This Row],[Sec. rec. Cost]]+TblImps[[#This Row],[O1]]-TblProd[[#This Row],[Bank Ore]]</f>
        <v>0</v>
      </c>
      <c r="AX33" s="97">
        <f>TblImps[[#This Row],[G1]]-TblProd[[#This Row],[Bank Gems]]</f>
        <v>0</v>
      </c>
      <c r="AY33" s="150"/>
      <c r="AZ33" s="62" t="b">
        <f ca="1">IF(TblProd[[#This Row],[Set Guard]]&lt;&gt;"",TblProd[[#This Row],[Set Guard]],OFFSET(TblProd[[#This Row],[Guard]],-1,0))</f>
        <v>0</v>
      </c>
      <c r="BA33" s="161"/>
      <c r="BB33" s="45">
        <f>TblProd[[#This Row],[Hour]]</f>
        <v>30</v>
      </c>
      <c r="BC33" s="166">
        <f>-TblProd[[#This Row],[Bank Lumber]] / 2 + -TblProd[[#This Row],[Bank Gems]] * 2</f>
        <v>0</v>
      </c>
      <c r="BD33" s="166"/>
      <c r="BE33" s="166"/>
      <c r="BF33" s="166"/>
      <c r="BG33" s="167">
        <f ca="1">TblProd[[#This Row],[Time]]</f>
        <v>44811.958333333263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259551</v>
      </c>
      <c r="BJ33" s="97">
        <f ca="1">TblProd[[#This Row],[Food]]</f>
        <v>62947</v>
      </c>
      <c r="BK33" s="97">
        <f ca="1">TblProd[[#This Row],[Lumber]]</f>
        <v>36490</v>
      </c>
      <c r="BL33" s="97">
        <f ca="1">TblProd[[#This Row],[Mana]]</f>
        <v>0</v>
      </c>
      <c r="BM33" s="97">
        <f ca="1">TblProd[[#This Row],[Ore]]</f>
        <v>0</v>
      </c>
    </row>
    <row r="34" spans="1:65" x14ac:dyDescent="0.2">
      <c r="A34" s="145">
        <v>31</v>
      </c>
      <c r="B34" s="160">
        <f ca="1">TblImps[[#This Row],[Time]]</f>
        <v>44811.999999999927</v>
      </c>
      <c r="C34" s="161"/>
      <c r="D34" s="162"/>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265207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10000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50"/>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63">
        <f ca="1">OFFSET(TblConstr[[#This Row],[Tot Doc]],1,0)*dock_boats_hr * (1 + tech_4_1*TblTech[[#This Row],[4-1]])</f>
        <v>0</v>
      </c>
      <c r="Z34" s="162"/>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2]]/2,0),)</f>
        <v>0</v>
      </c>
      <c r="AF34" s="97">
        <f ca="1">OFFSET(TblConstr[[#This Row],[Tot DM]],1,0)*dm_gems</f>
        <v>0</v>
      </c>
      <c r="AG34" s="150"/>
      <c r="AH34" s="164">
        <f ca="1">MIN(race_platinum_bonus + IF(Magic!AD34&gt;0,midas_bonus) + TblImps[[#This Row],[Science]] - TblProd[[#This Row],[Guard]]*(0.02 + tech_5_7*TblTech[[#This Row],[5-7]]) + tech_1_5*TblTech[[#This Row],[1-5]] + tech_4_4*TblTech[[#This Row],[4-4]], 0.5)</f>
        <v>0</v>
      </c>
      <c r="AI3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64">
        <f ca="1">race_lumber_bonus+ IF(TblMagic[[#This Row],[Active Gaia''s Blessing]]&gt;0,gaias_blessing_lumber)+ tech_1_3*TblTech[[#This Row],[1-3]] + tech_1_6*TblTech[[#This Row],[1-6]] + tech_3_3*TblTech[[#This Row],[3-3]]</f>
        <v>0</v>
      </c>
      <c r="AK34" s="164">
        <f ca="1">race_mana_bonus+ 0 + TblImps[[#This Row],[Towers]] + tech_1_2*TblTech[[#This Row],[1-2]] + tech_3_4*TblTech[[#This Row],[3-4]]</f>
        <v>0</v>
      </c>
      <c r="AL34" s="164">
        <f ca="1">race_ore_bonus + IF(TblMagic[[#This Row],[Active Miner''s Sight]]&gt;0,miners_sight_bonus,IF(TblMagic[[#This Row],[Active Mining Strength]]&gt;0,mining_strength_bonus)) +  tech_1_6*TblTech[[#This Row],[1-6]]</f>
        <v>0</v>
      </c>
      <c r="AM34" s="164">
        <f>race_gem_bonus+ tech_3_2*TblTech[[#This Row],[3-2]] + tech_4_3*TblTech[[#This Row],[4-3]] + tech_6_2*TblTech[[#This Row],[6-2]]</f>
        <v>0</v>
      </c>
      <c r="AN34" s="150"/>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62"/>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Military!$CH$25*TblMili[[#This Row],[Sec. rec. Cost]]</f>
        <v>0</v>
      </c>
      <c r="AV34" s="97">
        <f ca="1">TblMagic[[#This Row],[Mana cost]] + Military!$CH$26*TblMili[[#This Row],[Sec. rec. Cost]]</f>
        <v>0</v>
      </c>
      <c r="AW34" s="97">
        <f ca="1">Military!$CH$24*TblMili[[#This Row],[Sec. rec. Cost]]+TblImps[[#This Row],[O1]]-TblProd[[#This Row],[Bank Ore]]</f>
        <v>0</v>
      </c>
      <c r="AX34" s="97">
        <f>TblImps[[#This Row],[G1]]-TblProd[[#This Row],[Bank Gems]]</f>
        <v>0</v>
      </c>
      <c r="AY34" s="150"/>
      <c r="AZ34" s="62" t="b">
        <f ca="1">IF(TblProd[[#This Row],[Set Guard]]&lt;&gt;"",TblProd[[#This Row],[Set Guard]],OFFSET(TblProd[[#This Row],[Guard]],-1,0))</f>
        <v>0</v>
      </c>
      <c r="BA34" s="161"/>
      <c r="BB34" s="45">
        <f>TblProd[[#This Row],[Hour]]</f>
        <v>31</v>
      </c>
      <c r="BC34" s="166">
        <f>-TblProd[[#This Row],[Bank Lumber]] / 2 + -TblProd[[#This Row],[Bank Gems]] * 2</f>
        <v>0</v>
      </c>
      <c r="BD34" s="166"/>
      <c r="BE34" s="166"/>
      <c r="BF34" s="166"/>
      <c r="BG34" s="167">
        <f ca="1">TblProd[[#This Row],[Time]]</f>
        <v>44811.999999999927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265207</v>
      </c>
      <c r="BJ34" s="97">
        <f ca="1">TblProd[[#This Row],[Food]]</f>
        <v>64308</v>
      </c>
      <c r="BK34" s="97">
        <f ca="1">TblProd[[#This Row],[Lumber]]</f>
        <v>37125</v>
      </c>
      <c r="BL34" s="97">
        <f ca="1">TblProd[[#This Row],[Mana]]</f>
        <v>0</v>
      </c>
      <c r="BM34" s="97">
        <f ca="1">TblProd[[#This Row],[Ore]]</f>
        <v>0</v>
      </c>
    </row>
    <row r="35" spans="1:65" x14ac:dyDescent="0.2">
      <c r="A35" s="145">
        <v>32</v>
      </c>
      <c r="B35" s="160">
        <f ca="1">TblImps[[#This Row],[Time]]</f>
        <v>44812.041666666591</v>
      </c>
      <c r="C35" s="161"/>
      <c r="D35" s="162"/>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270820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10000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50"/>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63">
        <f ca="1">OFFSET(TblConstr[[#This Row],[Tot Doc]],1,0)*dock_boats_hr * (1 + tech_4_1*TblTech[[#This Row],[4-1]])</f>
        <v>0</v>
      </c>
      <c r="Z35" s="162"/>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2]]/2,0),)</f>
        <v>0</v>
      </c>
      <c r="AF35" s="97">
        <f ca="1">OFFSET(TblConstr[[#This Row],[Tot DM]],1,0)*dm_gems</f>
        <v>0</v>
      </c>
      <c r="AG35" s="150"/>
      <c r="AH35" s="164">
        <f ca="1">MIN(race_platinum_bonus + IF(Magic!AD35&gt;0,midas_bonus) + TblImps[[#This Row],[Science]] - TblProd[[#This Row],[Guard]]*(0.02 + tech_5_7*TblTech[[#This Row],[5-7]]) + tech_1_5*TblTech[[#This Row],[1-5]] + tech_4_4*TblTech[[#This Row],[4-4]], 0.5)</f>
        <v>0</v>
      </c>
      <c r="AI3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64">
        <f ca="1">race_lumber_bonus+ IF(TblMagic[[#This Row],[Active Gaia''s Blessing]]&gt;0,gaias_blessing_lumber)+ tech_1_3*TblTech[[#This Row],[1-3]] + tech_1_6*TblTech[[#This Row],[1-6]] + tech_3_3*TblTech[[#This Row],[3-3]]</f>
        <v>0</v>
      </c>
      <c r="AK35" s="164">
        <f ca="1">race_mana_bonus+ 0 + TblImps[[#This Row],[Towers]] + tech_1_2*TblTech[[#This Row],[1-2]] + tech_3_4*TblTech[[#This Row],[3-4]]</f>
        <v>0</v>
      </c>
      <c r="AL35" s="164">
        <f ca="1">race_ore_bonus + IF(TblMagic[[#This Row],[Active Miner''s Sight]]&gt;0,miners_sight_bonus,IF(TblMagic[[#This Row],[Active Mining Strength]]&gt;0,mining_strength_bonus)) +  tech_1_6*TblTech[[#This Row],[1-6]]</f>
        <v>0</v>
      </c>
      <c r="AM35" s="164">
        <f>race_gem_bonus+ tech_3_2*TblTech[[#This Row],[3-2]] + tech_4_3*TblTech[[#This Row],[4-3]] + tech_6_2*TblTech[[#This Row],[6-2]]</f>
        <v>0</v>
      </c>
      <c r="AN35" s="150"/>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62"/>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Military!$CH$25*TblMili[[#This Row],[Sec. rec. Cost]]</f>
        <v>0</v>
      </c>
      <c r="AV35" s="97">
        <f ca="1">TblMagic[[#This Row],[Mana cost]] + Military!$CH$26*TblMili[[#This Row],[Sec. rec. Cost]]</f>
        <v>0</v>
      </c>
      <c r="AW35" s="97">
        <f ca="1">Military!$CH$24*TblMili[[#This Row],[Sec. rec. Cost]]+TblImps[[#This Row],[O1]]-TblProd[[#This Row],[Bank Ore]]</f>
        <v>0</v>
      </c>
      <c r="AX35" s="97">
        <f>TblImps[[#This Row],[G1]]-TblProd[[#This Row],[Bank Gems]]</f>
        <v>0</v>
      </c>
      <c r="AY35" s="150"/>
      <c r="AZ35" s="62" t="b">
        <f ca="1">IF(TblProd[[#This Row],[Set Guard]]&lt;&gt;"",TblProd[[#This Row],[Set Guard]],OFFSET(TblProd[[#This Row],[Guard]],-1,0))</f>
        <v>0</v>
      </c>
      <c r="BA35" s="161"/>
      <c r="BB35" s="45">
        <f>TblProd[[#This Row],[Hour]]</f>
        <v>32</v>
      </c>
      <c r="BC35" s="166">
        <f>-TblProd[[#This Row],[Bank Lumber]] / 2 + -TblProd[[#This Row],[Bank Gems]] * 2</f>
        <v>0</v>
      </c>
      <c r="BD35" s="166"/>
      <c r="BE35" s="166"/>
      <c r="BF35" s="166"/>
      <c r="BG35" s="167">
        <f ca="1">TblProd[[#This Row],[Time]]</f>
        <v>44812.041666666591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270820</v>
      </c>
      <c r="BJ35" s="97">
        <f ca="1">TblProd[[#This Row],[Food]]</f>
        <v>65655</v>
      </c>
      <c r="BK35" s="97">
        <f ca="1">TblProd[[#This Row],[Lumber]]</f>
        <v>37754</v>
      </c>
      <c r="BL35" s="97">
        <f ca="1">TblProd[[#This Row],[Mana]]</f>
        <v>0</v>
      </c>
      <c r="BM35" s="97">
        <f ca="1">TblProd[[#This Row],[Ore]]</f>
        <v>0</v>
      </c>
    </row>
    <row r="36" spans="1:65" x14ac:dyDescent="0.2">
      <c r="A36" s="145">
        <v>33</v>
      </c>
      <c r="B36" s="160">
        <f ca="1">TblImps[[#This Row],[Time]]</f>
        <v>44812.083333333256</v>
      </c>
      <c r="C36" s="161"/>
      <c r="D36" s="162"/>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276390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10000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50"/>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63">
        <f ca="1">OFFSET(TblConstr[[#This Row],[Tot Doc]],1,0)*dock_boats_hr * (1 + tech_4_1*TblTech[[#This Row],[4-1]])</f>
        <v>0</v>
      </c>
      <c r="Z36" s="162"/>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2]]/2,0),)</f>
        <v>0</v>
      </c>
      <c r="AF36" s="97">
        <f ca="1">OFFSET(TblConstr[[#This Row],[Tot DM]],1,0)*dm_gems</f>
        <v>0</v>
      </c>
      <c r="AG36" s="150"/>
      <c r="AH36" s="164">
        <f ca="1">MIN(race_platinum_bonus + IF(Magic!AD36&gt;0,midas_bonus) + TblImps[[#This Row],[Science]] - TblProd[[#This Row],[Guard]]*(0.02 + tech_5_7*TblTech[[#This Row],[5-7]]) + tech_1_5*TblTech[[#This Row],[1-5]] + tech_4_4*TblTech[[#This Row],[4-4]], 0.5)</f>
        <v>0</v>
      </c>
      <c r="AI3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64">
        <f ca="1">race_lumber_bonus+ IF(TblMagic[[#This Row],[Active Gaia''s Blessing]]&gt;0,gaias_blessing_lumber)+ tech_1_3*TblTech[[#This Row],[1-3]] + tech_1_6*TblTech[[#This Row],[1-6]] + tech_3_3*TblTech[[#This Row],[3-3]]</f>
        <v>0</v>
      </c>
      <c r="AK36" s="164">
        <f ca="1">race_mana_bonus+ 0 + TblImps[[#This Row],[Towers]] + tech_1_2*TblTech[[#This Row],[1-2]] + tech_3_4*TblTech[[#This Row],[3-4]]</f>
        <v>0</v>
      </c>
      <c r="AL36" s="164">
        <f ca="1">race_ore_bonus + IF(TblMagic[[#This Row],[Active Miner''s Sight]]&gt;0,miners_sight_bonus,IF(TblMagic[[#This Row],[Active Mining Strength]]&gt;0,mining_strength_bonus)) +  tech_1_6*TblTech[[#This Row],[1-6]]</f>
        <v>0</v>
      </c>
      <c r="AM36" s="164">
        <f>race_gem_bonus+ tech_3_2*TblTech[[#This Row],[3-2]] + tech_4_3*TblTech[[#This Row],[4-3]] + tech_6_2*TblTech[[#This Row],[6-2]]</f>
        <v>0</v>
      </c>
      <c r="AN36" s="150"/>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62"/>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Military!$CH$25*TblMili[[#This Row],[Sec. rec. Cost]]</f>
        <v>0</v>
      </c>
      <c r="AV36" s="97">
        <f ca="1">TblMagic[[#This Row],[Mana cost]] + Military!$CH$26*TblMili[[#This Row],[Sec. rec. Cost]]</f>
        <v>0</v>
      </c>
      <c r="AW36" s="97">
        <f ca="1">Military!$CH$24*TblMili[[#This Row],[Sec. rec. Cost]]+TblImps[[#This Row],[O1]]-TblProd[[#This Row],[Bank Ore]]</f>
        <v>0</v>
      </c>
      <c r="AX36" s="97">
        <f>TblImps[[#This Row],[G1]]-TblProd[[#This Row],[Bank Gems]]</f>
        <v>0</v>
      </c>
      <c r="AY36" s="150"/>
      <c r="AZ36" s="62" t="b">
        <f ca="1">IF(TblProd[[#This Row],[Set Guard]]&lt;&gt;"",TblProd[[#This Row],[Set Guard]],OFFSET(TblProd[[#This Row],[Guard]],-1,0))</f>
        <v>0</v>
      </c>
      <c r="BA36" s="161"/>
      <c r="BB36" s="45">
        <f>TblProd[[#This Row],[Hour]]</f>
        <v>33</v>
      </c>
      <c r="BC36" s="166">
        <f>-TblProd[[#This Row],[Bank Lumber]] / 2 + -TblProd[[#This Row],[Bank Gems]] * 2</f>
        <v>0</v>
      </c>
      <c r="BD36" s="166"/>
      <c r="BE36" s="166"/>
      <c r="BF36" s="166"/>
      <c r="BG36" s="167">
        <f ca="1">TblProd[[#This Row],[Time]]</f>
        <v>44812.083333333256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276390</v>
      </c>
      <c r="BJ36" s="97">
        <f ca="1">TblProd[[#This Row],[Food]]</f>
        <v>66989</v>
      </c>
      <c r="BK36" s="97">
        <f ca="1">TblProd[[#This Row],[Lumber]]</f>
        <v>38376</v>
      </c>
      <c r="BL36" s="97">
        <f ca="1">TblProd[[#This Row],[Mana]]</f>
        <v>0</v>
      </c>
      <c r="BM36" s="97">
        <f ca="1">TblProd[[#This Row],[Ore]]</f>
        <v>0</v>
      </c>
    </row>
    <row r="37" spans="1:65" x14ac:dyDescent="0.2">
      <c r="A37" s="145">
        <v>34</v>
      </c>
      <c r="B37" s="160">
        <f ca="1">TblImps[[#This Row],[Time]]</f>
        <v>44812.12499999992</v>
      </c>
      <c r="C37" s="161"/>
      <c r="D37" s="162"/>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281916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10000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50"/>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63">
        <f ca="1">OFFSET(TblConstr[[#This Row],[Tot Doc]],1,0)*dock_boats_hr * (1 + tech_4_1*TblTech[[#This Row],[4-1]])</f>
        <v>0</v>
      </c>
      <c r="Z37" s="162"/>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2]]/2,0),)</f>
        <v>0</v>
      </c>
      <c r="AF37" s="97">
        <f ca="1">OFFSET(TblConstr[[#This Row],[Tot DM]],1,0)*dm_gems</f>
        <v>0</v>
      </c>
      <c r="AG37" s="150"/>
      <c r="AH37" s="164">
        <f ca="1">MIN(race_platinum_bonus + IF(Magic!AD37&gt;0,midas_bonus) + TblImps[[#This Row],[Science]] - TblProd[[#This Row],[Guard]]*(0.02 + tech_5_7*TblTech[[#This Row],[5-7]]) + tech_1_5*TblTech[[#This Row],[1-5]] + tech_4_4*TblTech[[#This Row],[4-4]], 0.5)</f>
        <v>0</v>
      </c>
      <c r="AI3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64">
        <f ca="1">race_lumber_bonus+ IF(TblMagic[[#This Row],[Active Gaia''s Blessing]]&gt;0,gaias_blessing_lumber)+ tech_1_3*TblTech[[#This Row],[1-3]] + tech_1_6*TblTech[[#This Row],[1-6]] + tech_3_3*TblTech[[#This Row],[3-3]]</f>
        <v>0</v>
      </c>
      <c r="AK37" s="164">
        <f ca="1">race_mana_bonus+ 0 + TblImps[[#This Row],[Towers]] + tech_1_2*TblTech[[#This Row],[1-2]] + tech_3_4*TblTech[[#This Row],[3-4]]</f>
        <v>0</v>
      </c>
      <c r="AL37" s="164">
        <f ca="1">race_ore_bonus + IF(TblMagic[[#This Row],[Active Miner''s Sight]]&gt;0,miners_sight_bonus,IF(TblMagic[[#This Row],[Active Mining Strength]]&gt;0,mining_strength_bonus)) +  tech_1_6*TblTech[[#This Row],[1-6]]</f>
        <v>0</v>
      </c>
      <c r="AM37" s="164">
        <f>race_gem_bonus+ tech_3_2*TblTech[[#This Row],[3-2]] + tech_4_3*TblTech[[#This Row],[4-3]] + tech_6_2*TblTech[[#This Row],[6-2]]</f>
        <v>0</v>
      </c>
      <c r="AN37" s="150"/>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62"/>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Military!$CH$25*TblMili[[#This Row],[Sec. rec. Cost]]</f>
        <v>0</v>
      </c>
      <c r="AV37" s="97">
        <f ca="1">TblMagic[[#This Row],[Mana cost]] + Military!$CH$26*TblMili[[#This Row],[Sec. rec. Cost]]</f>
        <v>0</v>
      </c>
      <c r="AW37" s="97">
        <f ca="1">Military!$CH$24*TblMili[[#This Row],[Sec. rec. Cost]]+TblImps[[#This Row],[O1]]-TblProd[[#This Row],[Bank Ore]]</f>
        <v>0</v>
      </c>
      <c r="AX37" s="97">
        <f>TblImps[[#This Row],[G1]]-TblProd[[#This Row],[Bank Gems]]</f>
        <v>0</v>
      </c>
      <c r="AY37" s="150"/>
      <c r="AZ37" s="62" t="b">
        <f ca="1">IF(TblProd[[#This Row],[Set Guard]]&lt;&gt;"",TblProd[[#This Row],[Set Guard]],OFFSET(TblProd[[#This Row],[Guard]],-1,0))</f>
        <v>0</v>
      </c>
      <c r="BA37" s="161"/>
      <c r="BB37" s="45">
        <f>TblProd[[#This Row],[Hour]]</f>
        <v>34</v>
      </c>
      <c r="BC37" s="166">
        <f>-TblProd[[#This Row],[Bank Lumber]] / 2 + -TblProd[[#This Row],[Bank Gems]] * 2</f>
        <v>0</v>
      </c>
      <c r="BD37" s="166"/>
      <c r="BE37" s="166"/>
      <c r="BF37" s="166"/>
      <c r="BG37" s="167">
        <f ca="1">TblProd[[#This Row],[Time]]</f>
        <v>44812.12499999992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281916</v>
      </c>
      <c r="BJ37" s="97">
        <f ca="1">TblProd[[#This Row],[Food]]</f>
        <v>68310</v>
      </c>
      <c r="BK37" s="97">
        <f ca="1">TblProd[[#This Row],[Lumber]]</f>
        <v>38992</v>
      </c>
      <c r="BL37" s="97">
        <f ca="1">TblProd[[#This Row],[Mana]]</f>
        <v>0</v>
      </c>
      <c r="BM37" s="97">
        <f ca="1">TblProd[[#This Row],[Ore]]</f>
        <v>0</v>
      </c>
    </row>
    <row r="38" spans="1:65" x14ac:dyDescent="0.2">
      <c r="A38" s="145">
        <v>35</v>
      </c>
      <c r="B38" s="160">
        <f ca="1">TblImps[[#This Row],[Time]]</f>
        <v>44812.166666666584</v>
      </c>
      <c r="C38" s="161"/>
      <c r="D38" s="162"/>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287402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10000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50"/>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63">
        <f ca="1">OFFSET(TblConstr[[#This Row],[Tot Doc]],1,0)*dock_boats_hr * (1 + tech_4_1*TblTech[[#This Row],[4-1]])</f>
        <v>0</v>
      </c>
      <c r="Z38" s="162"/>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2]]/2,0),)</f>
        <v>0</v>
      </c>
      <c r="AF38" s="97">
        <f ca="1">OFFSET(TblConstr[[#This Row],[Tot DM]],1,0)*dm_gems</f>
        <v>0</v>
      </c>
      <c r="AG38" s="150"/>
      <c r="AH38" s="164">
        <f ca="1">MIN(race_platinum_bonus + IF(Magic!AD38&gt;0,midas_bonus) + TblImps[[#This Row],[Science]] - TblProd[[#This Row],[Guard]]*(0.02 + tech_5_7*TblTech[[#This Row],[5-7]]) + tech_1_5*TblTech[[#This Row],[1-5]] + tech_4_4*TblTech[[#This Row],[4-4]], 0.5)</f>
        <v>0</v>
      </c>
      <c r="AI3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64">
        <f ca="1">race_lumber_bonus+ IF(TblMagic[[#This Row],[Active Gaia''s Blessing]]&gt;0,gaias_blessing_lumber)+ tech_1_3*TblTech[[#This Row],[1-3]] + tech_1_6*TblTech[[#This Row],[1-6]] + tech_3_3*TblTech[[#This Row],[3-3]]</f>
        <v>0</v>
      </c>
      <c r="AK38" s="164">
        <f ca="1">race_mana_bonus+ 0 + TblImps[[#This Row],[Towers]] + tech_1_2*TblTech[[#This Row],[1-2]] + tech_3_4*TblTech[[#This Row],[3-4]]</f>
        <v>0</v>
      </c>
      <c r="AL38" s="164">
        <f ca="1">race_ore_bonus + IF(TblMagic[[#This Row],[Active Miner''s Sight]]&gt;0,miners_sight_bonus,IF(TblMagic[[#This Row],[Active Mining Strength]]&gt;0,mining_strength_bonus)) +  tech_1_6*TblTech[[#This Row],[1-6]]</f>
        <v>0</v>
      </c>
      <c r="AM38" s="164">
        <f>race_gem_bonus+ tech_3_2*TblTech[[#This Row],[3-2]] + tech_4_3*TblTech[[#This Row],[4-3]] + tech_6_2*TblTech[[#This Row],[6-2]]</f>
        <v>0</v>
      </c>
      <c r="AN38" s="150"/>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62"/>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Military!$CH$25*TblMili[[#This Row],[Sec. rec. Cost]]</f>
        <v>0</v>
      </c>
      <c r="AV38" s="97">
        <f ca="1">TblMagic[[#This Row],[Mana cost]] + Military!$CH$26*TblMili[[#This Row],[Sec. rec. Cost]]</f>
        <v>0</v>
      </c>
      <c r="AW38" s="97">
        <f ca="1">Military!$CH$24*TblMili[[#This Row],[Sec. rec. Cost]]+TblImps[[#This Row],[O1]]-TblProd[[#This Row],[Bank Ore]]</f>
        <v>0</v>
      </c>
      <c r="AX38" s="97">
        <f>TblImps[[#This Row],[G1]]-TblProd[[#This Row],[Bank Gems]]</f>
        <v>0</v>
      </c>
      <c r="AY38" s="150"/>
      <c r="AZ38" s="62" t="b">
        <f ca="1">IF(TblProd[[#This Row],[Set Guard]]&lt;&gt;"",TblProd[[#This Row],[Set Guard]],OFFSET(TblProd[[#This Row],[Guard]],-1,0))</f>
        <v>0</v>
      </c>
      <c r="BA38" s="161"/>
      <c r="BB38" s="45">
        <f>TblProd[[#This Row],[Hour]]</f>
        <v>35</v>
      </c>
      <c r="BC38" s="166">
        <f>-TblProd[[#This Row],[Bank Lumber]] / 2 + -TblProd[[#This Row],[Bank Gems]] * 2</f>
        <v>0</v>
      </c>
      <c r="BD38" s="166"/>
      <c r="BE38" s="166"/>
      <c r="BF38" s="166"/>
      <c r="BG38" s="167">
        <f ca="1">TblProd[[#This Row],[Time]]</f>
        <v>44812.166666666584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287402</v>
      </c>
      <c r="BJ38" s="97">
        <f ca="1">TblProd[[#This Row],[Food]]</f>
        <v>69617</v>
      </c>
      <c r="BK38" s="97">
        <f ca="1">TblProd[[#This Row],[Lumber]]</f>
        <v>39602</v>
      </c>
      <c r="BL38" s="97">
        <f ca="1">TblProd[[#This Row],[Mana]]</f>
        <v>0</v>
      </c>
      <c r="BM38" s="97">
        <f ca="1">TblProd[[#This Row],[Ore]]</f>
        <v>0</v>
      </c>
    </row>
    <row r="39" spans="1:65" x14ac:dyDescent="0.2">
      <c r="A39" s="145">
        <v>36</v>
      </c>
      <c r="B39" s="160">
        <f ca="1">TblImps[[#This Row],[Time]]</f>
        <v>44812.208333333248</v>
      </c>
      <c r="C39" s="161"/>
      <c r="D39" s="162"/>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292888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10000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50"/>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63">
        <f ca="1">OFFSET(TblConstr[[#This Row],[Tot Doc]],1,0)*dock_boats_hr * (1 + tech_4_1*TblTech[[#This Row],[4-1]])</f>
        <v>0</v>
      </c>
      <c r="Z39" s="162"/>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2]]/2,0),)</f>
        <v>0</v>
      </c>
      <c r="AF39" s="97">
        <f ca="1">OFFSET(TblConstr[[#This Row],[Tot DM]],1,0)*dm_gems</f>
        <v>0</v>
      </c>
      <c r="AG39" s="150"/>
      <c r="AH39" s="164">
        <f ca="1">MIN(race_platinum_bonus + IF(Magic!AD39&gt;0,midas_bonus) + TblImps[[#This Row],[Science]] - TblProd[[#This Row],[Guard]]*(0.02 + tech_5_7*TblTech[[#This Row],[5-7]]) + tech_1_5*TblTech[[#This Row],[1-5]] + tech_4_4*TblTech[[#This Row],[4-4]], 0.5)</f>
        <v>0</v>
      </c>
      <c r="AI3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64">
        <f ca="1">race_lumber_bonus+ IF(TblMagic[[#This Row],[Active Gaia''s Blessing]]&gt;0,gaias_blessing_lumber)+ tech_1_3*TblTech[[#This Row],[1-3]] + tech_1_6*TblTech[[#This Row],[1-6]] + tech_3_3*TblTech[[#This Row],[3-3]]</f>
        <v>0</v>
      </c>
      <c r="AK39" s="164">
        <f ca="1">race_mana_bonus+ 0 + TblImps[[#This Row],[Towers]] + tech_1_2*TblTech[[#This Row],[1-2]] + tech_3_4*TblTech[[#This Row],[3-4]]</f>
        <v>0</v>
      </c>
      <c r="AL39" s="164">
        <f ca="1">race_ore_bonus + IF(TblMagic[[#This Row],[Active Miner''s Sight]]&gt;0,miners_sight_bonus,IF(TblMagic[[#This Row],[Active Mining Strength]]&gt;0,mining_strength_bonus)) +  tech_1_6*TblTech[[#This Row],[1-6]]</f>
        <v>0</v>
      </c>
      <c r="AM39" s="164">
        <f>race_gem_bonus+ tech_3_2*TblTech[[#This Row],[3-2]] + tech_4_3*TblTech[[#This Row],[4-3]] + tech_6_2*TblTech[[#This Row],[6-2]]</f>
        <v>0</v>
      </c>
      <c r="AN39" s="150"/>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62"/>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Military!$CH$25*TblMili[[#This Row],[Sec. rec. Cost]]</f>
        <v>0</v>
      </c>
      <c r="AV39" s="97">
        <f ca="1">TblMagic[[#This Row],[Mana cost]] + Military!$CH$26*TblMili[[#This Row],[Sec. rec. Cost]]</f>
        <v>0</v>
      </c>
      <c r="AW39" s="97">
        <f ca="1">Military!$CH$24*TblMili[[#This Row],[Sec. rec. Cost]]+TblImps[[#This Row],[O1]]-TblProd[[#This Row],[Bank Ore]]</f>
        <v>0</v>
      </c>
      <c r="AX39" s="97">
        <f>TblImps[[#This Row],[G1]]-TblProd[[#This Row],[Bank Gems]]</f>
        <v>0</v>
      </c>
      <c r="AY39" s="150"/>
      <c r="AZ39" s="62" t="b">
        <f ca="1">IF(TblProd[[#This Row],[Set Guard]]&lt;&gt;"",TblProd[[#This Row],[Set Guard]],OFFSET(TblProd[[#This Row],[Guard]],-1,0))</f>
        <v>0</v>
      </c>
      <c r="BA39" s="161"/>
      <c r="BB39" s="45">
        <f>TblProd[[#This Row],[Hour]]</f>
        <v>36</v>
      </c>
      <c r="BC39" s="166">
        <f>-TblProd[[#This Row],[Bank Lumber]] / 2 + -TblProd[[#This Row],[Bank Gems]] * 2</f>
        <v>0</v>
      </c>
      <c r="BD39" s="166"/>
      <c r="BE39" s="166"/>
      <c r="BF39" s="166"/>
      <c r="BG39" s="167">
        <f ca="1">TblProd[[#This Row],[Time]]</f>
        <v>44812.208333333248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292888</v>
      </c>
      <c r="BJ39" s="97">
        <f ca="1">TblProd[[#This Row],[Food]]</f>
        <v>70911</v>
      </c>
      <c r="BK39" s="97">
        <f ca="1">TblProd[[#This Row],[Lumber]]</f>
        <v>40206</v>
      </c>
      <c r="BL39" s="97">
        <f ca="1">TblProd[[#This Row],[Mana]]</f>
        <v>0</v>
      </c>
      <c r="BM39" s="97">
        <f ca="1">TblProd[[#This Row],[Ore]]</f>
        <v>0</v>
      </c>
    </row>
    <row r="40" spans="1:65" x14ac:dyDescent="0.2">
      <c r="A40" s="145">
        <v>37</v>
      </c>
      <c r="B40" s="160">
        <f ca="1">TblImps[[#This Row],[Time]]</f>
        <v>44812.249999999913</v>
      </c>
      <c r="C40" s="161"/>
      <c r="D40" s="162"/>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298374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10000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50"/>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63">
        <f ca="1">OFFSET(TblConstr[[#This Row],[Tot Doc]],1,0)*dock_boats_hr * (1 + tech_4_1*TblTech[[#This Row],[4-1]])</f>
        <v>0</v>
      </c>
      <c r="Z40" s="162"/>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2]]/2,0),)</f>
        <v>0</v>
      </c>
      <c r="AF40" s="97">
        <f ca="1">OFFSET(TblConstr[[#This Row],[Tot DM]],1,0)*dm_gems</f>
        <v>0</v>
      </c>
      <c r="AG40" s="150"/>
      <c r="AH40" s="164">
        <f ca="1">MIN(race_platinum_bonus + IF(Magic!AD40&gt;0,midas_bonus) + TblImps[[#This Row],[Science]] - TblProd[[#This Row],[Guard]]*(0.02 + tech_5_7*TblTech[[#This Row],[5-7]]) + tech_1_5*TblTech[[#This Row],[1-5]] + tech_4_4*TblTech[[#This Row],[4-4]], 0.5)</f>
        <v>0</v>
      </c>
      <c r="AI4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64">
        <f ca="1">race_lumber_bonus+ IF(TblMagic[[#This Row],[Active Gaia''s Blessing]]&gt;0,gaias_blessing_lumber)+ tech_1_3*TblTech[[#This Row],[1-3]] + tech_1_6*TblTech[[#This Row],[1-6]] + tech_3_3*TblTech[[#This Row],[3-3]]</f>
        <v>0</v>
      </c>
      <c r="AK40" s="164">
        <f ca="1">race_mana_bonus+ 0 + TblImps[[#This Row],[Towers]] + tech_1_2*TblTech[[#This Row],[1-2]] + tech_3_4*TblTech[[#This Row],[3-4]]</f>
        <v>0</v>
      </c>
      <c r="AL40" s="164">
        <f ca="1">race_ore_bonus + IF(TblMagic[[#This Row],[Active Miner''s Sight]]&gt;0,miners_sight_bonus,IF(TblMagic[[#This Row],[Active Mining Strength]]&gt;0,mining_strength_bonus)) +  tech_1_6*TblTech[[#This Row],[1-6]]</f>
        <v>0</v>
      </c>
      <c r="AM40" s="164">
        <f>race_gem_bonus+ tech_3_2*TblTech[[#This Row],[3-2]] + tech_4_3*TblTech[[#This Row],[4-3]] + tech_6_2*TblTech[[#This Row],[6-2]]</f>
        <v>0</v>
      </c>
      <c r="AN40" s="150"/>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62"/>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Military!$CH$25*TblMili[[#This Row],[Sec. rec. Cost]]</f>
        <v>0</v>
      </c>
      <c r="AV40" s="97">
        <f ca="1">TblMagic[[#This Row],[Mana cost]] + Military!$CH$26*TblMili[[#This Row],[Sec. rec. Cost]]</f>
        <v>0</v>
      </c>
      <c r="AW40" s="97">
        <f ca="1">Military!$CH$24*TblMili[[#This Row],[Sec. rec. Cost]]+TblImps[[#This Row],[O1]]-TblProd[[#This Row],[Bank Ore]]</f>
        <v>0</v>
      </c>
      <c r="AX40" s="97">
        <f>TblImps[[#This Row],[G1]]-TblProd[[#This Row],[Bank Gems]]</f>
        <v>0</v>
      </c>
      <c r="AY40" s="150"/>
      <c r="AZ40" s="62" t="b">
        <f ca="1">IF(TblProd[[#This Row],[Set Guard]]&lt;&gt;"",TblProd[[#This Row],[Set Guard]],OFFSET(TblProd[[#This Row],[Guard]],-1,0))</f>
        <v>0</v>
      </c>
      <c r="BA40" s="161"/>
      <c r="BB40" s="45">
        <f>TblProd[[#This Row],[Hour]]</f>
        <v>37</v>
      </c>
      <c r="BC40" s="166">
        <f>-TblProd[[#This Row],[Bank Lumber]] / 2 + -TblProd[[#This Row],[Bank Gems]] * 2</f>
        <v>0</v>
      </c>
      <c r="BD40" s="166"/>
      <c r="BE40" s="166"/>
      <c r="BF40" s="166"/>
      <c r="BG40" s="167">
        <f ca="1">TblProd[[#This Row],[Time]]</f>
        <v>44812.249999999913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298374</v>
      </c>
      <c r="BJ40" s="97">
        <f ca="1">TblProd[[#This Row],[Food]]</f>
        <v>72192</v>
      </c>
      <c r="BK40" s="97">
        <f ca="1">TblProd[[#This Row],[Lumber]]</f>
        <v>40804</v>
      </c>
      <c r="BL40" s="97">
        <f ca="1">TblProd[[#This Row],[Mana]]</f>
        <v>0</v>
      </c>
      <c r="BM40" s="97">
        <f ca="1">TblProd[[#This Row],[Ore]]</f>
        <v>0</v>
      </c>
    </row>
    <row r="41" spans="1:65" x14ac:dyDescent="0.2">
      <c r="A41" s="145">
        <v>38</v>
      </c>
      <c r="B41" s="160">
        <f ca="1">TblImps[[#This Row],[Time]]</f>
        <v>44812.291666666577</v>
      </c>
      <c r="C41" s="161"/>
      <c r="D41" s="162"/>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303860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10000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50"/>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63">
        <f ca="1">OFFSET(TblConstr[[#This Row],[Tot Doc]],1,0)*dock_boats_hr * (1 + tech_4_1*TblTech[[#This Row],[4-1]])</f>
        <v>0</v>
      </c>
      <c r="Z41" s="162"/>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2]]/2,0),)</f>
        <v>0</v>
      </c>
      <c r="AF41" s="97">
        <f ca="1">OFFSET(TblConstr[[#This Row],[Tot DM]],1,0)*dm_gems</f>
        <v>0</v>
      </c>
      <c r="AG41" s="150"/>
      <c r="AH41" s="164">
        <f ca="1">MIN(race_platinum_bonus + IF(Magic!AD41&gt;0,midas_bonus) + TblImps[[#This Row],[Science]] - TblProd[[#This Row],[Guard]]*(0.02 + tech_5_7*TblTech[[#This Row],[5-7]]) + tech_1_5*TblTech[[#This Row],[1-5]] + tech_4_4*TblTech[[#This Row],[4-4]], 0.5)</f>
        <v>0</v>
      </c>
      <c r="AI4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64">
        <f ca="1">race_lumber_bonus+ IF(TblMagic[[#This Row],[Active Gaia''s Blessing]]&gt;0,gaias_blessing_lumber)+ tech_1_3*TblTech[[#This Row],[1-3]] + tech_1_6*TblTech[[#This Row],[1-6]] + tech_3_3*TblTech[[#This Row],[3-3]]</f>
        <v>0</v>
      </c>
      <c r="AK41" s="164">
        <f ca="1">race_mana_bonus+ 0 + TblImps[[#This Row],[Towers]] + tech_1_2*TblTech[[#This Row],[1-2]] + tech_3_4*TblTech[[#This Row],[3-4]]</f>
        <v>0</v>
      </c>
      <c r="AL41" s="164">
        <f ca="1">race_ore_bonus + IF(TblMagic[[#This Row],[Active Miner''s Sight]]&gt;0,miners_sight_bonus,IF(TblMagic[[#This Row],[Active Mining Strength]]&gt;0,mining_strength_bonus)) +  tech_1_6*TblTech[[#This Row],[1-6]]</f>
        <v>0</v>
      </c>
      <c r="AM41" s="164">
        <f>race_gem_bonus+ tech_3_2*TblTech[[#This Row],[3-2]] + tech_4_3*TblTech[[#This Row],[4-3]] + tech_6_2*TblTech[[#This Row],[6-2]]</f>
        <v>0</v>
      </c>
      <c r="AN41" s="150"/>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62"/>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Military!$CH$25*TblMili[[#This Row],[Sec. rec. Cost]]</f>
        <v>0</v>
      </c>
      <c r="AV41" s="97">
        <f ca="1">TblMagic[[#This Row],[Mana cost]] + Military!$CH$26*TblMili[[#This Row],[Sec. rec. Cost]]</f>
        <v>0</v>
      </c>
      <c r="AW41" s="97">
        <f ca="1">Military!$CH$24*TblMili[[#This Row],[Sec. rec. Cost]]+TblImps[[#This Row],[O1]]-TblProd[[#This Row],[Bank Ore]]</f>
        <v>0</v>
      </c>
      <c r="AX41" s="97">
        <f>TblImps[[#This Row],[G1]]-TblProd[[#This Row],[Bank Gems]]</f>
        <v>0</v>
      </c>
      <c r="AY41" s="150"/>
      <c r="AZ41" s="62" t="b">
        <f ca="1">IF(TblProd[[#This Row],[Set Guard]]&lt;&gt;"",TblProd[[#This Row],[Set Guard]],OFFSET(TblProd[[#This Row],[Guard]],-1,0))</f>
        <v>0</v>
      </c>
      <c r="BA41" s="161"/>
      <c r="BB41" s="45">
        <f>TblProd[[#This Row],[Hour]]</f>
        <v>38</v>
      </c>
      <c r="BC41" s="166">
        <f>-TblProd[[#This Row],[Bank Lumber]] / 2 + -TblProd[[#This Row],[Bank Gems]] * 2</f>
        <v>0</v>
      </c>
      <c r="BD41" s="166"/>
      <c r="BE41" s="166"/>
      <c r="BF41" s="166"/>
      <c r="BG41" s="167">
        <f ca="1">TblProd[[#This Row],[Time]]</f>
        <v>44812.291666666577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303860</v>
      </c>
      <c r="BJ41" s="97">
        <f ca="1">TblProd[[#This Row],[Food]]</f>
        <v>73461</v>
      </c>
      <c r="BK41" s="97">
        <f ca="1">TblProd[[#This Row],[Lumber]]</f>
        <v>41396</v>
      </c>
      <c r="BL41" s="97">
        <f ca="1">TblProd[[#This Row],[Mana]]</f>
        <v>0</v>
      </c>
      <c r="BM41" s="97">
        <f ca="1">TblProd[[#This Row],[Ore]]</f>
        <v>0</v>
      </c>
    </row>
    <row r="42" spans="1:65" x14ac:dyDescent="0.2">
      <c r="A42" s="145">
        <v>39</v>
      </c>
      <c r="B42" s="160">
        <f ca="1">TblImps[[#This Row],[Time]]</f>
        <v>44812.333333333241</v>
      </c>
      <c r="C42" s="161"/>
      <c r="D42" s="162"/>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309346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10000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50"/>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63">
        <f ca="1">OFFSET(TblConstr[[#This Row],[Tot Doc]],1,0)*dock_boats_hr * (1 + tech_4_1*TblTech[[#This Row],[4-1]])</f>
        <v>0</v>
      </c>
      <c r="Z42" s="162"/>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2]]/2,0),)</f>
        <v>0</v>
      </c>
      <c r="AF42" s="97">
        <f ca="1">OFFSET(TblConstr[[#This Row],[Tot DM]],1,0)*dm_gems</f>
        <v>0</v>
      </c>
      <c r="AG42" s="150"/>
      <c r="AH42" s="164">
        <f ca="1">MIN(race_platinum_bonus + IF(Magic!AD42&gt;0,midas_bonus) + TblImps[[#This Row],[Science]] - TblProd[[#This Row],[Guard]]*(0.02 + tech_5_7*TblTech[[#This Row],[5-7]]) + tech_1_5*TblTech[[#This Row],[1-5]] + tech_4_4*TblTech[[#This Row],[4-4]], 0.5)</f>
        <v>0</v>
      </c>
      <c r="AI4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64">
        <f ca="1">race_lumber_bonus+ IF(TblMagic[[#This Row],[Active Gaia''s Blessing]]&gt;0,gaias_blessing_lumber)+ tech_1_3*TblTech[[#This Row],[1-3]] + tech_1_6*TblTech[[#This Row],[1-6]] + tech_3_3*TblTech[[#This Row],[3-3]]</f>
        <v>0</v>
      </c>
      <c r="AK42" s="164">
        <f ca="1">race_mana_bonus+ 0 + TblImps[[#This Row],[Towers]] + tech_1_2*TblTech[[#This Row],[1-2]] + tech_3_4*TblTech[[#This Row],[3-4]]</f>
        <v>0</v>
      </c>
      <c r="AL42" s="164">
        <f ca="1">race_ore_bonus + IF(TblMagic[[#This Row],[Active Miner''s Sight]]&gt;0,miners_sight_bonus,IF(TblMagic[[#This Row],[Active Mining Strength]]&gt;0,mining_strength_bonus)) +  tech_1_6*TblTech[[#This Row],[1-6]]</f>
        <v>0</v>
      </c>
      <c r="AM42" s="164">
        <f>race_gem_bonus+ tech_3_2*TblTech[[#This Row],[3-2]] + tech_4_3*TblTech[[#This Row],[4-3]] + tech_6_2*TblTech[[#This Row],[6-2]]</f>
        <v>0</v>
      </c>
      <c r="AN42" s="150"/>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62"/>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Military!$CH$25*TblMili[[#This Row],[Sec. rec. Cost]]</f>
        <v>0</v>
      </c>
      <c r="AV42" s="97">
        <f ca="1">TblMagic[[#This Row],[Mana cost]] + Military!$CH$26*TblMili[[#This Row],[Sec. rec. Cost]]</f>
        <v>0</v>
      </c>
      <c r="AW42" s="97">
        <f ca="1">Military!$CH$24*TblMili[[#This Row],[Sec. rec. Cost]]+TblImps[[#This Row],[O1]]-TblProd[[#This Row],[Bank Ore]]</f>
        <v>0</v>
      </c>
      <c r="AX42" s="97">
        <f>TblImps[[#This Row],[G1]]-TblProd[[#This Row],[Bank Gems]]</f>
        <v>0</v>
      </c>
      <c r="AY42" s="150"/>
      <c r="AZ42" s="62" t="b">
        <f ca="1">IF(TblProd[[#This Row],[Set Guard]]&lt;&gt;"",TblProd[[#This Row],[Set Guard]],OFFSET(TblProd[[#This Row],[Guard]],-1,0))</f>
        <v>0</v>
      </c>
      <c r="BA42" s="161"/>
      <c r="BB42" s="45">
        <f>TblProd[[#This Row],[Hour]]</f>
        <v>39</v>
      </c>
      <c r="BC42" s="166">
        <f>-TblProd[[#This Row],[Bank Lumber]] / 2 + -TblProd[[#This Row],[Bank Gems]] * 2</f>
        <v>0</v>
      </c>
      <c r="BD42" s="166"/>
      <c r="BE42" s="166"/>
      <c r="BF42" s="166"/>
      <c r="BG42" s="167">
        <f ca="1">TblProd[[#This Row],[Time]]</f>
        <v>44812.333333333241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309346</v>
      </c>
      <c r="BJ42" s="97">
        <f ca="1">TblProd[[#This Row],[Food]]</f>
        <v>74717</v>
      </c>
      <c r="BK42" s="97">
        <f ca="1">TblProd[[#This Row],[Lumber]]</f>
        <v>41982</v>
      </c>
      <c r="BL42" s="97">
        <f ca="1">TblProd[[#This Row],[Mana]]</f>
        <v>0</v>
      </c>
      <c r="BM42" s="97">
        <f ca="1">TblProd[[#This Row],[Ore]]</f>
        <v>0</v>
      </c>
    </row>
    <row r="43" spans="1:65" x14ac:dyDescent="0.2">
      <c r="A43" s="145">
        <v>40</v>
      </c>
      <c r="B43" s="160">
        <f ca="1">TblImps[[#This Row],[Time]]</f>
        <v>44812.374999999905</v>
      </c>
      <c r="C43" s="161"/>
      <c r="D43" s="162"/>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314832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10000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50"/>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63">
        <f ca="1">OFFSET(TblConstr[[#This Row],[Tot Doc]],1,0)*dock_boats_hr * (1 + tech_4_1*TblTech[[#This Row],[4-1]])</f>
        <v>0</v>
      </c>
      <c r="Z43" s="162"/>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2]]/2,0),)</f>
        <v>0</v>
      </c>
      <c r="AF43" s="97">
        <f ca="1">OFFSET(TblConstr[[#This Row],[Tot DM]],1,0)*dm_gems</f>
        <v>0</v>
      </c>
      <c r="AG43" s="150"/>
      <c r="AH43" s="164">
        <f ca="1">MIN(race_platinum_bonus + IF(Magic!AD43&gt;0,midas_bonus) + TblImps[[#This Row],[Science]] - TblProd[[#This Row],[Guard]]*(0.02 + tech_5_7*TblTech[[#This Row],[5-7]]) + tech_1_5*TblTech[[#This Row],[1-5]] + tech_4_4*TblTech[[#This Row],[4-4]], 0.5)</f>
        <v>0</v>
      </c>
      <c r="AI4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64">
        <f ca="1">race_lumber_bonus+ IF(TblMagic[[#This Row],[Active Gaia''s Blessing]]&gt;0,gaias_blessing_lumber)+ tech_1_3*TblTech[[#This Row],[1-3]] + tech_1_6*TblTech[[#This Row],[1-6]] + tech_3_3*TblTech[[#This Row],[3-3]]</f>
        <v>0</v>
      </c>
      <c r="AK43" s="164">
        <f ca="1">race_mana_bonus+ 0 + TblImps[[#This Row],[Towers]] + tech_1_2*TblTech[[#This Row],[1-2]] + tech_3_4*TblTech[[#This Row],[3-4]]</f>
        <v>0</v>
      </c>
      <c r="AL43" s="164">
        <f ca="1">race_ore_bonus + IF(TblMagic[[#This Row],[Active Miner''s Sight]]&gt;0,miners_sight_bonus,IF(TblMagic[[#This Row],[Active Mining Strength]]&gt;0,mining_strength_bonus)) +  tech_1_6*TblTech[[#This Row],[1-6]]</f>
        <v>0</v>
      </c>
      <c r="AM43" s="164">
        <f>race_gem_bonus+ tech_3_2*TblTech[[#This Row],[3-2]] + tech_4_3*TblTech[[#This Row],[4-3]] + tech_6_2*TblTech[[#This Row],[6-2]]</f>
        <v>0</v>
      </c>
      <c r="AN43" s="150"/>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62"/>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Military!$CH$25*TblMili[[#This Row],[Sec. rec. Cost]]</f>
        <v>0</v>
      </c>
      <c r="AV43" s="97">
        <f ca="1">TblMagic[[#This Row],[Mana cost]] + Military!$CH$26*TblMili[[#This Row],[Sec. rec. Cost]]</f>
        <v>0</v>
      </c>
      <c r="AW43" s="97">
        <f ca="1">Military!$CH$24*TblMili[[#This Row],[Sec. rec. Cost]]+TblImps[[#This Row],[O1]]-TblProd[[#This Row],[Bank Ore]]</f>
        <v>0</v>
      </c>
      <c r="AX43" s="97">
        <f>TblImps[[#This Row],[G1]]-TblProd[[#This Row],[Bank Gems]]</f>
        <v>0</v>
      </c>
      <c r="AY43" s="150"/>
      <c r="AZ43" s="62" t="b">
        <f ca="1">IF(TblProd[[#This Row],[Set Guard]]&lt;&gt;"",TblProd[[#This Row],[Set Guard]],OFFSET(TblProd[[#This Row],[Guard]],-1,0))</f>
        <v>0</v>
      </c>
      <c r="BA43" s="161"/>
      <c r="BB43" s="45">
        <f>TblProd[[#This Row],[Hour]]</f>
        <v>40</v>
      </c>
      <c r="BC43" s="166">
        <f>-TblProd[[#This Row],[Bank Lumber]] / 2 + -TblProd[[#This Row],[Bank Gems]] * 2</f>
        <v>0</v>
      </c>
      <c r="BD43" s="166"/>
      <c r="BE43" s="166"/>
      <c r="BF43" s="166"/>
      <c r="BG43" s="167">
        <f ca="1">TblProd[[#This Row],[Time]]</f>
        <v>44812.374999999905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314832</v>
      </c>
      <c r="BJ43" s="97">
        <f ca="1">TblProd[[#This Row],[Food]]</f>
        <v>75960</v>
      </c>
      <c r="BK43" s="97">
        <f ca="1">TblProd[[#This Row],[Lumber]]</f>
        <v>42562</v>
      </c>
      <c r="BL43" s="97">
        <f ca="1">TblProd[[#This Row],[Mana]]</f>
        <v>0</v>
      </c>
      <c r="BM43" s="97">
        <f ca="1">TblProd[[#This Row],[Ore]]</f>
        <v>0</v>
      </c>
    </row>
    <row r="44" spans="1:65" x14ac:dyDescent="0.2">
      <c r="A44" s="145">
        <v>41</v>
      </c>
      <c r="B44" s="160">
        <f ca="1">TblImps[[#This Row],[Time]]</f>
        <v>44812.41666666657</v>
      </c>
      <c r="C44" s="161"/>
      <c r="D44" s="162"/>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320318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10000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50"/>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63">
        <f ca="1">OFFSET(TblConstr[[#This Row],[Tot Doc]],1,0)*dock_boats_hr * (1 + tech_4_1*TblTech[[#This Row],[4-1]])</f>
        <v>0</v>
      </c>
      <c r="Z44" s="162"/>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2]]/2,0),)</f>
        <v>0</v>
      </c>
      <c r="AF44" s="97">
        <f ca="1">OFFSET(TblConstr[[#This Row],[Tot DM]],1,0)*dm_gems</f>
        <v>0</v>
      </c>
      <c r="AG44" s="150"/>
      <c r="AH44" s="164">
        <f ca="1">MIN(race_platinum_bonus + IF(Magic!AD44&gt;0,midas_bonus) + TblImps[[#This Row],[Science]] - TblProd[[#This Row],[Guard]]*(0.02 + tech_5_7*TblTech[[#This Row],[5-7]]) + tech_1_5*TblTech[[#This Row],[1-5]] + tech_4_4*TblTech[[#This Row],[4-4]], 0.5)</f>
        <v>0</v>
      </c>
      <c r="AI4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64">
        <f ca="1">race_lumber_bonus+ IF(TblMagic[[#This Row],[Active Gaia''s Blessing]]&gt;0,gaias_blessing_lumber)+ tech_1_3*TblTech[[#This Row],[1-3]] + tech_1_6*TblTech[[#This Row],[1-6]] + tech_3_3*TblTech[[#This Row],[3-3]]</f>
        <v>0</v>
      </c>
      <c r="AK44" s="164">
        <f ca="1">race_mana_bonus+ 0 + TblImps[[#This Row],[Towers]] + tech_1_2*TblTech[[#This Row],[1-2]] + tech_3_4*TblTech[[#This Row],[3-4]]</f>
        <v>0</v>
      </c>
      <c r="AL44" s="164">
        <f ca="1">race_ore_bonus + IF(TblMagic[[#This Row],[Active Miner''s Sight]]&gt;0,miners_sight_bonus,IF(TblMagic[[#This Row],[Active Mining Strength]]&gt;0,mining_strength_bonus)) +  tech_1_6*TblTech[[#This Row],[1-6]]</f>
        <v>0</v>
      </c>
      <c r="AM44" s="164">
        <f>race_gem_bonus+ tech_3_2*TblTech[[#This Row],[3-2]] + tech_4_3*TblTech[[#This Row],[4-3]] + tech_6_2*TblTech[[#This Row],[6-2]]</f>
        <v>0</v>
      </c>
      <c r="AN44" s="150"/>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62"/>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Military!$CH$25*TblMili[[#This Row],[Sec. rec. Cost]]</f>
        <v>0</v>
      </c>
      <c r="AV44" s="97">
        <f ca="1">TblMagic[[#This Row],[Mana cost]] + Military!$CH$26*TblMili[[#This Row],[Sec. rec. Cost]]</f>
        <v>0</v>
      </c>
      <c r="AW44" s="97">
        <f ca="1">Military!$CH$24*TblMili[[#This Row],[Sec. rec. Cost]]+TblImps[[#This Row],[O1]]-TblProd[[#This Row],[Bank Ore]]</f>
        <v>0</v>
      </c>
      <c r="AX44" s="97">
        <f>TblImps[[#This Row],[G1]]-TblProd[[#This Row],[Bank Gems]]</f>
        <v>0</v>
      </c>
      <c r="AY44" s="150"/>
      <c r="AZ44" s="62" t="b">
        <f ca="1">IF(TblProd[[#This Row],[Set Guard]]&lt;&gt;"",TblProd[[#This Row],[Set Guard]],OFFSET(TblProd[[#This Row],[Guard]],-1,0))</f>
        <v>0</v>
      </c>
      <c r="BA44" s="161"/>
      <c r="BB44" s="45">
        <f>TblProd[[#This Row],[Hour]]</f>
        <v>41</v>
      </c>
      <c r="BC44" s="166">
        <f>-TblProd[[#This Row],[Bank Lumber]] / 2 + -TblProd[[#This Row],[Bank Gems]] * 2</f>
        <v>0</v>
      </c>
      <c r="BD44" s="166"/>
      <c r="BE44" s="166"/>
      <c r="BF44" s="166"/>
      <c r="BG44" s="167">
        <f ca="1">TblProd[[#This Row],[Time]]</f>
        <v>44812.41666666657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320318</v>
      </c>
      <c r="BJ44" s="97">
        <f ca="1">TblProd[[#This Row],[Food]]</f>
        <v>77191</v>
      </c>
      <c r="BK44" s="97">
        <f ca="1">TblProd[[#This Row],[Lumber]]</f>
        <v>43136</v>
      </c>
      <c r="BL44" s="97">
        <f ca="1">TblProd[[#This Row],[Mana]]</f>
        <v>0</v>
      </c>
      <c r="BM44" s="97">
        <f ca="1">TblProd[[#This Row],[Ore]]</f>
        <v>0</v>
      </c>
    </row>
    <row r="45" spans="1:65" x14ac:dyDescent="0.2">
      <c r="A45" s="145">
        <v>42</v>
      </c>
      <c r="B45" s="160">
        <f ca="1">TblImps[[#This Row],[Time]]</f>
        <v>44812.458333333234</v>
      </c>
      <c r="C45" s="161"/>
      <c r="D45" s="162"/>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325804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10000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50"/>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63">
        <f ca="1">OFFSET(TblConstr[[#This Row],[Tot Doc]],1,0)*dock_boats_hr * (1 + tech_4_1*TblTech[[#This Row],[4-1]])</f>
        <v>0</v>
      </c>
      <c r="Z45" s="162"/>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2]]/2,0),)</f>
        <v>0</v>
      </c>
      <c r="AF45" s="97">
        <f ca="1">OFFSET(TblConstr[[#This Row],[Tot DM]],1,0)*dm_gems</f>
        <v>0</v>
      </c>
      <c r="AG45" s="150"/>
      <c r="AH45" s="164">
        <f ca="1">MIN(race_platinum_bonus + IF(Magic!AD45&gt;0,midas_bonus) + TblImps[[#This Row],[Science]] - TblProd[[#This Row],[Guard]]*(0.02 + tech_5_7*TblTech[[#This Row],[5-7]]) + tech_1_5*TblTech[[#This Row],[1-5]] + tech_4_4*TblTech[[#This Row],[4-4]], 0.5)</f>
        <v>0</v>
      </c>
      <c r="AI4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64">
        <f ca="1">race_lumber_bonus+ IF(TblMagic[[#This Row],[Active Gaia''s Blessing]]&gt;0,gaias_blessing_lumber)+ tech_1_3*TblTech[[#This Row],[1-3]] + tech_1_6*TblTech[[#This Row],[1-6]] + tech_3_3*TblTech[[#This Row],[3-3]]</f>
        <v>0</v>
      </c>
      <c r="AK45" s="164">
        <f ca="1">race_mana_bonus+ 0 + TblImps[[#This Row],[Towers]] + tech_1_2*TblTech[[#This Row],[1-2]] + tech_3_4*TblTech[[#This Row],[3-4]]</f>
        <v>0</v>
      </c>
      <c r="AL45" s="164">
        <f ca="1">race_ore_bonus + IF(TblMagic[[#This Row],[Active Miner''s Sight]]&gt;0,miners_sight_bonus,IF(TblMagic[[#This Row],[Active Mining Strength]]&gt;0,mining_strength_bonus)) +  tech_1_6*TblTech[[#This Row],[1-6]]</f>
        <v>0</v>
      </c>
      <c r="AM45" s="164">
        <f>race_gem_bonus+ tech_3_2*TblTech[[#This Row],[3-2]] + tech_4_3*TblTech[[#This Row],[4-3]] + tech_6_2*TblTech[[#This Row],[6-2]]</f>
        <v>0</v>
      </c>
      <c r="AN45" s="150"/>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62"/>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Military!$CH$25*TblMili[[#This Row],[Sec. rec. Cost]]</f>
        <v>0</v>
      </c>
      <c r="AV45" s="97">
        <f ca="1">TblMagic[[#This Row],[Mana cost]] + Military!$CH$26*TblMili[[#This Row],[Sec. rec. Cost]]</f>
        <v>0</v>
      </c>
      <c r="AW45" s="97">
        <f ca="1">Military!$CH$24*TblMili[[#This Row],[Sec. rec. Cost]]+TblImps[[#This Row],[O1]]-TblProd[[#This Row],[Bank Ore]]</f>
        <v>0</v>
      </c>
      <c r="AX45" s="97">
        <f>TblImps[[#This Row],[G1]]-TblProd[[#This Row],[Bank Gems]]</f>
        <v>0</v>
      </c>
      <c r="AY45" s="150"/>
      <c r="AZ45" s="62" t="b">
        <f ca="1">IF(TblProd[[#This Row],[Set Guard]]&lt;&gt;"",TblProd[[#This Row],[Set Guard]],OFFSET(TblProd[[#This Row],[Guard]],-1,0))</f>
        <v>0</v>
      </c>
      <c r="BA45" s="161"/>
      <c r="BB45" s="45">
        <f>TblProd[[#This Row],[Hour]]</f>
        <v>42</v>
      </c>
      <c r="BC45" s="166">
        <f>-TblProd[[#This Row],[Bank Lumber]] / 2 + -TblProd[[#This Row],[Bank Gems]] * 2</f>
        <v>0</v>
      </c>
      <c r="BD45" s="166"/>
      <c r="BE45" s="166"/>
      <c r="BF45" s="166"/>
      <c r="BG45" s="167">
        <f ca="1">TblProd[[#This Row],[Time]]</f>
        <v>44812.458333333234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325804</v>
      </c>
      <c r="BJ45" s="97">
        <f ca="1">TblProd[[#This Row],[Food]]</f>
        <v>78410</v>
      </c>
      <c r="BK45" s="97">
        <f ca="1">TblProd[[#This Row],[Lumber]]</f>
        <v>43705</v>
      </c>
      <c r="BL45" s="97">
        <f ca="1">TblProd[[#This Row],[Mana]]</f>
        <v>0</v>
      </c>
      <c r="BM45" s="97">
        <f ca="1">TblProd[[#This Row],[Ore]]</f>
        <v>0</v>
      </c>
    </row>
    <row r="46" spans="1:65" x14ac:dyDescent="0.2">
      <c r="A46" s="145">
        <v>43</v>
      </c>
      <c r="B46" s="160">
        <f ca="1">TblImps[[#This Row],[Time]]</f>
        <v>44812.499999999898</v>
      </c>
      <c r="C46" s="161"/>
      <c r="D46" s="162"/>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331290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10000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50"/>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63">
        <f ca="1">OFFSET(TblConstr[[#This Row],[Tot Doc]],1,0)*dock_boats_hr * (1 + tech_4_1*TblTech[[#This Row],[4-1]])</f>
        <v>0</v>
      </c>
      <c r="Z46" s="162"/>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2]]/2,0),)</f>
        <v>0</v>
      </c>
      <c r="AF46" s="97">
        <f ca="1">OFFSET(TblConstr[[#This Row],[Tot DM]],1,0)*dm_gems</f>
        <v>0</v>
      </c>
      <c r="AG46" s="150"/>
      <c r="AH46" s="164">
        <f ca="1">MIN(race_platinum_bonus + IF(Magic!AD46&gt;0,midas_bonus) + TblImps[[#This Row],[Science]] - TblProd[[#This Row],[Guard]]*(0.02 + tech_5_7*TblTech[[#This Row],[5-7]]) + tech_1_5*TblTech[[#This Row],[1-5]] + tech_4_4*TblTech[[#This Row],[4-4]], 0.5)</f>
        <v>0</v>
      </c>
      <c r="AI4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64">
        <f ca="1">race_lumber_bonus+ IF(TblMagic[[#This Row],[Active Gaia''s Blessing]]&gt;0,gaias_blessing_lumber)+ tech_1_3*TblTech[[#This Row],[1-3]] + tech_1_6*TblTech[[#This Row],[1-6]] + tech_3_3*TblTech[[#This Row],[3-3]]</f>
        <v>0</v>
      </c>
      <c r="AK46" s="164">
        <f ca="1">race_mana_bonus+ 0 + TblImps[[#This Row],[Towers]] + tech_1_2*TblTech[[#This Row],[1-2]] + tech_3_4*TblTech[[#This Row],[3-4]]</f>
        <v>0</v>
      </c>
      <c r="AL46" s="164">
        <f ca="1">race_ore_bonus + IF(TblMagic[[#This Row],[Active Miner''s Sight]]&gt;0,miners_sight_bonus,IF(TblMagic[[#This Row],[Active Mining Strength]]&gt;0,mining_strength_bonus)) +  tech_1_6*TblTech[[#This Row],[1-6]]</f>
        <v>0</v>
      </c>
      <c r="AM46" s="164">
        <f>race_gem_bonus+ tech_3_2*TblTech[[#This Row],[3-2]] + tech_4_3*TblTech[[#This Row],[4-3]] + tech_6_2*TblTech[[#This Row],[6-2]]</f>
        <v>0</v>
      </c>
      <c r="AN46" s="150"/>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62"/>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Military!$CH$25*TblMili[[#This Row],[Sec. rec. Cost]]</f>
        <v>0</v>
      </c>
      <c r="AV46" s="97">
        <f ca="1">TblMagic[[#This Row],[Mana cost]] + Military!$CH$26*TblMili[[#This Row],[Sec. rec. Cost]]</f>
        <v>0</v>
      </c>
      <c r="AW46" s="97">
        <f ca="1">Military!$CH$24*TblMili[[#This Row],[Sec. rec. Cost]]+TblImps[[#This Row],[O1]]-TblProd[[#This Row],[Bank Ore]]</f>
        <v>0</v>
      </c>
      <c r="AX46" s="97">
        <f>TblImps[[#This Row],[G1]]-TblProd[[#This Row],[Bank Gems]]</f>
        <v>0</v>
      </c>
      <c r="AY46" s="150"/>
      <c r="AZ46" s="62" t="b">
        <f ca="1">IF(TblProd[[#This Row],[Set Guard]]&lt;&gt;"",TblProd[[#This Row],[Set Guard]],OFFSET(TblProd[[#This Row],[Guard]],-1,0))</f>
        <v>0</v>
      </c>
      <c r="BA46" s="161"/>
      <c r="BB46" s="45">
        <f>TblProd[[#This Row],[Hour]]</f>
        <v>43</v>
      </c>
      <c r="BC46" s="166">
        <f>-TblProd[[#This Row],[Bank Lumber]] / 2 + -TblProd[[#This Row],[Bank Gems]] * 2</f>
        <v>0</v>
      </c>
      <c r="BD46" s="166"/>
      <c r="BE46" s="166"/>
      <c r="BF46" s="166"/>
      <c r="BG46" s="167">
        <f ca="1">TblProd[[#This Row],[Time]]</f>
        <v>44812.499999999898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331290</v>
      </c>
      <c r="BJ46" s="97">
        <f ca="1">TblProd[[#This Row],[Food]]</f>
        <v>79616</v>
      </c>
      <c r="BK46" s="97">
        <f ca="1">TblProd[[#This Row],[Lumber]]</f>
        <v>44268</v>
      </c>
      <c r="BL46" s="97">
        <f ca="1">TblProd[[#This Row],[Mana]]</f>
        <v>0</v>
      </c>
      <c r="BM46" s="97">
        <f ca="1">TblProd[[#This Row],[Ore]]</f>
        <v>0</v>
      </c>
    </row>
    <row r="47" spans="1:65" x14ac:dyDescent="0.2">
      <c r="A47" s="145">
        <v>44</v>
      </c>
      <c r="B47" s="160">
        <f ca="1">TblImps[[#This Row],[Time]]</f>
        <v>44812.541666666562</v>
      </c>
      <c r="C47" s="161"/>
      <c r="D47" s="162"/>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336776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10000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50"/>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63">
        <f ca="1">OFFSET(TblConstr[[#This Row],[Tot Doc]],1,0)*dock_boats_hr * (1 + tech_4_1*TblTech[[#This Row],[4-1]])</f>
        <v>0</v>
      </c>
      <c r="Z47" s="162"/>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2]]/2,0),)</f>
        <v>0</v>
      </c>
      <c r="AF47" s="97">
        <f ca="1">OFFSET(TblConstr[[#This Row],[Tot DM]],1,0)*dm_gems</f>
        <v>0</v>
      </c>
      <c r="AG47" s="150"/>
      <c r="AH47" s="164">
        <f ca="1">MIN(race_platinum_bonus + IF(Magic!AD47&gt;0,midas_bonus) + TblImps[[#This Row],[Science]] - TblProd[[#This Row],[Guard]]*(0.02 + tech_5_7*TblTech[[#This Row],[5-7]]) + tech_1_5*TblTech[[#This Row],[1-5]] + tech_4_4*TblTech[[#This Row],[4-4]], 0.5)</f>
        <v>0</v>
      </c>
      <c r="AI4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64">
        <f ca="1">race_lumber_bonus+ IF(TblMagic[[#This Row],[Active Gaia''s Blessing]]&gt;0,gaias_blessing_lumber)+ tech_1_3*TblTech[[#This Row],[1-3]] + tech_1_6*TblTech[[#This Row],[1-6]] + tech_3_3*TblTech[[#This Row],[3-3]]</f>
        <v>0</v>
      </c>
      <c r="AK47" s="164">
        <f ca="1">race_mana_bonus+ 0 + TblImps[[#This Row],[Towers]] + tech_1_2*TblTech[[#This Row],[1-2]] + tech_3_4*TblTech[[#This Row],[3-4]]</f>
        <v>0</v>
      </c>
      <c r="AL47" s="164">
        <f ca="1">race_ore_bonus + IF(TblMagic[[#This Row],[Active Miner''s Sight]]&gt;0,miners_sight_bonus,IF(TblMagic[[#This Row],[Active Mining Strength]]&gt;0,mining_strength_bonus)) +  tech_1_6*TblTech[[#This Row],[1-6]]</f>
        <v>0</v>
      </c>
      <c r="AM47" s="164">
        <f>race_gem_bonus+ tech_3_2*TblTech[[#This Row],[3-2]] + tech_4_3*TblTech[[#This Row],[4-3]] + tech_6_2*TblTech[[#This Row],[6-2]]</f>
        <v>0</v>
      </c>
      <c r="AN47" s="150"/>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62"/>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Military!$CH$25*TblMili[[#This Row],[Sec. rec. Cost]]</f>
        <v>0</v>
      </c>
      <c r="AV47" s="97">
        <f ca="1">TblMagic[[#This Row],[Mana cost]] + Military!$CH$26*TblMili[[#This Row],[Sec. rec. Cost]]</f>
        <v>0</v>
      </c>
      <c r="AW47" s="97">
        <f ca="1">Military!$CH$24*TblMili[[#This Row],[Sec. rec. Cost]]+TblImps[[#This Row],[O1]]-TblProd[[#This Row],[Bank Ore]]</f>
        <v>0</v>
      </c>
      <c r="AX47" s="97">
        <f>TblImps[[#This Row],[G1]]-TblProd[[#This Row],[Bank Gems]]</f>
        <v>0</v>
      </c>
      <c r="AY47" s="150"/>
      <c r="AZ47" s="62" t="b">
        <f ca="1">IF(TblProd[[#This Row],[Set Guard]]&lt;&gt;"",TblProd[[#This Row],[Set Guard]],OFFSET(TblProd[[#This Row],[Guard]],-1,0))</f>
        <v>0</v>
      </c>
      <c r="BA47" s="161"/>
      <c r="BB47" s="45">
        <f>TblProd[[#This Row],[Hour]]</f>
        <v>44</v>
      </c>
      <c r="BC47" s="166">
        <f>-TblProd[[#This Row],[Bank Lumber]] / 2 + -TblProd[[#This Row],[Bank Gems]] * 2</f>
        <v>0</v>
      </c>
      <c r="BD47" s="166"/>
      <c r="BE47" s="166"/>
      <c r="BF47" s="166"/>
      <c r="BG47" s="167">
        <f ca="1">TblProd[[#This Row],[Time]]</f>
        <v>44812.541666666562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336776</v>
      </c>
      <c r="BJ47" s="97">
        <f ca="1">TblProd[[#This Row],[Food]]</f>
        <v>80810</v>
      </c>
      <c r="BK47" s="97">
        <f ca="1">TblProd[[#This Row],[Lumber]]</f>
        <v>44825</v>
      </c>
      <c r="BL47" s="97">
        <f ca="1">TblProd[[#This Row],[Mana]]</f>
        <v>0</v>
      </c>
      <c r="BM47" s="97">
        <f ca="1">TblProd[[#This Row],[Ore]]</f>
        <v>0</v>
      </c>
    </row>
    <row r="48" spans="1:65" x14ac:dyDescent="0.2">
      <c r="A48" s="145">
        <v>45</v>
      </c>
      <c r="B48" s="160">
        <f ca="1">TblImps[[#This Row],[Time]]</f>
        <v>44812.583333333227</v>
      </c>
      <c r="C48" s="161"/>
      <c r="D48" s="162"/>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342262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10000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50"/>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63">
        <f ca="1">OFFSET(TblConstr[[#This Row],[Tot Doc]],1,0)*dock_boats_hr * (1 + tech_4_1*TblTech[[#This Row],[4-1]])</f>
        <v>0</v>
      </c>
      <c r="Z48" s="162"/>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2]]/2,0),)</f>
        <v>0</v>
      </c>
      <c r="AF48" s="97">
        <f ca="1">OFFSET(TblConstr[[#This Row],[Tot DM]],1,0)*dm_gems</f>
        <v>0</v>
      </c>
      <c r="AG48" s="150"/>
      <c r="AH48" s="164">
        <f ca="1">MIN(race_platinum_bonus + IF(Magic!AD48&gt;0,midas_bonus) + TblImps[[#This Row],[Science]] - TblProd[[#This Row],[Guard]]*(0.02 + tech_5_7*TblTech[[#This Row],[5-7]]) + tech_1_5*TblTech[[#This Row],[1-5]] + tech_4_4*TblTech[[#This Row],[4-4]], 0.5)</f>
        <v>0</v>
      </c>
      <c r="AI4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64">
        <f ca="1">race_lumber_bonus+ IF(TblMagic[[#This Row],[Active Gaia''s Blessing]]&gt;0,gaias_blessing_lumber)+ tech_1_3*TblTech[[#This Row],[1-3]] + tech_1_6*TblTech[[#This Row],[1-6]] + tech_3_3*TblTech[[#This Row],[3-3]]</f>
        <v>0</v>
      </c>
      <c r="AK48" s="164">
        <f ca="1">race_mana_bonus+ 0 + TblImps[[#This Row],[Towers]] + tech_1_2*TblTech[[#This Row],[1-2]] + tech_3_4*TblTech[[#This Row],[3-4]]</f>
        <v>0</v>
      </c>
      <c r="AL48" s="164">
        <f ca="1">race_ore_bonus + IF(TblMagic[[#This Row],[Active Miner''s Sight]]&gt;0,miners_sight_bonus,IF(TblMagic[[#This Row],[Active Mining Strength]]&gt;0,mining_strength_bonus)) +  tech_1_6*TblTech[[#This Row],[1-6]]</f>
        <v>0</v>
      </c>
      <c r="AM48" s="164">
        <f>race_gem_bonus+ tech_3_2*TblTech[[#This Row],[3-2]] + tech_4_3*TblTech[[#This Row],[4-3]] + tech_6_2*TblTech[[#This Row],[6-2]]</f>
        <v>0</v>
      </c>
      <c r="AN48" s="150"/>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62"/>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Military!$CH$25*TblMili[[#This Row],[Sec. rec. Cost]]</f>
        <v>0</v>
      </c>
      <c r="AV48" s="97">
        <f ca="1">TblMagic[[#This Row],[Mana cost]] + Military!$CH$26*TblMili[[#This Row],[Sec. rec. Cost]]</f>
        <v>0</v>
      </c>
      <c r="AW48" s="97">
        <f ca="1">Military!$CH$24*TblMili[[#This Row],[Sec. rec. Cost]]+TblImps[[#This Row],[O1]]-TblProd[[#This Row],[Bank Ore]]</f>
        <v>0</v>
      </c>
      <c r="AX48" s="97">
        <f>TblImps[[#This Row],[G1]]-TblProd[[#This Row],[Bank Gems]]</f>
        <v>0</v>
      </c>
      <c r="AY48" s="150"/>
      <c r="AZ48" s="62" t="b">
        <f ca="1">IF(TblProd[[#This Row],[Set Guard]]&lt;&gt;"",TblProd[[#This Row],[Set Guard]],OFFSET(TblProd[[#This Row],[Guard]],-1,0))</f>
        <v>0</v>
      </c>
      <c r="BA48" s="161"/>
      <c r="BB48" s="45">
        <f>TblProd[[#This Row],[Hour]]</f>
        <v>45</v>
      </c>
      <c r="BC48" s="166">
        <f>-TblProd[[#This Row],[Bank Lumber]] / 2 + -TblProd[[#This Row],[Bank Gems]] * 2</f>
        <v>0</v>
      </c>
      <c r="BD48" s="166"/>
      <c r="BE48" s="166"/>
      <c r="BF48" s="166"/>
      <c r="BG48" s="167">
        <f ca="1">TblProd[[#This Row],[Time]]</f>
        <v>44812.583333333227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342262</v>
      </c>
      <c r="BJ48" s="97">
        <f ca="1">TblProd[[#This Row],[Food]]</f>
        <v>81992</v>
      </c>
      <c r="BK48" s="97">
        <f ca="1">TblProd[[#This Row],[Lumber]]</f>
        <v>45377</v>
      </c>
      <c r="BL48" s="97">
        <f ca="1">TblProd[[#This Row],[Mana]]</f>
        <v>0</v>
      </c>
      <c r="BM48" s="97">
        <f ca="1">TblProd[[#This Row],[Ore]]</f>
        <v>0</v>
      </c>
    </row>
    <row r="49" spans="1:65" x14ac:dyDescent="0.2">
      <c r="A49" s="145">
        <v>46</v>
      </c>
      <c r="B49" s="160">
        <f ca="1">TblImps[[#This Row],[Time]]</f>
        <v>44812.624999999891</v>
      </c>
      <c r="C49" s="161"/>
      <c r="D49" s="162"/>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347748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10000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50"/>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63">
        <f ca="1">OFFSET(TblConstr[[#This Row],[Tot Doc]],1,0)*dock_boats_hr * (1 + tech_4_1*TblTech[[#This Row],[4-1]])</f>
        <v>0</v>
      </c>
      <c r="Z49" s="162"/>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2]]/2,0),)</f>
        <v>0</v>
      </c>
      <c r="AF49" s="97">
        <f ca="1">OFFSET(TblConstr[[#This Row],[Tot DM]],1,0)*dm_gems</f>
        <v>0</v>
      </c>
      <c r="AG49" s="150"/>
      <c r="AH49" s="164">
        <f ca="1">MIN(race_platinum_bonus + IF(Magic!AD49&gt;0,midas_bonus) + TblImps[[#This Row],[Science]] - TblProd[[#This Row],[Guard]]*(0.02 + tech_5_7*TblTech[[#This Row],[5-7]]) + tech_1_5*TblTech[[#This Row],[1-5]] + tech_4_4*TblTech[[#This Row],[4-4]], 0.5)</f>
        <v>0</v>
      </c>
      <c r="AI4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64">
        <f ca="1">race_lumber_bonus+ IF(TblMagic[[#This Row],[Active Gaia''s Blessing]]&gt;0,gaias_blessing_lumber)+ tech_1_3*TblTech[[#This Row],[1-3]] + tech_1_6*TblTech[[#This Row],[1-6]] + tech_3_3*TblTech[[#This Row],[3-3]]</f>
        <v>0</v>
      </c>
      <c r="AK49" s="164">
        <f ca="1">race_mana_bonus+ 0 + TblImps[[#This Row],[Towers]] + tech_1_2*TblTech[[#This Row],[1-2]] + tech_3_4*TblTech[[#This Row],[3-4]]</f>
        <v>0</v>
      </c>
      <c r="AL49" s="164">
        <f ca="1">race_ore_bonus + IF(TblMagic[[#This Row],[Active Miner''s Sight]]&gt;0,miners_sight_bonus,IF(TblMagic[[#This Row],[Active Mining Strength]]&gt;0,mining_strength_bonus)) +  tech_1_6*TblTech[[#This Row],[1-6]]</f>
        <v>0</v>
      </c>
      <c r="AM49" s="164">
        <f>race_gem_bonus+ tech_3_2*TblTech[[#This Row],[3-2]] + tech_4_3*TblTech[[#This Row],[4-3]] + tech_6_2*TblTech[[#This Row],[6-2]]</f>
        <v>0</v>
      </c>
      <c r="AN49" s="150"/>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62"/>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Military!$CH$25*TblMili[[#This Row],[Sec. rec. Cost]]</f>
        <v>0</v>
      </c>
      <c r="AV49" s="97">
        <f ca="1">TblMagic[[#This Row],[Mana cost]] + Military!$CH$26*TblMili[[#This Row],[Sec. rec. Cost]]</f>
        <v>0</v>
      </c>
      <c r="AW49" s="97">
        <f ca="1">Military!$CH$24*TblMili[[#This Row],[Sec. rec. Cost]]+TblImps[[#This Row],[O1]]-TblProd[[#This Row],[Bank Ore]]</f>
        <v>0</v>
      </c>
      <c r="AX49" s="97">
        <f>TblImps[[#This Row],[G1]]-TblProd[[#This Row],[Bank Gems]]</f>
        <v>0</v>
      </c>
      <c r="AY49" s="150"/>
      <c r="AZ49" s="62" t="b">
        <f ca="1">IF(TblProd[[#This Row],[Set Guard]]&lt;&gt;"",TblProd[[#This Row],[Set Guard]],OFFSET(TblProd[[#This Row],[Guard]],-1,0))</f>
        <v>0</v>
      </c>
      <c r="BA49" s="161"/>
      <c r="BB49" s="45">
        <f>TblProd[[#This Row],[Hour]]</f>
        <v>46</v>
      </c>
      <c r="BC49" s="166">
        <f>-TblProd[[#This Row],[Bank Lumber]] / 2 + -TblProd[[#This Row],[Bank Gems]] * 2</f>
        <v>0</v>
      </c>
      <c r="BD49" s="166"/>
      <c r="BE49" s="166"/>
      <c r="BF49" s="166"/>
      <c r="BG49" s="167">
        <f ca="1">TblProd[[#This Row],[Time]]</f>
        <v>44812.624999999891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347748</v>
      </c>
      <c r="BJ49" s="97">
        <f ca="1">TblProd[[#This Row],[Food]]</f>
        <v>83163</v>
      </c>
      <c r="BK49" s="97">
        <f ca="1">TblProd[[#This Row],[Lumber]]</f>
        <v>45923</v>
      </c>
      <c r="BL49" s="97">
        <f ca="1">TblProd[[#This Row],[Mana]]</f>
        <v>0</v>
      </c>
      <c r="BM49" s="97">
        <f ca="1">TblProd[[#This Row],[Ore]]</f>
        <v>0</v>
      </c>
    </row>
    <row r="50" spans="1:65" x14ac:dyDescent="0.2">
      <c r="A50" s="145">
        <v>47</v>
      </c>
      <c r="B50" s="160">
        <f ca="1">TblImps[[#This Row],[Time]]</f>
        <v>44812.666666666555</v>
      </c>
      <c r="C50" s="161"/>
      <c r="D50" s="162"/>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353234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10000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50"/>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63">
        <f ca="1">OFFSET(TblConstr[[#This Row],[Tot Doc]],1,0)*dock_boats_hr * (1 + tech_4_1*TblTech[[#This Row],[4-1]])</f>
        <v>0</v>
      </c>
      <c r="Z50" s="162"/>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2]]/2,0),)</f>
        <v>0</v>
      </c>
      <c r="AF50" s="97">
        <f ca="1">OFFSET(TblConstr[[#This Row],[Tot DM]],1,0)*dm_gems</f>
        <v>0</v>
      </c>
      <c r="AG50" s="150"/>
      <c r="AH50" s="164">
        <f ca="1">MIN(race_platinum_bonus + IF(Magic!AD50&gt;0,midas_bonus) + TblImps[[#This Row],[Science]] - TblProd[[#This Row],[Guard]]*(0.02 + tech_5_7*TblTech[[#This Row],[5-7]]) + tech_1_5*TblTech[[#This Row],[1-5]] + tech_4_4*TblTech[[#This Row],[4-4]], 0.5)</f>
        <v>0</v>
      </c>
      <c r="AI5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64">
        <f ca="1">race_lumber_bonus+ IF(TblMagic[[#This Row],[Active Gaia''s Blessing]]&gt;0,gaias_blessing_lumber)+ tech_1_3*TblTech[[#This Row],[1-3]] + tech_1_6*TblTech[[#This Row],[1-6]] + tech_3_3*TblTech[[#This Row],[3-3]]</f>
        <v>0</v>
      </c>
      <c r="AK50" s="164">
        <f ca="1">race_mana_bonus+ 0 + TblImps[[#This Row],[Towers]] + tech_1_2*TblTech[[#This Row],[1-2]] + tech_3_4*TblTech[[#This Row],[3-4]]</f>
        <v>0</v>
      </c>
      <c r="AL50" s="164">
        <f ca="1">race_ore_bonus + IF(TblMagic[[#This Row],[Active Miner''s Sight]]&gt;0,miners_sight_bonus,IF(TblMagic[[#This Row],[Active Mining Strength]]&gt;0,mining_strength_bonus)) +  tech_1_6*TblTech[[#This Row],[1-6]]</f>
        <v>0</v>
      </c>
      <c r="AM50" s="164">
        <f>race_gem_bonus+ tech_3_2*TblTech[[#This Row],[3-2]] + tech_4_3*TblTech[[#This Row],[4-3]] + tech_6_2*TblTech[[#This Row],[6-2]]</f>
        <v>0</v>
      </c>
      <c r="AN50" s="150"/>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62"/>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Military!$CH$25*TblMili[[#This Row],[Sec. rec. Cost]]</f>
        <v>0</v>
      </c>
      <c r="AV50" s="97">
        <f ca="1">TblMagic[[#This Row],[Mana cost]] + Military!$CH$26*TblMili[[#This Row],[Sec. rec. Cost]]</f>
        <v>0</v>
      </c>
      <c r="AW50" s="97">
        <f ca="1">Military!$CH$24*TblMili[[#This Row],[Sec. rec. Cost]]+TblImps[[#This Row],[O1]]-TblProd[[#This Row],[Bank Ore]]</f>
        <v>0</v>
      </c>
      <c r="AX50" s="97">
        <f>TblImps[[#This Row],[G1]]-TblProd[[#This Row],[Bank Gems]]</f>
        <v>0</v>
      </c>
      <c r="AY50" s="150"/>
      <c r="AZ50" s="62" t="b">
        <f ca="1">IF(TblProd[[#This Row],[Set Guard]]&lt;&gt;"",TblProd[[#This Row],[Set Guard]],OFFSET(TblProd[[#This Row],[Guard]],-1,0))</f>
        <v>0</v>
      </c>
      <c r="BA50" s="161"/>
      <c r="BB50" s="45">
        <f>TblProd[[#This Row],[Hour]]</f>
        <v>47</v>
      </c>
      <c r="BC50" s="166">
        <f>-TblProd[[#This Row],[Bank Lumber]] / 2 + -TblProd[[#This Row],[Bank Gems]] * 2</f>
        <v>0</v>
      </c>
      <c r="BD50" s="166"/>
      <c r="BE50" s="166"/>
      <c r="BF50" s="166"/>
      <c r="BG50" s="167">
        <f ca="1">TblProd[[#This Row],[Time]]</f>
        <v>44812.666666666555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353234</v>
      </c>
      <c r="BJ50" s="97">
        <f ca="1">TblProd[[#This Row],[Food]]</f>
        <v>84322</v>
      </c>
      <c r="BK50" s="97">
        <f ca="1">TblProd[[#This Row],[Lumber]]</f>
        <v>46464</v>
      </c>
      <c r="BL50" s="97">
        <f ca="1">TblProd[[#This Row],[Mana]]</f>
        <v>0</v>
      </c>
      <c r="BM50" s="97">
        <f ca="1">TblProd[[#This Row],[Ore]]</f>
        <v>0</v>
      </c>
    </row>
    <row r="51" spans="1:65" x14ac:dyDescent="0.2">
      <c r="A51" s="145">
        <v>48</v>
      </c>
      <c r="B51" s="160">
        <f ca="1">TblImps[[#This Row],[Time]]</f>
        <v>44812.708333333219</v>
      </c>
      <c r="C51" s="161"/>
      <c r="D51" s="162"/>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358720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10000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50"/>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63">
        <f ca="1">OFFSET(TblConstr[[#This Row],[Tot Doc]],1,0)*dock_boats_hr * (1 + tech_4_1*TblTech[[#This Row],[4-1]])</f>
        <v>0</v>
      </c>
      <c r="Z51" s="162"/>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2]]/2,0),)</f>
        <v>0</v>
      </c>
      <c r="AF51" s="97">
        <f ca="1">OFFSET(TblConstr[[#This Row],[Tot DM]],1,0)*dm_gems</f>
        <v>0</v>
      </c>
      <c r="AG51" s="150"/>
      <c r="AH51" s="164">
        <f ca="1">MIN(race_platinum_bonus + IF(Magic!AD51&gt;0,midas_bonus) + TblImps[[#This Row],[Science]] - TblProd[[#This Row],[Guard]]*(0.02 + tech_5_7*TblTech[[#This Row],[5-7]]) + tech_1_5*TblTech[[#This Row],[1-5]] + tech_4_4*TblTech[[#This Row],[4-4]], 0.5)</f>
        <v>0</v>
      </c>
      <c r="AI5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64">
        <f ca="1">race_lumber_bonus+ IF(TblMagic[[#This Row],[Active Gaia''s Blessing]]&gt;0,gaias_blessing_lumber)+ tech_1_3*TblTech[[#This Row],[1-3]] + tech_1_6*TblTech[[#This Row],[1-6]] + tech_3_3*TblTech[[#This Row],[3-3]]</f>
        <v>0</v>
      </c>
      <c r="AK51" s="164">
        <f ca="1">race_mana_bonus+ 0 + TblImps[[#This Row],[Towers]] + tech_1_2*TblTech[[#This Row],[1-2]] + tech_3_4*TblTech[[#This Row],[3-4]]</f>
        <v>0</v>
      </c>
      <c r="AL51" s="164">
        <f ca="1">race_ore_bonus + IF(TblMagic[[#This Row],[Active Miner''s Sight]]&gt;0,miners_sight_bonus,IF(TblMagic[[#This Row],[Active Mining Strength]]&gt;0,mining_strength_bonus)) +  tech_1_6*TblTech[[#This Row],[1-6]]</f>
        <v>0</v>
      </c>
      <c r="AM51" s="164">
        <f>race_gem_bonus+ tech_3_2*TblTech[[#This Row],[3-2]] + tech_4_3*TblTech[[#This Row],[4-3]] + tech_6_2*TblTech[[#This Row],[6-2]]</f>
        <v>0</v>
      </c>
      <c r="AN51" s="150"/>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62"/>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Military!$CH$25*TblMili[[#This Row],[Sec. rec. Cost]]</f>
        <v>0</v>
      </c>
      <c r="AV51" s="97">
        <f ca="1">TblMagic[[#This Row],[Mana cost]] + Military!$CH$26*TblMili[[#This Row],[Sec. rec. Cost]]</f>
        <v>0</v>
      </c>
      <c r="AW51" s="97">
        <f ca="1">Military!$CH$24*TblMili[[#This Row],[Sec. rec. Cost]]+TblImps[[#This Row],[O1]]-TblProd[[#This Row],[Bank Ore]]</f>
        <v>0</v>
      </c>
      <c r="AX51" s="97">
        <f>TblImps[[#This Row],[G1]]-TblProd[[#This Row],[Bank Gems]]</f>
        <v>0</v>
      </c>
      <c r="AY51" s="150"/>
      <c r="AZ51" s="62" t="b">
        <f ca="1">IF(TblProd[[#This Row],[Set Guard]]&lt;&gt;"",TblProd[[#This Row],[Set Guard]],OFFSET(TblProd[[#This Row],[Guard]],-1,0))</f>
        <v>0</v>
      </c>
      <c r="BA51" s="161"/>
      <c r="BB51" s="45">
        <f>TblProd[[#This Row],[Hour]]</f>
        <v>48</v>
      </c>
      <c r="BC51" s="166">
        <f>-TblProd[[#This Row],[Bank Lumber]] / 2 + -TblProd[[#This Row],[Bank Gems]] * 2</f>
        <v>0</v>
      </c>
      <c r="BD51" s="166"/>
      <c r="BE51" s="166"/>
      <c r="BF51" s="166"/>
      <c r="BG51" s="167">
        <f ca="1">TblProd[[#This Row],[Time]]</f>
        <v>44812.708333333219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358720</v>
      </c>
      <c r="BJ51" s="97">
        <f ca="1">TblProd[[#This Row],[Food]]</f>
        <v>85469</v>
      </c>
      <c r="BK51" s="97">
        <f ca="1">TblProd[[#This Row],[Lumber]]</f>
        <v>46999</v>
      </c>
      <c r="BL51" s="97">
        <f ca="1">TblProd[[#This Row],[Mana]]</f>
        <v>0</v>
      </c>
      <c r="BM51" s="97">
        <f ca="1">TblProd[[#This Row],[Ore]]</f>
        <v>0</v>
      </c>
    </row>
    <row r="52" spans="1:65" x14ac:dyDescent="0.2">
      <c r="A52" s="145">
        <v>49</v>
      </c>
      <c r="B52" s="160">
        <f ca="1">TblImps[[#This Row],[Time]]</f>
        <v>44812.749999999884</v>
      </c>
      <c r="C52" s="161"/>
      <c r="D52" s="162"/>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364206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10000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50"/>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63">
        <f ca="1">OFFSET(TblConstr[[#This Row],[Tot Doc]],1,0)*dock_boats_hr * (1 + tech_4_1*TblTech[[#This Row],[4-1]])</f>
        <v>0</v>
      </c>
      <c r="Z52" s="162"/>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2]]/2,0),)</f>
        <v>0</v>
      </c>
      <c r="AF52" s="97">
        <f ca="1">OFFSET(TblConstr[[#This Row],[Tot DM]],1,0)*dm_gems</f>
        <v>0</v>
      </c>
      <c r="AG52" s="150"/>
      <c r="AH52" s="164">
        <f ca="1">MIN(race_platinum_bonus + IF(Magic!AD52&gt;0,midas_bonus) + TblImps[[#This Row],[Science]] - TblProd[[#This Row],[Guard]]*(0.02 + tech_5_7*TblTech[[#This Row],[5-7]]) + tech_1_5*TblTech[[#This Row],[1-5]] + tech_4_4*TblTech[[#This Row],[4-4]], 0.5)</f>
        <v>0</v>
      </c>
      <c r="AI5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64">
        <f ca="1">race_lumber_bonus+ IF(TblMagic[[#This Row],[Active Gaia''s Blessing]]&gt;0,gaias_blessing_lumber)+ tech_1_3*TblTech[[#This Row],[1-3]] + tech_1_6*TblTech[[#This Row],[1-6]] + tech_3_3*TblTech[[#This Row],[3-3]]</f>
        <v>0</v>
      </c>
      <c r="AK52" s="164">
        <f ca="1">race_mana_bonus+ 0 + TblImps[[#This Row],[Towers]] + tech_1_2*TblTech[[#This Row],[1-2]] + tech_3_4*TblTech[[#This Row],[3-4]]</f>
        <v>0</v>
      </c>
      <c r="AL52" s="164">
        <f ca="1">race_ore_bonus + IF(TblMagic[[#This Row],[Active Miner''s Sight]]&gt;0,miners_sight_bonus,IF(TblMagic[[#This Row],[Active Mining Strength]]&gt;0,mining_strength_bonus)) +  tech_1_6*TblTech[[#This Row],[1-6]]</f>
        <v>0</v>
      </c>
      <c r="AM52" s="164">
        <f>race_gem_bonus+ tech_3_2*TblTech[[#This Row],[3-2]] + tech_4_3*TblTech[[#This Row],[4-3]] + tech_6_2*TblTech[[#This Row],[6-2]]</f>
        <v>0</v>
      </c>
      <c r="AN52" s="150"/>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62"/>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Military!$CH$25*TblMili[[#This Row],[Sec. rec. Cost]]</f>
        <v>0</v>
      </c>
      <c r="AV52" s="97">
        <f ca="1">TblMagic[[#This Row],[Mana cost]] + Military!$CH$26*TblMili[[#This Row],[Sec. rec. Cost]]</f>
        <v>0</v>
      </c>
      <c r="AW52" s="97">
        <f ca="1">Military!$CH$24*TblMili[[#This Row],[Sec. rec. Cost]]+TblImps[[#This Row],[O1]]-TblProd[[#This Row],[Bank Ore]]</f>
        <v>0</v>
      </c>
      <c r="AX52" s="97">
        <f>TblImps[[#This Row],[G1]]-TblProd[[#This Row],[Bank Gems]]</f>
        <v>0</v>
      </c>
      <c r="AY52" s="150"/>
      <c r="AZ52" s="62" t="b">
        <f ca="1">IF(TblProd[[#This Row],[Set Guard]]&lt;&gt;"",TblProd[[#This Row],[Set Guard]],OFFSET(TblProd[[#This Row],[Guard]],-1,0))</f>
        <v>0</v>
      </c>
      <c r="BA52" s="161"/>
      <c r="BB52" s="45">
        <f>TblProd[[#This Row],[Hour]]</f>
        <v>49</v>
      </c>
      <c r="BC52" s="166">
        <f>-TblProd[[#This Row],[Bank Lumber]] / 2 + -TblProd[[#This Row],[Bank Gems]] * 2</f>
        <v>0</v>
      </c>
      <c r="BD52" s="166"/>
      <c r="BE52" s="166"/>
      <c r="BF52" s="166"/>
      <c r="BG52" s="167">
        <f ca="1">TblProd[[#This Row],[Time]]</f>
        <v>44812.749999999884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364206</v>
      </c>
      <c r="BJ52" s="97">
        <f ca="1">TblProd[[#This Row],[Food]]</f>
        <v>86605</v>
      </c>
      <c r="BK52" s="97">
        <f ca="1">TblProd[[#This Row],[Lumber]]</f>
        <v>47529</v>
      </c>
      <c r="BL52" s="97">
        <f ca="1">TblProd[[#This Row],[Mana]]</f>
        <v>0</v>
      </c>
      <c r="BM52" s="97">
        <f ca="1">TblProd[[#This Row],[Ore]]</f>
        <v>0</v>
      </c>
    </row>
    <row r="53" spans="1:65" x14ac:dyDescent="0.2">
      <c r="A53" s="145">
        <v>50</v>
      </c>
      <c r="B53" s="160">
        <f ca="1">TblImps[[#This Row],[Time]]</f>
        <v>44812.791666666548</v>
      </c>
      <c r="C53" s="161"/>
      <c r="D53" s="162"/>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369692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10000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50"/>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63">
        <f ca="1">OFFSET(TblConstr[[#This Row],[Tot Doc]],1,0)*dock_boats_hr * (1 + tech_4_1*TblTech[[#This Row],[4-1]])</f>
        <v>0</v>
      </c>
      <c r="Z53" s="162"/>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2]]/2,0),)</f>
        <v>0</v>
      </c>
      <c r="AF53" s="97">
        <f ca="1">OFFSET(TblConstr[[#This Row],[Tot DM]],1,0)*dm_gems</f>
        <v>0</v>
      </c>
      <c r="AG53" s="150"/>
      <c r="AH53" s="164">
        <f ca="1">MIN(race_platinum_bonus + IF(Magic!AD53&gt;0,midas_bonus) + TblImps[[#This Row],[Science]] - TblProd[[#This Row],[Guard]]*(0.02 + tech_5_7*TblTech[[#This Row],[5-7]]) + tech_1_5*TblTech[[#This Row],[1-5]] + tech_4_4*TblTech[[#This Row],[4-4]], 0.5)</f>
        <v>0</v>
      </c>
      <c r="AI5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64">
        <f ca="1">race_lumber_bonus+ IF(TblMagic[[#This Row],[Active Gaia''s Blessing]]&gt;0,gaias_blessing_lumber)+ tech_1_3*TblTech[[#This Row],[1-3]] + tech_1_6*TblTech[[#This Row],[1-6]] + tech_3_3*TblTech[[#This Row],[3-3]]</f>
        <v>0</v>
      </c>
      <c r="AK53" s="164">
        <f ca="1">race_mana_bonus+ 0 + TblImps[[#This Row],[Towers]] + tech_1_2*TblTech[[#This Row],[1-2]] + tech_3_4*TblTech[[#This Row],[3-4]]</f>
        <v>0</v>
      </c>
      <c r="AL53" s="164">
        <f ca="1">race_ore_bonus + IF(TblMagic[[#This Row],[Active Miner''s Sight]]&gt;0,miners_sight_bonus,IF(TblMagic[[#This Row],[Active Mining Strength]]&gt;0,mining_strength_bonus)) +  tech_1_6*TblTech[[#This Row],[1-6]]</f>
        <v>0</v>
      </c>
      <c r="AM53" s="164">
        <f>race_gem_bonus+ tech_3_2*TblTech[[#This Row],[3-2]] + tech_4_3*TblTech[[#This Row],[4-3]] + tech_6_2*TblTech[[#This Row],[6-2]]</f>
        <v>0</v>
      </c>
      <c r="AN53" s="150"/>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62"/>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Military!$CH$25*TblMili[[#This Row],[Sec. rec. Cost]]</f>
        <v>0</v>
      </c>
      <c r="AV53" s="97">
        <f ca="1">TblMagic[[#This Row],[Mana cost]] + Military!$CH$26*TblMili[[#This Row],[Sec. rec. Cost]]</f>
        <v>0</v>
      </c>
      <c r="AW53" s="97">
        <f ca="1">Military!$CH$24*TblMili[[#This Row],[Sec. rec. Cost]]+TblImps[[#This Row],[O1]]-TblProd[[#This Row],[Bank Ore]]</f>
        <v>0</v>
      </c>
      <c r="AX53" s="97">
        <f>TblImps[[#This Row],[G1]]-TblProd[[#This Row],[Bank Gems]]</f>
        <v>0</v>
      </c>
      <c r="AY53" s="150"/>
      <c r="AZ53" s="62" t="b">
        <f ca="1">IF(TblProd[[#This Row],[Set Guard]]&lt;&gt;"",TblProd[[#This Row],[Set Guard]],OFFSET(TblProd[[#This Row],[Guard]],-1,0))</f>
        <v>0</v>
      </c>
      <c r="BA53" s="161"/>
      <c r="BB53" s="45">
        <f>TblProd[[#This Row],[Hour]]</f>
        <v>50</v>
      </c>
      <c r="BC53" s="166">
        <f>-TblProd[[#This Row],[Bank Lumber]] / 2 + -TblProd[[#This Row],[Bank Gems]] * 2</f>
        <v>0</v>
      </c>
      <c r="BD53" s="166"/>
      <c r="BE53" s="166"/>
      <c r="BF53" s="166"/>
      <c r="BG53" s="167">
        <f ca="1">TblProd[[#This Row],[Time]]</f>
        <v>44812.791666666548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369692</v>
      </c>
      <c r="BJ53" s="97">
        <f ca="1">TblProd[[#This Row],[Food]]</f>
        <v>87729</v>
      </c>
      <c r="BK53" s="97">
        <f ca="1">TblProd[[#This Row],[Lumber]]</f>
        <v>48054</v>
      </c>
      <c r="BL53" s="97">
        <f ca="1">TblProd[[#This Row],[Mana]]</f>
        <v>0</v>
      </c>
      <c r="BM53" s="97">
        <f ca="1">TblProd[[#This Row],[Ore]]</f>
        <v>0</v>
      </c>
    </row>
    <row r="54" spans="1:65" x14ac:dyDescent="0.2">
      <c r="A54" s="145">
        <v>51</v>
      </c>
      <c r="B54" s="160">
        <f ca="1">TblImps[[#This Row],[Time]]</f>
        <v>44812.833333333212</v>
      </c>
      <c r="C54" s="161"/>
      <c r="D54" s="162"/>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375178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10000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50"/>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63">
        <f ca="1">OFFSET(TblConstr[[#This Row],[Tot Doc]],1,0)*dock_boats_hr * (1 + tech_4_1*TblTech[[#This Row],[4-1]])</f>
        <v>0</v>
      </c>
      <c r="Z54" s="162"/>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2]]/2,0),)</f>
        <v>0</v>
      </c>
      <c r="AF54" s="97">
        <f ca="1">OFFSET(TblConstr[[#This Row],[Tot DM]],1,0)*dm_gems</f>
        <v>0</v>
      </c>
      <c r="AG54" s="150"/>
      <c r="AH54" s="164">
        <f ca="1">MIN(race_platinum_bonus + IF(Magic!AD54&gt;0,midas_bonus) + TblImps[[#This Row],[Science]] - TblProd[[#This Row],[Guard]]*(0.02 + tech_5_7*TblTech[[#This Row],[5-7]]) + tech_1_5*TblTech[[#This Row],[1-5]] + tech_4_4*TblTech[[#This Row],[4-4]], 0.5)</f>
        <v>0</v>
      </c>
      <c r="AI5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64">
        <f ca="1">race_lumber_bonus+ IF(TblMagic[[#This Row],[Active Gaia''s Blessing]]&gt;0,gaias_blessing_lumber)+ tech_1_3*TblTech[[#This Row],[1-3]] + tech_1_6*TblTech[[#This Row],[1-6]] + tech_3_3*TblTech[[#This Row],[3-3]]</f>
        <v>0</v>
      </c>
      <c r="AK54" s="164">
        <f ca="1">race_mana_bonus+ 0 + TblImps[[#This Row],[Towers]] + tech_1_2*TblTech[[#This Row],[1-2]] + tech_3_4*TblTech[[#This Row],[3-4]]</f>
        <v>0</v>
      </c>
      <c r="AL54" s="164">
        <f ca="1">race_ore_bonus + IF(TblMagic[[#This Row],[Active Miner''s Sight]]&gt;0,miners_sight_bonus,IF(TblMagic[[#This Row],[Active Mining Strength]]&gt;0,mining_strength_bonus)) +  tech_1_6*TblTech[[#This Row],[1-6]]</f>
        <v>0</v>
      </c>
      <c r="AM54" s="164">
        <f>race_gem_bonus+ tech_3_2*TblTech[[#This Row],[3-2]] + tech_4_3*TblTech[[#This Row],[4-3]] + tech_6_2*TblTech[[#This Row],[6-2]]</f>
        <v>0</v>
      </c>
      <c r="AN54" s="150"/>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62"/>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Military!$CH$25*TblMili[[#This Row],[Sec. rec. Cost]]</f>
        <v>0</v>
      </c>
      <c r="AV54" s="97">
        <f ca="1">TblMagic[[#This Row],[Mana cost]] + Military!$CH$26*TblMili[[#This Row],[Sec. rec. Cost]]</f>
        <v>0</v>
      </c>
      <c r="AW54" s="97">
        <f ca="1">Military!$CH$24*TblMili[[#This Row],[Sec. rec. Cost]]+TblImps[[#This Row],[O1]]-TblProd[[#This Row],[Bank Ore]]</f>
        <v>0</v>
      </c>
      <c r="AX54" s="97">
        <f>TblImps[[#This Row],[G1]]-TblProd[[#This Row],[Bank Gems]]</f>
        <v>0</v>
      </c>
      <c r="AY54" s="150"/>
      <c r="AZ54" s="62" t="b">
        <f ca="1">IF(TblProd[[#This Row],[Set Guard]]&lt;&gt;"",TblProd[[#This Row],[Set Guard]],OFFSET(TblProd[[#This Row],[Guard]],-1,0))</f>
        <v>0</v>
      </c>
      <c r="BA54" s="161"/>
      <c r="BB54" s="45">
        <f>TblProd[[#This Row],[Hour]]</f>
        <v>51</v>
      </c>
      <c r="BC54" s="166">
        <f>-TblProd[[#This Row],[Bank Lumber]] / 2 + -TblProd[[#This Row],[Bank Gems]] * 2</f>
        <v>0</v>
      </c>
      <c r="BD54" s="166"/>
      <c r="BE54" s="166"/>
      <c r="BF54" s="166"/>
      <c r="BG54" s="167">
        <f ca="1">TblProd[[#This Row],[Time]]</f>
        <v>44812.833333333212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375178</v>
      </c>
      <c r="BJ54" s="97">
        <f ca="1">TblProd[[#This Row],[Food]]</f>
        <v>88842</v>
      </c>
      <c r="BK54" s="97">
        <f ca="1">TblProd[[#This Row],[Lumber]]</f>
        <v>48573</v>
      </c>
      <c r="BL54" s="97">
        <f ca="1">TblProd[[#This Row],[Mana]]</f>
        <v>0</v>
      </c>
      <c r="BM54" s="97">
        <f ca="1">TblProd[[#This Row],[Ore]]</f>
        <v>0</v>
      </c>
    </row>
    <row r="55" spans="1:65" x14ac:dyDescent="0.2">
      <c r="A55" s="145">
        <v>52</v>
      </c>
      <c r="B55" s="160">
        <f ca="1">TblImps[[#This Row],[Time]]</f>
        <v>44812.874999999876</v>
      </c>
      <c r="C55" s="161"/>
      <c r="D55" s="162"/>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380664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10000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50"/>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63">
        <f ca="1">OFFSET(TblConstr[[#This Row],[Tot Doc]],1,0)*dock_boats_hr * (1 + tech_4_1*TblTech[[#This Row],[4-1]])</f>
        <v>0</v>
      </c>
      <c r="Z55" s="162"/>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2]]/2,0),)</f>
        <v>0</v>
      </c>
      <c r="AF55" s="97">
        <f ca="1">OFFSET(TblConstr[[#This Row],[Tot DM]],1,0)*dm_gems</f>
        <v>0</v>
      </c>
      <c r="AG55" s="150"/>
      <c r="AH55" s="164">
        <f ca="1">MIN(race_platinum_bonus + IF(Magic!AD55&gt;0,midas_bonus) + TblImps[[#This Row],[Science]] - TblProd[[#This Row],[Guard]]*(0.02 + tech_5_7*TblTech[[#This Row],[5-7]]) + tech_1_5*TblTech[[#This Row],[1-5]] + tech_4_4*TblTech[[#This Row],[4-4]], 0.5)</f>
        <v>0</v>
      </c>
      <c r="AI5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64">
        <f ca="1">race_lumber_bonus+ IF(TblMagic[[#This Row],[Active Gaia''s Blessing]]&gt;0,gaias_blessing_lumber)+ tech_1_3*TblTech[[#This Row],[1-3]] + tech_1_6*TblTech[[#This Row],[1-6]] + tech_3_3*TblTech[[#This Row],[3-3]]</f>
        <v>0</v>
      </c>
      <c r="AK55" s="164">
        <f ca="1">race_mana_bonus+ 0 + TblImps[[#This Row],[Towers]] + tech_1_2*TblTech[[#This Row],[1-2]] + tech_3_4*TblTech[[#This Row],[3-4]]</f>
        <v>0</v>
      </c>
      <c r="AL55" s="164">
        <f ca="1">race_ore_bonus + IF(TblMagic[[#This Row],[Active Miner''s Sight]]&gt;0,miners_sight_bonus,IF(TblMagic[[#This Row],[Active Mining Strength]]&gt;0,mining_strength_bonus)) +  tech_1_6*TblTech[[#This Row],[1-6]]</f>
        <v>0</v>
      </c>
      <c r="AM55" s="164">
        <f>race_gem_bonus+ tech_3_2*TblTech[[#This Row],[3-2]] + tech_4_3*TblTech[[#This Row],[4-3]] + tech_6_2*TblTech[[#This Row],[6-2]]</f>
        <v>0</v>
      </c>
      <c r="AN55" s="150"/>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62"/>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Military!$CH$25*TblMili[[#This Row],[Sec. rec. Cost]]</f>
        <v>0</v>
      </c>
      <c r="AV55" s="97">
        <f ca="1">TblMagic[[#This Row],[Mana cost]] + Military!$CH$26*TblMili[[#This Row],[Sec. rec. Cost]]</f>
        <v>0</v>
      </c>
      <c r="AW55" s="97">
        <f ca="1">Military!$CH$24*TblMili[[#This Row],[Sec. rec. Cost]]+TblImps[[#This Row],[O1]]-TblProd[[#This Row],[Bank Ore]]</f>
        <v>0</v>
      </c>
      <c r="AX55" s="97">
        <f>TblImps[[#This Row],[G1]]-TblProd[[#This Row],[Bank Gems]]</f>
        <v>0</v>
      </c>
      <c r="AY55" s="150"/>
      <c r="AZ55" s="62" t="b">
        <f ca="1">IF(TblProd[[#This Row],[Set Guard]]&lt;&gt;"",TblProd[[#This Row],[Set Guard]],OFFSET(TblProd[[#This Row],[Guard]],-1,0))</f>
        <v>0</v>
      </c>
      <c r="BA55" s="161"/>
      <c r="BB55" s="45">
        <f>TblProd[[#This Row],[Hour]]</f>
        <v>52</v>
      </c>
      <c r="BC55" s="166">
        <f>-TblProd[[#This Row],[Bank Lumber]] / 2 + -TblProd[[#This Row],[Bank Gems]] * 2</f>
        <v>0</v>
      </c>
      <c r="BD55" s="166"/>
      <c r="BE55" s="166"/>
      <c r="BF55" s="166"/>
      <c r="BG55" s="167">
        <f ca="1">TblProd[[#This Row],[Time]]</f>
        <v>44812.874999999876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380664</v>
      </c>
      <c r="BJ55" s="97">
        <f ca="1">TblProd[[#This Row],[Food]]</f>
        <v>89944</v>
      </c>
      <c r="BK55" s="97">
        <f ca="1">TblProd[[#This Row],[Lumber]]</f>
        <v>49087</v>
      </c>
      <c r="BL55" s="97">
        <f ca="1">TblProd[[#This Row],[Mana]]</f>
        <v>0</v>
      </c>
      <c r="BM55" s="97">
        <f ca="1">TblProd[[#This Row],[Ore]]</f>
        <v>0</v>
      </c>
    </row>
    <row r="56" spans="1:65" x14ac:dyDescent="0.2">
      <c r="A56" s="145">
        <v>53</v>
      </c>
      <c r="B56" s="160">
        <f ca="1">TblImps[[#This Row],[Time]]</f>
        <v>44812.916666666541</v>
      </c>
      <c r="C56" s="161"/>
      <c r="D56" s="162"/>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386150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10000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50"/>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63">
        <f ca="1">OFFSET(TblConstr[[#This Row],[Tot Doc]],1,0)*dock_boats_hr * (1 + tech_4_1*TblTech[[#This Row],[4-1]])</f>
        <v>0</v>
      </c>
      <c r="Z56" s="162"/>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2]]/2,0),)</f>
        <v>0</v>
      </c>
      <c r="AF56" s="97">
        <f ca="1">OFFSET(TblConstr[[#This Row],[Tot DM]],1,0)*dm_gems</f>
        <v>0</v>
      </c>
      <c r="AG56" s="150"/>
      <c r="AH56" s="164">
        <f ca="1">MIN(race_platinum_bonus + IF(Magic!AD56&gt;0,midas_bonus) + TblImps[[#This Row],[Science]] - TblProd[[#This Row],[Guard]]*(0.02 + tech_5_7*TblTech[[#This Row],[5-7]]) + tech_1_5*TblTech[[#This Row],[1-5]] + tech_4_4*TblTech[[#This Row],[4-4]], 0.5)</f>
        <v>0</v>
      </c>
      <c r="AI5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64">
        <f ca="1">race_lumber_bonus+ IF(TblMagic[[#This Row],[Active Gaia''s Blessing]]&gt;0,gaias_blessing_lumber)+ tech_1_3*TblTech[[#This Row],[1-3]] + tech_1_6*TblTech[[#This Row],[1-6]] + tech_3_3*TblTech[[#This Row],[3-3]]</f>
        <v>0</v>
      </c>
      <c r="AK56" s="164">
        <f ca="1">race_mana_bonus+ 0 + TblImps[[#This Row],[Towers]] + tech_1_2*TblTech[[#This Row],[1-2]] + tech_3_4*TblTech[[#This Row],[3-4]]</f>
        <v>0</v>
      </c>
      <c r="AL56" s="164">
        <f ca="1">race_ore_bonus + IF(TblMagic[[#This Row],[Active Miner''s Sight]]&gt;0,miners_sight_bonus,IF(TblMagic[[#This Row],[Active Mining Strength]]&gt;0,mining_strength_bonus)) +  tech_1_6*TblTech[[#This Row],[1-6]]</f>
        <v>0</v>
      </c>
      <c r="AM56" s="164">
        <f>race_gem_bonus+ tech_3_2*TblTech[[#This Row],[3-2]] + tech_4_3*TblTech[[#This Row],[4-3]] + tech_6_2*TblTech[[#This Row],[6-2]]</f>
        <v>0</v>
      </c>
      <c r="AN56" s="150"/>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62"/>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Military!$CH$25*TblMili[[#This Row],[Sec. rec. Cost]]</f>
        <v>0</v>
      </c>
      <c r="AV56" s="97">
        <f ca="1">TblMagic[[#This Row],[Mana cost]] + Military!$CH$26*TblMili[[#This Row],[Sec. rec. Cost]]</f>
        <v>0</v>
      </c>
      <c r="AW56" s="97">
        <f ca="1">Military!$CH$24*TblMili[[#This Row],[Sec. rec. Cost]]+TblImps[[#This Row],[O1]]-TblProd[[#This Row],[Bank Ore]]</f>
        <v>0</v>
      </c>
      <c r="AX56" s="97">
        <f>TblImps[[#This Row],[G1]]-TblProd[[#This Row],[Bank Gems]]</f>
        <v>0</v>
      </c>
      <c r="AY56" s="150"/>
      <c r="AZ56" s="62" t="b">
        <f ca="1">IF(TblProd[[#This Row],[Set Guard]]&lt;&gt;"",TblProd[[#This Row],[Set Guard]],OFFSET(TblProd[[#This Row],[Guard]],-1,0))</f>
        <v>0</v>
      </c>
      <c r="BA56" s="161"/>
      <c r="BB56" s="45">
        <f>TblProd[[#This Row],[Hour]]</f>
        <v>53</v>
      </c>
      <c r="BC56" s="166">
        <f>-TblProd[[#This Row],[Bank Lumber]] / 2 + -TblProd[[#This Row],[Bank Gems]] * 2</f>
        <v>0</v>
      </c>
      <c r="BD56" s="166"/>
      <c r="BE56" s="166"/>
      <c r="BF56" s="166"/>
      <c r="BG56" s="167">
        <f ca="1">TblProd[[#This Row],[Time]]</f>
        <v>44812.916666666541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386150</v>
      </c>
      <c r="BJ56" s="97">
        <f ca="1">TblProd[[#This Row],[Food]]</f>
        <v>91035</v>
      </c>
      <c r="BK56" s="97">
        <f ca="1">TblProd[[#This Row],[Lumber]]</f>
        <v>49596</v>
      </c>
      <c r="BL56" s="97">
        <f ca="1">TblProd[[#This Row],[Mana]]</f>
        <v>0</v>
      </c>
      <c r="BM56" s="97">
        <f ca="1">TblProd[[#This Row],[Ore]]</f>
        <v>0</v>
      </c>
    </row>
    <row r="57" spans="1:65" x14ac:dyDescent="0.2">
      <c r="A57" s="145">
        <v>54</v>
      </c>
      <c r="B57" s="160">
        <f ca="1">TblImps[[#This Row],[Time]]</f>
        <v>44812.958333333205</v>
      </c>
      <c r="C57" s="161"/>
      <c r="D57" s="162"/>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391636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10000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50"/>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63">
        <f ca="1">OFFSET(TblConstr[[#This Row],[Tot Doc]],1,0)*dock_boats_hr * (1 + tech_4_1*TblTech[[#This Row],[4-1]])</f>
        <v>0</v>
      </c>
      <c r="Z57" s="162"/>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2]]/2,0),)</f>
        <v>0</v>
      </c>
      <c r="AF57" s="97">
        <f ca="1">OFFSET(TblConstr[[#This Row],[Tot DM]],1,0)*dm_gems</f>
        <v>0</v>
      </c>
      <c r="AG57" s="150"/>
      <c r="AH57" s="164">
        <f ca="1">MIN(race_platinum_bonus + IF(Magic!AD57&gt;0,midas_bonus) + TblImps[[#This Row],[Science]] - TblProd[[#This Row],[Guard]]*(0.02 + tech_5_7*TblTech[[#This Row],[5-7]]) + tech_1_5*TblTech[[#This Row],[1-5]] + tech_4_4*TblTech[[#This Row],[4-4]], 0.5)</f>
        <v>0</v>
      </c>
      <c r="AI5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64">
        <f ca="1">race_lumber_bonus+ IF(TblMagic[[#This Row],[Active Gaia''s Blessing]]&gt;0,gaias_blessing_lumber)+ tech_1_3*TblTech[[#This Row],[1-3]] + tech_1_6*TblTech[[#This Row],[1-6]] + tech_3_3*TblTech[[#This Row],[3-3]]</f>
        <v>0</v>
      </c>
      <c r="AK57" s="164">
        <f ca="1">race_mana_bonus+ 0 + TblImps[[#This Row],[Towers]] + tech_1_2*TblTech[[#This Row],[1-2]] + tech_3_4*TblTech[[#This Row],[3-4]]</f>
        <v>0</v>
      </c>
      <c r="AL57" s="164">
        <f ca="1">race_ore_bonus + IF(TblMagic[[#This Row],[Active Miner''s Sight]]&gt;0,miners_sight_bonus,IF(TblMagic[[#This Row],[Active Mining Strength]]&gt;0,mining_strength_bonus)) +  tech_1_6*TblTech[[#This Row],[1-6]]</f>
        <v>0</v>
      </c>
      <c r="AM57" s="164">
        <f>race_gem_bonus+ tech_3_2*TblTech[[#This Row],[3-2]] + tech_4_3*TblTech[[#This Row],[4-3]] + tech_6_2*TblTech[[#This Row],[6-2]]</f>
        <v>0</v>
      </c>
      <c r="AN57" s="150"/>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62"/>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Military!$CH$25*TblMili[[#This Row],[Sec. rec. Cost]]</f>
        <v>0</v>
      </c>
      <c r="AV57" s="97">
        <f ca="1">TblMagic[[#This Row],[Mana cost]] + Military!$CH$26*TblMili[[#This Row],[Sec. rec. Cost]]</f>
        <v>0</v>
      </c>
      <c r="AW57" s="97">
        <f ca="1">Military!$CH$24*TblMili[[#This Row],[Sec. rec. Cost]]+TblImps[[#This Row],[O1]]-TblProd[[#This Row],[Bank Ore]]</f>
        <v>0</v>
      </c>
      <c r="AX57" s="97">
        <f>TblImps[[#This Row],[G1]]-TblProd[[#This Row],[Bank Gems]]</f>
        <v>0</v>
      </c>
      <c r="AY57" s="150"/>
      <c r="AZ57" s="62" t="b">
        <f ca="1">IF(TblProd[[#This Row],[Set Guard]]&lt;&gt;"",TblProd[[#This Row],[Set Guard]],OFFSET(TblProd[[#This Row],[Guard]],-1,0))</f>
        <v>0</v>
      </c>
      <c r="BA57" s="161"/>
      <c r="BB57" s="45">
        <f>TblProd[[#This Row],[Hour]]</f>
        <v>54</v>
      </c>
      <c r="BC57" s="166">
        <f>-TblProd[[#This Row],[Bank Lumber]] / 2 + -TblProd[[#This Row],[Bank Gems]] * 2</f>
        <v>0</v>
      </c>
      <c r="BD57" s="166"/>
      <c r="BE57" s="166"/>
      <c r="BF57" s="166"/>
      <c r="BG57" s="167">
        <f ca="1">TblProd[[#This Row],[Time]]</f>
        <v>44812.958333333205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391636</v>
      </c>
      <c r="BJ57" s="97">
        <f ca="1">TblProd[[#This Row],[Food]]</f>
        <v>92115</v>
      </c>
      <c r="BK57" s="97">
        <f ca="1">TblProd[[#This Row],[Lumber]]</f>
        <v>50100</v>
      </c>
      <c r="BL57" s="97">
        <f ca="1">TblProd[[#This Row],[Mana]]</f>
        <v>0</v>
      </c>
      <c r="BM57" s="97">
        <f ca="1">TblProd[[#This Row],[Ore]]</f>
        <v>0</v>
      </c>
    </row>
    <row r="58" spans="1:65" x14ac:dyDescent="0.2">
      <c r="A58" s="145">
        <v>55</v>
      </c>
      <c r="B58" s="160">
        <f ca="1">TblImps[[#This Row],[Time]]</f>
        <v>44812.999999999869</v>
      </c>
      <c r="C58" s="161"/>
      <c r="D58" s="162"/>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397122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10000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50"/>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63">
        <f ca="1">OFFSET(TblConstr[[#This Row],[Tot Doc]],1,0)*dock_boats_hr * (1 + tech_4_1*TblTech[[#This Row],[4-1]])</f>
        <v>0</v>
      </c>
      <c r="Z58" s="162"/>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2]]/2,0),)</f>
        <v>0</v>
      </c>
      <c r="AF58" s="97">
        <f ca="1">OFFSET(TblConstr[[#This Row],[Tot DM]],1,0)*dm_gems</f>
        <v>0</v>
      </c>
      <c r="AG58" s="150"/>
      <c r="AH58" s="164">
        <f ca="1">MIN(race_platinum_bonus + IF(Magic!AD58&gt;0,midas_bonus) + TblImps[[#This Row],[Science]] - TblProd[[#This Row],[Guard]]*(0.02 + tech_5_7*TblTech[[#This Row],[5-7]]) + tech_1_5*TblTech[[#This Row],[1-5]] + tech_4_4*TblTech[[#This Row],[4-4]], 0.5)</f>
        <v>0</v>
      </c>
      <c r="AI5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64">
        <f ca="1">race_lumber_bonus+ IF(TblMagic[[#This Row],[Active Gaia''s Blessing]]&gt;0,gaias_blessing_lumber)+ tech_1_3*TblTech[[#This Row],[1-3]] + tech_1_6*TblTech[[#This Row],[1-6]] + tech_3_3*TblTech[[#This Row],[3-3]]</f>
        <v>0</v>
      </c>
      <c r="AK58" s="164">
        <f ca="1">race_mana_bonus+ 0 + TblImps[[#This Row],[Towers]] + tech_1_2*TblTech[[#This Row],[1-2]] + tech_3_4*TblTech[[#This Row],[3-4]]</f>
        <v>0</v>
      </c>
      <c r="AL58" s="164">
        <f ca="1">race_ore_bonus + IF(TblMagic[[#This Row],[Active Miner''s Sight]]&gt;0,miners_sight_bonus,IF(TblMagic[[#This Row],[Active Mining Strength]]&gt;0,mining_strength_bonus)) +  tech_1_6*TblTech[[#This Row],[1-6]]</f>
        <v>0</v>
      </c>
      <c r="AM58" s="164">
        <f>race_gem_bonus+ tech_3_2*TblTech[[#This Row],[3-2]] + tech_4_3*TblTech[[#This Row],[4-3]] + tech_6_2*TblTech[[#This Row],[6-2]]</f>
        <v>0</v>
      </c>
      <c r="AN58" s="150"/>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62"/>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Military!$CH$25*TblMili[[#This Row],[Sec. rec. Cost]]</f>
        <v>0</v>
      </c>
      <c r="AV58" s="97">
        <f ca="1">TblMagic[[#This Row],[Mana cost]] + Military!$CH$26*TblMili[[#This Row],[Sec. rec. Cost]]</f>
        <v>0</v>
      </c>
      <c r="AW58" s="97">
        <f ca="1">Military!$CH$24*TblMili[[#This Row],[Sec. rec. Cost]]+TblImps[[#This Row],[O1]]-TblProd[[#This Row],[Bank Ore]]</f>
        <v>0</v>
      </c>
      <c r="AX58" s="97">
        <f>TblImps[[#This Row],[G1]]-TblProd[[#This Row],[Bank Gems]]</f>
        <v>0</v>
      </c>
      <c r="AY58" s="150"/>
      <c r="AZ58" s="62" t="b">
        <f ca="1">IF(TblProd[[#This Row],[Set Guard]]&lt;&gt;"",TblProd[[#This Row],[Set Guard]],OFFSET(TblProd[[#This Row],[Guard]],-1,0))</f>
        <v>0</v>
      </c>
      <c r="BA58" s="161"/>
      <c r="BB58" s="45">
        <f>TblProd[[#This Row],[Hour]]</f>
        <v>55</v>
      </c>
      <c r="BC58" s="166">
        <f>-TblProd[[#This Row],[Bank Lumber]] / 2 + -TblProd[[#This Row],[Bank Gems]] * 2</f>
        <v>0</v>
      </c>
      <c r="BD58" s="166"/>
      <c r="BE58" s="166"/>
      <c r="BF58" s="166"/>
      <c r="BG58" s="167">
        <f ca="1">TblProd[[#This Row],[Time]]</f>
        <v>44812.999999999869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397122</v>
      </c>
      <c r="BJ58" s="97">
        <f ca="1">TblProd[[#This Row],[Food]]</f>
        <v>93184</v>
      </c>
      <c r="BK58" s="97">
        <f ca="1">TblProd[[#This Row],[Lumber]]</f>
        <v>50599</v>
      </c>
      <c r="BL58" s="97">
        <f ca="1">TblProd[[#This Row],[Mana]]</f>
        <v>0</v>
      </c>
      <c r="BM58" s="97">
        <f ca="1">TblProd[[#This Row],[Ore]]</f>
        <v>0</v>
      </c>
    </row>
    <row r="59" spans="1:65" x14ac:dyDescent="0.2">
      <c r="A59" s="145">
        <v>56</v>
      </c>
      <c r="B59" s="160">
        <f ca="1">TblImps[[#This Row],[Time]]</f>
        <v>44813.041666666533</v>
      </c>
      <c r="C59" s="161"/>
      <c r="D59" s="162"/>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402608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10000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50"/>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63">
        <f ca="1">OFFSET(TblConstr[[#This Row],[Tot Doc]],1,0)*dock_boats_hr * (1 + tech_4_1*TblTech[[#This Row],[4-1]])</f>
        <v>0</v>
      </c>
      <c r="Z59" s="162"/>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2]]/2,0),)</f>
        <v>0</v>
      </c>
      <c r="AF59" s="97">
        <f ca="1">OFFSET(TblConstr[[#This Row],[Tot DM]],1,0)*dm_gems</f>
        <v>0</v>
      </c>
      <c r="AG59" s="150"/>
      <c r="AH59" s="164">
        <f ca="1">MIN(race_platinum_bonus + IF(Magic!AD59&gt;0,midas_bonus) + TblImps[[#This Row],[Science]] - TblProd[[#This Row],[Guard]]*(0.02 + tech_5_7*TblTech[[#This Row],[5-7]]) + tech_1_5*TblTech[[#This Row],[1-5]] + tech_4_4*TblTech[[#This Row],[4-4]], 0.5)</f>
        <v>0</v>
      </c>
      <c r="AI5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64">
        <f ca="1">race_lumber_bonus+ IF(TblMagic[[#This Row],[Active Gaia''s Blessing]]&gt;0,gaias_blessing_lumber)+ tech_1_3*TblTech[[#This Row],[1-3]] + tech_1_6*TblTech[[#This Row],[1-6]] + tech_3_3*TblTech[[#This Row],[3-3]]</f>
        <v>0</v>
      </c>
      <c r="AK59" s="164">
        <f ca="1">race_mana_bonus+ 0 + TblImps[[#This Row],[Towers]] + tech_1_2*TblTech[[#This Row],[1-2]] + tech_3_4*TblTech[[#This Row],[3-4]]</f>
        <v>0</v>
      </c>
      <c r="AL59" s="164">
        <f ca="1">race_ore_bonus + IF(TblMagic[[#This Row],[Active Miner''s Sight]]&gt;0,miners_sight_bonus,IF(TblMagic[[#This Row],[Active Mining Strength]]&gt;0,mining_strength_bonus)) +  tech_1_6*TblTech[[#This Row],[1-6]]</f>
        <v>0</v>
      </c>
      <c r="AM59" s="164">
        <f>race_gem_bonus+ tech_3_2*TblTech[[#This Row],[3-2]] + tech_4_3*TblTech[[#This Row],[4-3]] + tech_6_2*TblTech[[#This Row],[6-2]]</f>
        <v>0</v>
      </c>
      <c r="AN59" s="150"/>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62"/>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Military!$CH$25*TblMili[[#This Row],[Sec. rec. Cost]]</f>
        <v>0</v>
      </c>
      <c r="AV59" s="97">
        <f ca="1">TblMagic[[#This Row],[Mana cost]] + Military!$CH$26*TblMili[[#This Row],[Sec. rec. Cost]]</f>
        <v>0</v>
      </c>
      <c r="AW59" s="97">
        <f ca="1">Military!$CH$24*TblMili[[#This Row],[Sec. rec. Cost]]+TblImps[[#This Row],[O1]]-TblProd[[#This Row],[Bank Ore]]</f>
        <v>0</v>
      </c>
      <c r="AX59" s="97">
        <f>TblImps[[#This Row],[G1]]-TblProd[[#This Row],[Bank Gems]]</f>
        <v>0</v>
      </c>
      <c r="AY59" s="150"/>
      <c r="AZ59" s="62" t="b">
        <f ca="1">IF(TblProd[[#This Row],[Set Guard]]&lt;&gt;"",TblProd[[#This Row],[Set Guard]],OFFSET(TblProd[[#This Row],[Guard]],-1,0))</f>
        <v>0</v>
      </c>
      <c r="BA59" s="161"/>
      <c r="BB59" s="45">
        <f>TblProd[[#This Row],[Hour]]</f>
        <v>56</v>
      </c>
      <c r="BC59" s="166">
        <f>-TblProd[[#This Row],[Bank Lumber]] / 2 + -TblProd[[#This Row],[Bank Gems]] * 2</f>
        <v>0</v>
      </c>
      <c r="BD59" s="166"/>
      <c r="BE59" s="166"/>
      <c r="BF59" s="166"/>
      <c r="BG59" s="167">
        <f ca="1">TblProd[[#This Row],[Time]]</f>
        <v>44813.041666666533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402608</v>
      </c>
      <c r="BJ59" s="97">
        <f ca="1">TblProd[[#This Row],[Food]]</f>
        <v>94243</v>
      </c>
      <c r="BK59" s="97">
        <f ca="1">TblProd[[#This Row],[Lumber]]</f>
        <v>51093</v>
      </c>
      <c r="BL59" s="97">
        <f ca="1">TblProd[[#This Row],[Mana]]</f>
        <v>0</v>
      </c>
      <c r="BM59" s="97">
        <f ca="1">TblProd[[#This Row],[Ore]]</f>
        <v>0</v>
      </c>
    </row>
    <row r="60" spans="1:65" x14ac:dyDescent="0.2">
      <c r="A60" s="145">
        <v>57</v>
      </c>
      <c r="B60" s="160">
        <f ca="1">TblImps[[#This Row],[Time]]</f>
        <v>44813.083333333198</v>
      </c>
      <c r="C60" s="161"/>
      <c r="D60" s="162"/>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408094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10000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50"/>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63">
        <f ca="1">OFFSET(TblConstr[[#This Row],[Tot Doc]],1,0)*dock_boats_hr * (1 + tech_4_1*TblTech[[#This Row],[4-1]])</f>
        <v>0</v>
      </c>
      <c r="Z60" s="162"/>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2]]/2,0),)</f>
        <v>0</v>
      </c>
      <c r="AF60" s="97">
        <f ca="1">OFFSET(TblConstr[[#This Row],[Tot DM]],1,0)*dm_gems</f>
        <v>0</v>
      </c>
      <c r="AG60" s="150"/>
      <c r="AH60" s="164">
        <f ca="1">MIN(race_platinum_bonus + IF(Magic!AD60&gt;0,midas_bonus) + TblImps[[#This Row],[Science]] - TblProd[[#This Row],[Guard]]*(0.02 + tech_5_7*TblTech[[#This Row],[5-7]]) + tech_1_5*TblTech[[#This Row],[1-5]] + tech_4_4*TblTech[[#This Row],[4-4]], 0.5)</f>
        <v>0</v>
      </c>
      <c r="AI6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64">
        <f ca="1">race_lumber_bonus+ IF(TblMagic[[#This Row],[Active Gaia''s Blessing]]&gt;0,gaias_blessing_lumber)+ tech_1_3*TblTech[[#This Row],[1-3]] + tech_1_6*TblTech[[#This Row],[1-6]] + tech_3_3*TblTech[[#This Row],[3-3]]</f>
        <v>0</v>
      </c>
      <c r="AK60" s="164">
        <f ca="1">race_mana_bonus+ 0 + TblImps[[#This Row],[Towers]] + tech_1_2*TblTech[[#This Row],[1-2]] + tech_3_4*TblTech[[#This Row],[3-4]]</f>
        <v>0</v>
      </c>
      <c r="AL60" s="164">
        <f ca="1">race_ore_bonus + IF(TblMagic[[#This Row],[Active Miner''s Sight]]&gt;0,miners_sight_bonus,IF(TblMagic[[#This Row],[Active Mining Strength]]&gt;0,mining_strength_bonus)) +  tech_1_6*TblTech[[#This Row],[1-6]]</f>
        <v>0</v>
      </c>
      <c r="AM60" s="164">
        <f>race_gem_bonus+ tech_3_2*TblTech[[#This Row],[3-2]] + tech_4_3*TblTech[[#This Row],[4-3]] + tech_6_2*TblTech[[#This Row],[6-2]]</f>
        <v>0</v>
      </c>
      <c r="AN60" s="150"/>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62"/>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Military!$CH$25*TblMili[[#This Row],[Sec. rec. Cost]]</f>
        <v>0</v>
      </c>
      <c r="AV60" s="97">
        <f ca="1">TblMagic[[#This Row],[Mana cost]] + Military!$CH$26*TblMili[[#This Row],[Sec. rec. Cost]]</f>
        <v>0</v>
      </c>
      <c r="AW60" s="97">
        <f ca="1">Military!$CH$24*TblMili[[#This Row],[Sec. rec. Cost]]+TblImps[[#This Row],[O1]]-TblProd[[#This Row],[Bank Ore]]</f>
        <v>0</v>
      </c>
      <c r="AX60" s="97">
        <f>TblImps[[#This Row],[G1]]-TblProd[[#This Row],[Bank Gems]]</f>
        <v>0</v>
      </c>
      <c r="AY60" s="150"/>
      <c r="AZ60" s="62" t="b">
        <f ca="1">IF(TblProd[[#This Row],[Set Guard]]&lt;&gt;"",TblProd[[#This Row],[Set Guard]],OFFSET(TblProd[[#This Row],[Guard]],-1,0))</f>
        <v>0</v>
      </c>
      <c r="BA60" s="161"/>
      <c r="BB60" s="45">
        <f>TblProd[[#This Row],[Hour]]</f>
        <v>57</v>
      </c>
      <c r="BC60" s="166">
        <f>-TblProd[[#This Row],[Bank Lumber]] / 2 + -TblProd[[#This Row],[Bank Gems]] * 2</f>
        <v>0</v>
      </c>
      <c r="BD60" s="166"/>
      <c r="BE60" s="166"/>
      <c r="BF60" s="166"/>
      <c r="BG60" s="167">
        <f ca="1">TblProd[[#This Row],[Time]]</f>
        <v>44813.083333333198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408094</v>
      </c>
      <c r="BJ60" s="97">
        <f ca="1">TblProd[[#This Row],[Food]]</f>
        <v>95291</v>
      </c>
      <c r="BK60" s="97">
        <f ca="1">TblProd[[#This Row],[Lumber]]</f>
        <v>51582</v>
      </c>
      <c r="BL60" s="97">
        <f ca="1">TblProd[[#This Row],[Mana]]</f>
        <v>0</v>
      </c>
      <c r="BM60" s="97">
        <f ca="1">TblProd[[#This Row],[Ore]]</f>
        <v>0</v>
      </c>
    </row>
    <row r="61" spans="1:65" x14ac:dyDescent="0.2">
      <c r="A61" s="145">
        <v>58</v>
      </c>
      <c r="B61" s="160">
        <f ca="1">TblImps[[#This Row],[Time]]</f>
        <v>44813.124999999862</v>
      </c>
      <c r="C61" s="161"/>
      <c r="D61" s="162"/>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413580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10000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50"/>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63">
        <f ca="1">OFFSET(TblConstr[[#This Row],[Tot Doc]],1,0)*dock_boats_hr * (1 + tech_4_1*TblTech[[#This Row],[4-1]])</f>
        <v>0</v>
      </c>
      <c r="Z61" s="162"/>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2]]/2,0),)</f>
        <v>0</v>
      </c>
      <c r="AF61" s="97">
        <f ca="1">OFFSET(TblConstr[[#This Row],[Tot DM]],1,0)*dm_gems</f>
        <v>0</v>
      </c>
      <c r="AG61" s="150"/>
      <c r="AH61" s="164">
        <f ca="1">MIN(race_platinum_bonus + IF(Magic!AD61&gt;0,midas_bonus) + TblImps[[#This Row],[Science]] - TblProd[[#This Row],[Guard]]*(0.02 + tech_5_7*TblTech[[#This Row],[5-7]]) + tech_1_5*TblTech[[#This Row],[1-5]] + tech_4_4*TblTech[[#This Row],[4-4]], 0.5)</f>
        <v>0</v>
      </c>
      <c r="AI6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64">
        <f ca="1">race_lumber_bonus+ IF(TblMagic[[#This Row],[Active Gaia''s Blessing]]&gt;0,gaias_blessing_lumber)+ tech_1_3*TblTech[[#This Row],[1-3]] + tech_1_6*TblTech[[#This Row],[1-6]] + tech_3_3*TblTech[[#This Row],[3-3]]</f>
        <v>0</v>
      </c>
      <c r="AK61" s="164">
        <f ca="1">race_mana_bonus+ 0 + TblImps[[#This Row],[Towers]] + tech_1_2*TblTech[[#This Row],[1-2]] + tech_3_4*TblTech[[#This Row],[3-4]]</f>
        <v>0</v>
      </c>
      <c r="AL61" s="164">
        <f ca="1">race_ore_bonus + IF(TblMagic[[#This Row],[Active Miner''s Sight]]&gt;0,miners_sight_bonus,IF(TblMagic[[#This Row],[Active Mining Strength]]&gt;0,mining_strength_bonus)) +  tech_1_6*TblTech[[#This Row],[1-6]]</f>
        <v>0</v>
      </c>
      <c r="AM61" s="164">
        <f>race_gem_bonus+ tech_3_2*TblTech[[#This Row],[3-2]] + tech_4_3*TblTech[[#This Row],[4-3]] + tech_6_2*TblTech[[#This Row],[6-2]]</f>
        <v>0</v>
      </c>
      <c r="AN61" s="150"/>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62"/>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Military!$CH$25*TblMili[[#This Row],[Sec. rec. Cost]]</f>
        <v>0</v>
      </c>
      <c r="AV61" s="97">
        <f ca="1">TblMagic[[#This Row],[Mana cost]] + Military!$CH$26*TblMili[[#This Row],[Sec. rec. Cost]]</f>
        <v>0</v>
      </c>
      <c r="AW61" s="97">
        <f ca="1">Military!$CH$24*TblMili[[#This Row],[Sec. rec. Cost]]+TblImps[[#This Row],[O1]]-TblProd[[#This Row],[Bank Ore]]</f>
        <v>0</v>
      </c>
      <c r="AX61" s="97">
        <f>TblImps[[#This Row],[G1]]-TblProd[[#This Row],[Bank Gems]]</f>
        <v>0</v>
      </c>
      <c r="AY61" s="150"/>
      <c r="AZ61" s="62" t="b">
        <f ca="1">IF(TblProd[[#This Row],[Set Guard]]&lt;&gt;"",TblProd[[#This Row],[Set Guard]],OFFSET(TblProd[[#This Row],[Guard]],-1,0))</f>
        <v>0</v>
      </c>
      <c r="BA61" s="161"/>
      <c r="BB61" s="45">
        <f>TblProd[[#This Row],[Hour]]</f>
        <v>58</v>
      </c>
      <c r="BC61" s="166">
        <f>-TblProd[[#This Row],[Bank Lumber]] / 2 + -TblProd[[#This Row],[Bank Gems]] * 2</f>
        <v>0</v>
      </c>
      <c r="BD61" s="166"/>
      <c r="BE61" s="166"/>
      <c r="BF61" s="166"/>
      <c r="BG61" s="167">
        <f ca="1">TblProd[[#This Row],[Time]]</f>
        <v>44813.124999999862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413580</v>
      </c>
      <c r="BJ61" s="97">
        <f ca="1">TblProd[[#This Row],[Food]]</f>
        <v>96329</v>
      </c>
      <c r="BK61" s="97">
        <f ca="1">TblProd[[#This Row],[Lumber]]</f>
        <v>52066</v>
      </c>
      <c r="BL61" s="97">
        <f ca="1">TblProd[[#This Row],[Mana]]</f>
        <v>0</v>
      </c>
      <c r="BM61" s="97">
        <f ca="1">TblProd[[#This Row],[Ore]]</f>
        <v>0</v>
      </c>
    </row>
    <row r="62" spans="1:65" x14ac:dyDescent="0.2">
      <c r="A62" s="145">
        <v>59</v>
      </c>
      <c r="B62" s="160">
        <f ca="1">TblImps[[#This Row],[Time]]</f>
        <v>44813.166666666526</v>
      </c>
      <c r="C62" s="161"/>
      <c r="D62" s="162"/>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419066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10000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50"/>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63">
        <f ca="1">OFFSET(TblConstr[[#This Row],[Tot Doc]],1,0)*dock_boats_hr * (1 + tech_4_1*TblTech[[#This Row],[4-1]])</f>
        <v>0</v>
      </c>
      <c r="Z62" s="162"/>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2]]/2,0),)</f>
        <v>0</v>
      </c>
      <c r="AF62" s="97">
        <f ca="1">OFFSET(TblConstr[[#This Row],[Tot DM]],1,0)*dm_gems</f>
        <v>0</v>
      </c>
      <c r="AG62" s="150"/>
      <c r="AH62" s="164">
        <f ca="1">MIN(race_platinum_bonus + IF(Magic!AD62&gt;0,midas_bonus) + TblImps[[#This Row],[Science]] - TblProd[[#This Row],[Guard]]*(0.02 + tech_5_7*TblTech[[#This Row],[5-7]]) + tech_1_5*TblTech[[#This Row],[1-5]] + tech_4_4*TblTech[[#This Row],[4-4]], 0.5)</f>
        <v>0</v>
      </c>
      <c r="AI6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64">
        <f ca="1">race_lumber_bonus+ IF(TblMagic[[#This Row],[Active Gaia''s Blessing]]&gt;0,gaias_blessing_lumber)+ tech_1_3*TblTech[[#This Row],[1-3]] + tech_1_6*TblTech[[#This Row],[1-6]] + tech_3_3*TblTech[[#This Row],[3-3]]</f>
        <v>0</v>
      </c>
      <c r="AK62" s="164">
        <f ca="1">race_mana_bonus+ 0 + TblImps[[#This Row],[Towers]] + tech_1_2*TblTech[[#This Row],[1-2]] + tech_3_4*TblTech[[#This Row],[3-4]]</f>
        <v>0</v>
      </c>
      <c r="AL62" s="164">
        <f ca="1">race_ore_bonus + IF(TblMagic[[#This Row],[Active Miner''s Sight]]&gt;0,miners_sight_bonus,IF(TblMagic[[#This Row],[Active Mining Strength]]&gt;0,mining_strength_bonus)) +  tech_1_6*TblTech[[#This Row],[1-6]]</f>
        <v>0</v>
      </c>
      <c r="AM62" s="164">
        <f>race_gem_bonus+ tech_3_2*TblTech[[#This Row],[3-2]] + tech_4_3*TblTech[[#This Row],[4-3]] + tech_6_2*TblTech[[#This Row],[6-2]]</f>
        <v>0</v>
      </c>
      <c r="AN62" s="150"/>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62"/>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Military!$CH$25*TblMili[[#This Row],[Sec. rec. Cost]]</f>
        <v>0</v>
      </c>
      <c r="AV62" s="97">
        <f ca="1">TblMagic[[#This Row],[Mana cost]] + Military!$CH$26*TblMili[[#This Row],[Sec. rec. Cost]]</f>
        <v>0</v>
      </c>
      <c r="AW62" s="97">
        <f ca="1">Military!$CH$24*TblMili[[#This Row],[Sec. rec. Cost]]+TblImps[[#This Row],[O1]]-TblProd[[#This Row],[Bank Ore]]</f>
        <v>0</v>
      </c>
      <c r="AX62" s="97">
        <f>TblImps[[#This Row],[G1]]-TblProd[[#This Row],[Bank Gems]]</f>
        <v>0</v>
      </c>
      <c r="AY62" s="150"/>
      <c r="AZ62" s="62" t="b">
        <f ca="1">IF(TblProd[[#This Row],[Set Guard]]&lt;&gt;"",TblProd[[#This Row],[Set Guard]],OFFSET(TblProd[[#This Row],[Guard]],-1,0))</f>
        <v>0</v>
      </c>
      <c r="BA62" s="161"/>
      <c r="BB62" s="45">
        <f>TblProd[[#This Row],[Hour]]</f>
        <v>59</v>
      </c>
      <c r="BC62" s="166">
        <f>-TblProd[[#This Row],[Bank Lumber]] / 2 + -TblProd[[#This Row],[Bank Gems]] * 2</f>
        <v>0</v>
      </c>
      <c r="BD62" s="166"/>
      <c r="BE62" s="166"/>
      <c r="BF62" s="166"/>
      <c r="BG62" s="167">
        <f ca="1">TblProd[[#This Row],[Time]]</f>
        <v>44813.166666666526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419066</v>
      </c>
      <c r="BJ62" s="97">
        <f ca="1">TblProd[[#This Row],[Food]]</f>
        <v>97356</v>
      </c>
      <c r="BK62" s="97">
        <f ca="1">TblProd[[#This Row],[Lumber]]</f>
        <v>52545</v>
      </c>
      <c r="BL62" s="97">
        <f ca="1">TblProd[[#This Row],[Mana]]</f>
        <v>0</v>
      </c>
      <c r="BM62" s="97">
        <f ca="1">TblProd[[#This Row],[Ore]]</f>
        <v>0</v>
      </c>
    </row>
    <row r="63" spans="1:65" x14ac:dyDescent="0.2">
      <c r="A63" s="145">
        <v>60</v>
      </c>
      <c r="B63" s="160">
        <f ca="1">TblImps[[#This Row],[Time]]</f>
        <v>44813.20833333319</v>
      </c>
      <c r="C63" s="161"/>
      <c r="D63" s="162"/>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424552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10000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50"/>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63">
        <f ca="1">OFFSET(TblConstr[[#This Row],[Tot Doc]],1,0)*dock_boats_hr * (1 + tech_4_1*TblTech[[#This Row],[4-1]])</f>
        <v>0</v>
      </c>
      <c r="Z63" s="162"/>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2]]/2,0),)</f>
        <v>0</v>
      </c>
      <c r="AF63" s="97">
        <f ca="1">OFFSET(TblConstr[[#This Row],[Tot DM]],1,0)*dm_gems</f>
        <v>0</v>
      </c>
      <c r="AG63" s="150"/>
      <c r="AH63" s="164">
        <f ca="1">MIN(race_platinum_bonus + IF(Magic!AD63&gt;0,midas_bonus) + TblImps[[#This Row],[Science]] - TblProd[[#This Row],[Guard]]*(0.02 + tech_5_7*TblTech[[#This Row],[5-7]]) + tech_1_5*TblTech[[#This Row],[1-5]] + tech_4_4*TblTech[[#This Row],[4-4]], 0.5)</f>
        <v>0</v>
      </c>
      <c r="AI6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64">
        <f ca="1">race_lumber_bonus+ IF(TblMagic[[#This Row],[Active Gaia''s Blessing]]&gt;0,gaias_blessing_lumber)+ tech_1_3*TblTech[[#This Row],[1-3]] + tech_1_6*TblTech[[#This Row],[1-6]] + tech_3_3*TblTech[[#This Row],[3-3]]</f>
        <v>0</v>
      </c>
      <c r="AK63" s="164">
        <f ca="1">race_mana_bonus+ 0 + TblImps[[#This Row],[Towers]] + tech_1_2*TblTech[[#This Row],[1-2]] + tech_3_4*TblTech[[#This Row],[3-4]]</f>
        <v>0</v>
      </c>
      <c r="AL63" s="164">
        <f ca="1">race_ore_bonus + IF(TblMagic[[#This Row],[Active Miner''s Sight]]&gt;0,miners_sight_bonus,IF(TblMagic[[#This Row],[Active Mining Strength]]&gt;0,mining_strength_bonus)) +  tech_1_6*TblTech[[#This Row],[1-6]]</f>
        <v>0</v>
      </c>
      <c r="AM63" s="164">
        <f>race_gem_bonus+ tech_3_2*TblTech[[#This Row],[3-2]] + tech_4_3*TblTech[[#This Row],[4-3]] + tech_6_2*TblTech[[#This Row],[6-2]]</f>
        <v>0</v>
      </c>
      <c r="AN63" s="150"/>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62"/>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Military!$CH$25*TblMili[[#This Row],[Sec. rec. Cost]]</f>
        <v>0</v>
      </c>
      <c r="AV63" s="97">
        <f ca="1">TblMagic[[#This Row],[Mana cost]] + Military!$CH$26*TblMili[[#This Row],[Sec. rec. Cost]]</f>
        <v>0</v>
      </c>
      <c r="AW63" s="97">
        <f ca="1">Military!$CH$24*TblMili[[#This Row],[Sec. rec. Cost]]+TblImps[[#This Row],[O1]]-TblProd[[#This Row],[Bank Ore]]</f>
        <v>0</v>
      </c>
      <c r="AX63" s="97">
        <f>TblImps[[#This Row],[G1]]-TblProd[[#This Row],[Bank Gems]]</f>
        <v>0</v>
      </c>
      <c r="AY63" s="150"/>
      <c r="AZ63" s="62" t="b">
        <f ca="1">IF(TblProd[[#This Row],[Set Guard]]&lt;&gt;"",TblProd[[#This Row],[Set Guard]],OFFSET(TblProd[[#This Row],[Guard]],-1,0))</f>
        <v>0</v>
      </c>
      <c r="BA63" s="161"/>
      <c r="BB63" s="45">
        <f>TblProd[[#This Row],[Hour]]</f>
        <v>60</v>
      </c>
      <c r="BC63" s="166">
        <f>-TblProd[[#This Row],[Bank Lumber]] / 2 + -TblProd[[#This Row],[Bank Gems]] * 2</f>
        <v>0</v>
      </c>
      <c r="BD63" s="166"/>
      <c r="BE63" s="166"/>
      <c r="BF63" s="166"/>
      <c r="BG63" s="167">
        <f ca="1">TblProd[[#This Row],[Time]]</f>
        <v>44813.20833333319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424552</v>
      </c>
      <c r="BJ63" s="97">
        <f ca="1">TblProd[[#This Row],[Food]]</f>
        <v>98373</v>
      </c>
      <c r="BK63" s="97">
        <f ca="1">TblProd[[#This Row],[Lumber]]</f>
        <v>53020</v>
      </c>
      <c r="BL63" s="97">
        <f ca="1">TblProd[[#This Row],[Mana]]</f>
        <v>0</v>
      </c>
      <c r="BM63" s="97">
        <f ca="1">TblProd[[#This Row],[Ore]]</f>
        <v>0</v>
      </c>
    </row>
    <row r="64" spans="1:65" x14ac:dyDescent="0.2">
      <c r="A64" s="145">
        <v>61</v>
      </c>
      <c r="B64" s="160">
        <f ca="1">TblImps[[#This Row],[Time]]</f>
        <v>44813.249999999854</v>
      </c>
      <c r="C64" s="161"/>
      <c r="D64" s="162"/>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430038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10000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50"/>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63">
        <f ca="1">OFFSET(TblConstr[[#This Row],[Tot Doc]],1,0)*dock_boats_hr * (1 + tech_4_1*TblTech[[#This Row],[4-1]])</f>
        <v>0</v>
      </c>
      <c r="Z64" s="162"/>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2]]/2,0),)</f>
        <v>0</v>
      </c>
      <c r="AF64" s="97">
        <f ca="1">OFFSET(TblConstr[[#This Row],[Tot DM]],1,0)*dm_gems</f>
        <v>0</v>
      </c>
      <c r="AG64" s="150"/>
      <c r="AH64" s="164">
        <f ca="1">MIN(race_platinum_bonus + IF(Magic!AD64&gt;0,midas_bonus) + TblImps[[#This Row],[Science]] - TblProd[[#This Row],[Guard]]*(0.02 + tech_5_7*TblTech[[#This Row],[5-7]]) + tech_1_5*TblTech[[#This Row],[1-5]] + tech_4_4*TblTech[[#This Row],[4-4]], 0.5)</f>
        <v>0</v>
      </c>
      <c r="AI6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64">
        <f ca="1">race_lumber_bonus+ IF(TblMagic[[#This Row],[Active Gaia''s Blessing]]&gt;0,gaias_blessing_lumber)+ tech_1_3*TblTech[[#This Row],[1-3]] + tech_1_6*TblTech[[#This Row],[1-6]] + tech_3_3*TblTech[[#This Row],[3-3]]</f>
        <v>0</v>
      </c>
      <c r="AK64" s="164">
        <f ca="1">race_mana_bonus+ 0 + TblImps[[#This Row],[Towers]] + tech_1_2*TblTech[[#This Row],[1-2]] + tech_3_4*TblTech[[#This Row],[3-4]]</f>
        <v>0</v>
      </c>
      <c r="AL64" s="164">
        <f ca="1">race_ore_bonus + IF(TblMagic[[#This Row],[Active Miner''s Sight]]&gt;0,miners_sight_bonus,IF(TblMagic[[#This Row],[Active Mining Strength]]&gt;0,mining_strength_bonus)) +  tech_1_6*TblTech[[#This Row],[1-6]]</f>
        <v>0</v>
      </c>
      <c r="AM64" s="164">
        <f>race_gem_bonus+ tech_3_2*TblTech[[#This Row],[3-2]] + tech_4_3*TblTech[[#This Row],[4-3]] + tech_6_2*TblTech[[#This Row],[6-2]]</f>
        <v>0</v>
      </c>
      <c r="AN64" s="150"/>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62"/>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Military!$CH$25*TblMili[[#This Row],[Sec. rec. Cost]]</f>
        <v>0</v>
      </c>
      <c r="AV64" s="97">
        <f ca="1">TblMagic[[#This Row],[Mana cost]] + Military!$CH$26*TblMili[[#This Row],[Sec. rec. Cost]]</f>
        <v>0</v>
      </c>
      <c r="AW64" s="97">
        <f ca="1">Military!$CH$24*TblMili[[#This Row],[Sec. rec. Cost]]+TblImps[[#This Row],[O1]]-TblProd[[#This Row],[Bank Ore]]</f>
        <v>0</v>
      </c>
      <c r="AX64" s="97">
        <f>TblImps[[#This Row],[G1]]-TblProd[[#This Row],[Bank Gems]]</f>
        <v>0</v>
      </c>
      <c r="AY64" s="150"/>
      <c r="AZ64" s="62" t="b">
        <f ca="1">IF(TblProd[[#This Row],[Set Guard]]&lt;&gt;"",TblProd[[#This Row],[Set Guard]],OFFSET(TblProd[[#This Row],[Guard]],-1,0))</f>
        <v>0</v>
      </c>
      <c r="BA64" s="161"/>
      <c r="BB64" s="45">
        <f>TblProd[[#This Row],[Hour]]</f>
        <v>61</v>
      </c>
      <c r="BC64" s="166">
        <f>-TblProd[[#This Row],[Bank Lumber]] / 2 + -TblProd[[#This Row],[Bank Gems]] * 2</f>
        <v>0</v>
      </c>
      <c r="BD64" s="166"/>
      <c r="BE64" s="166"/>
      <c r="BF64" s="166"/>
      <c r="BG64" s="167">
        <f ca="1">TblProd[[#This Row],[Time]]</f>
        <v>44813.249999999854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430038</v>
      </c>
      <c r="BJ64" s="97">
        <f ca="1">TblProd[[#This Row],[Food]]</f>
        <v>99380</v>
      </c>
      <c r="BK64" s="97">
        <f ca="1">TblProd[[#This Row],[Lumber]]</f>
        <v>53490</v>
      </c>
      <c r="BL64" s="97">
        <f ca="1">TblProd[[#This Row],[Mana]]</f>
        <v>0</v>
      </c>
      <c r="BM64" s="97">
        <f ca="1">TblProd[[#This Row],[Ore]]</f>
        <v>0</v>
      </c>
    </row>
    <row r="65" spans="1:65" x14ac:dyDescent="0.2">
      <c r="A65" s="145">
        <v>62</v>
      </c>
      <c r="B65" s="160">
        <f ca="1">TblImps[[#This Row],[Time]]</f>
        <v>44813.291666666519</v>
      </c>
      <c r="C65" s="161"/>
      <c r="D65" s="162"/>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435524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10000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50"/>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63">
        <f ca="1">OFFSET(TblConstr[[#This Row],[Tot Doc]],1,0)*dock_boats_hr * (1 + tech_4_1*TblTech[[#This Row],[4-1]])</f>
        <v>0</v>
      </c>
      <c r="Z65" s="162"/>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2]]/2,0),)</f>
        <v>0</v>
      </c>
      <c r="AF65" s="97">
        <f ca="1">OFFSET(TblConstr[[#This Row],[Tot DM]],1,0)*dm_gems</f>
        <v>0</v>
      </c>
      <c r="AG65" s="150"/>
      <c r="AH65" s="164">
        <f ca="1">MIN(race_platinum_bonus + IF(Magic!AD65&gt;0,midas_bonus) + TblImps[[#This Row],[Science]] - TblProd[[#This Row],[Guard]]*(0.02 + tech_5_7*TblTech[[#This Row],[5-7]]) + tech_1_5*TblTech[[#This Row],[1-5]] + tech_4_4*TblTech[[#This Row],[4-4]], 0.5)</f>
        <v>0</v>
      </c>
      <c r="AI6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64">
        <f ca="1">race_lumber_bonus+ IF(TblMagic[[#This Row],[Active Gaia''s Blessing]]&gt;0,gaias_blessing_lumber)+ tech_1_3*TblTech[[#This Row],[1-3]] + tech_1_6*TblTech[[#This Row],[1-6]] + tech_3_3*TblTech[[#This Row],[3-3]]</f>
        <v>0</v>
      </c>
      <c r="AK65" s="164">
        <f ca="1">race_mana_bonus+ 0 + TblImps[[#This Row],[Towers]] + tech_1_2*TblTech[[#This Row],[1-2]] + tech_3_4*TblTech[[#This Row],[3-4]]</f>
        <v>0</v>
      </c>
      <c r="AL65" s="164">
        <f ca="1">race_ore_bonus + IF(TblMagic[[#This Row],[Active Miner''s Sight]]&gt;0,miners_sight_bonus,IF(TblMagic[[#This Row],[Active Mining Strength]]&gt;0,mining_strength_bonus)) +  tech_1_6*TblTech[[#This Row],[1-6]]</f>
        <v>0</v>
      </c>
      <c r="AM65" s="164">
        <f>race_gem_bonus+ tech_3_2*TblTech[[#This Row],[3-2]] + tech_4_3*TblTech[[#This Row],[4-3]] + tech_6_2*TblTech[[#This Row],[6-2]]</f>
        <v>0</v>
      </c>
      <c r="AN65" s="150"/>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62"/>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Military!$CH$25*TblMili[[#This Row],[Sec. rec. Cost]]</f>
        <v>0</v>
      </c>
      <c r="AV65" s="97">
        <f ca="1">TblMagic[[#This Row],[Mana cost]] + Military!$CH$26*TblMili[[#This Row],[Sec. rec. Cost]]</f>
        <v>0</v>
      </c>
      <c r="AW65" s="97">
        <f ca="1">Military!$CH$24*TblMili[[#This Row],[Sec. rec. Cost]]+TblImps[[#This Row],[O1]]-TblProd[[#This Row],[Bank Ore]]</f>
        <v>0</v>
      </c>
      <c r="AX65" s="97">
        <f>TblImps[[#This Row],[G1]]-TblProd[[#This Row],[Bank Gems]]</f>
        <v>0</v>
      </c>
      <c r="AY65" s="150"/>
      <c r="AZ65" s="62" t="b">
        <f ca="1">IF(TblProd[[#This Row],[Set Guard]]&lt;&gt;"",TblProd[[#This Row],[Set Guard]],OFFSET(TblProd[[#This Row],[Guard]],-1,0))</f>
        <v>0</v>
      </c>
      <c r="BA65" s="161"/>
      <c r="BB65" s="45">
        <f>TblProd[[#This Row],[Hour]]</f>
        <v>62</v>
      </c>
      <c r="BC65" s="166">
        <f>-TblProd[[#This Row],[Bank Lumber]] / 2 + -TblProd[[#This Row],[Bank Gems]] * 2</f>
        <v>0</v>
      </c>
      <c r="BD65" s="166"/>
      <c r="BE65" s="166"/>
      <c r="BF65" s="166"/>
      <c r="BG65" s="167">
        <f ca="1">TblProd[[#This Row],[Time]]</f>
        <v>44813.291666666519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435524</v>
      </c>
      <c r="BJ65" s="97">
        <f ca="1">TblProd[[#This Row],[Food]]</f>
        <v>100377</v>
      </c>
      <c r="BK65" s="97">
        <f ca="1">TblProd[[#This Row],[Lumber]]</f>
        <v>53955</v>
      </c>
      <c r="BL65" s="97">
        <f ca="1">TblProd[[#This Row],[Mana]]</f>
        <v>0</v>
      </c>
      <c r="BM65" s="97">
        <f ca="1">TblProd[[#This Row],[Ore]]</f>
        <v>0</v>
      </c>
    </row>
    <row r="66" spans="1:65" x14ac:dyDescent="0.2">
      <c r="A66" s="145">
        <v>63</v>
      </c>
      <c r="B66" s="160">
        <f ca="1">TblImps[[#This Row],[Time]]</f>
        <v>44813.333333333183</v>
      </c>
      <c r="C66" s="161"/>
      <c r="D66" s="162"/>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441010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10000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50"/>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63">
        <f ca="1">OFFSET(TblConstr[[#This Row],[Tot Doc]],1,0)*dock_boats_hr * (1 + tech_4_1*TblTech[[#This Row],[4-1]])</f>
        <v>0</v>
      </c>
      <c r="Z66" s="162"/>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2]]/2,0),)</f>
        <v>0</v>
      </c>
      <c r="AF66" s="97">
        <f ca="1">OFFSET(TblConstr[[#This Row],[Tot DM]],1,0)*dm_gems</f>
        <v>0</v>
      </c>
      <c r="AG66" s="150"/>
      <c r="AH66" s="164">
        <f ca="1">MIN(race_platinum_bonus + IF(Magic!AD66&gt;0,midas_bonus) + TblImps[[#This Row],[Science]] - TblProd[[#This Row],[Guard]]*(0.02 + tech_5_7*TblTech[[#This Row],[5-7]]) + tech_1_5*TblTech[[#This Row],[1-5]] + tech_4_4*TblTech[[#This Row],[4-4]], 0.5)</f>
        <v>0</v>
      </c>
      <c r="AI6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64">
        <f ca="1">race_lumber_bonus+ IF(TblMagic[[#This Row],[Active Gaia''s Blessing]]&gt;0,gaias_blessing_lumber)+ tech_1_3*TblTech[[#This Row],[1-3]] + tech_1_6*TblTech[[#This Row],[1-6]] + tech_3_3*TblTech[[#This Row],[3-3]]</f>
        <v>0</v>
      </c>
      <c r="AK66" s="164">
        <f ca="1">race_mana_bonus+ 0 + TblImps[[#This Row],[Towers]] + tech_1_2*TblTech[[#This Row],[1-2]] + tech_3_4*TblTech[[#This Row],[3-4]]</f>
        <v>0</v>
      </c>
      <c r="AL66" s="164">
        <f ca="1">race_ore_bonus + IF(TblMagic[[#This Row],[Active Miner''s Sight]]&gt;0,miners_sight_bonus,IF(TblMagic[[#This Row],[Active Mining Strength]]&gt;0,mining_strength_bonus)) +  tech_1_6*TblTech[[#This Row],[1-6]]</f>
        <v>0</v>
      </c>
      <c r="AM66" s="164">
        <f>race_gem_bonus+ tech_3_2*TblTech[[#This Row],[3-2]] + tech_4_3*TblTech[[#This Row],[4-3]] + tech_6_2*TblTech[[#This Row],[6-2]]</f>
        <v>0</v>
      </c>
      <c r="AN66" s="150"/>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62"/>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Military!$CH$25*TblMili[[#This Row],[Sec. rec. Cost]]</f>
        <v>0</v>
      </c>
      <c r="AV66" s="97">
        <f ca="1">TblMagic[[#This Row],[Mana cost]] + Military!$CH$26*TblMili[[#This Row],[Sec. rec. Cost]]</f>
        <v>0</v>
      </c>
      <c r="AW66" s="97">
        <f ca="1">Military!$CH$24*TblMili[[#This Row],[Sec. rec. Cost]]+TblImps[[#This Row],[O1]]-TblProd[[#This Row],[Bank Ore]]</f>
        <v>0</v>
      </c>
      <c r="AX66" s="97">
        <f>TblImps[[#This Row],[G1]]-TblProd[[#This Row],[Bank Gems]]</f>
        <v>0</v>
      </c>
      <c r="AY66" s="150"/>
      <c r="AZ66" s="62" t="b">
        <f ca="1">IF(TblProd[[#This Row],[Set Guard]]&lt;&gt;"",TblProd[[#This Row],[Set Guard]],OFFSET(TblProd[[#This Row],[Guard]],-1,0))</f>
        <v>0</v>
      </c>
      <c r="BA66" s="161"/>
      <c r="BB66" s="45">
        <f>TblProd[[#This Row],[Hour]]</f>
        <v>63</v>
      </c>
      <c r="BC66" s="166">
        <f>-TblProd[[#This Row],[Bank Lumber]] / 2 + -TblProd[[#This Row],[Bank Gems]] * 2</f>
        <v>0</v>
      </c>
      <c r="BD66" s="166"/>
      <c r="BE66" s="166"/>
      <c r="BF66" s="166"/>
      <c r="BG66" s="167">
        <f ca="1">TblProd[[#This Row],[Time]]</f>
        <v>44813.333333333183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441010</v>
      </c>
      <c r="BJ66" s="97">
        <f ca="1">TblProd[[#This Row],[Food]]</f>
        <v>101364</v>
      </c>
      <c r="BK66" s="97">
        <f ca="1">TblProd[[#This Row],[Lumber]]</f>
        <v>54415</v>
      </c>
      <c r="BL66" s="97">
        <f ca="1">TblProd[[#This Row],[Mana]]</f>
        <v>0</v>
      </c>
      <c r="BM66" s="97">
        <f ca="1">TblProd[[#This Row],[Ore]]</f>
        <v>0</v>
      </c>
    </row>
    <row r="67" spans="1:65" x14ac:dyDescent="0.2">
      <c r="A67" s="145">
        <v>64</v>
      </c>
      <c r="B67" s="160">
        <f ca="1">TblImps[[#This Row],[Time]]</f>
        <v>44813.374999999847</v>
      </c>
      <c r="C67" s="161"/>
      <c r="D67" s="162"/>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446496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10000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50"/>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63">
        <f ca="1">OFFSET(TblConstr[[#This Row],[Tot Doc]],1,0)*dock_boats_hr * (1 + tech_4_1*TblTech[[#This Row],[4-1]])</f>
        <v>0</v>
      </c>
      <c r="Z67" s="162"/>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2]]/2,0),)</f>
        <v>0</v>
      </c>
      <c r="AF67" s="97">
        <f ca="1">OFFSET(TblConstr[[#This Row],[Tot DM]],1,0)*dm_gems</f>
        <v>0</v>
      </c>
      <c r="AG67" s="150"/>
      <c r="AH67" s="164">
        <f ca="1">MIN(race_platinum_bonus + IF(Magic!AD67&gt;0,midas_bonus) + TblImps[[#This Row],[Science]] - TblProd[[#This Row],[Guard]]*(0.02 + tech_5_7*TblTech[[#This Row],[5-7]]) + tech_1_5*TblTech[[#This Row],[1-5]] + tech_4_4*TblTech[[#This Row],[4-4]], 0.5)</f>
        <v>0</v>
      </c>
      <c r="AI6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64">
        <f ca="1">race_lumber_bonus+ IF(TblMagic[[#This Row],[Active Gaia''s Blessing]]&gt;0,gaias_blessing_lumber)+ tech_1_3*TblTech[[#This Row],[1-3]] + tech_1_6*TblTech[[#This Row],[1-6]] + tech_3_3*TblTech[[#This Row],[3-3]]</f>
        <v>0</v>
      </c>
      <c r="AK67" s="164">
        <f ca="1">race_mana_bonus+ 0 + TblImps[[#This Row],[Towers]] + tech_1_2*TblTech[[#This Row],[1-2]] + tech_3_4*TblTech[[#This Row],[3-4]]</f>
        <v>0</v>
      </c>
      <c r="AL67" s="164">
        <f ca="1">race_ore_bonus + IF(TblMagic[[#This Row],[Active Miner''s Sight]]&gt;0,miners_sight_bonus,IF(TblMagic[[#This Row],[Active Mining Strength]]&gt;0,mining_strength_bonus)) +  tech_1_6*TblTech[[#This Row],[1-6]]</f>
        <v>0</v>
      </c>
      <c r="AM67" s="164">
        <f>race_gem_bonus+ tech_3_2*TblTech[[#This Row],[3-2]] + tech_4_3*TblTech[[#This Row],[4-3]] + tech_6_2*TblTech[[#This Row],[6-2]]</f>
        <v>0</v>
      </c>
      <c r="AN67" s="150"/>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62"/>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Military!$CH$25*TblMili[[#This Row],[Sec. rec. Cost]]</f>
        <v>0</v>
      </c>
      <c r="AV67" s="97">
        <f ca="1">TblMagic[[#This Row],[Mana cost]] + Military!$CH$26*TblMili[[#This Row],[Sec. rec. Cost]]</f>
        <v>0</v>
      </c>
      <c r="AW67" s="97">
        <f ca="1">Military!$CH$24*TblMili[[#This Row],[Sec. rec. Cost]]+TblImps[[#This Row],[O1]]-TblProd[[#This Row],[Bank Ore]]</f>
        <v>0</v>
      </c>
      <c r="AX67" s="97">
        <f>TblImps[[#This Row],[G1]]-TblProd[[#This Row],[Bank Gems]]</f>
        <v>0</v>
      </c>
      <c r="AY67" s="150"/>
      <c r="AZ67" s="62" t="b">
        <f ca="1">IF(TblProd[[#This Row],[Set Guard]]&lt;&gt;"",TblProd[[#This Row],[Set Guard]],OFFSET(TblProd[[#This Row],[Guard]],-1,0))</f>
        <v>0</v>
      </c>
      <c r="BA67" s="161"/>
      <c r="BB67" s="45">
        <f>TblProd[[#This Row],[Hour]]</f>
        <v>64</v>
      </c>
      <c r="BC67" s="166">
        <f>-TblProd[[#This Row],[Bank Lumber]] / 2 + -TblProd[[#This Row],[Bank Gems]] * 2</f>
        <v>0</v>
      </c>
      <c r="BD67" s="166"/>
      <c r="BE67" s="166"/>
      <c r="BF67" s="166"/>
      <c r="BG67" s="167">
        <f ca="1">TblProd[[#This Row],[Time]]</f>
        <v>44813.374999999847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446496</v>
      </c>
      <c r="BJ67" s="97">
        <f ca="1">TblProd[[#This Row],[Food]]</f>
        <v>102341</v>
      </c>
      <c r="BK67" s="97">
        <f ca="1">TblProd[[#This Row],[Lumber]]</f>
        <v>54871</v>
      </c>
      <c r="BL67" s="97">
        <f ca="1">TblProd[[#This Row],[Mana]]</f>
        <v>0</v>
      </c>
      <c r="BM67" s="97">
        <f ca="1">TblProd[[#This Row],[Ore]]</f>
        <v>0</v>
      </c>
    </row>
    <row r="68" spans="1:65" x14ac:dyDescent="0.2">
      <c r="A68" s="145">
        <v>65</v>
      </c>
      <c r="B68" s="160">
        <f ca="1">TblImps[[#This Row],[Time]]</f>
        <v>44813.416666666511</v>
      </c>
      <c r="C68" s="161"/>
      <c r="D68" s="162"/>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451982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10000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50"/>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63">
        <f ca="1">OFFSET(TblConstr[[#This Row],[Tot Doc]],1,0)*dock_boats_hr * (1 + tech_4_1*TblTech[[#This Row],[4-1]])</f>
        <v>0</v>
      </c>
      <c r="Z68" s="162"/>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2]]/2,0),)</f>
        <v>0</v>
      </c>
      <c r="AF68" s="97">
        <f ca="1">OFFSET(TblConstr[[#This Row],[Tot DM]],1,0)*dm_gems</f>
        <v>0</v>
      </c>
      <c r="AG68" s="150"/>
      <c r="AH68" s="164">
        <f ca="1">MIN(race_platinum_bonus + IF(Magic!AD68&gt;0,midas_bonus) + TblImps[[#This Row],[Science]] - TblProd[[#This Row],[Guard]]*(0.02 + tech_5_7*TblTech[[#This Row],[5-7]]) + tech_1_5*TblTech[[#This Row],[1-5]] + tech_4_4*TblTech[[#This Row],[4-4]], 0.5)</f>
        <v>0</v>
      </c>
      <c r="AI6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64">
        <f ca="1">race_lumber_bonus+ IF(TblMagic[[#This Row],[Active Gaia''s Blessing]]&gt;0,gaias_blessing_lumber)+ tech_1_3*TblTech[[#This Row],[1-3]] + tech_1_6*TblTech[[#This Row],[1-6]] + tech_3_3*TblTech[[#This Row],[3-3]]</f>
        <v>0</v>
      </c>
      <c r="AK68" s="164">
        <f ca="1">race_mana_bonus+ 0 + TblImps[[#This Row],[Towers]] + tech_1_2*TblTech[[#This Row],[1-2]] + tech_3_4*TblTech[[#This Row],[3-4]]</f>
        <v>0</v>
      </c>
      <c r="AL68" s="164">
        <f ca="1">race_ore_bonus + IF(TblMagic[[#This Row],[Active Miner''s Sight]]&gt;0,miners_sight_bonus,IF(TblMagic[[#This Row],[Active Mining Strength]]&gt;0,mining_strength_bonus)) +  tech_1_6*TblTech[[#This Row],[1-6]]</f>
        <v>0</v>
      </c>
      <c r="AM68" s="164">
        <f>race_gem_bonus+ tech_3_2*TblTech[[#This Row],[3-2]] + tech_4_3*TblTech[[#This Row],[4-3]] + tech_6_2*TblTech[[#This Row],[6-2]]</f>
        <v>0</v>
      </c>
      <c r="AN68" s="150"/>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62"/>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Military!$CH$25*TblMili[[#This Row],[Sec. rec. Cost]]</f>
        <v>0</v>
      </c>
      <c r="AV68" s="97">
        <f ca="1">TblMagic[[#This Row],[Mana cost]] + Military!$CH$26*TblMili[[#This Row],[Sec. rec. Cost]]</f>
        <v>0</v>
      </c>
      <c r="AW68" s="97">
        <f ca="1">Military!$CH$24*TblMili[[#This Row],[Sec. rec. Cost]]+TblImps[[#This Row],[O1]]-TblProd[[#This Row],[Bank Ore]]</f>
        <v>0</v>
      </c>
      <c r="AX68" s="97">
        <f>TblImps[[#This Row],[G1]]-TblProd[[#This Row],[Bank Gems]]</f>
        <v>0</v>
      </c>
      <c r="AY68" s="150"/>
      <c r="AZ68" s="62" t="b">
        <f ca="1">IF(TblProd[[#This Row],[Set Guard]]&lt;&gt;"",TblProd[[#This Row],[Set Guard]],OFFSET(TblProd[[#This Row],[Guard]],-1,0))</f>
        <v>0</v>
      </c>
      <c r="BA68" s="161"/>
      <c r="BB68" s="45">
        <f>TblProd[[#This Row],[Hour]]</f>
        <v>65</v>
      </c>
      <c r="BC68" s="166">
        <f>-TblProd[[#This Row],[Bank Lumber]] / 2 + -TblProd[[#This Row],[Bank Gems]] * 2</f>
        <v>0</v>
      </c>
      <c r="BD68" s="166"/>
      <c r="BE68" s="166"/>
      <c r="BF68" s="166"/>
      <c r="BG68" s="167">
        <f ca="1">TblProd[[#This Row],[Time]]</f>
        <v>44813.416666666511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451982</v>
      </c>
      <c r="BJ68" s="97">
        <f ca="1">TblProd[[#This Row],[Food]]</f>
        <v>103308</v>
      </c>
      <c r="BK68" s="97">
        <f ca="1">TblProd[[#This Row],[Lumber]]</f>
        <v>55322</v>
      </c>
      <c r="BL68" s="97">
        <f ca="1">TblProd[[#This Row],[Mana]]</f>
        <v>0</v>
      </c>
      <c r="BM68" s="97">
        <f ca="1">TblProd[[#This Row],[Ore]]</f>
        <v>0</v>
      </c>
    </row>
    <row r="69" spans="1:65" x14ac:dyDescent="0.2">
      <c r="A69" s="145">
        <v>66</v>
      </c>
      <c r="B69" s="160">
        <f ca="1">TblImps[[#This Row],[Time]]</f>
        <v>44813.458333333176</v>
      </c>
      <c r="C69" s="161"/>
      <c r="D69" s="162"/>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457468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10000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50"/>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63">
        <f ca="1">OFFSET(TblConstr[[#This Row],[Tot Doc]],1,0)*dock_boats_hr * (1 + tech_4_1*TblTech[[#This Row],[4-1]])</f>
        <v>0</v>
      </c>
      <c r="Z69" s="162"/>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2]]/2,0),)</f>
        <v>0</v>
      </c>
      <c r="AF69" s="97">
        <f ca="1">OFFSET(TblConstr[[#This Row],[Tot DM]],1,0)*dm_gems</f>
        <v>0</v>
      </c>
      <c r="AG69" s="150"/>
      <c r="AH69" s="164">
        <f ca="1">MIN(race_platinum_bonus + IF(Magic!AD69&gt;0,midas_bonus) + TblImps[[#This Row],[Science]] - TblProd[[#This Row],[Guard]]*(0.02 + tech_5_7*TblTech[[#This Row],[5-7]]) + tech_1_5*TblTech[[#This Row],[1-5]] + tech_4_4*TblTech[[#This Row],[4-4]], 0.5)</f>
        <v>0</v>
      </c>
      <c r="AI6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64">
        <f ca="1">race_lumber_bonus+ IF(TblMagic[[#This Row],[Active Gaia''s Blessing]]&gt;0,gaias_blessing_lumber)+ tech_1_3*TblTech[[#This Row],[1-3]] + tech_1_6*TblTech[[#This Row],[1-6]] + tech_3_3*TblTech[[#This Row],[3-3]]</f>
        <v>0</v>
      </c>
      <c r="AK69" s="164">
        <f ca="1">race_mana_bonus+ 0 + TblImps[[#This Row],[Towers]] + tech_1_2*TblTech[[#This Row],[1-2]] + tech_3_4*TblTech[[#This Row],[3-4]]</f>
        <v>0</v>
      </c>
      <c r="AL69" s="164">
        <f ca="1">race_ore_bonus + IF(TblMagic[[#This Row],[Active Miner''s Sight]]&gt;0,miners_sight_bonus,IF(TblMagic[[#This Row],[Active Mining Strength]]&gt;0,mining_strength_bonus)) +  tech_1_6*TblTech[[#This Row],[1-6]]</f>
        <v>0</v>
      </c>
      <c r="AM69" s="164">
        <f>race_gem_bonus+ tech_3_2*TblTech[[#This Row],[3-2]] + tech_4_3*TblTech[[#This Row],[4-3]] + tech_6_2*TblTech[[#This Row],[6-2]]</f>
        <v>0</v>
      </c>
      <c r="AN69" s="150"/>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62"/>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Military!$CH$25*TblMili[[#This Row],[Sec. rec. Cost]]</f>
        <v>0</v>
      </c>
      <c r="AV69" s="97">
        <f ca="1">TblMagic[[#This Row],[Mana cost]] + Military!$CH$26*TblMili[[#This Row],[Sec. rec. Cost]]</f>
        <v>0</v>
      </c>
      <c r="AW69" s="97">
        <f ca="1">Military!$CH$24*TblMili[[#This Row],[Sec. rec. Cost]]+TblImps[[#This Row],[O1]]-TblProd[[#This Row],[Bank Ore]]</f>
        <v>0</v>
      </c>
      <c r="AX69" s="97">
        <f>TblImps[[#This Row],[G1]]-TblProd[[#This Row],[Bank Gems]]</f>
        <v>0</v>
      </c>
      <c r="AY69" s="150"/>
      <c r="AZ69" s="62" t="b">
        <f ca="1">IF(TblProd[[#This Row],[Set Guard]]&lt;&gt;"",TblProd[[#This Row],[Set Guard]],OFFSET(TblProd[[#This Row],[Guard]],-1,0))</f>
        <v>0</v>
      </c>
      <c r="BA69" s="161"/>
      <c r="BB69" s="45">
        <f>TblProd[[#This Row],[Hour]]</f>
        <v>66</v>
      </c>
      <c r="BC69" s="166">
        <f>-TblProd[[#This Row],[Bank Lumber]] / 2 + -TblProd[[#This Row],[Bank Gems]] * 2</f>
        <v>0</v>
      </c>
      <c r="BD69" s="166"/>
      <c r="BE69" s="166"/>
      <c r="BF69" s="166"/>
      <c r="BG69" s="167">
        <f ca="1">TblProd[[#This Row],[Time]]</f>
        <v>44813.458333333176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457468</v>
      </c>
      <c r="BJ69" s="97">
        <f ca="1">TblProd[[#This Row],[Food]]</f>
        <v>104265</v>
      </c>
      <c r="BK69" s="97">
        <f ca="1">TblProd[[#This Row],[Lumber]]</f>
        <v>55769</v>
      </c>
      <c r="BL69" s="97">
        <f ca="1">TblProd[[#This Row],[Mana]]</f>
        <v>0</v>
      </c>
      <c r="BM69" s="97">
        <f ca="1">TblProd[[#This Row],[Ore]]</f>
        <v>0</v>
      </c>
    </row>
    <row r="70" spans="1:65" x14ac:dyDescent="0.2">
      <c r="A70" s="145">
        <v>67</v>
      </c>
      <c r="B70" s="160">
        <f ca="1">TblImps[[#This Row],[Time]]</f>
        <v>44813.49999999984</v>
      </c>
      <c r="C70" s="161"/>
      <c r="D70" s="162"/>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462954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10000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50"/>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63">
        <f ca="1">OFFSET(TblConstr[[#This Row],[Tot Doc]],1,0)*dock_boats_hr * (1 + tech_4_1*TblTech[[#This Row],[4-1]])</f>
        <v>0</v>
      </c>
      <c r="Z70" s="162"/>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2]]/2,0),)</f>
        <v>0</v>
      </c>
      <c r="AF70" s="97">
        <f ca="1">OFFSET(TblConstr[[#This Row],[Tot DM]],1,0)*dm_gems</f>
        <v>0</v>
      </c>
      <c r="AG70" s="150"/>
      <c r="AH70" s="164">
        <f ca="1">MIN(race_platinum_bonus + IF(Magic!AD70&gt;0,midas_bonus) + TblImps[[#This Row],[Science]] - TblProd[[#This Row],[Guard]]*(0.02 + tech_5_7*TblTech[[#This Row],[5-7]]) + tech_1_5*TblTech[[#This Row],[1-5]] + tech_4_4*TblTech[[#This Row],[4-4]], 0.5)</f>
        <v>0</v>
      </c>
      <c r="AI7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64">
        <f ca="1">race_lumber_bonus+ IF(TblMagic[[#This Row],[Active Gaia''s Blessing]]&gt;0,gaias_blessing_lumber)+ tech_1_3*TblTech[[#This Row],[1-3]] + tech_1_6*TblTech[[#This Row],[1-6]] + tech_3_3*TblTech[[#This Row],[3-3]]</f>
        <v>0</v>
      </c>
      <c r="AK70" s="164">
        <f ca="1">race_mana_bonus+ 0 + TblImps[[#This Row],[Towers]] + tech_1_2*TblTech[[#This Row],[1-2]] + tech_3_4*TblTech[[#This Row],[3-4]]</f>
        <v>0</v>
      </c>
      <c r="AL70" s="164">
        <f ca="1">race_ore_bonus + IF(TblMagic[[#This Row],[Active Miner''s Sight]]&gt;0,miners_sight_bonus,IF(TblMagic[[#This Row],[Active Mining Strength]]&gt;0,mining_strength_bonus)) +  tech_1_6*TblTech[[#This Row],[1-6]]</f>
        <v>0</v>
      </c>
      <c r="AM70" s="164">
        <f>race_gem_bonus+ tech_3_2*TblTech[[#This Row],[3-2]] + tech_4_3*TblTech[[#This Row],[4-3]] + tech_6_2*TblTech[[#This Row],[6-2]]</f>
        <v>0</v>
      </c>
      <c r="AN70" s="150"/>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62"/>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Military!$CH$25*TblMili[[#This Row],[Sec. rec. Cost]]</f>
        <v>0</v>
      </c>
      <c r="AV70" s="97">
        <f ca="1">TblMagic[[#This Row],[Mana cost]] + Military!$CH$26*TblMili[[#This Row],[Sec. rec. Cost]]</f>
        <v>0</v>
      </c>
      <c r="AW70" s="97">
        <f ca="1">Military!$CH$24*TblMili[[#This Row],[Sec. rec. Cost]]+TblImps[[#This Row],[O1]]-TblProd[[#This Row],[Bank Ore]]</f>
        <v>0</v>
      </c>
      <c r="AX70" s="97">
        <f>TblImps[[#This Row],[G1]]-TblProd[[#This Row],[Bank Gems]]</f>
        <v>0</v>
      </c>
      <c r="AY70" s="150"/>
      <c r="AZ70" s="62" t="b">
        <f ca="1">IF(TblProd[[#This Row],[Set Guard]]&lt;&gt;"",TblProd[[#This Row],[Set Guard]],OFFSET(TblProd[[#This Row],[Guard]],-1,0))</f>
        <v>0</v>
      </c>
      <c r="BA70" s="161"/>
      <c r="BB70" s="45">
        <f>TblProd[[#This Row],[Hour]]</f>
        <v>67</v>
      </c>
      <c r="BC70" s="166">
        <f>-TblProd[[#This Row],[Bank Lumber]] / 2 + -TblProd[[#This Row],[Bank Gems]] * 2</f>
        <v>0</v>
      </c>
      <c r="BD70" s="166"/>
      <c r="BE70" s="166"/>
      <c r="BF70" s="166"/>
      <c r="BG70" s="167">
        <f ca="1">TblProd[[#This Row],[Time]]</f>
        <v>44813.49999999984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462954</v>
      </c>
      <c r="BJ70" s="97">
        <f ca="1">TblProd[[#This Row],[Food]]</f>
        <v>105213</v>
      </c>
      <c r="BK70" s="97">
        <f ca="1">TblProd[[#This Row],[Lumber]]</f>
        <v>56211</v>
      </c>
      <c r="BL70" s="97">
        <f ca="1">TblProd[[#This Row],[Mana]]</f>
        <v>0</v>
      </c>
      <c r="BM70" s="97">
        <f ca="1">TblProd[[#This Row],[Ore]]</f>
        <v>0</v>
      </c>
    </row>
    <row r="71" spans="1:65" x14ac:dyDescent="0.2">
      <c r="A71" s="145">
        <v>68</v>
      </c>
      <c r="B71" s="160">
        <f ca="1">TblImps[[#This Row],[Time]]</f>
        <v>44813.541666666504</v>
      </c>
      <c r="C71" s="161"/>
      <c r="D71" s="162"/>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468440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10000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50"/>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63">
        <f ca="1">OFFSET(TblConstr[[#This Row],[Tot Doc]],1,0)*dock_boats_hr * (1 + tech_4_1*TblTech[[#This Row],[4-1]])</f>
        <v>0</v>
      </c>
      <c r="Z71" s="162"/>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2]]/2,0),)</f>
        <v>0</v>
      </c>
      <c r="AF71" s="97">
        <f ca="1">OFFSET(TblConstr[[#This Row],[Tot DM]],1,0)*dm_gems</f>
        <v>0</v>
      </c>
      <c r="AG71" s="150"/>
      <c r="AH71" s="164">
        <f ca="1">MIN(race_platinum_bonus + IF(Magic!AD71&gt;0,midas_bonus) + TblImps[[#This Row],[Science]] - TblProd[[#This Row],[Guard]]*(0.02 + tech_5_7*TblTech[[#This Row],[5-7]]) + tech_1_5*TblTech[[#This Row],[1-5]] + tech_4_4*TblTech[[#This Row],[4-4]], 0.5)</f>
        <v>0</v>
      </c>
      <c r="AI7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64">
        <f ca="1">race_lumber_bonus+ IF(TblMagic[[#This Row],[Active Gaia''s Blessing]]&gt;0,gaias_blessing_lumber)+ tech_1_3*TblTech[[#This Row],[1-3]] + tech_1_6*TblTech[[#This Row],[1-6]] + tech_3_3*TblTech[[#This Row],[3-3]]</f>
        <v>0</v>
      </c>
      <c r="AK71" s="164">
        <f ca="1">race_mana_bonus+ 0 + TblImps[[#This Row],[Towers]] + tech_1_2*TblTech[[#This Row],[1-2]] + tech_3_4*TblTech[[#This Row],[3-4]]</f>
        <v>0</v>
      </c>
      <c r="AL71" s="164">
        <f ca="1">race_ore_bonus + IF(TblMagic[[#This Row],[Active Miner''s Sight]]&gt;0,miners_sight_bonus,IF(TblMagic[[#This Row],[Active Mining Strength]]&gt;0,mining_strength_bonus)) +  tech_1_6*TblTech[[#This Row],[1-6]]</f>
        <v>0</v>
      </c>
      <c r="AM71" s="164">
        <f>race_gem_bonus+ tech_3_2*TblTech[[#This Row],[3-2]] + tech_4_3*TblTech[[#This Row],[4-3]] + tech_6_2*TblTech[[#This Row],[6-2]]</f>
        <v>0</v>
      </c>
      <c r="AN71" s="150"/>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62"/>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Military!$CH$25*TblMili[[#This Row],[Sec. rec. Cost]]</f>
        <v>0</v>
      </c>
      <c r="AV71" s="97">
        <f ca="1">TblMagic[[#This Row],[Mana cost]] + Military!$CH$26*TblMili[[#This Row],[Sec. rec. Cost]]</f>
        <v>0</v>
      </c>
      <c r="AW71" s="97">
        <f ca="1">Military!$CH$24*TblMili[[#This Row],[Sec. rec. Cost]]+TblImps[[#This Row],[O1]]-TblProd[[#This Row],[Bank Ore]]</f>
        <v>0</v>
      </c>
      <c r="AX71" s="97">
        <f>TblImps[[#This Row],[G1]]-TblProd[[#This Row],[Bank Gems]]</f>
        <v>0</v>
      </c>
      <c r="AY71" s="150"/>
      <c r="AZ71" s="62" t="b">
        <f ca="1">IF(TblProd[[#This Row],[Set Guard]]&lt;&gt;"",TblProd[[#This Row],[Set Guard]],OFFSET(TblProd[[#This Row],[Guard]],-1,0))</f>
        <v>0</v>
      </c>
      <c r="BA71" s="161"/>
      <c r="BB71" s="45">
        <f>TblProd[[#This Row],[Hour]]</f>
        <v>68</v>
      </c>
      <c r="BC71" s="166">
        <f>-TblProd[[#This Row],[Bank Lumber]] / 2 + -TblProd[[#This Row],[Bank Gems]] * 2</f>
        <v>0</v>
      </c>
      <c r="BD71" s="166"/>
      <c r="BE71" s="166"/>
      <c r="BF71" s="166"/>
      <c r="BG71" s="167">
        <f ca="1">TblProd[[#This Row],[Time]]</f>
        <v>44813.541666666504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468440</v>
      </c>
      <c r="BJ71" s="97">
        <f ca="1">TblProd[[#This Row],[Food]]</f>
        <v>106151</v>
      </c>
      <c r="BK71" s="97">
        <f ca="1">TblProd[[#This Row],[Lumber]]</f>
        <v>56649</v>
      </c>
      <c r="BL71" s="97">
        <f ca="1">TblProd[[#This Row],[Mana]]</f>
        <v>0</v>
      </c>
      <c r="BM71" s="97">
        <f ca="1">TblProd[[#This Row],[Ore]]</f>
        <v>0</v>
      </c>
    </row>
    <row r="72" spans="1:65" x14ac:dyDescent="0.2">
      <c r="A72" s="145">
        <v>69</v>
      </c>
      <c r="B72" s="160">
        <f ca="1">TblImps[[#This Row],[Time]]</f>
        <v>44813.583333333168</v>
      </c>
      <c r="C72" s="161"/>
      <c r="D72" s="162"/>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473926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10000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50"/>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63">
        <f ca="1">OFFSET(TblConstr[[#This Row],[Tot Doc]],1,0)*dock_boats_hr * (1 + tech_4_1*TblTech[[#This Row],[4-1]])</f>
        <v>0</v>
      </c>
      <c r="Z72" s="162"/>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2]]/2,0),)</f>
        <v>0</v>
      </c>
      <c r="AF72" s="97">
        <f ca="1">OFFSET(TblConstr[[#This Row],[Tot DM]],1,0)*dm_gems</f>
        <v>0</v>
      </c>
      <c r="AG72" s="150"/>
      <c r="AH72" s="164">
        <f ca="1">MIN(race_platinum_bonus + IF(Magic!AD72&gt;0,midas_bonus) + TblImps[[#This Row],[Science]] - TblProd[[#This Row],[Guard]]*(0.02 + tech_5_7*TblTech[[#This Row],[5-7]]) + tech_1_5*TblTech[[#This Row],[1-5]] + tech_4_4*TblTech[[#This Row],[4-4]], 0.5)</f>
        <v>0</v>
      </c>
      <c r="AI7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64">
        <f ca="1">race_lumber_bonus+ IF(TblMagic[[#This Row],[Active Gaia''s Blessing]]&gt;0,gaias_blessing_lumber)+ tech_1_3*TblTech[[#This Row],[1-3]] + tech_1_6*TblTech[[#This Row],[1-6]] + tech_3_3*TblTech[[#This Row],[3-3]]</f>
        <v>0</v>
      </c>
      <c r="AK72" s="164">
        <f ca="1">race_mana_bonus+ 0 + TblImps[[#This Row],[Towers]] + tech_1_2*TblTech[[#This Row],[1-2]] + tech_3_4*TblTech[[#This Row],[3-4]]</f>
        <v>0</v>
      </c>
      <c r="AL72" s="164">
        <f ca="1">race_ore_bonus + IF(TblMagic[[#This Row],[Active Miner''s Sight]]&gt;0,miners_sight_bonus,IF(TblMagic[[#This Row],[Active Mining Strength]]&gt;0,mining_strength_bonus)) +  tech_1_6*TblTech[[#This Row],[1-6]]</f>
        <v>0</v>
      </c>
      <c r="AM72" s="164">
        <f>race_gem_bonus+ tech_3_2*TblTech[[#This Row],[3-2]] + tech_4_3*TblTech[[#This Row],[4-3]] + tech_6_2*TblTech[[#This Row],[6-2]]</f>
        <v>0</v>
      </c>
      <c r="AN72" s="150"/>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62"/>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Military!$CH$25*TblMili[[#This Row],[Sec. rec. Cost]]</f>
        <v>0</v>
      </c>
      <c r="AV72" s="97">
        <f ca="1">TblMagic[[#This Row],[Mana cost]] + Military!$CH$26*TblMili[[#This Row],[Sec. rec. Cost]]</f>
        <v>0</v>
      </c>
      <c r="AW72" s="97">
        <f ca="1">Military!$CH$24*TblMili[[#This Row],[Sec. rec. Cost]]+TblImps[[#This Row],[O1]]-TblProd[[#This Row],[Bank Ore]]</f>
        <v>0</v>
      </c>
      <c r="AX72" s="97">
        <f>TblImps[[#This Row],[G1]]-TblProd[[#This Row],[Bank Gems]]</f>
        <v>0</v>
      </c>
      <c r="AY72" s="150"/>
      <c r="AZ72" s="62" t="b">
        <f ca="1">IF(TblProd[[#This Row],[Set Guard]]&lt;&gt;"",TblProd[[#This Row],[Set Guard]],OFFSET(TblProd[[#This Row],[Guard]],-1,0))</f>
        <v>0</v>
      </c>
      <c r="BA72" s="161"/>
      <c r="BB72" s="45">
        <f>TblProd[[#This Row],[Hour]]</f>
        <v>69</v>
      </c>
      <c r="BC72" s="166">
        <f>-TblProd[[#This Row],[Bank Lumber]] / 2 + -TblProd[[#This Row],[Bank Gems]] * 2</f>
        <v>0</v>
      </c>
      <c r="BD72" s="166"/>
      <c r="BE72" s="166"/>
      <c r="BF72" s="166"/>
      <c r="BG72" s="167">
        <f ca="1">TblProd[[#This Row],[Time]]</f>
        <v>44813.583333333168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473926</v>
      </c>
      <c r="BJ72" s="97">
        <f ca="1">TblProd[[#This Row],[Food]]</f>
        <v>107080</v>
      </c>
      <c r="BK72" s="97">
        <f ca="1">TblProd[[#This Row],[Lumber]]</f>
        <v>57083</v>
      </c>
      <c r="BL72" s="97">
        <f ca="1">TblProd[[#This Row],[Mana]]</f>
        <v>0</v>
      </c>
      <c r="BM72" s="97">
        <f ca="1">TblProd[[#This Row],[Ore]]</f>
        <v>0</v>
      </c>
    </row>
    <row r="73" spans="1:65" x14ac:dyDescent="0.2">
      <c r="A73" s="145">
        <v>70</v>
      </c>
      <c r="B73" s="160">
        <f ca="1">TblImps[[#This Row],[Time]]</f>
        <v>44813.624999999833</v>
      </c>
      <c r="C73" s="161"/>
      <c r="D73" s="162"/>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479412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10000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50"/>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63">
        <f ca="1">OFFSET(TblConstr[[#This Row],[Tot Doc]],1,0)*dock_boats_hr * (1 + tech_4_1*TblTech[[#This Row],[4-1]])</f>
        <v>0</v>
      </c>
      <c r="Z73" s="162"/>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2]]/2,0),)</f>
        <v>0</v>
      </c>
      <c r="AF73" s="97">
        <f ca="1">OFFSET(TblConstr[[#This Row],[Tot DM]],1,0)*dm_gems</f>
        <v>0</v>
      </c>
      <c r="AG73" s="150"/>
      <c r="AH73" s="164">
        <f ca="1">MIN(race_platinum_bonus + IF(Magic!AD73&gt;0,midas_bonus) + TblImps[[#This Row],[Science]] - TblProd[[#This Row],[Guard]]*(0.02 + tech_5_7*TblTech[[#This Row],[5-7]]) + tech_1_5*TblTech[[#This Row],[1-5]] + tech_4_4*TblTech[[#This Row],[4-4]], 0.5)</f>
        <v>0</v>
      </c>
      <c r="AI7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64">
        <f ca="1">race_lumber_bonus+ IF(TblMagic[[#This Row],[Active Gaia''s Blessing]]&gt;0,gaias_blessing_lumber)+ tech_1_3*TblTech[[#This Row],[1-3]] + tech_1_6*TblTech[[#This Row],[1-6]] + tech_3_3*TblTech[[#This Row],[3-3]]</f>
        <v>0</v>
      </c>
      <c r="AK73" s="164">
        <f ca="1">race_mana_bonus+ 0 + TblImps[[#This Row],[Towers]] + tech_1_2*TblTech[[#This Row],[1-2]] + tech_3_4*TblTech[[#This Row],[3-4]]</f>
        <v>0</v>
      </c>
      <c r="AL73" s="164">
        <f ca="1">race_ore_bonus + IF(TblMagic[[#This Row],[Active Miner''s Sight]]&gt;0,miners_sight_bonus,IF(TblMagic[[#This Row],[Active Mining Strength]]&gt;0,mining_strength_bonus)) +  tech_1_6*TblTech[[#This Row],[1-6]]</f>
        <v>0</v>
      </c>
      <c r="AM73" s="164">
        <f>race_gem_bonus+ tech_3_2*TblTech[[#This Row],[3-2]] + tech_4_3*TblTech[[#This Row],[4-3]] + tech_6_2*TblTech[[#This Row],[6-2]]</f>
        <v>0</v>
      </c>
      <c r="AN73" s="150"/>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62"/>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Military!$CH$25*TblMili[[#This Row],[Sec. rec. Cost]]</f>
        <v>0</v>
      </c>
      <c r="AV73" s="97">
        <f ca="1">TblMagic[[#This Row],[Mana cost]] + Military!$CH$26*TblMili[[#This Row],[Sec. rec. Cost]]</f>
        <v>0</v>
      </c>
      <c r="AW73" s="97">
        <f ca="1">Military!$CH$24*TblMili[[#This Row],[Sec. rec. Cost]]+TblImps[[#This Row],[O1]]-TblProd[[#This Row],[Bank Ore]]</f>
        <v>0</v>
      </c>
      <c r="AX73" s="97">
        <f>TblImps[[#This Row],[G1]]-TblProd[[#This Row],[Bank Gems]]</f>
        <v>0</v>
      </c>
      <c r="AY73" s="150"/>
      <c r="AZ73" s="62" t="b">
        <f ca="1">IF(TblProd[[#This Row],[Set Guard]]&lt;&gt;"",TblProd[[#This Row],[Set Guard]],OFFSET(TblProd[[#This Row],[Guard]],-1,0))</f>
        <v>0</v>
      </c>
      <c r="BA73" s="161"/>
      <c r="BB73" s="45">
        <f>TblProd[[#This Row],[Hour]]</f>
        <v>70</v>
      </c>
      <c r="BC73" s="166">
        <f>-TblProd[[#This Row],[Bank Lumber]] / 2 + -TblProd[[#This Row],[Bank Gems]] * 2</f>
        <v>0</v>
      </c>
      <c r="BD73" s="166"/>
      <c r="BE73" s="166"/>
      <c r="BF73" s="166"/>
      <c r="BG73" s="167">
        <f ca="1">TblProd[[#This Row],[Time]]</f>
        <v>44813.624999999833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479412</v>
      </c>
      <c r="BJ73" s="97">
        <f ca="1">TblProd[[#This Row],[Food]]</f>
        <v>108000</v>
      </c>
      <c r="BK73" s="97">
        <f ca="1">TblProd[[#This Row],[Lumber]]</f>
        <v>57512</v>
      </c>
      <c r="BL73" s="97">
        <f ca="1">TblProd[[#This Row],[Mana]]</f>
        <v>0</v>
      </c>
      <c r="BM73" s="97">
        <f ca="1">TblProd[[#This Row],[Ore]]</f>
        <v>0</v>
      </c>
    </row>
    <row r="74" spans="1:65" x14ac:dyDescent="0.2">
      <c r="A74" s="145">
        <v>71</v>
      </c>
      <c r="B74" s="160">
        <f ca="1">TblImps[[#This Row],[Time]]</f>
        <v>44813.666666666497</v>
      </c>
      <c r="C74" s="161"/>
      <c r="D74" s="162"/>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484898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10000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50"/>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63">
        <f ca="1">OFFSET(TblConstr[[#This Row],[Tot Doc]],1,0)*dock_boats_hr * (1 + tech_4_1*TblTech[[#This Row],[4-1]])</f>
        <v>0</v>
      </c>
      <c r="Z74" s="162"/>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2]]/2,0),)</f>
        <v>0</v>
      </c>
      <c r="AF74" s="97">
        <f ca="1">OFFSET(TblConstr[[#This Row],[Tot DM]],1,0)*dm_gems</f>
        <v>0</v>
      </c>
      <c r="AG74" s="150"/>
      <c r="AH74" s="164">
        <f ca="1">MIN(race_platinum_bonus + IF(Magic!AD74&gt;0,midas_bonus) + TblImps[[#This Row],[Science]] - TblProd[[#This Row],[Guard]]*(0.02 + tech_5_7*TblTech[[#This Row],[5-7]]) + tech_1_5*TblTech[[#This Row],[1-5]] + tech_4_4*TblTech[[#This Row],[4-4]], 0.5)</f>
        <v>0</v>
      </c>
      <c r="AI7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64">
        <f ca="1">race_lumber_bonus+ IF(TblMagic[[#This Row],[Active Gaia''s Blessing]]&gt;0,gaias_blessing_lumber)+ tech_1_3*TblTech[[#This Row],[1-3]] + tech_1_6*TblTech[[#This Row],[1-6]] + tech_3_3*TblTech[[#This Row],[3-3]]</f>
        <v>0</v>
      </c>
      <c r="AK74" s="164">
        <f ca="1">race_mana_bonus+ 0 + TblImps[[#This Row],[Towers]] + tech_1_2*TblTech[[#This Row],[1-2]] + tech_3_4*TblTech[[#This Row],[3-4]]</f>
        <v>0</v>
      </c>
      <c r="AL74" s="164">
        <f ca="1">race_ore_bonus + IF(TblMagic[[#This Row],[Active Miner''s Sight]]&gt;0,miners_sight_bonus,IF(TblMagic[[#This Row],[Active Mining Strength]]&gt;0,mining_strength_bonus)) +  tech_1_6*TblTech[[#This Row],[1-6]]</f>
        <v>0</v>
      </c>
      <c r="AM74" s="164">
        <f>race_gem_bonus+ tech_3_2*TblTech[[#This Row],[3-2]] + tech_4_3*TblTech[[#This Row],[4-3]] + tech_6_2*TblTech[[#This Row],[6-2]]</f>
        <v>0</v>
      </c>
      <c r="AN74" s="150"/>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62"/>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Military!$CH$25*TblMili[[#This Row],[Sec. rec. Cost]]</f>
        <v>0</v>
      </c>
      <c r="AV74" s="97">
        <f ca="1">TblMagic[[#This Row],[Mana cost]] + Military!$CH$26*TblMili[[#This Row],[Sec. rec. Cost]]</f>
        <v>0</v>
      </c>
      <c r="AW74" s="97">
        <f ca="1">Military!$CH$24*TblMili[[#This Row],[Sec. rec. Cost]]+TblImps[[#This Row],[O1]]-TblProd[[#This Row],[Bank Ore]]</f>
        <v>0</v>
      </c>
      <c r="AX74" s="97">
        <f>TblImps[[#This Row],[G1]]-TblProd[[#This Row],[Bank Gems]]</f>
        <v>0</v>
      </c>
      <c r="AY74" s="150"/>
      <c r="AZ74" s="62" t="b">
        <f ca="1">IF(TblProd[[#This Row],[Set Guard]]&lt;&gt;"",TblProd[[#This Row],[Set Guard]],OFFSET(TblProd[[#This Row],[Guard]],-1,0))</f>
        <v>0</v>
      </c>
      <c r="BA74" s="161"/>
      <c r="BB74" s="45">
        <f>TblProd[[#This Row],[Hour]]</f>
        <v>71</v>
      </c>
      <c r="BC74" s="166">
        <f>-TblProd[[#This Row],[Bank Lumber]] / 2 + -TblProd[[#This Row],[Bank Gems]] * 2</f>
        <v>0</v>
      </c>
      <c r="BD74" s="166"/>
      <c r="BE74" s="166"/>
      <c r="BF74" s="166"/>
      <c r="BG74" s="167">
        <f ca="1">TblProd[[#This Row],[Time]]</f>
        <v>44813.666666666497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484898</v>
      </c>
      <c r="BJ74" s="97">
        <f ca="1">TblProd[[#This Row],[Food]]</f>
        <v>108911</v>
      </c>
      <c r="BK74" s="97">
        <f ca="1">TblProd[[#This Row],[Lumber]]</f>
        <v>57937</v>
      </c>
      <c r="BL74" s="97">
        <f ca="1">TblProd[[#This Row],[Mana]]</f>
        <v>0</v>
      </c>
      <c r="BM74" s="97">
        <f ca="1">TblProd[[#This Row],[Ore]]</f>
        <v>0</v>
      </c>
    </row>
    <row r="75" spans="1:65" x14ac:dyDescent="0.2">
      <c r="A75" s="145">
        <v>72</v>
      </c>
      <c r="B75" s="160">
        <f ca="1">TblImps[[#This Row],[Time]]</f>
        <v>44813.708333333161</v>
      </c>
      <c r="C75" s="161"/>
      <c r="D75" s="162"/>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490384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10000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50"/>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63">
        <f ca="1">OFFSET(TblConstr[[#This Row],[Tot Doc]],1,0)*dock_boats_hr * (1 + tech_4_1*TblTech[[#This Row],[4-1]])</f>
        <v>0</v>
      </c>
      <c r="Z75" s="162"/>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2]]/2,0),)</f>
        <v>0</v>
      </c>
      <c r="AF75" s="97">
        <f ca="1">OFFSET(TblConstr[[#This Row],[Tot DM]],1,0)*dm_gems</f>
        <v>0</v>
      </c>
      <c r="AG75" s="150"/>
      <c r="AH75" s="164">
        <f ca="1">MIN(race_platinum_bonus + IF(Magic!AD75&gt;0,midas_bonus) + TblImps[[#This Row],[Science]] - TblProd[[#This Row],[Guard]]*(0.02 + tech_5_7*TblTech[[#This Row],[5-7]]) + tech_1_5*TblTech[[#This Row],[1-5]] + tech_4_4*TblTech[[#This Row],[4-4]], 0.5)</f>
        <v>0</v>
      </c>
      <c r="AI7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64">
        <f ca="1">race_lumber_bonus+ IF(TblMagic[[#This Row],[Active Gaia''s Blessing]]&gt;0,gaias_blessing_lumber)+ tech_1_3*TblTech[[#This Row],[1-3]] + tech_1_6*TblTech[[#This Row],[1-6]] + tech_3_3*TblTech[[#This Row],[3-3]]</f>
        <v>0</v>
      </c>
      <c r="AK75" s="164">
        <f ca="1">race_mana_bonus+ 0 + TblImps[[#This Row],[Towers]] + tech_1_2*TblTech[[#This Row],[1-2]] + tech_3_4*TblTech[[#This Row],[3-4]]</f>
        <v>0</v>
      </c>
      <c r="AL75" s="164">
        <f ca="1">race_ore_bonus + IF(TblMagic[[#This Row],[Active Miner''s Sight]]&gt;0,miners_sight_bonus,IF(TblMagic[[#This Row],[Active Mining Strength]]&gt;0,mining_strength_bonus)) +  tech_1_6*TblTech[[#This Row],[1-6]]</f>
        <v>0</v>
      </c>
      <c r="AM75" s="164">
        <f>race_gem_bonus+ tech_3_2*TblTech[[#This Row],[3-2]] + tech_4_3*TblTech[[#This Row],[4-3]] + tech_6_2*TblTech[[#This Row],[6-2]]</f>
        <v>0</v>
      </c>
      <c r="AN75" s="150"/>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62"/>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Military!$CH$25*TblMili[[#This Row],[Sec. rec. Cost]]</f>
        <v>0</v>
      </c>
      <c r="AV75" s="97">
        <f ca="1">TblMagic[[#This Row],[Mana cost]] + Military!$CH$26*TblMili[[#This Row],[Sec. rec. Cost]]</f>
        <v>0</v>
      </c>
      <c r="AW75" s="97">
        <f ca="1">Military!$CH$24*TblMili[[#This Row],[Sec. rec. Cost]]+TblImps[[#This Row],[O1]]-TblProd[[#This Row],[Bank Ore]]</f>
        <v>0</v>
      </c>
      <c r="AX75" s="97">
        <f>TblImps[[#This Row],[G1]]-TblProd[[#This Row],[Bank Gems]]</f>
        <v>0</v>
      </c>
      <c r="AY75" s="150"/>
      <c r="AZ75" s="62" t="b">
        <f ca="1">IF(TblProd[[#This Row],[Set Guard]]&lt;&gt;"",TblProd[[#This Row],[Set Guard]],OFFSET(TblProd[[#This Row],[Guard]],-1,0))</f>
        <v>0</v>
      </c>
      <c r="BA75" s="161"/>
      <c r="BB75" s="45">
        <f>TblProd[[#This Row],[Hour]]</f>
        <v>72</v>
      </c>
      <c r="BC75" s="166">
        <f>-TblProd[[#This Row],[Bank Lumber]] / 2 + -TblProd[[#This Row],[Bank Gems]] * 2</f>
        <v>0</v>
      </c>
      <c r="BD75" s="166"/>
      <c r="BE75" s="166"/>
      <c r="BF75" s="166"/>
      <c r="BG75" s="167">
        <f ca="1">TblProd[[#This Row],[Time]]</f>
        <v>44813.708333333161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490384</v>
      </c>
      <c r="BJ75" s="97">
        <f ca="1">TblProd[[#This Row],[Food]]</f>
        <v>109812</v>
      </c>
      <c r="BK75" s="97">
        <f ca="1">TblProd[[#This Row],[Lumber]]</f>
        <v>58358</v>
      </c>
      <c r="BL75" s="97">
        <f ca="1">TblProd[[#This Row],[Mana]]</f>
        <v>0</v>
      </c>
      <c r="BM75" s="97">
        <f ca="1">TblProd[[#This Row],[Ore]]</f>
        <v>0</v>
      </c>
    </row>
    <row r="76" spans="1:65" s="5" customFormat="1" x14ac:dyDescent="0.2">
      <c r="A76" s="152" t="s">
        <v>235</v>
      </c>
      <c r="B76" s="168">
        <f ca="1">TblImps[[#This Row],[Time]]</f>
        <v>44813.749999999825</v>
      </c>
      <c r="C76" s="169"/>
      <c r="D76" s="170"/>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495870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10000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71">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2]]/2,0),)</f>
        <v>0</v>
      </c>
      <c r="AF76" s="35">
        <f ca="1">OFFSET(TblConstr[[#This Row],[Tot DM]],1,0)*dm_gems</f>
        <v>0</v>
      </c>
      <c r="AH76" s="172">
        <f ca="1">MIN(race_platinum_bonus + IF(Magic!AD76&gt;0,midas_bonus) + TblImps[[#This Row],[Science]] - TblProd[[#This Row],[Guard]]*(0.02 + tech_5_7*TblTech[[#This Row],[5-7]]) + tech_1_5*TblTech[[#This Row],[1-5]] + tech_4_4*TblTech[[#This Row],[4-4]], 0.5)</f>
        <v>0</v>
      </c>
      <c r="AI76" s="17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72">
        <f ca="1">race_lumber_bonus+ IF(TblMagic[[#This Row],[Active Gaia''s Blessing]]&gt;0,gaias_blessing_lumber)+ tech_1_3*TblTech[[#This Row],[1-3]] + tech_1_6*TblTech[[#This Row],[1-6]] + tech_3_3*TblTech[[#This Row],[3-3]]</f>
        <v>0</v>
      </c>
      <c r="AK76" s="172">
        <f ca="1">race_mana_bonus+ 0 + TblImps[[#This Row],[Towers]] + tech_1_2*TblTech[[#This Row],[1-2]] + tech_3_4*TblTech[[#This Row],[3-4]]</f>
        <v>0</v>
      </c>
      <c r="AL76" s="172">
        <f ca="1">race_ore_bonus + IF(TblMagic[[#This Row],[Active Miner''s Sight]]&gt;0,miners_sight_bonus,IF(TblMagic[[#This Row],[Active Mining Strength]]&gt;0,mining_strength_bonus)) +  tech_1_6*TblTech[[#This Row],[1-6]]</f>
        <v>0</v>
      </c>
      <c r="AM76" s="172">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Military!$CH$25*TblMili[[#This Row],[Sec. rec. Cost]]</f>
        <v>0</v>
      </c>
      <c r="AV76" s="35">
        <f ca="1">TblMagic[[#This Row],[Mana cost]] + Military!$CH$26*TblMili[[#This Row],[Sec. rec. Cost]]</f>
        <v>0</v>
      </c>
      <c r="AW76" s="35">
        <f ca="1">Military!$CH$24*TblMili[[#This Row],[Sec. rec. Cost]]+TblImps[[#This Row],[O1]]-TblProd[[#This Row],[Bank Ore]]</f>
        <v>0</v>
      </c>
      <c r="AX76" s="35">
        <f>TblImps[[#This Row],[G1]]-TblProd[[#This Row],[Bank Gems]]</f>
        <v>0</v>
      </c>
      <c r="AZ76" s="156" t="b">
        <f ca="1">IF(TblProd[[#This Row],[Set Guard]]&lt;&gt;"",TblProd[[#This Row],[Set Guard]],OFFSET(TblProd[[#This Row],[Guard]],-1,0))</f>
        <v>0</v>
      </c>
      <c r="BA76" s="169"/>
      <c r="BB76" s="5" t="str">
        <f>TblProd[[#This Row],[Hour]]</f>
        <v>OOP</v>
      </c>
      <c r="BC76" s="174">
        <f>-TblProd[[#This Row],[Bank Lumber]] / 2 + -TblProd[[#This Row],[Bank Gems]] * 2</f>
        <v>0</v>
      </c>
      <c r="BD76" s="174"/>
      <c r="BE76" s="174"/>
      <c r="BF76" s="174"/>
      <c r="BG76" s="175">
        <f ca="1">TblProd[[#This Row],[Time]]</f>
        <v>44813.749999999825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495870</v>
      </c>
      <c r="BJ76" s="35">
        <f ca="1">TblProd[[#This Row],[Food]]</f>
        <v>110704</v>
      </c>
      <c r="BK76" s="35">
        <f ca="1">TblProd[[#This Row],[Lumber]]</f>
        <v>58774</v>
      </c>
      <c r="BL76" s="35">
        <f ca="1">TblProd[[#This Row],[Mana]]</f>
        <v>0</v>
      </c>
      <c r="BM76" s="35">
        <f ca="1">TblProd[[#This Row],[Ore]]</f>
        <v>0</v>
      </c>
    </row>
    <row r="77" spans="1:65" x14ac:dyDescent="0.2">
      <c r="A77" s="145">
        <v>2</v>
      </c>
      <c r="B77" s="160">
        <f ca="1">TblImps[[#This Row],[Time]]</f>
        <v>44813.79166666649</v>
      </c>
      <c r="C77" s="161"/>
      <c r="D77" s="162"/>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501356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10000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50"/>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63">
        <f ca="1">OFFSET(TblConstr[[#This Row],[Tot Doc]],1,0)*dock_boats_hr * (1 + tech_4_1*TblTech[[#This Row],[4-1]])</f>
        <v>0</v>
      </c>
      <c r="Z77" s="162"/>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2]]/2,0),)</f>
        <v>0</v>
      </c>
      <c r="AF77" s="97">
        <f ca="1">OFFSET(TblConstr[[#This Row],[Tot DM]],1,0)*dm_gems</f>
        <v>0</v>
      </c>
      <c r="AG77" s="150"/>
      <c r="AH77" s="164">
        <f ca="1">MIN(race_platinum_bonus + IF(Magic!AD77&gt;0,midas_bonus) + TblImps[[#This Row],[Science]] - TblProd[[#This Row],[Guard]]*(0.02 + tech_5_7*TblTech[[#This Row],[5-7]]) + tech_1_5*TblTech[[#This Row],[1-5]] + tech_4_4*TblTech[[#This Row],[4-4]], 0.5)</f>
        <v>0</v>
      </c>
      <c r="AI7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64">
        <f ca="1">race_lumber_bonus+ IF(TblMagic[[#This Row],[Active Gaia''s Blessing]]&gt;0,gaias_blessing_lumber)+ tech_1_3*TblTech[[#This Row],[1-3]] + tech_1_6*TblTech[[#This Row],[1-6]] + tech_3_3*TblTech[[#This Row],[3-3]]</f>
        <v>0</v>
      </c>
      <c r="AK77" s="164">
        <f ca="1">race_mana_bonus+ 0 + TblImps[[#This Row],[Towers]] + tech_1_2*TblTech[[#This Row],[1-2]] + tech_3_4*TblTech[[#This Row],[3-4]]</f>
        <v>0</v>
      </c>
      <c r="AL77" s="164">
        <f ca="1">race_ore_bonus + IF(TblMagic[[#This Row],[Active Miner''s Sight]]&gt;0,miners_sight_bonus,IF(TblMagic[[#This Row],[Active Mining Strength]]&gt;0,mining_strength_bonus)) +  tech_1_6*TblTech[[#This Row],[1-6]]</f>
        <v>0</v>
      </c>
      <c r="AM77" s="164">
        <f>race_gem_bonus+ tech_3_2*TblTech[[#This Row],[3-2]] + tech_4_3*TblTech[[#This Row],[4-3]] + tech_6_2*TblTech[[#This Row],[6-2]]</f>
        <v>0</v>
      </c>
      <c r="AN77" s="150"/>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62"/>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Military!$CH$25*TblMili[[#This Row],[Sec. rec. Cost]]</f>
        <v>0</v>
      </c>
      <c r="AV77" s="97">
        <f ca="1">TblMagic[[#This Row],[Mana cost]] + Military!$CH$26*TblMili[[#This Row],[Sec. rec. Cost]]</f>
        <v>0</v>
      </c>
      <c r="AW77" s="97">
        <f ca="1">Military!$CH$24*TblMili[[#This Row],[Sec. rec. Cost]]+TblImps[[#This Row],[O1]]-TblProd[[#This Row],[Bank Ore]]</f>
        <v>0</v>
      </c>
      <c r="AX77" s="97">
        <f>TblImps[[#This Row],[G1]]-TblProd[[#This Row],[Bank Gems]]</f>
        <v>0</v>
      </c>
      <c r="AY77" s="150"/>
      <c r="AZ77" s="62" t="b">
        <f ca="1">IF(TblProd[[#This Row],[Set Guard]]&lt;&gt;"",TblProd[[#This Row],[Set Guard]],OFFSET(TblProd[[#This Row],[Guard]],-1,0))</f>
        <v>0</v>
      </c>
      <c r="BA77" s="161"/>
      <c r="BB77" s="45">
        <f>TblProd[[#This Row],[Hour]]</f>
        <v>2</v>
      </c>
      <c r="BC77" s="166">
        <f>-TblProd[[#This Row],[Bank Lumber]] / 2 + -TblProd[[#This Row],[Bank Gems]] * 2</f>
        <v>0</v>
      </c>
      <c r="BD77" s="166"/>
      <c r="BE77" s="166"/>
      <c r="BF77" s="166"/>
      <c r="BG77" s="167">
        <f ca="1">TblProd[[#This Row],[Time]]</f>
        <v>44813.79166666649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501356</v>
      </c>
      <c r="BJ77" s="97">
        <f ca="1">TblProd[[#This Row],[Food]]</f>
        <v>111587</v>
      </c>
      <c r="BK77" s="97">
        <f ca="1">TblProd[[#This Row],[Lumber]]</f>
        <v>59186</v>
      </c>
      <c r="BL77" s="97">
        <f ca="1">TblProd[[#This Row],[Mana]]</f>
        <v>0</v>
      </c>
      <c r="BM77" s="97">
        <f ca="1">TblProd[[#This Row],[Ore]]</f>
        <v>0</v>
      </c>
    </row>
    <row r="78" spans="1:65" x14ac:dyDescent="0.2">
      <c r="A78" s="145">
        <v>3</v>
      </c>
      <c r="B78" s="160">
        <f ca="1">TblImps[[#This Row],[Time]]</f>
        <v>44813.833333333154</v>
      </c>
      <c r="C78" s="161"/>
      <c r="D78" s="162"/>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506842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10000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50"/>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63">
        <f ca="1">OFFSET(TblConstr[[#This Row],[Tot Doc]],1,0)*dock_boats_hr * (1 + tech_4_1*TblTech[[#This Row],[4-1]])</f>
        <v>0</v>
      </c>
      <c r="Z78" s="162"/>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2]]/2,0),)</f>
        <v>0</v>
      </c>
      <c r="AF78" s="97">
        <f ca="1">OFFSET(TblConstr[[#This Row],[Tot DM]],1,0)*dm_gems</f>
        <v>0</v>
      </c>
      <c r="AG78" s="150"/>
      <c r="AH78" s="164">
        <f ca="1">MIN(race_platinum_bonus + IF(Magic!AD78&gt;0,midas_bonus) + TblImps[[#This Row],[Science]] - TblProd[[#This Row],[Guard]]*(0.02 + tech_5_7*TblTech[[#This Row],[5-7]]) + tech_1_5*TblTech[[#This Row],[1-5]] + tech_4_4*TblTech[[#This Row],[4-4]], 0.5)</f>
        <v>0</v>
      </c>
      <c r="AI7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64">
        <f ca="1">race_lumber_bonus+ IF(TblMagic[[#This Row],[Active Gaia''s Blessing]]&gt;0,gaias_blessing_lumber)+ tech_1_3*TblTech[[#This Row],[1-3]] + tech_1_6*TblTech[[#This Row],[1-6]] + tech_3_3*TblTech[[#This Row],[3-3]]</f>
        <v>0</v>
      </c>
      <c r="AK78" s="164">
        <f ca="1">race_mana_bonus+ 0 + TblImps[[#This Row],[Towers]] + tech_1_2*TblTech[[#This Row],[1-2]] + tech_3_4*TblTech[[#This Row],[3-4]]</f>
        <v>0</v>
      </c>
      <c r="AL78" s="164">
        <f ca="1">race_ore_bonus + IF(TblMagic[[#This Row],[Active Miner''s Sight]]&gt;0,miners_sight_bonus,IF(TblMagic[[#This Row],[Active Mining Strength]]&gt;0,mining_strength_bonus)) +  tech_1_6*TblTech[[#This Row],[1-6]]</f>
        <v>0</v>
      </c>
      <c r="AM78" s="164">
        <f>race_gem_bonus+ tech_3_2*TblTech[[#This Row],[3-2]] + tech_4_3*TblTech[[#This Row],[4-3]] + tech_6_2*TblTech[[#This Row],[6-2]]</f>
        <v>0</v>
      </c>
      <c r="AN78" s="150"/>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62"/>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Military!$CH$25*TblMili[[#This Row],[Sec. rec. Cost]]</f>
        <v>0</v>
      </c>
      <c r="AV78" s="97">
        <f ca="1">TblMagic[[#This Row],[Mana cost]] + Military!$CH$26*TblMili[[#This Row],[Sec. rec. Cost]]</f>
        <v>0</v>
      </c>
      <c r="AW78" s="97">
        <f ca="1">Military!$CH$24*TblMili[[#This Row],[Sec. rec. Cost]]+TblImps[[#This Row],[O1]]-TblProd[[#This Row],[Bank Ore]]</f>
        <v>0</v>
      </c>
      <c r="AX78" s="97">
        <f>TblImps[[#This Row],[G1]]-TblProd[[#This Row],[Bank Gems]]</f>
        <v>0</v>
      </c>
      <c r="AY78" s="150"/>
      <c r="AZ78" s="62" t="b">
        <f ca="1">IF(TblProd[[#This Row],[Set Guard]]&lt;&gt;"",TblProd[[#This Row],[Set Guard]],OFFSET(TblProd[[#This Row],[Guard]],-1,0))</f>
        <v>0</v>
      </c>
      <c r="BA78" s="161"/>
      <c r="BB78" s="45">
        <f>TblProd[[#This Row],[Hour]]</f>
        <v>3</v>
      </c>
      <c r="BC78" s="166">
        <f>-TblProd[[#This Row],[Bank Lumber]] / 2 + -TblProd[[#This Row],[Bank Gems]] * 2</f>
        <v>0</v>
      </c>
      <c r="BD78" s="166"/>
      <c r="BE78" s="166"/>
      <c r="BF78" s="166"/>
      <c r="BG78" s="167">
        <f ca="1">TblProd[[#This Row],[Time]]</f>
        <v>44813.833333333154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506842</v>
      </c>
      <c r="BJ78" s="97">
        <f ca="1">TblProd[[#This Row],[Food]]</f>
        <v>112462</v>
      </c>
      <c r="BK78" s="97">
        <f ca="1">TblProd[[#This Row],[Lumber]]</f>
        <v>59594</v>
      </c>
      <c r="BL78" s="97">
        <f ca="1">TblProd[[#This Row],[Mana]]</f>
        <v>0</v>
      </c>
      <c r="BM78" s="97">
        <f ca="1">TblProd[[#This Row],[Ore]]</f>
        <v>0</v>
      </c>
    </row>
    <row r="79" spans="1:65" x14ac:dyDescent="0.2">
      <c r="A79" s="145">
        <v>4</v>
      </c>
      <c r="B79" s="160">
        <f ca="1">TblImps[[#This Row],[Time]]</f>
        <v>44813.874999999818</v>
      </c>
      <c r="C79" s="161"/>
      <c r="D79" s="162"/>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512328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10000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50"/>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63">
        <f ca="1">OFFSET(TblConstr[[#This Row],[Tot Doc]],1,0)*dock_boats_hr * (1 + tech_4_1*TblTech[[#This Row],[4-1]])</f>
        <v>0</v>
      </c>
      <c r="Z79" s="162"/>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2]]/2,0),)</f>
        <v>0</v>
      </c>
      <c r="AF79" s="97">
        <f ca="1">OFFSET(TblConstr[[#This Row],[Tot DM]],1,0)*dm_gems</f>
        <v>0</v>
      </c>
      <c r="AG79" s="150"/>
      <c r="AH79" s="164">
        <f ca="1">MIN(race_platinum_bonus + IF(Magic!AD79&gt;0,midas_bonus) + TblImps[[#This Row],[Science]] - TblProd[[#This Row],[Guard]]*(0.02 + tech_5_7*TblTech[[#This Row],[5-7]]) + tech_1_5*TblTech[[#This Row],[1-5]] + tech_4_4*TblTech[[#This Row],[4-4]], 0.5)</f>
        <v>0</v>
      </c>
      <c r="AI7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64">
        <f ca="1">race_lumber_bonus+ IF(TblMagic[[#This Row],[Active Gaia''s Blessing]]&gt;0,gaias_blessing_lumber)+ tech_1_3*TblTech[[#This Row],[1-3]] + tech_1_6*TblTech[[#This Row],[1-6]] + tech_3_3*TblTech[[#This Row],[3-3]]</f>
        <v>0</v>
      </c>
      <c r="AK79" s="164">
        <f ca="1">race_mana_bonus+ 0 + TblImps[[#This Row],[Towers]] + tech_1_2*TblTech[[#This Row],[1-2]] + tech_3_4*TblTech[[#This Row],[3-4]]</f>
        <v>0</v>
      </c>
      <c r="AL79" s="164">
        <f ca="1">race_ore_bonus + IF(TblMagic[[#This Row],[Active Miner''s Sight]]&gt;0,miners_sight_bonus,IF(TblMagic[[#This Row],[Active Mining Strength]]&gt;0,mining_strength_bonus)) +  tech_1_6*TblTech[[#This Row],[1-6]]</f>
        <v>0</v>
      </c>
      <c r="AM79" s="164">
        <f>race_gem_bonus+ tech_3_2*TblTech[[#This Row],[3-2]] + tech_4_3*TblTech[[#This Row],[4-3]] + tech_6_2*TblTech[[#This Row],[6-2]]</f>
        <v>0</v>
      </c>
      <c r="AN79" s="150"/>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62"/>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Military!$CH$25*TblMili[[#This Row],[Sec. rec. Cost]]</f>
        <v>0</v>
      </c>
      <c r="AV79" s="97">
        <f ca="1">TblMagic[[#This Row],[Mana cost]] + Military!$CH$26*TblMili[[#This Row],[Sec. rec. Cost]]</f>
        <v>0</v>
      </c>
      <c r="AW79" s="97">
        <f ca="1">Military!$CH$24*TblMili[[#This Row],[Sec. rec. Cost]]+TblImps[[#This Row],[O1]]-TblProd[[#This Row],[Bank Ore]]</f>
        <v>0</v>
      </c>
      <c r="AX79" s="97">
        <f>TblImps[[#This Row],[G1]]-TblProd[[#This Row],[Bank Gems]]</f>
        <v>0</v>
      </c>
      <c r="AY79" s="150"/>
      <c r="AZ79" s="62" t="b">
        <f ca="1">IF(TblProd[[#This Row],[Set Guard]]&lt;&gt;"",TblProd[[#This Row],[Set Guard]],OFFSET(TblProd[[#This Row],[Guard]],-1,0))</f>
        <v>0</v>
      </c>
      <c r="BA79" s="161"/>
      <c r="BB79" s="45">
        <f>TblProd[[#This Row],[Hour]]</f>
        <v>4</v>
      </c>
      <c r="BC79" s="166">
        <f>-TblProd[[#This Row],[Bank Lumber]] / 2 + -TblProd[[#This Row],[Bank Gems]] * 2</f>
        <v>0</v>
      </c>
      <c r="BD79" s="166"/>
      <c r="BE79" s="166"/>
      <c r="BF79" s="166"/>
      <c r="BG79" s="167">
        <f ca="1">TblProd[[#This Row],[Time]]</f>
        <v>44813.874999999818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512328</v>
      </c>
      <c r="BJ79" s="97">
        <f ca="1">TblProd[[#This Row],[Food]]</f>
        <v>113328</v>
      </c>
      <c r="BK79" s="97">
        <f ca="1">TblProd[[#This Row],[Lumber]]</f>
        <v>59998</v>
      </c>
      <c r="BL79" s="97">
        <f ca="1">TblProd[[#This Row],[Mana]]</f>
        <v>0</v>
      </c>
      <c r="BM79" s="97">
        <f ca="1">TblProd[[#This Row],[Ore]]</f>
        <v>0</v>
      </c>
    </row>
    <row r="80" spans="1:65" x14ac:dyDescent="0.2">
      <c r="A80" s="145">
        <v>5</v>
      </c>
      <c r="B80" s="160">
        <f ca="1">TblImps[[#This Row],[Time]]</f>
        <v>44813.916666666482</v>
      </c>
      <c r="C80" s="161"/>
      <c r="D80" s="162"/>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517814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10000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50"/>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63">
        <f ca="1">OFFSET(TblConstr[[#This Row],[Tot Doc]],1,0)*dock_boats_hr * (1 + tech_4_1*TblTech[[#This Row],[4-1]])</f>
        <v>0</v>
      </c>
      <c r="Z80" s="162"/>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2]]/2,0),)</f>
        <v>0</v>
      </c>
      <c r="AF80" s="97">
        <f ca="1">OFFSET(TblConstr[[#This Row],[Tot DM]],1,0)*dm_gems</f>
        <v>0</v>
      </c>
      <c r="AG80" s="150"/>
      <c r="AH80" s="164">
        <f ca="1">MIN(race_platinum_bonus + IF(Magic!AD80&gt;0,midas_bonus) + TblImps[[#This Row],[Science]] - TblProd[[#This Row],[Guard]]*(0.02 + tech_5_7*TblTech[[#This Row],[5-7]]) + tech_1_5*TblTech[[#This Row],[1-5]] + tech_4_4*TblTech[[#This Row],[4-4]], 0.5)</f>
        <v>0</v>
      </c>
      <c r="AI8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64">
        <f ca="1">race_lumber_bonus+ IF(TblMagic[[#This Row],[Active Gaia''s Blessing]]&gt;0,gaias_blessing_lumber)+ tech_1_3*TblTech[[#This Row],[1-3]] + tech_1_6*TblTech[[#This Row],[1-6]] + tech_3_3*TblTech[[#This Row],[3-3]]</f>
        <v>0</v>
      </c>
      <c r="AK80" s="164">
        <f ca="1">race_mana_bonus+ 0 + TblImps[[#This Row],[Towers]] + tech_1_2*TblTech[[#This Row],[1-2]] + tech_3_4*TblTech[[#This Row],[3-4]]</f>
        <v>0</v>
      </c>
      <c r="AL80" s="164">
        <f ca="1">race_ore_bonus + IF(TblMagic[[#This Row],[Active Miner''s Sight]]&gt;0,miners_sight_bonus,IF(TblMagic[[#This Row],[Active Mining Strength]]&gt;0,mining_strength_bonus)) +  tech_1_6*TblTech[[#This Row],[1-6]]</f>
        <v>0</v>
      </c>
      <c r="AM80" s="164">
        <f>race_gem_bonus+ tech_3_2*TblTech[[#This Row],[3-2]] + tech_4_3*TblTech[[#This Row],[4-3]] + tech_6_2*TblTech[[#This Row],[6-2]]</f>
        <v>0</v>
      </c>
      <c r="AN80" s="150"/>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62"/>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Military!$CH$25*TblMili[[#This Row],[Sec. rec. Cost]]</f>
        <v>0</v>
      </c>
      <c r="AV80" s="97">
        <f ca="1">TblMagic[[#This Row],[Mana cost]] + Military!$CH$26*TblMili[[#This Row],[Sec. rec. Cost]]</f>
        <v>0</v>
      </c>
      <c r="AW80" s="97">
        <f ca="1">Military!$CH$24*TblMili[[#This Row],[Sec. rec. Cost]]+TblImps[[#This Row],[O1]]-TblProd[[#This Row],[Bank Ore]]</f>
        <v>0</v>
      </c>
      <c r="AX80" s="97">
        <f>TblImps[[#This Row],[G1]]-TblProd[[#This Row],[Bank Gems]]</f>
        <v>0</v>
      </c>
      <c r="AY80" s="150"/>
      <c r="AZ80" s="62" t="b">
        <f ca="1">IF(TblProd[[#This Row],[Set Guard]]&lt;&gt;"",TblProd[[#This Row],[Set Guard]],OFFSET(TblProd[[#This Row],[Guard]],-1,0))</f>
        <v>0</v>
      </c>
      <c r="BA80" s="161"/>
      <c r="BB80" s="45">
        <f>TblProd[[#This Row],[Hour]]</f>
        <v>5</v>
      </c>
      <c r="BC80" s="166">
        <f>-TblProd[[#This Row],[Bank Lumber]] / 2 + -TblProd[[#This Row],[Bank Gems]] * 2</f>
        <v>0</v>
      </c>
      <c r="BD80" s="166"/>
      <c r="BE80" s="166"/>
      <c r="BF80" s="166"/>
      <c r="BG80" s="167">
        <f ca="1">TblProd[[#This Row],[Time]]</f>
        <v>44813.916666666482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517814</v>
      </c>
      <c r="BJ80" s="97">
        <f ca="1">TblProd[[#This Row],[Food]]</f>
        <v>114185</v>
      </c>
      <c r="BK80" s="97">
        <f ca="1">TblProd[[#This Row],[Lumber]]</f>
        <v>60398</v>
      </c>
      <c r="BL80" s="97">
        <f ca="1">TblProd[[#This Row],[Mana]]</f>
        <v>0</v>
      </c>
      <c r="BM80" s="97">
        <f ca="1">TblProd[[#This Row],[Ore]]</f>
        <v>0</v>
      </c>
    </row>
    <row r="81" spans="1:65" x14ac:dyDescent="0.2">
      <c r="A81" s="145">
        <v>6</v>
      </c>
      <c r="B81" s="160">
        <f ca="1">TblImps[[#This Row],[Time]]</f>
        <v>44813.958333333147</v>
      </c>
      <c r="C81" s="161"/>
      <c r="D81" s="162"/>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523300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10000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50"/>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63">
        <f ca="1">OFFSET(TblConstr[[#This Row],[Tot Doc]],1,0)*dock_boats_hr * (1 + tech_4_1*TblTech[[#This Row],[4-1]])</f>
        <v>0</v>
      </c>
      <c r="Z81" s="162"/>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2]]/2,0),)</f>
        <v>0</v>
      </c>
      <c r="AF81" s="97">
        <f ca="1">OFFSET(TblConstr[[#This Row],[Tot DM]],1,0)*dm_gems</f>
        <v>0</v>
      </c>
      <c r="AG81" s="150"/>
      <c r="AH81" s="164">
        <f ca="1">MIN(race_platinum_bonus + IF(Magic!AD81&gt;0,midas_bonus) + TblImps[[#This Row],[Science]] - TblProd[[#This Row],[Guard]]*(0.02 + tech_5_7*TblTech[[#This Row],[5-7]]) + tech_1_5*TblTech[[#This Row],[1-5]] + tech_4_4*TblTech[[#This Row],[4-4]], 0.5)</f>
        <v>0</v>
      </c>
      <c r="AI8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64">
        <f ca="1">race_lumber_bonus+ IF(TblMagic[[#This Row],[Active Gaia''s Blessing]]&gt;0,gaias_blessing_lumber)+ tech_1_3*TblTech[[#This Row],[1-3]] + tech_1_6*TblTech[[#This Row],[1-6]] + tech_3_3*TblTech[[#This Row],[3-3]]</f>
        <v>0</v>
      </c>
      <c r="AK81" s="164">
        <f ca="1">race_mana_bonus+ 0 + TblImps[[#This Row],[Towers]] + tech_1_2*TblTech[[#This Row],[1-2]] + tech_3_4*TblTech[[#This Row],[3-4]]</f>
        <v>0</v>
      </c>
      <c r="AL81" s="164">
        <f ca="1">race_ore_bonus + IF(TblMagic[[#This Row],[Active Miner''s Sight]]&gt;0,miners_sight_bonus,IF(TblMagic[[#This Row],[Active Mining Strength]]&gt;0,mining_strength_bonus)) +  tech_1_6*TblTech[[#This Row],[1-6]]</f>
        <v>0</v>
      </c>
      <c r="AM81" s="164">
        <f>race_gem_bonus+ tech_3_2*TblTech[[#This Row],[3-2]] + tech_4_3*TblTech[[#This Row],[4-3]] + tech_6_2*TblTech[[#This Row],[6-2]]</f>
        <v>0</v>
      </c>
      <c r="AN81" s="150"/>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62"/>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Military!$CH$25*TblMili[[#This Row],[Sec. rec. Cost]]</f>
        <v>0</v>
      </c>
      <c r="AV81" s="97">
        <f ca="1">TblMagic[[#This Row],[Mana cost]] + Military!$CH$26*TblMili[[#This Row],[Sec. rec. Cost]]</f>
        <v>0</v>
      </c>
      <c r="AW81" s="97">
        <f ca="1">Military!$CH$24*TblMili[[#This Row],[Sec. rec. Cost]]+TblImps[[#This Row],[O1]]-TblProd[[#This Row],[Bank Ore]]</f>
        <v>0</v>
      </c>
      <c r="AX81" s="97">
        <f>TblImps[[#This Row],[G1]]-TblProd[[#This Row],[Bank Gems]]</f>
        <v>0</v>
      </c>
      <c r="AY81" s="150"/>
      <c r="AZ81" s="62" t="b">
        <f ca="1">IF(TblProd[[#This Row],[Set Guard]]&lt;&gt;"",TblProd[[#This Row],[Set Guard]],OFFSET(TblProd[[#This Row],[Guard]],-1,0))</f>
        <v>0</v>
      </c>
      <c r="BA81" s="161"/>
      <c r="BB81" s="45">
        <f>TblProd[[#This Row],[Hour]]</f>
        <v>6</v>
      </c>
      <c r="BC81" s="166">
        <f>-TblProd[[#This Row],[Bank Lumber]] / 2 + -TblProd[[#This Row],[Bank Gems]] * 2</f>
        <v>0</v>
      </c>
      <c r="BD81" s="166"/>
      <c r="BE81" s="166"/>
      <c r="BF81" s="166"/>
      <c r="BG81" s="167">
        <f ca="1">TblProd[[#This Row],[Time]]</f>
        <v>44813.958333333147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523300</v>
      </c>
      <c r="BJ81" s="97">
        <f ca="1">TblProd[[#This Row],[Food]]</f>
        <v>115034</v>
      </c>
      <c r="BK81" s="97">
        <f ca="1">TblProd[[#This Row],[Lumber]]</f>
        <v>60794</v>
      </c>
      <c r="BL81" s="97">
        <f ca="1">TblProd[[#This Row],[Mana]]</f>
        <v>0</v>
      </c>
      <c r="BM81" s="97">
        <f ca="1">TblProd[[#This Row],[Ore]]</f>
        <v>0</v>
      </c>
    </row>
    <row r="82" spans="1:65" x14ac:dyDescent="0.2">
      <c r="A82" s="145">
        <v>7</v>
      </c>
      <c r="B82" s="160">
        <f ca="1">TblImps[[#This Row],[Time]]</f>
        <v>44813.999999999811</v>
      </c>
      <c r="C82" s="161"/>
      <c r="D82" s="162"/>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528786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10000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50"/>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63">
        <f ca="1">OFFSET(TblConstr[[#This Row],[Tot Doc]],1,0)*dock_boats_hr * (1 + tech_4_1*TblTech[[#This Row],[4-1]])</f>
        <v>0</v>
      </c>
      <c r="Z82" s="162"/>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2]]/2,0),)</f>
        <v>0</v>
      </c>
      <c r="AF82" s="97">
        <f ca="1">OFFSET(TblConstr[[#This Row],[Tot DM]],1,0)*dm_gems</f>
        <v>0</v>
      </c>
      <c r="AG82" s="150"/>
      <c r="AH82" s="164">
        <f ca="1">MIN(race_platinum_bonus + IF(Magic!AD82&gt;0,midas_bonus) + TblImps[[#This Row],[Science]] - TblProd[[#This Row],[Guard]]*(0.02 + tech_5_7*TblTech[[#This Row],[5-7]]) + tech_1_5*TblTech[[#This Row],[1-5]] + tech_4_4*TblTech[[#This Row],[4-4]], 0.5)</f>
        <v>0</v>
      </c>
      <c r="AI8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64">
        <f ca="1">race_lumber_bonus+ IF(TblMagic[[#This Row],[Active Gaia''s Blessing]]&gt;0,gaias_blessing_lumber)+ tech_1_3*TblTech[[#This Row],[1-3]] + tech_1_6*TblTech[[#This Row],[1-6]] + tech_3_3*TblTech[[#This Row],[3-3]]</f>
        <v>0</v>
      </c>
      <c r="AK82" s="164">
        <f ca="1">race_mana_bonus+ 0 + TblImps[[#This Row],[Towers]] + tech_1_2*TblTech[[#This Row],[1-2]] + tech_3_4*TblTech[[#This Row],[3-4]]</f>
        <v>0</v>
      </c>
      <c r="AL82" s="164">
        <f ca="1">race_ore_bonus + IF(TblMagic[[#This Row],[Active Miner''s Sight]]&gt;0,miners_sight_bonus,IF(TblMagic[[#This Row],[Active Mining Strength]]&gt;0,mining_strength_bonus)) +  tech_1_6*TblTech[[#This Row],[1-6]]</f>
        <v>0</v>
      </c>
      <c r="AM82" s="164">
        <f>race_gem_bonus+ tech_3_2*TblTech[[#This Row],[3-2]] + tech_4_3*TblTech[[#This Row],[4-3]] + tech_6_2*TblTech[[#This Row],[6-2]]</f>
        <v>0</v>
      </c>
      <c r="AN82" s="150"/>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62"/>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Military!$CH$25*TblMili[[#This Row],[Sec. rec. Cost]]</f>
        <v>0</v>
      </c>
      <c r="AV82" s="97">
        <f ca="1">TblMagic[[#This Row],[Mana cost]] + Military!$CH$26*TblMili[[#This Row],[Sec. rec. Cost]]</f>
        <v>0</v>
      </c>
      <c r="AW82" s="97">
        <f ca="1">Military!$CH$24*TblMili[[#This Row],[Sec. rec. Cost]]+TblImps[[#This Row],[O1]]-TblProd[[#This Row],[Bank Ore]]</f>
        <v>0</v>
      </c>
      <c r="AX82" s="97">
        <f>TblImps[[#This Row],[G1]]-TblProd[[#This Row],[Bank Gems]]</f>
        <v>0</v>
      </c>
      <c r="AY82" s="150"/>
      <c r="AZ82" s="62" t="b">
        <f ca="1">IF(TblProd[[#This Row],[Set Guard]]&lt;&gt;"",TblProd[[#This Row],[Set Guard]],OFFSET(TblProd[[#This Row],[Guard]],-1,0))</f>
        <v>0</v>
      </c>
      <c r="BA82" s="161"/>
      <c r="BB82" s="45">
        <f>TblProd[[#This Row],[Hour]]</f>
        <v>7</v>
      </c>
      <c r="BC82" s="166">
        <f>-TblProd[[#This Row],[Bank Lumber]] / 2 + -TblProd[[#This Row],[Bank Gems]] * 2</f>
        <v>0</v>
      </c>
      <c r="BD82" s="166"/>
      <c r="BE82" s="166"/>
      <c r="BF82" s="166"/>
      <c r="BG82" s="167">
        <f ca="1">TblProd[[#This Row],[Time]]</f>
        <v>44813.999999999811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528786</v>
      </c>
      <c r="BJ82" s="97">
        <f ca="1">TblProd[[#This Row],[Food]]</f>
        <v>115874</v>
      </c>
      <c r="BK82" s="97">
        <f ca="1">TblProd[[#This Row],[Lumber]]</f>
        <v>61186</v>
      </c>
      <c r="BL82" s="97">
        <f ca="1">TblProd[[#This Row],[Mana]]</f>
        <v>0</v>
      </c>
      <c r="BM82" s="97">
        <f ca="1">TblProd[[#This Row],[Ore]]</f>
        <v>0</v>
      </c>
    </row>
    <row r="83" spans="1:65" x14ac:dyDescent="0.2">
      <c r="A83" s="145">
        <v>8</v>
      </c>
      <c r="B83" s="160">
        <f ca="1">TblImps[[#This Row],[Time]]</f>
        <v>44814.041666666475</v>
      </c>
      <c r="C83" s="161"/>
      <c r="D83" s="162"/>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534272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10000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50"/>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63">
        <f ca="1">OFFSET(TblConstr[[#This Row],[Tot Doc]],1,0)*dock_boats_hr * (1 + tech_4_1*TblTech[[#This Row],[4-1]])</f>
        <v>0</v>
      </c>
      <c r="Z83" s="162"/>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2]]/2,0),)</f>
        <v>0</v>
      </c>
      <c r="AF83" s="97">
        <f ca="1">OFFSET(TblConstr[[#This Row],[Tot DM]],1,0)*dm_gems</f>
        <v>0</v>
      </c>
      <c r="AG83" s="150"/>
      <c r="AH83" s="164">
        <f ca="1">MIN(race_platinum_bonus + IF(Magic!AD83&gt;0,midas_bonus) + TblImps[[#This Row],[Science]] - TblProd[[#This Row],[Guard]]*(0.02 + tech_5_7*TblTech[[#This Row],[5-7]]) + tech_1_5*TblTech[[#This Row],[1-5]] + tech_4_4*TblTech[[#This Row],[4-4]], 0.5)</f>
        <v>0</v>
      </c>
      <c r="AI8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64">
        <f ca="1">race_lumber_bonus+ IF(TblMagic[[#This Row],[Active Gaia''s Blessing]]&gt;0,gaias_blessing_lumber)+ tech_1_3*TblTech[[#This Row],[1-3]] + tech_1_6*TblTech[[#This Row],[1-6]] + tech_3_3*TblTech[[#This Row],[3-3]]</f>
        <v>0</v>
      </c>
      <c r="AK83" s="164">
        <f ca="1">race_mana_bonus+ 0 + TblImps[[#This Row],[Towers]] + tech_1_2*TblTech[[#This Row],[1-2]] + tech_3_4*TblTech[[#This Row],[3-4]]</f>
        <v>0</v>
      </c>
      <c r="AL83" s="164">
        <f ca="1">race_ore_bonus + IF(TblMagic[[#This Row],[Active Miner''s Sight]]&gt;0,miners_sight_bonus,IF(TblMagic[[#This Row],[Active Mining Strength]]&gt;0,mining_strength_bonus)) +  tech_1_6*TblTech[[#This Row],[1-6]]</f>
        <v>0</v>
      </c>
      <c r="AM83" s="164">
        <f>race_gem_bonus+ tech_3_2*TblTech[[#This Row],[3-2]] + tech_4_3*TblTech[[#This Row],[4-3]] + tech_6_2*TblTech[[#This Row],[6-2]]</f>
        <v>0</v>
      </c>
      <c r="AN83" s="150"/>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62"/>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Military!$CH$25*TblMili[[#This Row],[Sec. rec. Cost]]</f>
        <v>0</v>
      </c>
      <c r="AV83" s="97">
        <f ca="1">TblMagic[[#This Row],[Mana cost]] + Military!$CH$26*TblMili[[#This Row],[Sec. rec. Cost]]</f>
        <v>0</v>
      </c>
      <c r="AW83" s="97">
        <f ca="1">Military!$CH$24*TblMili[[#This Row],[Sec. rec. Cost]]+TblImps[[#This Row],[O1]]-TblProd[[#This Row],[Bank Ore]]</f>
        <v>0</v>
      </c>
      <c r="AX83" s="97">
        <f>TblImps[[#This Row],[G1]]-TblProd[[#This Row],[Bank Gems]]</f>
        <v>0</v>
      </c>
      <c r="AY83" s="150"/>
      <c r="AZ83" s="62" t="b">
        <f ca="1">IF(TblProd[[#This Row],[Set Guard]]&lt;&gt;"",TblProd[[#This Row],[Set Guard]],OFFSET(TblProd[[#This Row],[Guard]],-1,0))</f>
        <v>0</v>
      </c>
      <c r="BA83" s="161"/>
      <c r="BB83" s="45">
        <f>TblProd[[#This Row],[Hour]]</f>
        <v>8</v>
      </c>
      <c r="BC83" s="166">
        <f>-TblProd[[#This Row],[Bank Lumber]] / 2 + -TblProd[[#This Row],[Bank Gems]] * 2</f>
        <v>0</v>
      </c>
      <c r="BD83" s="166"/>
      <c r="BE83" s="166"/>
      <c r="BF83" s="166"/>
      <c r="BG83" s="167">
        <f ca="1">TblProd[[#This Row],[Time]]</f>
        <v>44814.041666666475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534272</v>
      </c>
      <c r="BJ83" s="97">
        <f ca="1">TblProd[[#This Row],[Food]]</f>
        <v>116706</v>
      </c>
      <c r="BK83" s="97">
        <f ca="1">TblProd[[#This Row],[Lumber]]</f>
        <v>61574</v>
      </c>
      <c r="BL83" s="97">
        <f ca="1">TblProd[[#This Row],[Mana]]</f>
        <v>0</v>
      </c>
      <c r="BM83" s="97">
        <f ca="1">TblProd[[#This Row],[Ore]]</f>
        <v>0</v>
      </c>
    </row>
    <row r="84" spans="1:65" x14ac:dyDescent="0.2">
      <c r="A84" s="145">
        <v>9</v>
      </c>
      <c r="B84" s="160">
        <f ca="1">TblImps[[#This Row],[Time]]</f>
        <v>44814.083333333139</v>
      </c>
      <c r="C84" s="161"/>
      <c r="D84" s="162"/>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539758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10000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50"/>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63">
        <f ca="1">OFFSET(TblConstr[[#This Row],[Tot Doc]],1,0)*dock_boats_hr * (1 + tech_4_1*TblTech[[#This Row],[4-1]])</f>
        <v>0</v>
      </c>
      <c r="Z84" s="162"/>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2]]/2,0),)</f>
        <v>0</v>
      </c>
      <c r="AF84" s="97">
        <f ca="1">OFFSET(TblConstr[[#This Row],[Tot DM]],1,0)*dm_gems</f>
        <v>0</v>
      </c>
      <c r="AG84" s="150"/>
      <c r="AH84" s="164">
        <f ca="1">MIN(race_platinum_bonus + IF(Magic!AD84&gt;0,midas_bonus) + TblImps[[#This Row],[Science]] - TblProd[[#This Row],[Guard]]*(0.02 + tech_5_7*TblTech[[#This Row],[5-7]]) + tech_1_5*TblTech[[#This Row],[1-5]] + tech_4_4*TblTech[[#This Row],[4-4]], 0.5)</f>
        <v>0</v>
      </c>
      <c r="AI8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64">
        <f ca="1">race_lumber_bonus+ IF(TblMagic[[#This Row],[Active Gaia''s Blessing]]&gt;0,gaias_blessing_lumber)+ tech_1_3*TblTech[[#This Row],[1-3]] + tech_1_6*TblTech[[#This Row],[1-6]] + tech_3_3*TblTech[[#This Row],[3-3]]</f>
        <v>0</v>
      </c>
      <c r="AK84" s="164">
        <f ca="1">race_mana_bonus+ 0 + TblImps[[#This Row],[Towers]] + tech_1_2*TblTech[[#This Row],[1-2]] + tech_3_4*TblTech[[#This Row],[3-4]]</f>
        <v>0</v>
      </c>
      <c r="AL84" s="164">
        <f ca="1">race_ore_bonus + IF(TblMagic[[#This Row],[Active Miner''s Sight]]&gt;0,miners_sight_bonus,IF(TblMagic[[#This Row],[Active Mining Strength]]&gt;0,mining_strength_bonus)) +  tech_1_6*TblTech[[#This Row],[1-6]]</f>
        <v>0</v>
      </c>
      <c r="AM84" s="164">
        <f>race_gem_bonus+ tech_3_2*TblTech[[#This Row],[3-2]] + tech_4_3*TblTech[[#This Row],[4-3]] + tech_6_2*TblTech[[#This Row],[6-2]]</f>
        <v>0</v>
      </c>
      <c r="AN84" s="150"/>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62"/>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Military!$CH$25*TblMili[[#This Row],[Sec. rec. Cost]]</f>
        <v>0</v>
      </c>
      <c r="AV84" s="97">
        <f ca="1">TblMagic[[#This Row],[Mana cost]] + Military!$CH$26*TblMili[[#This Row],[Sec. rec. Cost]]</f>
        <v>0</v>
      </c>
      <c r="AW84" s="97">
        <f ca="1">Military!$CH$24*TblMili[[#This Row],[Sec. rec. Cost]]+TblImps[[#This Row],[O1]]-TblProd[[#This Row],[Bank Ore]]</f>
        <v>0</v>
      </c>
      <c r="AX84" s="97">
        <f>TblImps[[#This Row],[G1]]-TblProd[[#This Row],[Bank Gems]]</f>
        <v>0</v>
      </c>
      <c r="AY84" s="150"/>
      <c r="AZ84" s="62" t="b">
        <f ca="1">IF(TblProd[[#This Row],[Set Guard]]&lt;&gt;"",TblProd[[#This Row],[Set Guard]],OFFSET(TblProd[[#This Row],[Guard]],-1,0))</f>
        <v>0</v>
      </c>
      <c r="BA84" s="161"/>
      <c r="BB84" s="45">
        <f>TblProd[[#This Row],[Hour]]</f>
        <v>9</v>
      </c>
      <c r="BC84" s="166">
        <f>-TblProd[[#This Row],[Bank Lumber]] / 2 + -TblProd[[#This Row],[Bank Gems]] * 2</f>
        <v>0</v>
      </c>
      <c r="BD84" s="166"/>
      <c r="BE84" s="166"/>
      <c r="BF84" s="166"/>
      <c r="BG84" s="167">
        <f ca="1">TblProd[[#This Row],[Time]]</f>
        <v>44814.083333333139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539758</v>
      </c>
      <c r="BJ84" s="97">
        <f ca="1">TblProd[[#This Row],[Food]]</f>
        <v>117529</v>
      </c>
      <c r="BK84" s="97">
        <f ca="1">TblProd[[#This Row],[Lumber]]</f>
        <v>61958</v>
      </c>
      <c r="BL84" s="97">
        <f ca="1">TblProd[[#This Row],[Mana]]</f>
        <v>0</v>
      </c>
      <c r="BM84" s="97">
        <f ca="1">TblProd[[#This Row],[Ore]]</f>
        <v>0</v>
      </c>
    </row>
    <row r="85" spans="1:65" x14ac:dyDescent="0.2">
      <c r="A85" s="145">
        <v>10</v>
      </c>
      <c r="B85" s="160">
        <f ca="1">TblImps[[#This Row],[Time]]</f>
        <v>44814.124999999804</v>
      </c>
      <c r="C85" s="161"/>
      <c r="D85" s="162"/>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545244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10000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50"/>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63">
        <f ca="1">OFFSET(TblConstr[[#This Row],[Tot Doc]],1,0)*dock_boats_hr * (1 + tech_4_1*TblTech[[#This Row],[4-1]])</f>
        <v>0</v>
      </c>
      <c r="Z85" s="162"/>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2]]/2,0),)</f>
        <v>0</v>
      </c>
      <c r="AF85" s="97">
        <f ca="1">OFFSET(TblConstr[[#This Row],[Tot DM]],1,0)*dm_gems</f>
        <v>0</v>
      </c>
      <c r="AG85" s="150"/>
      <c r="AH85" s="164">
        <f ca="1">MIN(race_platinum_bonus + IF(Magic!AD85&gt;0,midas_bonus) + TblImps[[#This Row],[Science]] - TblProd[[#This Row],[Guard]]*(0.02 + tech_5_7*TblTech[[#This Row],[5-7]]) + tech_1_5*TblTech[[#This Row],[1-5]] + tech_4_4*TblTech[[#This Row],[4-4]], 0.5)</f>
        <v>0</v>
      </c>
      <c r="AI8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64">
        <f ca="1">race_lumber_bonus+ IF(TblMagic[[#This Row],[Active Gaia''s Blessing]]&gt;0,gaias_blessing_lumber)+ tech_1_3*TblTech[[#This Row],[1-3]] + tech_1_6*TblTech[[#This Row],[1-6]] + tech_3_3*TblTech[[#This Row],[3-3]]</f>
        <v>0</v>
      </c>
      <c r="AK85" s="164">
        <f ca="1">race_mana_bonus+ 0 + TblImps[[#This Row],[Towers]] + tech_1_2*TblTech[[#This Row],[1-2]] + tech_3_4*TblTech[[#This Row],[3-4]]</f>
        <v>0</v>
      </c>
      <c r="AL85" s="164">
        <f ca="1">race_ore_bonus + IF(TblMagic[[#This Row],[Active Miner''s Sight]]&gt;0,miners_sight_bonus,IF(TblMagic[[#This Row],[Active Mining Strength]]&gt;0,mining_strength_bonus)) +  tech_1_6*TblTech[[#This Row],[1-6]]</f>
        <v>0</v>
      </c>
      <c r="AM85" s="164">
        <f>race_gem_bonus+ tech_3_2*TblTech[[#This Row],[3-2]] + tech_4_3*TblTech[[#This Row],[4-3]] + tech_6_2*TblTech[[#This Row],[6-2]]</f>
        <v>0</v>
      </c>
      <c r="AN85" s="150"/>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62"/>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Military!$CH$25*TblMili[[#This Row],[Sec. rec. Cost]]</f>
        <v>0</v>
      </c>
      <c r="AV85" s="97">
        <f ca="1">TblMagic[[#This Row],[Mana cost]] + Military!$CH$26*TblMili[[#This Row],[Sec. rec. Cost]]</f>
        <v>0</v>
      </c>
      <c r="AW85" s="97">
        <f ca="1">Military!$CH$24*TblMili[[#This Row],[Sec. rec. Cost]]+TblImps[[#This Row],[O1]]-TblProd[[#This Row],[Bank Ore]]</f>
        <v>0</v>
      </c>
      <c r="AX85" s="97">
        <f>TblImps[[#This Row],[G1]]-TblProd[[#This Row],[Bank Gems]]</f>
        <v>0</v>
      </c>
      <c r="AY85" s="150"/>
      <c r="AZ85" s="62" t="b">
        <f ca="1">IF(TblProd[[#This Row],[Set Guard]]&lt;&gt;"",TblProd[[#This Row],[Set Guard]],OFFSET(TblProd[[#This Row],[Guard]],-1,0))</f>
        <v>0</v>
      </c>
      <c r="BA85" s="161"/>
      <c r="BB85" s="45">
        <f>TblProd[[#This Row],[Hour]]</f>
        <v>10</v>
      </c>
      <c r="BC85" s="166">
        <f>-TblProd[[#This Row],[Bank Lumber]] / 2 + -TblProd[[#This Row],[Bank Gems]] * 2</f>
        <v>0</v>
      </c>
      <c r="BD85" s="166"/>
      <c r="BE85" s="166"/>
      <c r="BF85" s="166"/>
      <c r="BG85" s="167">
        <f ca="1">TblProd[[#This Row],[Time]]</f>
        <v>44814.124999999804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545244</v>
      </c>
      <c r="BJ85" s="97">
        <f ca="1">TblProd[[#This Row],[Food]]</f>
        <v>118344</v>
      </c>
      <c r="BK85" s="97">
        <f ca="1">TblProd[[#This Row],[Lumber]]</f>
        <v>62338</v>
      </c>
      <c r="BL85" s="97">
        <f ca="1">TblProd[[#This Row],[Mana]]</f>
        <v>0</v>
      </c>
      <c r="BM85" s="97">
        <f ca="1">TblProd[[#This Row],[Ore]]</f>
        <v>0</v>
      </c>
    </row>
    <row r="86" spans="1:65" x14ac:dyDescent="0.2">
      <c r="A86" s="145">
        <v>11</v>
      </c>
      <c r="B86" s="160">
        <f ca="1">TblImps[[#This Row],[Time]]</f>
        <v>44814.166666666468</v>
      </c>
      <c r="C86" s="161"/>
      <c r="D86" s="162"/>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550730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10000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50"/>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63">
        <f ca="1">OFFSET(TblConstr[[#This Row],[Tot Doc]],1,0)*dock_boats_hr * (1 + tech_4_1*TblTech[[#This Row],[4-1]])</f>
        <v>0</v>
      </c>
      <c r="Z86" s="162"/>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2]]/2,0),)</f>
        <v>0</v>
      </c>
      <c r="AF86" s="97">
        <f ca="1">OFFSET(TblConstr[[#This Row],[Tot DM]],1,0)*dm_gems</f>
        <v>0</v>
      </c>
      <c r="AG86" s="150"/>
      <c r="AH86" s="164">
        <f ca="1">MIN(race_platinum_bonus + IF(Magic!AD86&gt;0,midas_bonus) + TblImps[[#This Row],[Science]] - TblProd[[#This Row],[Guard]]*(0.02 + tech_5_7*TblTech[[#This Row],[5-7]]) + tech_1_5*TblTech[[#This Row],[1-5]] + tech_4_4*TblTech[[#This Row],[4-4]], 0.5)</f>
        <v>0</v>
      </c>
      <c r="AI8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64">
        <f ca="1">race_lumber_bonus+ IF(TblMagic[[#This Row],[Active Gaia''s Blessing]]&gt;0,gaias_blessing_lumber)+ tech_1_3*TblTech[[#This Row],[1-3]] + tech_1_6*TblTech[[#This Row],[1-6]] + tech_3_3*TblTech[[#This Row],[3-3]]</f>
        <v>0</v>
      </c>
      <c r="AK86" s="164">
        <f ca="1">race_mana_bonus+ 0 + TblImps[[#This Row],[Towers]] + tech_1_2*TblTech[[#This Row],[1-2]] + tech_3_4*TblTech[[#This Row],[3-4]]</f>
        <v>0</v>
      </c>
      <c r="AL86" s="164">
        <f ca="1">race_ore_bonus + IF(TblMagic[[#This Row],[Active Miner''s Sight]]&gt;0,miners_sight_bonus,IF(TblMagic[[#This Row],[Active Mining Strength]]&gt;0,mining_strength_bonus)) +  tech_1_6*TblTech[[#This Row],[1-6]]</f>
        <v>0</v>
      </c>
      <c r="AM86" s="164">
        <f>race_gem_bonus+ tech_3_2*TblTech[[#This Row],[3-2]] + tech_4_3*TblTech[[#This Row],[4-3]] + tech_6_2*TblTech[[#This Row],[6-2]]</f>
        <v>0</v>
      </c>
      <c r="AN86" s="150"/>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62"/>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Military!$CH$25*TblMili[[#This Row],[Sec. rec. Cost]]</f>
        <v>0</v>
      </c>
      <c r="AV86" s="97">
        <f ca="1">TblMagic[[#This Row],[Mana cost]] + Military!$CH$26*TblMili[[#This Row],[Sec. rec. Cost]]</f>
        <v>0</v>
      </c>
      <c r="AW86" s="97">
        <f ca="1">Military!$CH$24*TblMili[[#This Row],[Sec. rec. Cost]]+TblImps[[#This Row],[O1]]-TblProd[[#This Row],[Bank Ore]]</f>
        <v>0</v>
      </c>
      <c r="AX86" s="97">
        <f>TblImps[[#This Row],[G1]]-TblProd[[#This Row],[Bank Gems]]</f>
        <v>0</v>
      </c>
      <c r="AY86" s="150"/>
      <c r="AZ86" s="62" t="b">
        <f ca="1">IF(TblProd[[#This Row],[Set Guard]]&lt;&gt;"",TblProd[[#This Row],[Set Guard]],OFFSET(TblProd[[#This Row],[Guard]],-1,0))</f>
        <v>0</v>
      </c>
      <c r="BA86" s="161"/>
      <c r="BB86" s="45">
        <f>TblProd[[#This Row],[Hour]]</f>
        <v>11</v>
      </c>
      <c r="BC86" s="166">
        <f>-TblProd[[#This Row],[Bank Lumber]] / 2 + -TblProd[[#This Row],[Bank Gems]] * 2</f>
        <v>0</v>
      </c>
      <c r="BD86" s="166"/>
      <c r="BE86" s="166"/>
      <c r="BF86" s="166"/>
      <c r="BG86" s="167">
        <f ca="1">TblProd[[#This Row],[Time]]</f>
        <v>44814.166666666468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550730</v>
      </c>
      <c r="BJ86" s="97">
        <f ca="1">TblProd[[#This Row],[Food]]</f>
        <v>119151</v>
      </c>
      <c r="BK86" s="97">
        <f ca="1">TblProd[[#This Row],[Lumber]]</f>
        <v>62715</v>
      </c>
      <c r="BL86" s="97">
        <f ca="1">TblProd[[#This Row],[Mana]]</f>
        <v>0</v>
      </c>
      <c r="BM86" s="97">
        <f ca="1">TblProd[[#This Row],[Ore]]</f>
        <v>0</v>
      </c>
    </row>
    <row r="87" spans="1:65" x14ac:dyDescent="0.2">
      <c r="A87" s="145">
        <v>12</v>
      </c>
      <c r="B87" s="160">
        <f ca="1">TblImps[[#This Row],[Time]]</f>
        <v>44814.208333333132</v>
      </c>
      <c r="C87" s="161"/>
      <c r="D87" s="162"/>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556216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10000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50"/>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63">
        <f ca="1">OFFSET(TblConstr[[#This Row],[Tot Doc]],1,0)*dock_boats_hr * (1 + tech_4_1*TblTech[[#This Row],[4-1]])</f>
        <v>0</v>
      </c>
      <c r="Z87" s="162"/>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2]]/2,0),)</f>
        <v>0</v>
      </c>
      <c r="AF87" s="97">
        <f ca="1">OFFSET(TblConstr[[#This Row],[Tot DM]],1,0)*dm_gems</f>
        <v>0</v>
      </c>
      <c r="AG87" s="150"/>
      <c r="AH87" s="164">
        <f ca="1">MIN(race_platinum_bonus + IF(Magic!AD87&gt;0,midas_bonus) + TblImps[[#This Row],[Science]] - TblProd[[#This Row],[Guard]]*(0.02 + tech_5_7*TblTech[[#This Row],[5-7]]) + tech_1_5*TblTech[[#This Row],[1-5]] + tech_4_4*TblTech[[#This Row],[4-4]], 0.5)</f>
        <v>0</v>
      </c>
      <c r="AI8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64">
        <f ca="1">race_lumber_bonus+ IF(TblMagic[[#This Row],[Active Gaia''s Blessing]]&gt;0,gaias_blessing_lumber)+ tech_1_3*TblTech[[#This Row],[1-3]] + tech_1_6*TblTech[[#This Row],[1-6]] + tech_3_3*TblTech[[#This Row],[3-3]]</f>
        <v>0</v>
      </c>
      <c r="AK87" s="164">
        <f ca="1">race_mana_bonus+ 0 + TblImps[[#This Row],[Towers]] + tech_1_2*TblTech[[#This Row],[1-2]] + tech_3_4*TblTech[[#This Row],[3-4]]</f>
        <v>0</v>
      </c>
      <c r="AL87" s="164">
        <f ca="1">race_ore_bonus + IF(TblMagic[[#This Row],[Active Miner''s Sight]]&gt;0,miners_sight_bonus,IF(TblMagic[[#This Row],[Active Mining Strength]]&gt;0,mining_strength_bonus)) +  tech_1_6*TblTech[[#This Row],[1-6]]</f>
        <v>0</v>
      </c>
      <c r="AM87" s="164">
        <f>race_gem_bonus+ tech_3_2*TblTech[[#This Row],[3-2]] + tech_4_3*TblTech[[#This Row],[4-3]] + tech_6_2*TblTech[[#This Row],[6-2]]</f>
        <v>0</v>
      </c>
      <c r="AN87" s="150"/>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62"/>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Military!$CH$25*TblMili[[#This Row],[Sec. rec. Cost]]</f>
        <v>0</v>
      </c>
      <c r="AV87" s="97">
        <f ca="1">TblMagic[[#This Row],[Mana cost]] + Military!$CH$26*TblMili[[#This Row],[Sec. rec. Cost]]</f>
        <v>0</v>
      </c>
      <c r="AW87" s="97">
        <f ca="1">Military!$CH$24*TblMili[[#This Row],[Sec. rec. Cost]]+TblImps[[#This Row],[O1]]-TblProd[[#This Row],[Bank Ore]]</f>
        <v>0</v>
      </c>
      <c r="AX87" s="97">
        <f>TblImps[[#This Row],[G1]]-TblProd[[#This Row],[Bank Gems]]</f>
        <v>0</v>
      </c>
      <c r="AY87" s="150"/>
      <c r="AZ87" s="62" t="b">
        <f ca="1">IF(TblProd[[#This Row],[Set Guard]]&lt;&gt;"",TblProd[[#This Row],[Set Guard]],OFFSET(TblProd[[#This Row],[Guard]],-1,0))</f>
        <v>0</v>
      </c>
      <c r="BA87" s="161"/>
      <c r="BB87" s="45">
        <f>TblProd[[#This Row],[Hour]]</f>
        <v>12</v>
      </c>
      <c r="BC87" s="166">
        <f>-TblProd[[#This Row],[Bank Lumber]] / 2 + -TblProd[[#This Row],[Bank Gems]] * 2</f>
        <v>0</v>
      </c>
      <c r="BD87" s="166"/>
      <c r="BE87" s="166"/>
      <c r="BF87" s="166"/>
      <c r="BG87" s="167">
        <f ca="1">TblProd[[#This Row],[Time]]</f>
        <v>44814.208333333132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556216</v>
      </c>
      <c r="BJ87" s="97">
        <f ca="1">TblProd[[#This Row],[Food]]</f>
        <v>119950</v>
      </c>
      <c r="BK87" s="97">
        <f ca="1">TblProd[[#This Row],[Lumber]]</f>
        <v>63088</v>
      </c>
      <c r="BL87" s="97">
        <f ca="1">TblProd[[#This Row],[Mana]]</f>
        <v>0</v>
      </c>
      <c r="BM87" s="97">
        <f ca="1">TblProd[[#This Row],[Ore]]</f>
        <v>0</v>
      </c>
    </row>
    <row r="88" spans="1:65" x14ac:dyDescent="0.2">
      <c r="A88" s="145">
        <v>13</v>
      </c>
      <c r="B88" s="160">
        <f ca="1">TblImps[[#This Row],[Time]]</f>
        <v>44814.249999999796</v>
      </c>
      <c r="C88" s="161"/>
      <c r="D88" s="162"/>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561702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10000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50"/>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63">
        <f ca="1">OFFSET(TblConstr[[#This Row],[Tot Doc]],1,0)*dock_boats_hr * (1 + tech_4_1*TblTech[[#This Row],[4-1]])</f>
        <v>0</v>
      </c>
      <c r="Z88" s="162"/>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2]]/2,0),)</f>
        <v>0</v>
      </c>
      <c r="AF88" s="97">
        <f ca="1">OFFSET(TblConstr[[#This Row],[Tot DM]],1,0)*dm_gems</f>
        <v>0</v>
      </c>
      <c r="AG88" s="150"/>
      <c r="AH88" s="164">
        <f ca="1">MIN(race_platinum_bonus + IF(Magic!AD88&gt;0,midas_bonus) + TblImps[[#This Row],[Science]] - TblProd[[#This Row],[Guard]]*(0.02 + tech_5_7*TblTech[[#This Row],[5-7]]) + tech_1_5*TblTech[[#This Row],[1-5]] + tech_4_4*TblTech[[#This Row],[4-4]], 0.5)</f>
        <v>0</v>
      </c>
      <c r="AI8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64">
        <f ca="1">race_lumber_bonus+ IF(TblMagic[[#This Row],[Active Gaia''s Blessing]]&gt;0,gaias_blessing_lumber)+ tech_1_3*TblTech[[#This Row],[1-3]] + tech_1_6*TblTech[[#This Row],[1-6]] + tech_3_3*TblTech[[#This Row],[3-3]]</f>
        <v>0</v>
      </c>
      <c r="AK88" s="164">
        <f ca="1">race_mana_bonus+ 0 + TblImps[[#This Row],[Towers]] + tech_1_2*TblTech[[#This Row],[1-2]] + tech_3_4*TblTech[[#This Row],[3-4]]</f>
        <v>0</v>
      </c>
      <c r="AL88" s="164">
        <f ca="1">race_ore_bonus + IF(TblMagic[[#This Row],[Active Miner''s Sight]]&gt;0,miners_sight_bonus,IF(TblMagic[[#This Row],[Active Mining Strength]]&gt;0,mining_strength_bonus)) +  tech_1_6*TblTech[[#This Row],[1-6]]</f>
        <v>0</v>
      </c>
      <c r="AM88" s="164">
        <f>race_gem_bonus+ tech_3_2*TblTech[[#This Row],[3-2]] + tech_4_3*TblTech[[#This Row],[4-3]] + tech_6_2*TblTech[[#This Row],[6-2]]</f>
        <v>0</v>
      </c>
      <c r="AN88" s="150"/>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62"/>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Military!$CH$25*TblMili[[#This Row],[Sec. rec. Cost]]</f>
        <v>0</v>
      </c>
      <c r="AV88" s="97">
        <f ca="1">TblMagic[[#This Row],[Mana cost]] + Military!$CH$26*TblMili[[#This Row],[Sec. rec. Cost]]</f>
        <v>0</v>
      </c>
      <c r="AW88" s="97">
        <f ca="1">Military!$CH$24*TblMili[[#This Row],[Sec. rec. Cost]]+TblImps[[#This Row],[O1]]-TblProd[[#This Row],[Bank Ore]]</f>
        <v>0</v>
      </c>
      <c r="AX88" s="97">
        <f>TblImps[[#This Row],[G1]]-TblProd[[#This Row],[Bank Gems]]</f>
        <v>0</v>
      </c>
      <c r="AY88" s="150"/>
      <c r="AZ88" s="62" t="b">
        <f ca="1">IF(TblProd[[#This Row],[Set Guard]]&lt;&gt;"",TblProd[[#This Row],[Set Guard]],OFFSET(TblProd[[#This Row],[Guard]],-1,0))</f>
        <v>0</v>
      </c>
      <c r="BA88" s="161"/>
      <c r="BB88" s="45">
        <f>TblProd[[#This Row],[Hour]]</f>
        <v>13</v>
      </c>
      <c r="BC88" s="166">
        <f>-TblProd[[#This Row],[Bank Lumber]] / 2 + -TblProd[[#This Row],[Bank Gems]] * 2</f>
        <v>0</v>
      </c>
      <c r="BD88" s="166"/>
      <c r="BE88" s="166"/>
      <c r="BF88" s="166"/>
      <c r="BG88" s="167">
        <f ca="1">TblProd[[#This Row],[Time]]</f>
        <v>44814.249999999796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561702</v>
      </c>
      <c r="BJ88" s="97">
        <f ca="1">TblProd[[#This Row],[Food]]</f>
        <v>120741</v>
      </c>
      <c r="BK88" s="97">
        <f ca="1">TblProd[[#This Row],[Lumber]]</f>
        <v>63457</v>
      </c>
      <c r="BL88" s="97">
        <f ca="1">TblProd[[#This Row],[Mana]]</f>
        <v>0</v>
      </c>
      <c r="BM88" s="97">
        <f ca="1">TblProd[[#This Row],[Ore]]</f>
        <v>0</v>
      </c>
    </row>
    <row r="89" spans="1:65" x14ac:dyDescent="0.2">
      <c r="A89" s="145">
        <v>14</v>
      </c>
      <c r="B89" s="160">
        <f ca="1">TblImps[[#This Row],[Time]]</f>
        <v>44814.291666666461</v>
      </c>
      <c r="C89" s="161"/>
      <c r="D89" s="162"/>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567188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10000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50"/>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63">
        <f ca="1">OFFSET(TblConstr[[#This Row],[Tot Doc]],1,0)*dock_boats_hr * (1 + tech_4_1*TblTech[[#This Row],[4-1]])</f>
        <v>0</v>
      </c>
      <c r="Z89" s="162"/>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2]]/2,0),)</f>
        <v>0</v>
      </c>
      <c r="AF89" s="97">
        <f ca="1">OFFSET(TblConstr[[#This Row],[Tot DM]],1,0)*dm_gems</f>
        <v>0</v>
      </c>
      <c r="AG89" s="150"/>
      <c r="AH89" s="164">
        <f ca="1">MIN(race_platinum_bonus + IF(Magic!AD89&gt;0,midas_bonus) + TblImps[[#This Row],[Science]] - TblProd[[#This Row],[Guard]]*(0.02 + tech_5_7*TblTech[[#This Row],[5-7]]) + tech_1_5*TblTech[[#This Row],[1-5]] + tech_4_4*TblTech[[#This Row],[4-4]], 0.5)</f>
        <v>0</v>
      </c>
      <c r="AI8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64">
        <f ca="1">race_lumber_bonus+ IF(TblMagic[[#This Row],[Active Gaia''s Blessing]]&gt;0,gaias_blessing_lumber)+ tech_1_3*TblTech[[#This Row],[1-3]] + tech_1_6*TblTech[[#This Row],[1-6]] + tech_3_3*TblTech[[#This Row],[3-3]]</f>
        <v>0</v>
      </c>
      <c r="AK89" s="164">
        <f ca="1">race_mana_bonus+ 0 + TblImps[[#This Row],[Towers]] + tech_1_2*TblTech[[#This Row],[1-2]] + tech_3_4*TblTech[[#This Row],[3-4]]</f>
        <v>0</v>
      </c>
      <c r="AL89" s="164">
        <f ca="1">race_ore_bonus + IF(TblMagic[[#This Row],[Active Miner''s Sight]]&gt;0,miners_sight_bonus,IF(TblMagic[[#This Row],[Active Mining Strength]]&gt;0,mining_strength_bonus)) +  tech_1_6*TblTech[[#This Row],[1-6]]</f>
        <v>0</v>
      </c>
      <c r="AM89" s="164">
        <f>race_gem_bonus+ tech_3_2*TblTech[[#This Row],[3-2]] + tech_4_3*TblTech[[#This Row],[4-3]] + tech_6_2*TblTech[[#This Row],[6-2]]</f>
        <v>0</v>
      </c>
      <c r="AN89" s="150"/>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62"/>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Military!$CH$25*TblMili[[#This Row],[Sec. rec. Cost]]</f>
        <v>0</v>
      </c>
      <c r="AV89" s="97">
        <f ca="1">TblMagic[[#This Row],[Mana cost]] + Military!$CH$26*TblMili[[#This Row],[Sec. rec. Cost]]</f>
        <v>0</v>
      </c>
      <c r="AW89" s="97">
        <f ca="1">Military!$CH$24*TblMili[[#This Row],[Sec. rec. Cost]]+TblImps[[#This Row],[O1]]-TblProd[[#This Row],[Bank Ore]]</f>
        <v>0</v>
      </c>
      <c r="AX89" s="97">
        <f>TblImps[[#This Row],[G1]]-TblProd[[#This Row],[Bank Gems]]</f>
        <v>0</v>
      </c>
      <c r="AY89" s="150"/>
      <c r="AZ89" s="62" t="b">
        <f ca="1">IF(TblProd[[#This Row],[Set Guard]]&lt;&gt;"",TblProd[[#This Row],[Set Guard]],OFFSET(TblProd[[#This Row],[Guard]],-1,0))</f>
        <v>0</v>
      </c>
      <c r="BA89" s="161"/>
      <c r="BB89" s="45">
        <f>TblProd[[#This Row],[Hour]]</f>
        <v>14</v>
      </c>
      <c r="BC89" s="166">
        <f>-TblProd[[#This Row],[Bank Lumber]] / 2 + -TblProd[[#This Row],[Bank Gems]] * 2</f>
        <v>0</v>
      </c>
      <c r="BD89" s="166"/>
      <c r="BE89" s="166"/>
      <c r="BF89" s="166"/>
      <c r="BG89" s="167">
        <f ca="1">TblProd[[#This Row],[Time]]</f>
        <v>44814.291666666461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567188</v>
      </c>
      <c r="BJ89" s="97">
        <f ca="1">TblProd[[#This Row],[Food]]</f>
        <v>121524</v>
      </c>
      <c r="BK89" s="97">
        <f ca="1">TblProd[[#This Row],[Lumber]]</f>
        <v>63822</v>
      </c>
      <c r="BL89" s="97">
        <f ca="1">TblProd[[#This Row],[Mana]]</f>
        <v>0</v>
      </c>
      <c r="BM89" s="97">
        <f ca="1">TblProd[[#This Row],[Ore]]</f>
        <v>0</v>
      </c>
    </row>
    <row r="90" spans="1:65" x14ac:dyDescent="0.2">
      <c r="A90" s="145">
        <v>15</v>
      </c>
      <c r="B90" s="160">
        <f ca="1">TblImps[[#This Row],[Time]]</f>
        <v>44814.333333333125</v>
      </c>
      <c r="C90" s="161"/>
      <c r="D90" s="162"/>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572674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10000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50"/>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63">
        <f ca="1">OFFSET(TblConstr[[#This Row],[Tot Doc]],1,0)*dock_boats_hr * (1 + tech_4_1*TblTech[[#This Row],[4-1]])</f>
        <v>0</v>
      </c>
      <c r="Z90" s="162"/>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2]]/2,0),)</f>
        <v>0</v>
      </c>
      <c r="AF90" s="97">
        <f ca="1">OFFSET(TblConstr[[#This Row],[Tot DM]],1,0)*dm_gems</f>
        <v>0</v>
      </c>
      <c r="AG90" s="150"/>
      <c r="AH90" s="164">
        <f ca="1">MIN(race_platinum_bonus + IF(Magic!AD90&gt;0,midas_bonus) + TblImps[[#This Row],[Science]] - TblProd[[#This Row],[Guard]]*(0.02 + tech_5_7*TblTech[[#This Row],[5-7]]) + tech_1_5*TblTech[[#This Row],[1-5]] + tech_4_4*TblTech[[#This Row],[4-4]], 0.5)</f>
        <v>0</v>
      </c>
      <c r="AI9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64">
        <f ca="1">race_lumber_bonus+ IF(TblMagic[[#This Row],[Active Gaia''s Blessing]]&gt;0,gaias_blessing_lumber)+ tech_1_3*TblTech[[#This Row],[1-3]] + tech_1_6*TblTech[[#This Row],[1-6]] + tech_3_3*TblTech[[#This Row],[3-3]]</f>
        <v>0</v>
      </c>
      <c r="AK90" s="164">
        <f ca="1">race_mana_bonus+ 0 + TblImps[[#This Row],[Towers]] + tech_1_2*TblTech[[#This Row],[1-2]] + tech_3_4*TblTech[[#This Row],[3-4]]</f>
        <v>0</v>
      </c>
      <c r="AL90" s="164">
        <f ca="1">race_ore_bonus + IF(TblMagic[[#This Row],[Active Miner''s Sight]]&gt;0,miners_sight_bonus,IF(TblMagic[[#This Row],[Active Mining Strength]]&gt;0,mining_strength_bonus)) +  tech_1_6*TblTech[[#This Row],[1-6]]</f>
        <v>0</v>
      </c>
      <c r="AM90" s="164">
        <f>race_gem_bonus+ tech_3_2*TblTech[[#This Row],[3-2]] + tech_4_3*TblTech[[#This Row],[4-3]] + tech_6_2*TblTech[[#This Row],[6-2]]</f>
        <v>0</v>
      </c>
      <c r="AN90" s="150"/>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62"/>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Military!$CH$25*TblMili[[#This Row],[Sec. rec. Cost]]</f>
        <v>0</v>
      </c>
      <c r="AV90" s="97">
        <f ca="1">TblMagic[[#This Row],[Mana cost]] + Military!$CH$26*TblMili[[#This Row],[Sec. rec. Cost]]</f>
        <v>0</v>
      </c>
      <c r="AW90" s="97">
        <f ca="1">Military!$CH$24*TblMili[[#This Row],[Sec. rec. Cost]]+TblImps[[#This Row],[O1]]-TblProd[[#This Row],[Bank Ore]]</f>
        <v>0</v>
      </c>
      <c r="AX90" s="97">
        <f>TblImps[[#This Row],[G1]]-TblProd[[#This Row],[Bank Gems]]</f>
        <v>0</v>
      </c>
      <c r="AY90" s="150"/>
      <c r="AZ90" s="62" t="b">
        <f ca="1">IF(TblProd[[#This Row],[Set Guard]]&lt;&gt;"",TblProd[[#This Row],[Set Guard]],OFFSET(TblProd[[#This Row],[Guard]],-1,0))</f>
        <v>0</v>
      </c>
      <c r="BA90" s="161"/>
      <c r="BB90" s="45">
        <f>TblProd[[#This Row],[Hour]]</f>
        <v>15</v>
      </c>
      <c r="BC90" s="166">
        <f>-TblProd[[#This Row],[Bank Lumber]] / 2 + -TblProd[[#This Row],[Bank Gems]] * 2</f>
        <v>0</v>
      </c>
      <c r="BD90" s="166"/>
      <c r="BE90" s="166"/>
      <c r="BF90" s="166"/>
      <c r="BG90" s="167">
        <f ca="1">TblProd[[#This Row],[Time]]</f>
        <v>44814.333333333125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572674</v>
      </c>
      <c r="BJ90" s="97">
        <f ca="1">TblProd[[#This Row],[Food]]</f>
        <v>122299</v>
      </c>
      <c r="BK90" s="97">
        <f ca="1">TblProd[[#This Row],[Lumber]]</f>
        <v>64184</v>
      </c>
      <c r="BL90" s="97">
        <f ca="1">TblProd[[#This Row],[Mana]]</f>
        <v>0</v>
      </c>
      <c r="BM90" s="97">
        <f ca="1">TblProd[[#This Row],[Ore]]</f>
        <v>0</v>
      </c>
    </row>
    <row r="91" spans="1:65" x14ac:dyDescent="0.2">
      <c r="A91" s="145">
        <v>16</v>
      </c>
      <c r="B91" s="160">
        <f ca="1">TblImps[[#This Row],[Time]]</f>
        <v>44814.374999999789</v>
      </c>
      <c r="C91" s="161"/>
      <c r="D91" s="162"/>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578160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10000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50"/>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63">
        <f ca="1">OFFSET(TblConstr[[#This Row],[Tot Doc]],1,0)*dock_boats_hr * (1 + tech_4_1*TblTech[[#This Row],[4-1]])</f>
        <v>0</v>
      </c>
      <c r="Z91" s="162"/>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2]]/2,0),)</f>
        <v>0</v>
      </c>
      <c r="AF91" s="97">
        <f ca="1">OFFSET(TblConstr[[#This Row],[Tot DM]],1,0)*dm_gems</f>
        <v>0</v>
      </c>
      <c r="AG91" s="150"/>
      <c r="AH91" s="164">
        <f ca="1">MIN(race_platinum_bonus + IF(Magic!AD91&gt;0,midas_bonus) + TblImps[[#This Row],[Science]] - TblProd[[#This Row],[Guard]]*(0.02 + tech_5_7*TblTech[[#This Row],[5-7]]) + tech_1_5*TblTech[[#This Row],[1-5]] + tech_4_4*TblTech[[#This Row],[4-4]], 0.5)</f>
        <v>0</v>
      </c>
      <c r="AI9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64">
        <f ca="1">race_lumber_bonus+ IF(TblMagic[[#This Row],[Active Gaia''s Blessing]]&gt;0,gaias_blessing_lumber)+ tech_1_3*TblTech[[#This Row],[1-3]] + tech_1_6*TblTech[[#This Row],[1-6]] + tech_3_3*TblTech[[#This Row],[3-3]]</f>
        <v>0</v>
      </c>
      <c r="AK91" s="164">
        <f ca="1">race_mana_bonus+ 0 + TblImps[[#This Row],[Towers]] + tech_1_2*TblTech[[#This Row],[1-2]] + tech_3_4*TblTech[[#This Row],[3-4]]</f>
        <v>0</v>
      </c>
      <c r="AL91" s="164">
        <f ca="1">race_ore_bonus + IF(TblMagic[[#This Row],[Active Miner''s Sight]]&gt;0,miners_sight_bonus,IF(TblMagic[[#This Row],[Active Mining Strength]]&gt;0,mining_strength_bonus)) +  tech_1_6*TblTech[[#This Row],[1-6]]</f>
        <v>0</v>
      </c>
      <c r="AM91" s="164">
        <f>race_gem_bonus+ tech_3_2*TblTech[[#This Row],[3-2]] + tech_4_3*TblTech[[#This Row],[4-3]] + tech_6_2*TblTech[[#This Row],[6-2]]</f>
        <v>0</v>
      </c>
      <c r="AN91" s="150"/>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62"/>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Military!$CH$25*TblMili[[#This Row],[Sec. rec. Cost]]</f>
        <v>0</v>
      </c>
      <c r="AV91" s="97">
        <f ca="1">TblMagic[[#This Row],[Mana cost]] + Military!$CH$26*TblMili[[#This Row],[Sec. rec. Cost]]</f>
        <v>0</v>
      </c>
      <c r="AW91" s="97">
        <f ca="1">Military!$CH$24*TblMili[[#This Row],[Sec. rec. Cost]]+TblImps[[#This Row],[O1]]-TblProd[[#This Row],[Bank Ore]]</f>
        <v>0</v>
      </c>
      <c r="AX91" s="97">
        <f>TblImps[[#This Row],[G1]]-TblProd[[#This Row],[Bank Gems]]</f>
        <v>0</v>
      </c>
      <c r="AY91" s="150"/>
      <c r="AZ91" s="62" t="b">
        <f ca="1">IF(TblProd[[#This Row],[Set Guard]]&lt;&gt;"",TblProd[[#This Row],[Set Guard]],OFFSET(TblProd[[#This Row],[Guard]],-1,0))</f>
        <v>0</v>
      </c>
      <c r="BA91" s="161"/>
      <c r="BB91" s="45">
        <f>TblProd[[#This Row],[Hour]]</f>
        <v>16</v>
      </c>
      <c r="BC91" s="166">
        <f>-TblProd[[#This Row],[Bank Lumber]] / 2 + -TblProd[[#This Row],[Bank Gems]] * 2</f>
        <v>0</v>
      </c>
      <c r="BD91" s="166"/>
      <c r="BE91" s="166"/>
      <c r="BF91" s="166"/>
      <c r="BG91" s="167">
        <f ca="1">TblProd[[#This Row],[Time]]</f>
        <v>44814.374999999789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578160</v>
      </c>
      <c r="BJ91" s="97">
        <f ca="1">TblProd[[#This Row],[Food]]</f>
        <v>123067</v>
      </c>
      <c r="BK91" s="97">
        <f ca="1">TblProd[[#This Row],[Lumber]]</f>
        <v>64542</v>
      </c>
      <c r="BL91" s="97">
        <f ca="1">TblProd[[#This Row],[Mana]]</f>
        <v>0</v>
      </c>
      <c r="BM91" s="97">
        <f ca="1">TblProd[[#This Row],[Ore]]</f>
        <v>0</v>
      </c>
    </row>
    <row r="92" spans="1:65" x14ac:dyDescent="0.2">
      <c r="A92" s="145">
        <v>17</v>
      </c>
      <c r="B92" s="160">
        <f ca="1">TblImps[[#This Row],[Time]]</f>
        <v>44814.416666666453</v>
      </c>
      <c r="C92" s="161"/>
      <c r="D92" s="162"/>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583646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10000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50"/>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63">
        <f ca="1">OFFSET(TblConstr[[#This Row],[Tot Doc]],1,0)*dock_boats_hr * (1 + tech_4_1*TblTech[[#This Row],[4-1]])</f>
        <v>0</v>
      </c>
      <c r="Z92" s="162"/>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2]]/2,0),)</f>
        <v>0</v>
      </c>
      <c r="AF92" s="97">
        <f ca="1">OFFSET(TblConstr[[#This Row],[Tot DM]],1,0)*dm_gems</f>
        <v>0</v>
      </c>
      <c r="AG92" s="150"/>
      <c r="AH92" s="164">
        <f ca="1">MIN(race_platinum_bonus + IF(Magic!AD92&gt;0,midas_bonus) + TblImps[[#This Row],[Science]] - TblProd[[#This Row],[Guard]]*(0.02 + tech_5_7*TblTech[[#This Row],[5-7]]) + tech_1_5*TblTech[[#This Row],[1-5]] + tech_4_4*TblTech[[#This Row],[4-4]], 0.5)</f>
        <v>0</v>
      </c>
      <c r="AI9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64">
        <f ca="1">race_lumber_bonus+ IF(TblMagic[[#This Row],[Active Gaia''s Blessing]]&gt;0,gaias_blessing_lumber)+ tech_1_3*TblTech[[#This Row],[1-3]] + tech_1_6*TblTech[[#This Row],[1-6]] + tech_3_3*TblTech[[#This Row],[3-3]]</f>
        <v>0</v>
      </c>
      <c r="AK92" s="164">
        <f ca="1">race_mana_bonus+ 0 + TblImps[[#This Row],[Towers]] + tech_1_2*TblTech[[#This Row],[1-2]] + tech_3_4*TblTech[[#This Row],[3-4]]</f>
        <v>0</v>
      </c>
      <c r="AL92" s="164">
        <f ca="1">race_ore_bonus + IF(TblMagic[[#This Row],[Active Miner''s Sight]]&gt;0,miners_sight_bonus,IF(TblMagic[[#This Row],[Active Mining Strength]]&gt;0,mining_strength_bonus)) +  tech_1_6*TblTech[[#This Row],[1-6]]</f>
        <v>0</v>
      </c>
      <c r="AM92" s="164">
        <f>race_gem_bonus+ tech_3_2*TblTech[[#This Row],[3-2]] + tech_4_3*TblTech[[#This Row],[4-3]] + tech_6_2*TblTech[[#This Row],[6-2]]</f>
        <v>0</v>
      </c>
      <c r="AN92" s="150"/>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62"/>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Military!$CH$25*TblMili[[#This Row],[Sec. rec. Cost]]</f>
        <v>0</v>
      </c>
      <c r="AV92" s="97">
        <f ca="1">TblMagic[[#This Row],[Mana cost]] + Military!$CH$26*TblMili[[#This Row],[Sec. rec. Cost]]</f>
        <v>0</v>
      </c>
      <c r="AW92" s="97">
        <f ca="1">Military!$CH$24*TblMili[[#This Row],[Sec. rec. Cost]]+TblImps[[#This Row],[O1]]-TblProd[[#This Row],[Bank Ore]]</f>
        <v>0</v>
      </c>
      <c r="AX92" s="97">
        <f>TblImps[[#This Row],[G1]]-TblProd[[#This Row],[Bank Gems]]</f>
        <v>0</v>
      </c>
      <c r="AY92" s="150"/>
      <c r="AZ92" s="62" t="b">
        <f ca="1">IF(TblProd[[#This Row],[Set Guard]]&lt;&gt;"",TblProd[[#This Row],[Set Guard]],OFFSET(TblProd[[#This Row],[Guard]],-1,0))</f>
        <v>0</v>
      </c>
      <c r="BA92" s="161"/>
      <c r="BB92" s="45">
        <f>TblProd[[#This Row],[Hour]]</f>
        <v>17</v>
      </c>
      <c r="BC92" s="166">
        <f>-TblProd[[#This Row],[Bank Lumber]] / 2 + -TblProd[[#This Row],[Bank Gems]] * 2</f>
        <v>0</v>
      </c>
      <c r="BD92" s="166"/>
      <c r="BE92" s="166"/>
      <c r="BF92" s="166"/>
      <c r="BG92" s="167">
        <f ca="1">TblProd[[#This Row],[Time]]</f>
        <v>44814.416666666453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583646</v>
      </c>
      <c r="BJ92" s="97">
        <f ca="1">TblProd[[#This Row],[Food]]</f>
        <v>123827</v>
      </c>
      <c r="BK92" s="97">
        <f ca="1">TblProd[[#This Row],[Lumber]]</f>
        <v>64897</v>
      </c>
      <c r="BL92" s="97">
        <f ca="1">TblProd[[#This Row],[Mana]]</f>
        <v>0</v>
      </c>
      <c r="BM92" s="97">
        <f ca="1">TblProd[[#This Row],[Ore]]</f>
        <v>0</v>
      </c>
    </row>
    <row r="93" spans="1:65" x14ac:dyDescent="0.2">
      <c r="A93" s="145">
        <v>18</v>
      </c>
      <c r="B93" s="160">
        <f ca="1">TblImps[[#This Row],[Time]]</f>
        <v>44814.458333333117</v>
      </c>
      <c r="C93" s="161"/>
      <c r="D93" s="162"/>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589132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10000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50"/>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63">
        <f ca="1">OFFSET(TblConstr[[#This Row],[Tot Doc]],1,0)*dock_boats_hr * (1 + tech_4_1*TblTech[[#This Row],[4-1]])</f>
        <v>0</v>
      </c>
      <c r="Z93" s="162"/>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2]]/2,0),)</f>
        <v>0</v>
      </c>
      <c r="AF93" s="97">
        <f ca="1">OFFSET(TblConstr[[#This Row],[Tot DM]],1,0)*dm_gems</f>
        <v>0</v>
      </c>
      <c r="AG93" s="150"/>
      <c r="AH93" s="164">
        <f ca="1">MIN(race_platinum_bonus + IF(Magic!AD93&gt;0,midas_bonus) + TblImps[[#This Row],[Science]] - TblProd[[#This Row],[Guard]]*(0.02 + tech_5_7*TblTech[[#This Row],[5-7]]) + tech_1_5*TblTech[[#This Row],[1-5]] + tech_4_4*TblTech[[#This Row],[4-4]], 0.5)</f>
        <v>0</v>
      </c>
      <c r="AI9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64">
        <f ca="1">race_lumber_bonus+ IF(TblMagic[[#This Row],[Active Gaia''s Blessing]]&gt;0,gaias_blessing_lumber)+ tech_1_3*TblTech[[#This Row],[1-3]] + tech_1_6*TblTech[[#This Row],[1-6]] + tech_3_3*TblTech[[#This Row],[3-3]]</f>
        <v>0</v>
      </c>
      <c r="AK93" s="164">
        <f ca="1">race_mana_bonus+ 0 + TblImps[[#This Row],[Towers]] + tech_1_2*TblTech[[#This Row],[1-2]] + tech_3_4*TblTech[[#This Row],[3-4]]</f>
        <v>0</v>
      </c>
      <c r="AL93" s="164">
        <f ca="1">race_ore_bonus + IF(TblMagic[[#This Row],[Active Miner''s Sight]]&gt;0,miners_sight_bonus,IF(TblMagic[[#This Row],[Active Mining Strength]]&gt;0,mining_strength_bonus)) +  tech_1_6*TblTech[[#This Row],[1-6]]</f>
        <v>0</v>
      </c>
      <c r="AM93" s="164">
        <f>race_gem_bonus+ tech_3_2*TblTech[[#This Row],[3-2]] + tech_4_3*TblTech[[#This Row],[4-3]] + tech_6_2*TblTech[[#This Row],[6-2]]</f>
        <v>0</v>
      </c>
      <c r="AN93" s="150"/>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62"/>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Military!$CH$25*TblMili[[#This Row],[Sec. rec. Cost]]</f>
        <v>0</v>
      </c>
      <c r="AV93" s="97">
        <f ca="1">TblMagic[[#This Row],[Mana cost]] + Military!$CH$26*TblMili[[#This Row],[Sec. rec. Cost]]</f>
        <v>0</v>
      </c>
      <c r="AW93" s="97">
        <f ca="1">Military!$CH$24*TblMili[[#This Row],[Sec. rec. Cost]]+TblImps[[#This Row],[O1]]-TblProd[[#This Row],[Bank Ore]]</f>
        <v>0</v>
      </c>
      <c r="AX93" s="97">
        <f>TblImps[[#This Row],[G1]]-TblProd[[#This Row],[Bank Gems]]</f>
        <v>0</v>
      </c>
      <c r="AY93" s="150"/>
      <c r="AZ93" s="62" t="b">
        <f ca="1">IF(TblProd[[#This Row],[Set Guard]]&lt;&gt;"",TblProd[[#This Row],[Set Guard]],OFFSET(TblProd[[#This Row],[Guard]],-1,0))</f>
        <v>0</v>
      </c>
      <c r="BA93" s="161"/>
      <c r="BB93" s="45">
        <f>TblProd[[#This Row],[Hour]]</f>
        <v>18</v>
      </c>
      <c r="BC93" s="166">
        <f>-TblProd[[#This Row],[Bank Lumber]] / 2 + -TblProd[[#This Row],[Bank Gems]] * 2</f>
        <v>0</v>
      </c>
      <c r="BD93" s="166"/>
      <c r="BE93" s="166"/>
      <c r="BF93" s="166"/>
      <c r="BG93" s="167">
        <f ca="1">TblProd[[#This Row],[Time]]</f>
        <v>44814.458333333117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589132</v>
      </c>
      <c r="BJ93" s="97">
        <f ca="1">TblProd[[#This Row],[Food]]</f>
        <v>124579</v>
      </c>
      <c r="BK93" s="97">
        <f ca="1">TblProd[[#This Row],[Lumber]]</f>
        <v>65248</v>
      </c>
      <c r="BL93" s="97">
        <f ca="1">TblProd[[#This Row],[Mana]]</f>
        <v>0</v>
      </c>
      <c r="BM93" s="97">
        <f ca="1">TblProd[[#This Row],[Ore]]</f>
        <v>0</v>
      </c>
    </row>
    <row r="94" spans="1:65" x14ac:dyDescent="0.2">
      <c r="A94" s="145">
        <v>19</v>
      </c>
      <c r="B94" s="160">
        <f ca="1">TblImps[[#This Row],[Time]]</f>
        <v>44814.499999999782</v>
      </c>
      <c r="C94" s="161"/>
      <c r="D94" s="162"/>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594618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10000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50"/>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63">
        <f ca="1">OFFSET(TblConstr[[#This Row],[Tot Doc]],1,0)*dock_boats_hr * (1 + tech_4_1*TblTech[[#This Row],[4-1]])</f>
        <v>0</v>
      </c>
      <c r="Z94" s="162"/>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2]]/2,0),)</f>
        <v>0</v>
      </c>
      <c r="AF94" s="97">
        <f ca="1">OFFSET(TblConstr[[#This Row],[Tot DM]],1,0)*dm_gems</f>
        <v>0</v>
      </c>
      <c r="AG94" s="150"/>
      <c r="AH94" s="164">
        <f ca="1">MIN(race_platinum_bonus + IF(Magic!AD94&gt;0,midas_bonus) + TblImps[[#This Row],[Science]] - TblProd[[#This Row],[Guard]]*(0.02 + tech_5_7*TblTech[[#This Row],[5-7]]) + tech_1_5*TblTech[[#This Row],[1-5]] + tech_4_4*TblTech[[#This Row],[4-4]], 0.5)</f>
        <v>0</v>
      </c>
      <c r="AI9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64">
        <f ca="1">race_lumber_bonus+ IF(TblMagic[[#This Row],[Active Gaia''s Blessing]]&gt;0,gaias_blessing_lumber)+ tech_1_3*TblTech[[#This Row],[1-3]] + tech_1_6*TblTech[[#This Row],[1-6]] + tech_3_3*TblTech[[#This Row],[3-3]]</f>
        <v>0</v>
      </c>
      <c r="AK94" s="164">
        <f ca="1">race_mana_bonus+ 0 + TblImps[[#This Row],[Towers]] + tech_1_2*TblTech[[#This Row],[1-2]] + tech_3_4*TblTech[[#This Row],[3-4]]</f>
        <v>0</v>
      </c>
      <c r="AL94" s="164">
        <f ca="1">race_ore_bonus + IF(TblMagic[[#This Row],[Active Miner''s Sight]]&gt;0,miners_sight_bonus,IF(TblMagic[[#This Row],[Active Mining Strength]]&gt;0,mining_strength_bonus)) +  tech_1_6*TblTech[[#This Row],[1-6]]</f>
        <v>0</v>
      </c>
      <c r="AM94" s="164">
        <f>race_gem_bonus+ tech_3_2*TblTech[[#This Row],[3-2]] + tech_4_3*TblTech[[#This Row],[4-3]] + tech_6_2*TblTech[[#This Row],[6-2]]</f>
        <v>0</v>
      </c>
      <c r="AN94" s="150"/>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62"/>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Military!$CH$25*TblMili[[#This Row],[Sec. rec. Cost]]</f>
        <v>0</v>
      </c>
      <c r="AV94" s="97">
        <f ca="1">TblMagic[[#This Row],[Mana cost]] + Military!$CH$26*TblMili[[#This Row],[Sec. rec. Cost]]</f>
        <v>0</v>
      </c>
      <c r="AW94" s="97">
        <f ca="1">Military!$CH$24*TblMili[[#This Row],[Sec. rec. Cost]]+TblImps[[#This Row],[O1]]-TblProd[[#This Row],[Bank Ore]]</f>
        <v>0</v>
      </c>
      <c r="AX94" s="97">
        <f>TblImps[[#This Row],[G1]]-TblProd[[#This Row],[Bank Gems]]</f>
        <v>0</v>
      </c>
      <c r="AY94" s="150"/>
      <c r="AZ94" s="62" t="b">
        <f ca="1">IF(TblProd[[#This Row],[Set Guard]]&lt;&gt;"",TblProd[[#This Row],[Set Guard]],OFFSET(TblProd[[#This Row],[Guard]],-1,0))</f>
        <v>0</v>
      </c>
      <c r="BA94" s="161"/>
      <c r="BB94" s="45">
        <f>TblProd[[#This Row],[Hour]]</f>
        <v>19</v>
      </c>
      <c r="BC94" s="166">
        <f>-TblProd[[#This Row],[Bank Lumber]] / 2 + -TblProd[[#This Row],[Bank Gems]] * 2</f>
        <v>0</v>
      </c>
      <c r="BD94" s="166"/>
      <c r="BE94" s="166"/>
      <c r="BF94" s="166"/>
      <c r="BG94" s="167">
        <f ca="1">TblProd[[#This Row],[Time]]</f>
        <v>44814.499999999782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594618</v>
      </c>
      <c r="BJ94" s="97">
        <f ca="1">TblProd[[#This Row],[Food]]</f>
        <v>125324</v>
      </c>
      <c r="BK94" s="97">
        <f ca="1">TblProd[[#This Row],[Lumber]]</f>
        <v>65596</v>
      </c>
      <c r="BL94" s="97">
        <f ca="1">TblProd[[#This Row],[Mana]]</f>
        <v>0</v>
      </c>
      <c r="BM94" s="97">
        <f ca="1">TblProd[[#This Row],[Ore]]</f>
        <v>0</v>
      </c>
    </row>
    <row r="95" spans="1:65" x14ac:dyDescent="0.2">
      <c r="A95" s="145">
        <v>20</v>
      </c>
      <c r="B95" s="160">
        <f ca="1">TblImps[[#This Row],[Time]]</f>
        <v>44814.541666666446</v>
      </c>
      <c r="C95" s="161"/>
      <c r="D95" s="162"/>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600104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10000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50"/>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63">
        <f ca="1">OFFSET(TblConstr[[#This Row],[Tot Doc]],1,0)*dock_boats_hr * (1 + tech_4_1*TblTech[[#This Row],[4-1]])</f>
        <v>0</v>
      </c>
      <c r="Z95" s="162"/>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2]]/2,0),)</f>
        <v>0</v>
      </c>
      <c r="AF95" s="97">
        <f ca="1">OFFSET(TblConstr[[#This Row],[Tot DM]],1,0)*dm_gems</f>
        <v>0</v>
      </c>
      <c r="AG95" s="150"/>
      <c r="AH95" s="164">
        <f ca="1">MIN(race_platinum_bonus + IF(Magic!AD95&gt;0,midas_bonus) + TblImps[[#This Row],[Science]] - TblProd[[#This Row],[Guard]]*(0.02 + tech_5_7*TblTech[[#This Row],[5-7]]) + tech_1_5*TblTech[[#This Row],[1-5]] + tech_4_4*TblTech[[#This Row],[4-4]], 0.5)</f>
        <v>0</v>
      </c>
      <c r="AI9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64">
        <f ca="1">race_lumber_bonus+ IF(TblMagic[[#This Row],[Active Gaia''s Blessing]]&gt;0,gaias_blessing_lumber)+ tech_1_3*TblTech[[#This Row],[1-3]] + tech_1_6*TblTech[[#This Row],[1-6]] + tech_3_3*TblTech[[#This Row],[3-3]]</f>
        <v>0</v>
      </c>
      <c r="AK95" s="164">
        <f ca="1">race_mana_bonus+ 0 + TblImps[[#This Row],[Towers]] + tech_1_2*TblTech[[#This Row],[1-2]] + tech_3_4*TblTech[[#This Row],[3-4]]</f>
        <v>0</v>
      </c>
      <c r="AL95" s="164">
        <f ca="1">race_ore_bonus + IF(TblMagic[[#This Row],[Active Miner''s Sight]]&gt;0,miners_sight_bonus,IF(TblMagic[[#This Row],[Active Mining Strength]]&gt;0,mining_strength_bonus)) +  tech_1_6*TblTech[[#This Row],[1-6]]</f>
        <v>0</v>
      </c>
      <c r="AM95" s="164">
        <f>race_gem_bonus+ tech_3_2*TblTech[[#This Row],[3-2]] + tech_4_3*TblTech[[#This Row],[4-3]] + tech_6_2*TblTech[[#This Row],[6-2]]</f>
        <v>0</v>
      </c>
      <c r="AN95" s="150"/>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62"/>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Military!$CH$25*TblMili[[#This Row],[Sec. rec. Cost]]</f>
        <v>0</v>
      </c>
      <c r="AV95" s="97">
        <f ca="1">TblMagic[[#This Row],[Mana cost]] + Military!$CH$26*TblMili[[#This Row],[Sec. rec. Cost]]</f>
        <v>0</v>
      </c>
      <c r="AW95" s="97">
        <f ca="1">Military!$CH$24*TblMili[[#This Row],[Sec. rec. Cost]]+TblImps[[#This Row],[O1]]-TblProd[[#This Row],[Bank Ore]]</f>
        <v>0</v>
      </c>
      <c r="AX95" s="97">
        <f>TblImps[[#This Row],[G1]]-TblProd[[#This Row],[Bank Gems]]</f>
        <v>0</v>
      </c>
      <c r="AY95" s="150"/>
      <c r="AZ95" s="62" t="b">
        <f ca="1">IF(TblProd[[#This Row],[Set Guard]]&lt;&gt;"",TblProd[[#This Row],[Set Guard]],OFFSET(TblProd[[#This Row],[Guard]],-1,0))</f>
        <v>0</v>
      </c>
      <c r="BA95" s="161"/>
      <c r="BB95" s="45">
        <f>TblProd[[#This Row],[Hour]]</f>
        <v>20</v>
      </c>
      <c r="BC95" s="166">
        <f>-TblProd[[#This Row],[Bank Lumber]] / 2 + -TblProd[[#This Row],[Bank Gems]] * 2</f>
        <v>0</v>
      </c>
      <c r="BD95" s="166"/>
      <c r="BE95" s="166"/>
      <c r="BF95" s="166"/>
      <c r="BG95" s="167">
        <f ca="1">TblProd[[#This Row],[Time]]</f>
        <v>44814.541666666446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600104</v>
      </c>
      <c r="BJ95" s="97">
        <f ca="1">TblProd[[#This Row],[Food]]</f>
        <v>126061</v>
      </c>
      <c r="BK95" s="97">
        <f ca="1">TblProd[[#This Row],[Lumber]]</f>
        <v>65940</v>
      </c>
      <c r="BL95" s="97">
        <f ca="1">TblProd[[#This Row],[Mana]]</f>
        <v>0</v>
      </c>
      <c r="BM95" s="97">
        <f ca="1">TblProd[[#This Row],[Ore]]</f>
        <v>0</v>
      </c>
    </row>
    <row r="96" spans="1:65" x14ac:dyDescent="0.2">
      <c r="A96" s="145">
        <v>21</v>
      </c>
      <c r="B96" s="160">
        <f ca="1">TblImps[[#This Row],[Time]]</f>
        <v>44814.58333333311</v>
      </c>
      <c r="C96" s="161"/>
      <c r="D96" s="162"/>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605590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10000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50"/>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63">
        <f ca="1">OFFSET(TblConstr[[#This Row],[Tot Doc]],1,0)*dock_boats_hr * (1 + tech_4_1*TblTech[[#This Row],[4-1]])</f>
        <v>0</v>
      </c>
      <c r="Z96" s="162"/>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2]]/2,0),)</f>
        <v>0</v>
      </c>
      <c r="AF96" s="97">
        <f ca="1">OFFSET(TblConstr[[#This Row],[Tot DM]],1,0)*dm_gems</f>
        <v>0</v>
      </c>
      <c r="AG96" s="150"/>
      <c r="AH96" s="164">
        <f ca="1">MIN(race_platinum_bonus + IF(Magic!AD96&gt;0,midas_bonus) + TblImps[[#This Row],[Science]] - TblProd[[#This Row],[Guard]]*(0.02 + tech_5_7*TblTech[[#This Row],[5-7]]) + tech_1_5*TblTech[[#This Row],[1-5]] + tech_4_4*TblTech[[#This Row],[4-4]], 0.5)</f>
        <v>0</v>
      </c>
      <c r="AI9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64">
        <f ca="1">race_lumber_bonus+ IF(TblMagic[[#This Row],[Active Gaia''s Blessing]]&gt;0,gaias_blessing_lumber)+ tech_1_3*TblTech[[#This Row],[1-3]] + tech_1_6*TblTech[[#This Row],[1-6]] + tech_3_3*TblTech[[#This Row],[3-3]]</f>
        <v>0</v>
      </c>
      <c r="AK96" s="164">
        <f ca="1">race_mana_bonus+ 0 + TblImps[[#This Row],[Towers]] + tech_1_2*TblTech[[#This Row],[1-2]] + tech_3_4*TblTech[[#This Row],[3-4]]</f>
        <v>0</v>
      </c>
      <c r="AL96" s="164">
        <f ca="1">race_ore_bonus + IF(TblMagic[[#This Row],[Active Miner''s Sight]]&gt;0,miners_sight_bonus,IF(TblMagic[[#This Row],[Active Mining Strength]]&gt;0,mining_strength_bonus)) +  tech_1_6*TblTech[[#This Row],[1-6]]</f>
        <v>0</v>
      </c>
      <c r="AM96" s="164">
        <f>race_gem_bonus+ tech_3_2*TblTech[[#This Row],[3-2]] + tech_4_3*TblTech[[#This Row],[4-3]] + tech_6_2*TblTech[[#This Row],[6-2]]</f>
        <v>0</v>
      </c>
      <c r="AN96" s="150"/>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62"/>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Military!$CH$25*TblMili[[#This Row],[Sec. rec. Cost]]</f>
        <v>0</v>
      </c>
      <c r="AV96" s="97">
        <f ca="1">TblMagic[[#This Row],[Mana cost]] + Military!$CH$26*TblMili[[#This Row],[Sec. rec. Cost]]</f>
        <v>0</v>
      </c>
      <c r="AW96" s="97">
        <f ca="1">Military!$CH$24*TblMili[[#This Row],[Sec. rec. Cost]]+TblImps[[#This Row],[O1]]-TblProd[[#This Row],[Bank Ore]]</f>
        <v>0</v>
      </c>
      <c r="AX96" s="97">
        <f>TblImps[[#This Row],[G1]]-TblProd[[#This Row],[Bank Gems]]</f>
        <v>0</v>
      </c>
      <c r="AY96" s="150"/>
      <c r="AZ96" s="62" t="b">
        <f ca="1">IF(TblProd[[#This Row],[Set Guard]]&lt;&gt;"",TblProd[[#This Row],[Set Guard]],OFFSET(TblProd[[#This Row],[Guard]],-1,0))</f>
        <v>0</v>
      </c>
      <c r="BA96" s="161"/>
      <c r="BB96" s="45">
        <f>TblProd[[#This Row],[Hour]]</f>
        <v>21</v>
      </c>
      <c r="BC96" s="166">
        <f>-TblProd[[#This Row],[Bank Lumber]] / 2 + -TblProd[[#This Row],[Bank Gems]] * 2</f>
        <v>0</v>
      </c>
      <c r="BD96" s="166"/>
      <c r="BE96" s="166"/>
      <c r="BF96" s="166"/>
      <c r="BG96" s="167">
        <f ca="1">TblProd[[#This Row],[Time]]</f>
        <v>44814.58333333311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605590</v>
      </c>
      <c r="BJ96" s="97">
        <f ca="1">TblProd[[#This Row],[Food]]</f>
        <v>126791</v>
      </c>
      <c r="BK96" s="97">
        <f ca="1">TblProd[[#This Row],[Lumber]]</f>
        <v>66281</v>
      </c>
      <c r="BL96" s="97">
        <f ca="1">TblProd[[#This Row],[Mana]]</f>
        <v>0</v>
      </c>
      <c r="BM96" s="97">
        <f ca="1">TblProd[[#This Row],[Ore]]</f>
        <v>0</v>
      </c>
    </row>
    <row r="97" spans="1:65" x14ac:dyDescent="0.2">
      <c r="A97" s="145">
        <v>22</v>
      </c>
      <c r="B97" s="160">
        <f ca="1">TblImps[[#This Row],[Time]]</f>
        <v>44814.624999999774</v>
      </c>
      <c r="C97" s="161"/>
      <c r="D97" s="162"/>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611076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10000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50"/>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63">
        <f ca="1">OFFSET(TblConstr[[#This Row],[Tot Doc]],1,0)*dock_boats_hr * (1 + tech_4_1*TblTech[[#This Row],[4-1]])</f>
        <v>0</v>
      </c>
      <c r="Z97" s="162"/>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2]]/2,0),)</f>
        <v>0</v>
      </c>
      <c r="AF97" s="97">
        <f ca="1">OFFSET(TblConstr[[#This Row],[Tot DM]],1,0)*dm_gems</f>
        <v>0</v>
      </c>
      <c r="AG97" s="150"/>
      <c r="AH97" s="164">
        <f ca="1">MIN(race_platinum_bonus + IF(Magic!AD97&gt;0,midas_bonus) + TblImps[[#This Row],[Science]] - TblProd[[#This Row],[Guard]]*(0.02 + tech_5_7*TblTech[[#This Row],[5-7]]) + tech_1_5*TblTech[[#This Row],[1-5]] + tech_4_4*TblTech[[#This Row],[4-4]], 0.5)</f>
        <v>0</v>
      </c>
      <c r="AI9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64">
        <f ca="1">race_lumber_bonus+ IF(TblMagic[[#This Row],[Active Gaia''s Blessing]]&gt;0,gaias_blessing_lumber)+ tech_1_3*TblTech[[#This Row],[1-3]] + tech_1_6*TblTech[[#This Row],[1-6]] + tech_3_3*TblTech[[#This Row],[3-3]]</f>
        <v>0</v>
      </c>
      <c r="AK97" s="164">
        <f ca="1">race_mana_bonus+ 0 + TblImps[[#This Row],[Towers]] + tech_1_2*TblTech[[#This Row],[1-2]] + tech_3_4*TblTech[[#This Row],[3-4]]</f>
        <v>0</v>
      </c>
      <c r="AL97" s="164">
        <f ca="1">race_ore_bonus + IF(TblMagic[[#This Row],[Active Miner''s Sight]]&gt;0,miners_sight_bonus,IF(TblMagic[[#This Row],[Active Mining Strength]]&gt;0,mining_strength_bonus)) +  tech_1_6*TblTech[[#This Row],[1-6]]</f>
        <v>0</v>
      </c>
      <c r="AM97" s="164">
        <f>race_gem_bonus+ tech_3_2*TblTech[[#This Row],[3-2]] + tech_4_3*TblTech[[#This Row],[4-3]] + tech_6_2*TblTech[[#This Row],[6-2]]</f>
        <v>0</v>
      </c>
      <c r="AN97" s="150"/>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62"/>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Military!$CH$25*TblMili[[#This Row],[Sec. rec. Cost]]</f>
        <v>0</v>
      </c>
      <c r="AV97" s="97">
        <f ca="1">TblMagic[[#This Row],[Mana cost]] + Military!$CH$26*TblMili[[#This Row],[Sec. rec. Cost]]</f>
        <v>0</v>
      </c>
      <c r="AW97" s="97">
        <f ca="1">Military!$CH$24*TblMili[[#This Row],[Sec. rec. Cost]]+TblImps[[#This Row],[O1]]-TblProd[[#This Row],[Bank Ore]]</f>
        <v>0</v>
      </c>
      <c r="AX97" s="97">
        <f>TblImps[[#This Row],[G1]]-TblProd[[#This Row],[Bank Gems]]</f>
        <v>0</v>
      </c>
      <c r="AY97" s="150"/>
      <c r="AZ97" s="62" t="b">
        <f ca="1">IF(TblProd[[#This Row],[Set Guard]]&lt;&gt;"",TblProd[[#This Row],[Set Guard]],OFFSET(TblProd[[#This Row],[Guard]],-1,0))</f>
        <v>0</v>
      </c>
      <c r="BA97" s="161"/>
      <c r="BB97" s="45">
        <f>TblProd[[#This Row],[Hour]]</f>
        <v>22</v>
      </c>
      <c r="BC97" s="166">
        <f>-TblProd[[#This Row],[Bank Lumber]] / 2 + -TblProd[[#This Row],[Bank Gems]] * 2</f>
        <v>0</v>
      </c>
      <c r="BD97" s="166"/>
      <c r="BE97" s="166"/>
      <c r="BF97" s="166"/>
      <c r="BG97" s="167">
        <f ca="1">TblProd[[#This Row],[Time]]</f>
        <v>44814.624999999774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611076</v>
      </c>
      <c r="BJ97" s="97">
        <f ca="1">TblProd[[#This Row],[Food]]</f>
        <v>127514</v>
      </c>
      <c r="BK97" s="97">
        <f ca="1">TblProd[[#This Row],[Lumber]]</f>
        <v>66618</v>
      </c>
      <c r="BL97" s="97">
        <f ca="1">TblProd[[#This Row],[Mana]]</f>
        <v>0</v>
      </c>
      <c r="BM97" s="97">
        <f ca="1">TblProd[[#This Row],[Ore]]</f>
        <v>0</v>
      </c>
    </row>
    <row r="98" spans="1:65" x14ac:dyDescent="0.2">
      <c r="A98" s="145">
        <v>23</v>
      </c>
      <c r="B98" s="160">
        <f ca="1">TblImps[[#This Row],[Time]]</f>
        <v>44814.666666666439</v>
      </c>
      <c r="C98" s="161"/>
      <c r="D98" s="162"/>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616562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10000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50"/>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63">
        <f ca="1">OFFSET(TblConstr[[#This Row],[Tot Doc]],1,0)*dock_boats_hr * (1 + tech_4_1*TblTech[[#This Row],[4-1]])</f>
        <v>0</v>
      </c>
      <c r="Z98" s="162"/>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2]]/2,0),)</f>
        <v>0</v>
      </c>
      <c r="AF98" s="97">
        <f ca="1">OFFSET(TblConstr[[#This Row],[Tot DM]],1,0)*dm_gems</f>
        <v>0</v>
      </c>
      <c r="AG98" s="150"/>
      <c r="AH98" s="164">
        <f ca="1">MIN(race_platinum_bonus + IF(Magic!AD98&gt;0,midas_bonus) + TblImps[[#This Row],[Science]] - TblProd[[#This Row],[Guard]]*(0.02 + tech_5_7*TblTech[[#This Row],[5-7]]) + tech_1_5*TblTech[[#This Row],[1-5]] + tech_4_4*TblTech[[#This Row],[4-4]], 0.5)</f>
        <v>0</v>
      </c>
      <c r="AI9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64">
        <f ca="1">race_lumber_bonus+ IF(TblMagic[[#This Row],[Active Gaia''s Blessing]]&gt;0,gaias_blessing_lumber)+ tech_1_3*TblTech[[#This Row],[1-3]] + tech_1_6*TblTech[[#This Row],[1-6]] + tech_3_3*TblTech[[#This Row],[3-3]]</f>
        <v>0</v>
      </c>
      <c r="AK98" s="164">
        <f ca="1">race_mana_bonus+ 0 + TblImps[[#This Row],[Towers]] + tech_1_2*TblTech[[#This Row],[1-2]] + tech_3_4*TblTech[[#This Row],[3-4]]</f>
        <v>0</v>
      </c>
      <c r="AL98" s="164">
        <f ca="1">race_ore_bonus + IF(TblMagic[[#This Row],[Active Miner''s Sight]]&gt;0,miners_sight_bonus,IF(TblMagic[[#This Row],[Active Mining Strength]]&gt;0,mining_strength_bonus)) +  tech_1_6*TblTech[[#This Row],[1-6]]</f>
        <v>0</v>
      </c>
      <c r="AM98" s="164">
        <f>race_gem_bonus+ tech_3_2*TblTech[[#This Row],[3-2]] + tech_4_3*TblTech[[#This Row],[4-3]] + tech_6_2*TblTech[[#This Row],[6-2]]</f>
        <v>0</v>
      </c>
      <c r="AN98" s="150"/>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62"/>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Military!$CH$25*TblMili[[#This Row],[Sec. rec. Cost]]</f>
        <v>0</v>
      </c>
      <c r="AV98" s="97">
        <f ca="1">TblMagic[[#This Row],[Mana cost]] + Military!$CH$26*TblMili[[#This Row],[Sec. rec. Cost]]</f>
        <v>0</v>
      </c>
      <c r="AW98" s="97">
        <f ca="1">Military!$CH$24*TblMili[[#This Row],[Sec. rec. Cost]]+TblImps[[#This Row],[O1]]-TblProd[[#This Row],[Bank Ore]]</f>
        <v>0</v>
      </c>
      <c r="AX98" s="97">
        <f>TblImps[[#This Row],[G1]]-TblProd[[#This Row],[Bank Gems]]</f>
        <v>0</v>
      </c>
      <c r="AY98" s="150"/>
      <c r="AZ98" s="62" t="b">
        <f ca="1">IF(TblProd[[#This Row],[Set Guard]]&lt;&gt;"",TblProd[[#This Row],[Set Guard]],OFFSET(TblProd[[#This Row],[Guard]],-1,0))</f>
        <v>0</v>
      </c>
      <c r="BA98" s="161"/>
      <c r="BB98" s="45">
        <f>TblProd[[#This Row],[Hour]]</f>
        <v>23</v>
      </c>
      <c r="BC98" s="166">
        <f>-TblProd[[#This Row],[Bank Lumber]] / 2 + -TblProd[[#This Row],[Bank Gems]] * 2</f>
        <v>0</v>
      </c>
      <c r="BD98" s="166"/>
      <c r="BE98" s="166"/>
      <c r="BF98" s="166"/>
      <c r="BG98" s="167">
        <f ca="1">TblProd[[#This Row],[Time]]</f>
        <v>44814.666666666439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616562</v>
      </c>
      <c r="BJ98" s="97">
        <f ca="1">TblProd[[#This Row],[Food]]</f>
        <v>128229</v>
      </c>
      <c r="BK98" s="97">
        <f ca="1">TblProd[[#This Row],[Lumber]]</f>
        <v>66952</v>
      </c>
      <c r="BL98" s="97">
        <f ca="1">TblProd[[#This Row],[Mana]]</f>
        <v>0</v>
      </c>
      <c r="BM98" s="97">
        <f ca="1">TblProd[[#This Row],[Ore]]</f>
        <v>0</v>
      </c>
    </row>
    <row r="99" spans="1:65" x14ac:dyDescent="0.2">
      <c r="A99" s="145">
        <v>24</v>
      </c>
      <c r="B99" s="160">
        <f ca="1">TblImps[[#This Row],[Time]]</f>
        <v>44814.708333333103</v>
      </c>
      <c r="C99" s="161"/>
      <c r="D99" s="162"/>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622048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10000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50"/>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63">
        <f ca="1">OFFSET(TblConstr[[#This Row],[Tot Doc]],1,0)*dock_boats_hr * (1 + tech_4_1*TblTech[[#This Row],[4-1]])</f>
        <v>0</v>
      </c>
      <c r="Z99" s="162"/>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2]]/2,0),)</f>
        <v>0</v>
      </c>
      <c r="AF99" s="97">
        <f ca="1">OFFSET(TblConstr[[#This Row],[Tot DM]],1,0)*dm_gems</f>
        <v>0</v>
      </c>
      <c r="AG99" s="150"/>
      <c r="AH99" s="164">
        <f ca="1">MIN(race_platinum_bonus + IF(Magic!AD99&gt;0,midas_bonus) + TblImps[[#This Row],[Science]] - TblProd[[#This Row],[Guard]]*(0.02 + tech_5_7*TblTech[[#This Row],[5-7]]) + tech_1_5*TblTech[[#This Row],[1-5]] + tech_4_4*TblTech[[#This Row],[4-4]], 0.5)</f>
        <v>0</v>
      </c>
      <c r="AI9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64">
        <f ca="1">race_lumber_bonus+ IF(TblMagic[[#This Row],[Active Gaia''s Blessing]]&gt;0,gaias_blessing_lumber)+ tech_1_3*TblTech[[#This Row],[1-3]] + tech_1_6*TblTech[[#This Row],[1-6]] + tech_3_3*TblTech[[#This Row],[3-3]]</f>
        <v>0</v>
      </c>
      <c r="AK99" s="164">
        <f ca="1">race_mana_bonus+ 0 + TblImps[[#This Row],[Towers]] + tech_1_2*TblTech[[#This Row],[1-2]] + tech_3_4*TblTech[[#This Row],[3-4]]</f>
        <v>0</v>
      </c>
      <c r="AL99" s="164">
        <f ca="1">race_ore_bonus + IF(TblMagic[[#This Row],[Active Miner''s Sight]]&gt;0,miners_sight_bonus,IF(TblMagic[[#This Row],[Active Mining Strength]]&gt;0,mining_strength_bonus)) +  tech_1_6*TblTech[[#This Row],[1-6]]</f>
        <v>0</v>
      </c>
      <c r="AM99" s="164">
        <f>race_gem_bonus+ tech_3_2*TblTech[[#This Row],[3-2]] + tech_4_3*TblTech[[#This Row],[4-3]] + tech_6_2*TblTech[[#This Row],[6-2]]</f>
        <v>0</v>
      </c>
      <c r="AN99" s="150"/>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62"/>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Military!$CH$25*TblMili[[#This Row],[Sec. rec. Cost]]</f>
        <v>0</v>
      </c>
      <c r="AV99" s="97">
        <f ca="1">TblMagic[[#This Row],[Mana cost]] + Military!$CH$26*TblMili[[#This Row],[Sec. rec. Cost]]</f>
        <v>0</v>
      </c>
      <c r="AW99" s="97">
        <f ca="1">Military!$CH$24*TblMili[[#This Row],[Sec. rec. Cost]]+TblImps[[#This Row],[O1]]-TblProd[[#This Row],[Bank Ore]]</f>
        <v>0</v>
      </c>
      <c r="AX99" s="97">
        <f>TblImps[[#This Row],[G1]]-TblProd[[#This Row],[Bank Gems]]</f>
        <v>0</v>
      </c>
      <c r="AY99" s="150"/>
      <c r="AZ99" s="62" t="b">
        <f ca="1">IF(TblProd[[#This Row],[Set Guard]]&lt;&gt;"",TblProd[[#This Row],[Set Guard]],OFFSET(TblProd[[#This Row],[Guard]],-1,0))</f>
        <v>0</v>
      </c>
      <c r="BA99" s="161"/>
      <c r="BB99" s="45">
        <f>TblProd[[#This Row],[Hour]]</f>
        <v>24</v>
      </c>
      <c r="BC99" s="166">
        <f>-TblProd[[#This Row],[Bank Lumber]] / 2 + -TblProd[[#This Row],[Bank Gems]] * 2</f>
        <v>0</v>
      </c>
      <c r="BD99" s="166"/>
      <c r="BE99" s="166"/>
      <c r="BF99" s="166"/>
      <c r="BG99" s="167">
        <f ca="1">TblProd[[#This Row],[Time]]</f>
        <v>44814.708333333103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622048</v>
      </c>
      <c r="BJ99" s="97">
        <f ca="1">TblProd[[#This Row],[Food]]</f>
        <v>128937</v>
      </c>
      <c r="BK99" s="97">
        <f ca="1">TblProd[[#This Row],[Lumber]]</f>
        <v>67282</v>
      </c>
      <c r="BL99" s="97">
        <f ca="1">TblProd[[#This Row],[Mana]]</f>
        <v>0</v>
      </c>
      <c r="BM99" s="97">
        <f ca="1">TblProd[[#This Row],[Ore]]</f>
        <v>0</v>
      </c>
    </row>
    <row r="100" spans="1:65" x14ac:dyDescent="0.2">
      <c r="A100" s="145">
        <v>25</v>
      </c>
      <c r="B100" s="160">
        <f ca="1">TblImps[[#This Row],[Time]]</f>
        <v>44814.749999999767</v>
      </c>
      <c r="C100" s="161"/>
      <c r="D100" s="162"/>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627534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10000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50"/>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63">
        <f ca="1">OFFSET(TblConstr[[#This Row],[Tot Doc]],1,0)*dock_boats_hr * (1 + tech_4_1*TblTech[[#This Row],[4-1]])</f>
        <v>0</v>
      </c>
      <c r="Z100" s="162"/>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2]]/2,0),)</f>
        <v>0</v>
      </c>
      <c r="AF100" s="97">
        <f ca="1">OFFSET(TblConstr[[#This Row],[Tot DM]],1,0)*dm_gems</f>
        <v>0</v>
      </c>
      <c r="AG100" s="150"/>
      <c r="AH100" s="164">
        <f ca="1">MIN(race_platinum_bonus + IF(Magic!AD100&gt;0,midas_bonus) + TblImps[[#This Row],[Science]] - TblProd[[#This Row],[Guard]]*(0.02 + tech_5_7*TblTech[[#This Row],[5-7]]) + tech_1_5*TblTech[[#This Row],[1-5]] + tech_4_4*TblTech[[#This Row],[4-4]], 0.5)</f>
        <v>0</v>
      </c>
      <c r="AI10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64">
        <f ca="1">race_lumber_bonus+ IF(TblMagic[[#This Row],[Active Gaia''s Blessing]]&gt;0,gaias_blessing_lumber)+ tech_1_3*TblTech[[#This Row],[1-3]] + tech_1_6*TblTech[[#This Row],[1-6]] + tech_3_3*TblTech[[#This Row],[3-3]]</f>
        <v>0</v>
      </c>
      <c r="AK100" s="164">
        <f ca="1">race_mana_bonus+ 0 + TblImps[[#This Row],[Towers]] + tech_1_2*TblTech[[#This Row],[1-2]] + tech_3_4*TblTech[[#This Row],[3-4]]</f>
        <v>0</v>
      </c>
      <c r="AL100" s="164">
        <f ca="1">race_ore_bonus + IF(TblMagic[[#This Row],[Active Miner''s Sight]]&gt;0,miners_sight_bonus,IF(TblMagic[[#This Row],[Active Mining Strength]]&gt;0,mining_strength_bonus)) +  tech_1_6*TblTech[[#This Row],[1-6]]</f>
        <v>0</v>
      </c>
      <c r="AM100" s="164">
        <f>race_gem_bonus+ tech_3_2*TblTech[[#This Row],[3-2]] + tech_4_3*TblTech[[#This Row],[4-3]] + tech_6_2*TblTech[[#This Row],[6-2]]</f>
        <v>0</v>
      </c>
      <c r="AN100" s="150"/>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62"/>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Military!$CH$25*TblMili[[#This Row],[Sec. rec. Cost]]</f>
        <v>0</v>
      </c>
      <c r="AV100" s="97">
        <f ca="1">TblMagic[[#This Row],[Mana cost]] + Military!$CH$26*TblMili[[#This Row],[Sec. rec. Cost]]</f>
        <v>0</v>
      </c>
      <c r="AW100" s="97">
        <f ca="1">Military!$CH$24*TblMili[[#This Row],[Sec. rec. Cost]]+TblImps[[#This Row],[O1]]-TblProd[[#This Row],[Bank Ore]]</f>
        <v>0</v>
      </c>
      <c r="AX100" s="97">
        <f>TblImps[[#This Row],[G1]]-TblProd[[#This Row],[Bank Gems]]</f>
        <v>0</v>
      </c>
      <c r="AY100" s="150"/>
      <c r="AZ100" s="62" t="b">
        <f ca="1">IF(TblProd[[#This Row],[Set Guard]]&lt;&gt;"",TblProd[[#This Row],[Set Guard]],OFFSET(TblProd[[#This Row],[Guard]],-1,0))</f>
        <v>0</v>
      </c>
      <c r="BA100" s="161"/>
      <c r="BB100" s="45">
        <f>TblProd[[#This Row],[Hour]]</f>
        <v>25</v>
      </c>
      <c r="BC100" s="166">
        <f>-TblProd[[#This Row],[Bank Lumber]] / 2 + -TblProd[[#This Row],[Bank Gems]] * 2</f>
        <v>0</v>
      </c>
      <c r="BD100" s="166"/>
      <c r="BE100" s="166"/>
      <c r="BF100" s="166"/>
      <c r="BG100" s="167">
        <f ca="1">TblProd[[#This Row],[Time]]</f>
        <v>44814.749999999767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627534</v>
      </c>
      <c r="BJ100" s="97">
        <f ca="1">TblProd[[#This Row],[Food]]</f>
        <v>129638</v>
      </c>
      <c r="BK100" s="97">
        <f ca="1">TblProd[[#This Row],[Lumber]]</f>
        <v>67609</v>
      </c>
      <c r="BL100" s="97">
        <f ca="1">TblProd[[#This Row],[Mana]]</f>
        <v>0</v>
      </c>
      <c r="BM100" s="97">
        <f ca="1">TblProd[[#This Row],[Ore]]</f>
        <v>0</v>
      </c>
    </row>
    <row r="101" spans="1:65" x14ac:dyDescent="0.2">
      <c r="A101" s="145">
        <v>26</v>
      </c>
      <c r="B101" s="160">
        <f ca="1">TblImps[[#This Row],[Time]]</f>
        <v>44814.791666666431</v>
      </c>
      <c r="C101" s="161"/>
      <c r="D101" s="162"/>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633020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10000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50"/>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63">
        <f ca="1">OFFSET(TblConstr[[#This Row],[Tot Doc]],1,0)*dock_boats_hr * (1 + tech_4_1*TblTech[[#This Row],[4-1]])</f>
        <v>0</v>
      </c>
      <c r="Z101" s="162"/>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2]]/2,0),)</f>
        <v>0</v>
      </c>
      <c r="AF101" s="97">
        <f ca="1">OFFSET(TblConstr[[#This Row],[Tot DM]],1,0)*dm_gems</f>
        <v>0</v>
      </c>
      <c r="AG101" s="150"/>
      <c r="AH101" s="164">
        <f ca="1">MIN(race_platinum_bonus + IF(Magic!AD101&gt;0,midas_bonus) + TblImps[[#This Row],[Science]] - TblProd[[#This Row],[Guard]]*(0.02 + tech_5_7*TblTech[[#This Row],[5-7]]) + tech_1_5*TblTech[[#This Row],[1-5]] + tech_4_4*TblTech[[#This Row],[4-4]], 0.5)</f>
        <v>0</v>
      </c>
      <c r="AI10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64">
        <f ca="1">race_lumber_bonus+ IF(TblMagic[[#This Row],[Active Gaia''s Blessing]]&gt;0,gaias_blessing_lumber)+ tech_1_3*TblTech[[#This Row],[1-3]] + tech_1_6*TblTech[[#This Row],[1-6]] + tech_3_3*TblTech[[#This Row],[3-3]]</f>
        <v>0</v>
      </c>
      <c r="AK101" s="164">
        <f ca="1">race_mana_bonus+ 0 + TblImps[[#This Row],[Towers]] + tech_1_2*TblTech[[#This Row],[1-2]] + tech_3_4*TblTech[[#This Row],[3-4]]</f>
        <v>0</v>
      </c>
      <c r="AL101" s="164">
        <f ca="1">race_ore_bonus + IF(TblMagic[[#This Row],[Active Miner''s Sight]]&gt;0,miners_sight_bonus,IF(TblMagic[[#This Row],[Active Mining Strength]]&gt;0,mining_strength_bonus)) +  tech_1_6*TblTech[[#This Row],[1-6]]</f>
        <v>0</v>
      </c>
      <c r="AM101" s="164">
        <f>race_gem_bonus+ tech_3_2*TblTech[[#This Row],[3-2]] + tech_4_3*TblTech[[#This Row],[4-3]] + tech_6_2*TblTech[[#This Row],[6-2]]</f>
        <v>0</v>
      </c>
      <c r="AN101" s="150"/>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62"/>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Military!$CH$25*TblMili[[#This Row],[Sec. rec. Cost]]</f>
        <v>0</v>
      </c>
      <c r="AV101" s="97">
        <f ca="1">TblMagic[[#This Row],[Mana cost]] + Military!$CH$26*TblMili[[#This Row],[Sec. rec. Cost]]</f>
        <v>0</v>
      </c>
      <c r="AW101" s="97">
        <f ca="1">Military!$CH$24*TblMili[[#This Row],[Sec. rec. Cost]]+TblImps[[#This Row],[O1]]-TblProd[[#This Row],[Bank Ore]]</f>
        <v>0</v>
      </c>
      <c r="AX101" s="97">
        <f>TblImps[[#This Row],[G1]]-TblProd[[#This Row],[Bank Gems]]</f>
        <v>0</v>
      </c>
      <c r="AY101" s="150"/>
      <c r="AZ101" s="62" t="b">
        <f ca="1">IF(TblProd[[#This Row],[Set Guard]]&lt;&gt;"",TblProd[[#This Row],[Set Guard]],OFFSET(TblProd[[#This Row],[Guard]],-1,0))</f>
        <v>0</v>
      </c>
      <c r="BA101" s="161"/>
      <c r="BB101" s="45">
        <f>TblProd[[#This Row],[Hour]]</f>
        <v>26</v>
      </c>
      <c r="BC101" s="166">
        <f>-TblProd[[#This Row],[Bank Lumber]] / 2 + -TblProd[[#This Row],[Bank Gems]] * 2</f>
        <v>0</v>
      </c>
      <c r="BD101" s="166"/>
      <c r="BE101" s="166"/>
      <c r="BF101" s="166"/>
      <c r="BG101" s="167">
        <f ca="1">TblProd[[#This Row],[Time]]</f>
        <v>44814.791666666431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633020</v>
      </c>
      <c r="BJ101" s="97">
        <f ca="1">TblProd[[#This Row],[Food]]</f>
        <v>130332</v>
      </c>
      <c r="BK101" s="97">
        <f ca="1">TblProd[[#This Row],[Lumber]]</f>
        <v>67933</v>
      </c>
      <c r="BL101" s="97">
        <f ca="1">TblProd[[#This Row],[Mana]]</f>
        <v>0</v>
      </c>
      <c r="BM101" s="97">
        <f ca="1">TblProd[[#This Row],[Ore]]</f>
        <v>0</v>
      </c>
    </row>
    <row r="102" spans="1:65" x14ac:dyDescent="0.2">
      <c r="A102" s="145">
        <v>27</v>
      </c>
      <c r="B102" s="160">
        <f ca="1">TblImps[[#This Row],[Time]]</f>
        <v>44814.833333333096</v>
      </c>
      <c r="C102" s="161"/>
      <c r="D102" s="162"/>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638506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10000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50"/>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63">
        <f ca="1">OFFSET(TblConstr[[#This Row],[Tot Doc]],1,0)*dock_boats_hr * (1 + tech_4_1*TblTech[[#This Row],[4-1]])</f>
        <v>0</v>
      </c>
      <c r="Z102" s="162"/>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2]]/2,0),)</f>
        <v>0</v>
      </c>
      <c r="AF102" s="97">
        <f ca="1">OFFSET(TblConstr[[#This Row],[Tot DM]],1,0)*dm_gems</f>
        <v>0</v>
      </c>
      <c r="AG102" s="150"/>
      <c r="AH102" s="164">
        <f ca="1">MIN(race_platinum_bonus + IF(Magic!AD102&gt;0,midas_bonus) + TblImps[[#This Row],[Science]] - TblProd[[#This Row],[Guard]]*(0.02 + tech_5_7*TblTech[[#This Row],[5-7]]) + tech_1_5*TblTech[[#This Row],[1-5]] + tech_4_4*TblTech[[#This Row],[4-4]], 0.5)</f>
        <v>0</v>
      </c>
      <c r="AI10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64">
        <f ca="1">race_lumber_bonus+ IF(TblMagic[[#This Row],[Active Gaia''s Blessing]]&gt;0,gaias_blessing_lumber)+ tech_1_3*TblTech[[#This Row],[1-3]] + tech_1_6*TblTech[[#This Row],[1-6]] + tech_3_3*TblTech[[#This Row],[3-3]]</f>
        <v>0</v>
      </c>
      <c r="AK102" s="164">
        <f ca="1">race_mana_bonus+ 0 + TblImps[[#This Row],[Towers]] + tech_1_2*TblTech[[#This Row],[1-2]] + tech_3_4*TblTech[[#This Row],[3-4]]</f>
        <v>0</v>
      </c>
      <c r="AL102" s="164">
        <f ca="1">race_ore_bonus + IF(TblMagic[[#This Row],[Active Miner''s Sight]]&gt;0,miners_sight_bonus,IF(TblMagic[[#This Row],[Active Mining Strength]]&gt;0,mining_strength_bonus)) +  tech_1_6*TblTech[[#This Row],[1-6]]</f>
        <v>0</v>
      </c>
      <c r="AM102" s="164">
        <f>race_gem_bonus+ tech_3_2*TblTech[[#This Row],[3-2]] + tech_4_3*TblTech[[#This Row],[4-3]] + tech_6_2*TblTech[[#This Row],[6-2]]</f>
        <v>0</v>
      </c>
      <c r="AN102" s="150"/>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62"/>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Military!$CH$25*TblMili[[#This Row],[Sec. rec. Cost]]</f>
        <v>0</v>
      </c>
      <c r="AV102" s="97">
        <f ca="1">TblMagic[[#This Row],[Mana cost]] + Military!$CH$26*TblMili[[#This Row],[Sec. rec. Cost]]</f>
        <v>0</v>
      </c>
      <c r="AW102" s="97">
        <f ca="1">Military!$CH$24*TblMili[[#This Row],[Sec. rec. Cost]]+TblImps[[#This Row],[O1]]-TblProd[[#This Row],[Bank Ore]]</f>
        <v>0</v>
      </c>
      <c r="AX102" s="97">
        <f>TblImps[[#This Row],[G1]]-TblProd[[#This Row],[Bank Gems]]</f>
        <v>0</v>
      </c>
      <c r="AY102" s="150"/>
      <c r="AZ102" s="62" t="b">
        <f ca="1">IF(TblProd[[#This Row],[Set Guard]]&lt;&gt;"",TblProd[[#This Row],[Set Guard]],OFFSET(TblProd[[#This Row],[Guard]],-1,0))</f>
        <v>0</v>
      </c>
      <c r="BA102" s="161"/>
      <c r="BB102" s="45">
        <f>TblProd[[#This Row],[Hour]]</f>
        <v>27</v>
      </c>
      <c r="BC102" s="166">
        <f>-TblProd[[#This Row],[Bank Lumber]] / 2 + -TblProd[[#This Row],[Bank Gems]] * 2</f>
        <v>0</v>
      </c>
      <c r="BD102" s="166"/>
      <c r="BE102" s="166"/>
      <c r="BF102" s="166"/>
      <c r="BG102" s="167">
        <f ca="1">TblProd[[#This Row],[Time]]</f>
        <v>44814.833333333096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638506</v>
      </c>
      <c r="BJ102" s="97">
        <f ca="1">TblProd[[#This Row],[Food]]</f>
        <v>131019</v>
      </c>
      <c r="BK102" s="97">
        <f ca="1">TblProd[[#This Row],[Lumber]]</f>
        <v>68254</v>
      </c>
      <c r="BL102" s="97">
        <f ca="1">TblProd[[#This Row],[Mana]]</f>
        <v>0</v>
      </c>
      <c r="BM102" s="97">
        <f ca="1">TblProd[[#This Row],[Ore]]</f>
        <v>0</v>
      </c>
    </row>
    <row r="103" spans="1:65" x14ac:dyDescent="0.2">
      <c r="A103" s="145">
        <v>28</v>
      </c>
      <c r="B103" s="160">
        <f ca="1">TblImps[[#This Row],[Time]]</f>
        <v>44814.87499999976</v>
      </c>
      <c r="C103" s="161"/>
      <c r="D103" s="162"/>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643992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10000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50"/>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63">
        <f ca="1">OFFSET(TblConstr[[#This Row],[Tot Doc]],1,0)*dock_boats_hr * (1 + tech_4_1*TblTech[[#This Row],[4-1]])</f>
        <v>0</v>
      </c>
      <c r="Z103" s="162"/>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2]]/2,0),)</f>
        <v>0</v>
      </c>
      <c r="AF103" s="97">
        <f ca="1">OFFSET(TblConstr[[#This Row],[Tot DM]],1,0)*dm_gems</f>
        <v>0</v>
      </c>
      <c r="AG103" s="150"/>
      <c r="AH103" s="164">
        <f ca="1">MIN(race_platinum_bonus + IF(Magic!AD103&gt;0,midas_bonus) + TblImps[[#This Row],[Science]] - TblProd[[#This Row],[Guard]]*(0.02 + tech_5_7*TblTech[[#This Row],[5-7]]) + tech_1_5*TblTech[[#This Row],[1-5]] + tech_4_4*TblTech[[#This Row],[4-4]], 0.5)</f>
        <v>0</v>
      </c>
      <c r="AI10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64">
        <f ca="1">race_lumber_bonus+ IF(TblMagic[[#This Row],[Active Gaia''s Blessing]]&gt;0,gaias_blessing_lumber)+ tech_1_3*TblTech[[#This Row],[1-3]] + tech_1_6*TblTech[[#This Row],[1-6]] + tech_3_3*TblTech[[#This Row],[3-3]]</f>
        <v>0</v>
      </c>
      <c r="AK103" s="164">
        <f ca="1">race_mana_bonus+ 0 + TblImps[[#This Row],[Towers]] + tech_1_2*TblTech[[#This Row],[1-2]] + tech_3_4*TblTech[[#This Row],[3-4]]</f>
        <v>0</v>
      </c>
      <c r="AL103" s="164">
        <f ca="1">race_ore_bonus + IF(TblMagic[[#This Row],[Active Miner''s Sight]]&gt;0,miners_sight_bonus,IF(TblMagic[[#This Row],[Active Mining Strength]]&gt;0,mining_strength_bonus)) +  tech_1_6*TblTech[[#This Row],[1-6]]</f>
        <v>0</v>
      </c>
      <c r="AM103" s="164">
        <f>race_gem_bonus+ tech_3_2*TblTech[[#This Row],[3-2]] + tech_4_3*TblTech[[#This Row],[4-3]] + tech_6_2*TblTech[[#This Row],[6-2]]</f>
        <v>0</v>
      </c>
      <c r="AN103" s="150"/>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62"/>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Military!$CH$25*TblMili[[#This Row],[Sec. rec. Cost]]</f>
        <v>0</v>
      </c>
      <c r="AV103" s="97">
        <f ca="1">TblMagic[[#This Row],[Mana cost]] + Military!$CH$26*TblMili[[#This Row],[Sec. rec. Cost]]</f>
        <v>0</v>
      </c>
      <c r="AW103" s="97">
        <f ca="1">Military!$CH$24*TblMili[[#This Row],[Sec. rec. Cost]]+TblImps[[#This Row],[O1]]-TblProd[[#This Row],[Bank Ore]]</f>
        <v>0</v>
      </c>
      <c r="AX103" s="97">
        <f>TblImps[[#This Row],[G1]]-TblProd[[#This Row],[Bank Gems]]</f>
        <v>0</v>
      </c>
      <c r="AY103" s="150"/>
      <c r="AZ103" s="62" t="b">
        <f ca="1">IF(TblProd[[#This Row],[Set Guard]]&lt;&gt;"",TblProd[[#This Row],[Set Guard]],OFFSET(TblProd[[#This Row],[Guard]],-1,0))</f>
        <v>0</v>
      </c>
      <c r="BA103" s="161"/>
      <c r="BB103" s="45">
        <f>TblProd[[#This Row],[Hour]]</f>
        <v>28</v>
      </c>
      <c r="BC103" s="166">
        <f>-TblProd[[#This Row],[Bank Lumber]] / 2 + -TblProd[[#This Row],[Bank Gems]] * 2</f>
        <v>0</v>
      </c>
      <c r="BD103" s="166"/>
      <c r="BE103" s="166"/>
      <c r="BF103" s="166"/>
      <c r="BG103" s="167">
        <f ca="1">TblProd[[#This Row],[Time]]</f>
        <v>44814.87499999976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643992</v>
      </c>
      <c r="BJ103" s="97">
        <f ca="1">TblProd[[#This Row],[Food]]</f>
        <v>131699</v>
      </c>
      <c r="BK103" s="97">
        <f ca="1">TblProd[[#This Row],[Lumber]]</f>
        <v>68571</v>
      </c>
      <c r="BL103" s="97">
        <f ca="1">TblProd[[#This Row],[Mana]]</f>
        <v>0</v>
      </c>
      <c r="BM103" s="97">
        <f ca="1">TblProd[[#This Row],[Ore]]</f>
        <v>0</v>
      </c>
    </row>
    <row r="104" spans="1:65" x14ac:dyDescent="0.2">
      <c r="A104" s="145">
        <v>29</v>
      </c>
      <c r="B104" s="160">
        <f ca="1">TblImps[[#This Row],[Time]]</f>
        <v>44814.916666666424</v>
      </c>
      <c r="C104" s="161"/>
      <c r="D104" s="162"/>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649478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10000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50"/>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63">
        <f ca="1">OFFSET(TblConstr[[#This Row],[Tot Doc]],1,0)*dock_boats_hr * (1 + tech_4_1*TblTech[[#This Row],[4-1]])</f>
        <v>0</v>
      </c>
      <c r="Z104" s="162"/>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2]]/2,0),)</f>
        <v>0</v>
      </c>
      <c r="AF104" s="97">
        <f ca="1">OFFSET(TblConstr[[#This Row],[Tot DM]],1,0)*dm_gems</f>
        <v>0</v>
      </c>
      <c r="AG104" s="150"/>
      <c r="AH104" s="164">
        <f ca="1">MIN(race_platinum_bonus + IF(Magic!AD104&gt;0,midas_bonus) + TblImps[[#This Row],[Science]] - TblProd[[#This Row],[Guard]]*(0.02 + tech_5_7*TblTech[[#This Row],[5-7]]) + tech_1_5*TblTech[[#This Row],[1-5]] + tech_4_4*TblTech[[#This Row],[4-4]], 0.5)</f>
        <v>0</v>
      </c>
      <c r="AI10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64">
        <f ca="1">race_lumber_bonus+ IF(TblMagic[[#This Row],[Active Gaia''s Blessing]]&gt;0,gaias_blessing_lumber)+ tech_1_3*TblTech[[#This Row],[1-3]] + tech_1_6*TblTech[[#This Row],[1-6]] + tech_3_3*TblTech[[#This Row],[3-3]]</f>
        <v>0</v>
      </c>
      <c r="AK104" s="164">
        <f ca="1">race_mana_bonus+ 0 + TblImps[[#This Row],[Towers]] + tech_1_2*TblTech[[#This Row],[1-2]] + tech_3_4*TblTech[[#This Row],[3-4]]</f>
        <v>0</v>
      </c>
      <c r="AL104" s="164">
        <f ca="1">race_ore_bonus + IF(TblMagic[[#This Row],[Active Miner''s Sight]]&gt;0,miners_sight_bonus,IF(TblMagic[[#This Row],[Active Mining Strength]]&gt;0,mining_strength_bonus)) +  tech_1_6*TblTech[[#This Row],[1-6]]</f>
        <v>0</v>
      </c>
      <c r="AM104" s="164">
        <f>race_gem_bonus+ tech_3_2*TblTech[[#This Row],[3-2]] + tech_4_3*TblTech[[#This Row],[4-3]] + tech_6_2*TblTech[[#This Row],[6-2]]</f>
        <v>0</v>
      </c>
      <c r="AN104" s="150"/>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62"/>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Military!$CH$25*TblMili[[#This Row],[Sec. rec. Cost]]</f>
        <v>0</v>
      </c>
      <c r="AV104" s="97">
        <f ca="1">TblMagic[[#This Row],[Mana cost]] + Military!$CH$26*TblMili[[#This Row],[Sec. rec. Cost]]</f>
        <v>0</v>
      </c>
      <c r="AW104" s="97">
        <f ca="1">Military!$CH$24*TblMili[[#This Row],[Sec. rec. Cost]]+TblImps[[#This Row],[O1]]-TblProd[[#This Row],[Bank Ore]]</f>
        <v>0</v>
      </c>
      <c r="AX104" s="97">
        <f>TblImps[[#This Row],[G1]]-TblProd[[#This Row],[Bank Gems]]</f>
        <v>0</v>
      </c>
      <c r="AY104" s="150"/>
      <c r="AZ104" s="62" t="b">
        <f ca="1">IF(TblProd[[#This Row],[Set Guard]]&lt;&gt;"",TblProd[[#This Row],[Set Guard]],OFFSET(TblProd[[#This Row],[Guard]],-1,0))</f>
        <v>0</v>
      </c>
      <c r="BA104" s="161"/>
      <c r="BB104" s="45">
        <f>TblProd[[#This Row],[Hour]]</f>
        <v>29</v>
      </c>
      <c r="BC104" s="166">
        <f>-TblProd[[#This Row],[Bank Lumber]] / 2 + -TblProd[[#This Row],[Bank Gems]] * 2</f>
        <v>0</v>
      </c>
      <c r="BD104" s="166"/>
      <c r="BE104" s="166"/>
      <c r="BF104" s="166"/>
      <c r="BG104" s="167">
        <f ca="1">TblProd[[#This Row],[Time]]</f>
        <v>44814.916666666424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649478</v>
      </c>
      <c r="BJ104" s="97">
        <f ca="1">TblProd[[#This Row],[Food]]</f>
        <v>132373</v>
      </c>
      <c r="BK104" s="97">
        <f ca="1">TblProd[[#This Row],[Lumber]]</f>
        <v>68885</v>
      </c>
      <c r="BL104" s="97">
        <f ca="1">TblProd[[#This Row],[Mana]]</f>
        <v>0</v>
      </c>
      <c r="BM104" s="97">
        <f ca="1">TblProd[[#This Row],[Ore]]</f>
        <v>0</v>
      </c>
    </row>
    <row r="105" spans="1:65" x14ac:dyDescent="0.2">
      <c r="A105" s="145">
        <v>30</v>
      </c>
      <c r="B105" s="160">
        <f ca="1">TblImps[[#This Row],[Time]]</f>
        <v>44814.958333333088</v>
      </c>
      <c r="C105" s="161"/>
      <c r="D105" s="162"/>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654964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10000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50"/>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63">
        <f ca="1">OFFSET(TblConstr[[#This Row],[Tot Doc]],1,0)*dock_boats_hr * (1 + tech_4_1*TblTech[[#This Row],[4-1]])</f>
        <v>0</v>
      </c>
      <c r="Z105" s="162"/>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2]]/2,0),)</f>
        <v>0</v>
      </c>
      <c r="AF105" s="97">
        <f ca="1">OFFSET(TblConstr[[#This Row],[Tot DM]],1,0)*dm_gems</f>
        <v>0</v>
      </c>
      <c r="AG105" s="150"/>
      <c r="AH105" s="164">
        <f ca="1">MIN(race_platinum_bonus + IF(Magic!AD105&gt;0,midas_bonus) + TblImps[[#This Row],[Science]] - TblProd[[#This Row],[Guard]]*(0.02 + tech_5_7*TblTech[[#This Row],[5-7]]) + tech_1_5*TblTech[[#This Row],[1-5]] + tech_4_4*TblTech[[#This Row],[4-4]], 0.5)</f>
        <v>0</v>
      </c>
      <c r="AI10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64">
        <f ca="1">race_lumber_bonus+ IF(TblMagic[[#This Row],[Active Gaia''s Blessing]]&gt;0,gaias_blessing_lumber)+ tech_1_3*TblTech[[#This Row],[1-3]] + tech_1_6*TblTech[[#This Row],[1-6]] + tech_3_3*TblTech[[#This Row],[3-3]]</f>
        <v>0</v>
      </c>
      <c r="AK105" s="164">
        <f ca="1">race_mana_bonus+ 0 + TblImps[[#This Row],[Towers]] + tech_1_2*TblTech[[#This Row],[1-2]] + tech_3_4*TblTech[[#This Row],[3-4]]</f>
        <v>0</v>
      </c>
      <c r="AL105" s="164">
        <f ca="1">race_ore_bonus + IF(TblMagic[[#This Row],[Active Miner''s Sight]]&gt;0,miners_sight_bonus,IF(TblMagic[[#This Row],[Active Mining Strength]]&gt;0,mining_strength_bonus)) +  tech_1_6*TblTech[[#This Row],[1-6]]</f>
        <v>0</v>
      </c>
      <c r="AM105" s="164">
        <f>race_gem_bonus+ tech_3_2*TblTech[[#This Row],[3-2]] + tech_4_3*TblTech[[#This Row],[4-3]] + tech_6_2*TblTech[[#This Row],[6-2]]</f>
        <v>0</v>
      </c>
      <c r="AN105" s="150"/>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62"/>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Military!$CH$25*TblMili[[#This Row],[Sec. rec. Cost]]</f>
        <v>0</v>
      </c>
      <c r="AV105" s="97">
        <f ca="1">TblMagic[[#This Row],[Mana cost]] + Military!$CH$26*TblMili[[#This Row],[Sec. rec. Cost]]</f>
        <v>0</v>
      </c>
      <c r="AW105" s="97">
        <f ca="1">Military!$CH$24*TblMili[[#This Row],[Sec. rec. Cost]]+TblImps[[#This Row],[O1]]-TblProd[[#This Row],[Bank Ore]]</f>
        <v>0</v>
      </c>
      <c r="AX105" s="97">
        <f>TblImps[[#This Row],[G1]]-TblProd[[#This Row],[Bank Gems]]</f>
        <v>0</v>
      </c>
      <c r="AY105" s="150"/>
      <c r="AZ105" s="62" t="b">
        <f ca="1">IF(TblProd[[#This Row],[Set Guard]]&lt;&gt;"",TblProd[[#This Row],[Set Guard]],OFFSET(TblProd[[#This Row],[Guard]],-1,0))</f>
        <v>0</v>
      </c>
      <c r="BA105" s="161"/>
      <c r="BB105" s="45">
        <f>TblProd[[#This Row],[Hour]]</f>
        <v>30</v>
      </c>
      <c r="BC105" s="166">
        <f>-TblProd[[#This Row],[Bank Lumber]] / 2 + -TblProd[[#This Row],[Bank Gems]] * 2</f>
        <v>0</v>
      </c>
      <c r="BD105" s="166"/>
      <c r="BE105" s="166"/>
      <c r="BF105" s="166"/>
      <c r="BG105" s="167">
        <f ca="1">TblProd[[#This Row],[Time]]</f>
        <v>44814.958333333088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654964</v>
      </c>
      <c r="BJ105" s="97">
        <f ca="1">TblProd[[#This Row],[Food]]</f>
        <v>133040</v>
      </c>
      <c r="BK105" s="97">
        <f ca="1">TblProd[[#This Row],[Lumber]]</f>
        <v>69196</v>
      </c>
      <c r="BL105" s="97">
        <f ca="1">TblProd[[#This Row],[Mana]]</f>
        <v>0</v>
      </c>
      <c r="BM105" s="97">
        <f ca="1">TblProd[[#This Row],[Ore]]</f>
        <v>0</v>
      </c>
    </row>
    <row r="106" spans="1:65" x14ac:dyDescent="0.2">
      <c r="A106" s="145">
        <v>31</v>
      </c>
      <c r="B106" s="160">
        <f ca="1">TblImps[[#This Row],[Time]]</f>
        <v>44814.999999999753</v>
      </c>
      <c r="C106" s="161"/>
      <c r="D106" s="162"/>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660450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10000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50"/>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63">
        <f ca="1">OFFSET(TblConstr[[#This Row],[Tot Doc]],1,0)*dock_boats_hr * (1 + tech_4_1*TblTech[[#This Row],[4-1]])</f>
        <v>0</v>
      </c>
      <c r="Z106" s="162"/>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2]]/2,0),)</f>
        <v>0</v>
      </c>
      <c r="AF106" s="97">
        <f ca="1">OFFSET(TblConstr[[#This Row],[Tot DM]],1,0)*dm_gems</f>
        <v>0</v>
      </c>
      <c r="AG106" s="150"/>
      <c r="AH106" s="164">
        <f ca="1">MIN(race_platinum_bonus + IF(Magic!AD106&gt;0,midas_bonus) + TblImps[[#This Row],[Science]] - TblProd[[#This Row],[Guard]]*(0.02 + tech_5_7*TblTech[[#This Row],[5-7]]) + tech_1_5*TblTech[[#This Row],[1-5]] + tech_4_4*TblTech[[#This Row],[4-4]], 0.5)</f>
        <v>0</v>
      </c>
      <c r="AI10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64">
        <f ca="1">race_lumber_bonus+ IF(TblMagic[[#This Row],[Active Gaia''s Blessing]]&gt;0,gaias_blessing_lumber)+ tech_1_3*TblTech[[#This Row],[1-3]] + tech_1_6*TblTech[[#This Row],[1-6]] + tech_3_3*TblTech[[#This Row],[3-3]]</f>
        <v>0</v>
      </c>
      <c r="AK106" s="164">
        <f ca="1">race_mana_bonus+ 0 + TblImps[[#This Row],[Towers]] + tech_1_2*TblTech[[#This Row],[1-2]] + tech_3_4*TblTech[[#This Row],[3-4]]</f>
        <v>0</v>
      </c>
      <c r="AL106" s="164">
        <f ca="1">race_ore_bonus + IF(TblMagic[[#This Row],[Active Miner''s Sight]]&gt;0,miners_sight_bonus,IF(TblMagic[[#This Row],[Active Mining Strength]]&gt;0,mining_strength_bonus)) +  tech_1_6*TblTech[[#This Row],[1-6]]</f>
        <v>0</v>
      </c>
      <c r="AM106" s="164">
        <f>race_gem_bonus+ tech_3_2*TblTech[[#This Row],[3-2]] + tech_4_3*TblTech[[#This Row],[4-3]] + tech_6_2*TblTech[[#This Row],[6-2]]</f>
        <v>0</v>
      </c>
      <c r="AN106" s="150"/>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62"/>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Military!$CH$25*TblMili[[#This Row],[Sec. rec. Cost]]</f>
        <v>0</v>
      </c>
      <c r="AV106" s="97">
        <f ca="1">TblMagic[[#This Row],[Mana cost]] + Military!$CH$26*TblMili[[#This Row],[Sec. rec. Cost]]</f>
        <v>0</v>
      </c>
      <c r="AW106" s="97">
        <f ca="1">Military!$CH$24*TblMili[[#This Row],[Sec. rec. Cost]]+TblImps[[#This Row],[O1]]-TblProd[[#This Row],[Bank Ore]]</f>
        <v>0</v>
      </c>
      <c r="AX106" s="97">
        <f>TblImps[[#This Row],[G1]]-TblProd[[#This Row],[Bank Gems]]</f>
        <v>0</v>
      </c>
      <c r="AY106" s="150"/>
      <c r="AZ106" s="62" t="b">
        <f ca="1">IF(TblProd[[#This Row],[Set Guard]]&lt;&gt;"",TblProd[[#This Row],[Set Guard]],OFFSET(TblProd[[#This Row],[Guard]],-1,0))</f>
        <v>0</v>
      </c>
      <c r="BA106" s="161"/>
      <c r="BB106" s="45">
        <f>TblProd[[#This Row],[Hour]]</f>
        <v>31</v>
      </c>
      <c r="BC106" s="166">
        <f>-TblProd[[#This Row],[Bank Lumber]] / 2 + -TblProd[[#This Row],[Bank Gems]] * 2</f>
        <v>0</v>
      </c>
      <c r="BD106" s="166"/>
      <c r="BE106" s="166"/>
      <c r="BF106" s="166"/>
      <c r="BG106" s="167">
        <f ca="1">TblProd[[#This Row],[Time]]</f>
        <v>44814.999999999753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660450</v>
      </c>
      <c r="BJ106" s="97">
        <f ca="1">TblProd[[#This Row],[Food]]</f>
        <v>133700</v>
      </c>
      <c r="BK106" s="97">
        <f ca="1">TblProd[[#This Row],[Lumber]]</f>
        <v>69504</v>
      </c>
      <c r="BL106" s="97">
        <f ca="1">TblProd[[#This Row],[Mana]]</f>
        <v>0</v>
      </c>
      <c r="BM106" s="97">
        <f ca="1">TblProd[[#This Row],[Ore]]</f>
        <v>0</v>
      </c>
    </row>
    <row r="107" spans="1:65" x14ac:dyDescent="0.2">
      <c r="A107" s="145">
        <v>32</v>
      </c>
      <c r="B107" s="160">
        <f ca="1">TblImps[[#This Row],[Time]]</f>
        <v>44815.041666666417</v>
      </c>
      <c r="C107" s="161"/>
      <c r="D107" s="162"/>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665936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10000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50"/>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63">
        <f ca="1">OFFSET(TblConstr[[#This Row],[Tot Doc]],1,0)*dock_boats_hr * (1 + tech_4_1*TblTech[[#This Row],[4-1]])</f>
        <v>0</v>
      </c>
      <c r="Z107" s="162"/>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2]]/2,0),)</f>
        <v>0</v>
      </c>
      <c r="AF107" s="97">
        <f ca="1">OFFSET(TblConstr[[#This Row],[Tot DM]],1,0)*dm_gems</f>
        <v>0</v>
      </c>
      <c r="AG107" s="150"/>
      <c r="AH107" s="164">
        <f ca="1">MIN(race_platinum_bonus + IF(Magic!AD107&gt;0,midas_bonus) + TblImps[[#This Row],[Science]] - TblProd[[#This Row],[Guard]]*(0.02 + tech_5_7*TblTech[[#This Row],[5-7]]) + tech_1_5*TblTech[[#This Row],[1-5]] + tech_4_4*TblTech[[#This Row],[4-4]], 0.5)</f>
        <v>0</v>
      </c>
      <c r="AI10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64">
        <f ca="1">race_lumber_bonus+ IF(TblMagic[[#This Row],[Active Gaia''s Blessing]]&gt;0,gaias_blessing_lumber)+ tech_1_3*TblTech[[#This Row],[1-3]] + tech_1_6*TblTech[[#This Row],[1-6]] + tech_3_3*TblTech[[#This Row],[3-3]]</f>
        <v>0</v>
      </c>
      <c r="AK107" s="164">
        <f ca="1">race_mana_bonus+ 0 + TblImps[[#This Row],[Towers]] + tech_1_2*TblTech[[#This Row],[1-2]] + tech_3_4*TblTech[[#This Row],[3-4]]</f>
        <v>0</v>
      </c>
      <c r="AL107" s="164">
        <f ca="1">race_ore_bonus + IF(TblMagic[[#This Row],[Active Miner''s Sight]]&gt;0,miners_sight_bonus,IF(TblMagic[[#This Row],[Active Mining Strength]]&gt;0,mining_strength_bonus)) +  tech_1_6*TblTech[[#This Row],[1-6]]</f>
        <v>0</v>
      </c>
      <c r="AM107" s="164">
        <f>race_gem_bonus+ tech_3_2*TblTech[[#This Row],[3-2]] + tech_4_3*TblTech[[#This Row],[4-3]] + tech_6_2*TblTech[[#This Row],[6-2]]</f>
        <v>0</v>
      </c>
      <c r="AN107" s="150"/>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62"/>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Military!$CH$25*TblMili[[#This Row],[Sec. rec. Cost]]</f>
        <v>0</v>
      </c>
      <c r="AV107" s="97">
        <f ca="1">TblMagic[[#This Row],[Mana cost]] + Military!$CH$26*TblMili[[#This Row],[Sec. rec. Cost]]</f>
        <v>0</v>
      </c>
      <c r="AW107" s="97">
        <f ca="1">Military!$CH$24*TblMili[[#This Row],[Sec. rec. Cost]]+TblImps[[#This Row],[O1]]-TblProd[[#This Row],[Bank Ore]]</f>
        <v>0</v>
      </c>
      <c r="AX107" s="97">
        <f>TblImps[[#This Row],[G1]]-TblProd[[#This Row],[Bank Gems]]</f>
        <v>0</v>
      </c>
      <c r="AY107" s="150"/>
      <c r="AZ107" s="62" t="b">
        <f ca="1">IF(TblProd[[#This Row],[Set Guard]]&lt;&gt;"",TblProd[[#This Row],[Set Guard]],OFFSET(TblProd[[#This Row],[Guard]],-1,0))</f>
        <v>0</v>
      </c>
      <c r="BA107" s="161"/>
      <c r="BB107" s="45">
        <f>TblProd[[#This Row],[Hour]]</f>
        <v>32</v>
      </c>
      <c r="BC107" s="166">
        <f>-TblProd[[#This Row],[Bank Lumber]] / 2 + -TblProd[[#This Row],[Bank Gems]] * 2</f>
        <v>0</v>
      </c>
      <c r="BD107" s="166"/>
      <c r="BE107" s="166"/>
      <c r="BF107" s="166"/>
      <c r="BG107" s="167">
        <f ca="1">TblProd[[#This Row],[Time]]</f>
        <v>44815.041666666417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665936</v>
      </c>
      <c r="BJ107" s="97">
        <f ca="1">TblProd[[#This Row],[Food]]</f>
        <v>134354</v>
      </c>
      <c r="BK107" s="97">
        <f ca="1">TblProd[[#This Row],[Lumber]]</f>
        <v>69809</v>
      </c>
      <c r="BL107" s="97">
        <f ca="1">TblProd[[#This Row],[Mana]]</f>
        <v>0</v>
      </c>
      <c r="BM107" s="97">
        <f ca="1">TblProd[[#This Row],[Ore]]</f>
        <v>0</v>
      </c>
    </row>
    <row r="108" spans="1:65" x14ac:dyDescent="0.2">
      <c r="A108" s="145">
        <v>33</v>
      </c>
      <c r="B108" s="160">
        <f ca="1">TblImps[[#This Row],[Time]]</f>
        <v>44815.083333333081</v>
      </c>
      <c r="C108" s="161"/>
      <c r="D108" s="162"/>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671422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10000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50"/>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63">
        <f ca="1">OFFSET(TblConstr[[#This Row],[Tot Doc]],1,0)*dock_boats_hr * (1 + tech_4_1*TblTech[[#This Row],[4-1]])</f>
        <v>0</v>
      </c>
      <c r="Z108" s="162"/>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2]]/2,0),)</f>
        <v>0</v>
      </c>
      <c r="AF108" s="97">
        <f ca="1">OFFSET(TblConstr[[#This Row],[Tot DM]],1,0)*dm_gems</f>
        <v>0</v>
      </c>
      <c r="AG108" s="150"/>
      <c r="AH108" s="164">
        <f ca="1">MIN(race_platinum_bonus + IF(Magic!AD108&gt;0,midas_bonus) + TblImps[[#This Row],[Science]] - TblProd[[#This Row],[Guard]]*(0.02 + tech_5_7*TblTech[[#This Row],[5-7]]) + tech_1_5*TblTech[[#This Row],[1-5]] + tech_4_4*TblTech[[#This Row],[4-4]], 0.5)</f>
        <v>0</v>
      </c>
      <c r="AI10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64">
        <f ca="1">race_lumber_bonus+ IF(TblMagic[[#This Row],[Active Gaia''s Blessing]]&gt;0,gaias_blessing_lumber)+ tech_1_3*TblTech[[#This Row],[1-3]] + tech_1_6*TblTech[[#This Row],[1-6]] + tech_3_3*TblTech[[#This Row],[3-3]]</f>
        <v>0</v>
      </c>
      <c r="AK108" s="164">
        <f ca="1">race_mana_bonus+ 0 + TblImps[[#This Row],[Towers]] + tech_1_2*TblTech[[#This Row],[1-2]] + tech_3_4*TblTech[[#This Row],[3-4]]</f>
        <v>0</v>
      </c>
      <c r="AL108" s="164">
        <f ca="1">race_ore_bonus + IF(TblMagic[[#This Row],[Active Miner''s Sight]]&gt;0,miners_sight_bonus,IF(TblMagic[[#This Row],[Active Mining Strength]]&gt;0,mining_strength_bonus)) +  tech_1_6*TblTech[[#This Row],[1-6]]</f>
        <v>0</v>
      </c>
      <c r="AM108" s="164">
        <f>race_gem_bonus+ tech_3_2*TblTech[[#This Row],[3-2]] + tech_4_3*TblTech[[#This Row],[4-3]] + tech_6_2*TblTech[[#This Row],[6-2]]</f>
        <v>0</v>
      </c>
      <c r="AN108" s="150"/>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62"/>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Military!$CH$25*TblMili[[#This Row],[Sec. rec. Cost]]</f>
        <v>0</v>
      </c>
      <c r="AV108" s="97">
        <f ca="1">TblMagic[[#This Row],[Mana cost]] + Military!$CH$26*TblMili[[#This Row],[Sec. rec. Cost]]</f>
        <v>0</v>
      </c>
      <c r="AW108" s="97">
        <f ca="1">Military!$CH$24*TblMili[[#This Row],[Sec. rec. Cost]]+TblImps[[#This Row],[O1]]-TblProd[[#This Row],[Bank Ore]]</f>
        <v>0</v>
      </c>
      <c r="AX108" s="97">
        <f>TblImps[[#This Row],[G1]]-TblProd[[#This Row],[Bank Gems]]</f>
        <v>0</v>
      </c>
      <c r="AY108" s="150"/>
      <c r="AZ108" s="62" t="b">
        <f ca="1">IF(TblProd[[#This Row],[Set Guard]]&lt;&gt;"",TblProd[[#This Row],[Set Guard]],OFFSET(TblProd[[#This Row],[Guard]],-1,0))</f>
        <v>0</v>
      </c>
      <c r="BA108" s="161"/>
      <c r="BB108" s="45">
        <f>TblProd[[#This Row],[Hour]]</f>
        <v>33</v>
      </c>
      <c r="BC108" s="166">
        <f>-TblProd[[#This Row],[Bank Lumber]] / 2 + -TblProd[[#This Row],[Bank Gems]] * 2</f>
        <v>0</v>
      </c>
      <c r="BD108" s="166"/>
      <c r="BE108" s="166"/>
      <c r="BF108" s="166"/>
      <c r="BG108" s="167">
        <f ca="1">TblProd[[#This Row],[Time]]</f>
        <v>44815.083333333081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671422</v>
      </c>
      <c r="BJ108" s="97">
        <f ca="1">TblProd[[#This Row],[Food]]</f>
        <v>135001</v>
      </c>
      <c r="BK108" s="97">
        <f ca="1">TblProd[[#This Row],[Lumber]]</f>
        <v>70111</v>
      </c>
      <c r="BL108" s="97">
        <f ca="1">TblProd[[#This Row],[Mana]]</f>
        <v>0</v>
      </c>
      <c r="BM108" s="97">
        <f ca="1">TblProd[[#This Row],[Ore]]</f>
        <v>0</v>
      </c>
    </row>
    <row r="109" spans="1:65" x14ac:dyDescent="0.2">
      <c r="A109" s="145">
        <v>34</v>
      </c>
      <c r="B109" s="160">
        <f ca="1">TblImps[[#This Row],[Time]]</f>
        <v>44815.124999999745</v>
      </c>
      <c r="C109" s="161"/>
      <c r="D109" s="162"/>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676908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10000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50"/>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63">
        <f ca="1">OFFSET(TblConstr[[#This Row],[Tot Doc]],1,0)*dock_boats_hr * (1 + tech_4_1*TblTech[[#This Row],[4-1]])</f>
        <v>0</v>
      </c>
      <c r="Z109" s="162"/>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2]]/2,0),)</f>
        <v>0</v>
      </c>
      <c r="AF109" s="97">
        <f ca="1">OFFSET(TblConstr[[#This Row],[Tot DM]],1,0)*dm_gems</f>
        <v>0</v>
      </c>
      <c r="AG109" s="150"/>
      <c r="AH109" s="164">
        <f ca="1">MIN(race_platinum_bonus + IF(Magic!AD109&gt;0,midas_bonus) + TblImps[[#This Row],[Science]] - TblProd[[#This Row],[Guard]]*(0.02 + tech_5_7*TblTech[[#This Row],[5-7]]) + tech_1_5*TblTech[[#This Row],[1-5]] + tech_4_4*TblTech[[#This Row],[4-4]], 0.5)</f>
        <v>0</v>
      </c>
      <c r="AI10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64">
        <f ca="1">race_lumber_bonus+ IF(TblMagic[[#This Row],[Active Gaia''s Blessing]]&gt;0,gaias_blessing_lumber)+ tech_1_3*TblTech[[#This Row],[1-3]] + tech_1_6*TblTech[[#This Row],[1-6]] + tech_3_3*TblTech[[#This Row],[3-3]]</f>
        <v>0</v>
      </c>
      <c r="AK109" s="164">
        <f ca="1">race_mana_bonus+ 0 + TblImps[[#This Row],[Towers]] + tech_1_2*TblTech[[#This Row],[1-2]] + tech_3_4*TblTech[[#This Row],[3-4]]</f>
        <v>0</v>
      </c>
      <c r="AL109" s="164">
        <f ca="1">race_ore_bonus + IF(TblMagic[[#This Row],[Active Miner''s Sight]]&gt;0,miners_sight_bonus,IF(TblMagic[[#This Row],[Active Mining Strength]]&gt;0,mining_strength_bonus)) +  tech_1_6*TblTech[[#This Row],[1-6]]</f>
        <v>0</v>
      </c>
      <c r="AM109" s="164">
        <f>race_gem_bonus+ tech_3_2*TblTech[[#This Row],[3-2]] + tech_4_3*TblTech[[#This Row],[4-3]] + tech_6_2*TblTech[[#This Row],[6-2]]</f>
        <v>0</v>
      </c>
      <c r="AN109" s="150"/>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62"/>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Military!$CH$25*TblMili[[#This Row],[Sec. rec. Cost]]</f>
        <v>0</v>
      </c>
      <c r="AV109" s="97">
        <f ca="1">TblMagic[[#This Row],[Mana cost]] + Military!$CH$26*TblMili[[#This Row],[Sec. rec. Cost]]</f>
        <v>0</v>
      </c>
      <c r="AW109" s="97">
        <f ca="1">Military!$CH$24*TblMili[[#This Row],[Sec. rec. Cost]]+TblImps[[#This Row],[O1]]-TblProd[[#This Row],[Bank Ore]]</f>
        <v>0</v>
      </c>
      <c r="AX109" s="97">
        <f>TblImps[[#This Row],[G1]]-TblProd[[#This Row],[Bank Gems]]</f>
        <v>0</v>
      </c>
      <c r="AY109" s="150"/>
      <c r="AZ109" s="62" t="b">
        <f ca="1">IF(TblProd[[#This Row],[Set Guard]]&lt;&gt;"",TblProd[[#This Row],[Set Guard]],OFFSET(TblProd[[#This Row],[Guard]],-1,0))</f>
        <v>0</v>
      </c>
      <c r="BA109" s="161"/>
      <c r="BB109" s="45">
        <f>TblProd[[#This Row],[Hour]]</f>
        <v>34</v>
      </c>
      <c r="BC109" s="166">
        <f>-TblProd[[#This Row],[Bank Lumber]] / 2 + -TblProd[[#This Row],[Bank Gems]] * 2</f>
        <v>0</v>
      </c>
      <c r="BD109" s="166"/>
      <c r="BE109" s="166"/>
      <c r="BF109" s="166"/>
      <c r="BG109" s="167">
        <f ca="1">TblProd[[#This Row],[Time]]</f>
        <v>44815.124999999745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676908</v>
      </c>
      <c r="BJ109" s="97">
        <f ca="1">TblProd[[#This Row],[Food]]</f>
        <v>135641</v>
      </c>
      <c r="BK109" s="97">
        <f ca="1">TblProd[[#This Row],[Lumber]]</f>
        <v>70410</v>
      </c>
      <c r="BL109" s="97">
        <f ca="1">TblProd[[#This Row],[Mana]]</f>
        <v>0</v>
      </c>
      <c r="BM109" s="97">
        <f ca="1">TblProd[[#This Row],[Ore]]</f>
        <v>0</v>
      </c>
    </row>
    <row r="110" spans="1:65" x14ac:dyDescent="0.2">
      <c r="A110" s="145">
        <v>35</v>
      </c>
      <c r="B110" s="160">
        <f ca="1">TblImps[[#This Row],[Time]]</f>
        <v>44815.16666666641</v>
      </c>
      <c r="C110" s="161"/>
      <c r="D110" s="162"/>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682394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10000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50"/>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63">
        <f ca="1">OFFSET(TblConstr[[#This Row],[Tot Doc]],1,0)*dock_boats_hr * (1 + tech_4_1*TblTech[[#This Row],[4-1]])</f>
        <v>0</v>
      </c>
      <c r="Z110" s="162"/>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2]]/2,0),)</f>
        <v>0</v>
      </c>
      <c r="AF110" s="97">
        <f ca="1">OFFSET(TblConstr[[#This Row],[Tot DM]],1,0)*dm_gems</f>
        <v>0</v>
      </c>
      <c r="AG110" s="150"/>
      <c r="AH110" s="164">
        <f ca="1">MIN(race_platinum_bonus + IF(Magic!AD110&gt;0,midas_bonus) + TblImps[[#This Row],[Science]] - TblProd[[#This Row],[Guard]]*(0.02 + tech_5_7*TblTech[[#This Row],[5-7]]) + tech_1_5*TblTech[[#This Row],[1-5]] + tech_4_4*TblTech[[#This Row],[4-4]], 0.5)</f>
        <v>0</v>
      </c>
      <c r="AI11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64">
        <f ca="1">race_lumber_bonus+ IF(TblMagic[[#This Row],[Active Gaia''s Blessing]]&gt;0,gaias_blessing_lumber)+ tech_1_3*TblTech[[#This Row],[1-3]] + tech_1_6*TblTech[[#This Row],[1-6]] + tech_3_3*TblTech[[#This Row],[3-3]]</f>
        <v>0</v>
      </c>
      <c r="AK110" s="164">
        <f ca="1">race_mana_bonus+ 0 + TblImps[[#This Row],[Towers]] + tech_1_2*TblTech[[#This Row],[1-2]] + tech_3_4*TblTech[[#This Row],[3-4]]</f>
        <v>0</v>
      </c>
      <c r="AL110" s="164">
        <f ca="1">race_ore_bonus + IF(TblMagic[[#This Row],[Active Miner''s Sight]]&gt;0,miners_sight_bonus,IF(TblMagic[[#This Row],[Active Mining Strength]]&gt;0,mining_strength_bonus)) +  tech_1_6*TblTech[[#This Row],[1-6]]</f>
        <v>0</v>
      </c>
      <c r="AM110" s="164">
        <f>race_gem_bonus+ tech_3_2*TblTech[[#This Row],[3-2]] + tech_4_3*TblTech[[#This Row],[4-3]] + tech_6_2*TblTech[[#This Row],[6-2]]</f>
        <v>0</v>
      </c>
      <c r="AN110" s="150"/>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62"/>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Military!$CH$25*TblMili[[#This Row],[Sec. rec. Cost]]</f>
        <v>0</v>
      </c>
      <c r="AV110" s="97">
        <f ca="1">TblMagic[[#This Row],[Mana cost]] + Military!$CH$26*TblMili[[#This Row],[Sec. rec. Cost]]</f>
        <v>0</v>
      </c>
      <c r="AW110" s="97">
        <f ca="1">Military!$CH$24*TblMili[[#This Row],[Sec. rec. Cost]]+TblImps[[#This Row],[O1]]-TblProd[[#This Row],[Bank Ore]]</f>
        <v>0</v>
      </c>
      <c r="AX110" s="97">
        <f>TblImps[[#This Row],[G1]]-TblProd[[#This Row],[Bank Gems]]</f>
        <v>0</v>
      </c>
      <c r="AY110" s="150"/>
      <c r="AZ110" s="62" t="b">
        <f ca="1">IF(TblProd[[#This Row],[Set Guard]]&lt;&gt;"",TblProd[[#This Row],[Set Guard]],OFFSET(TblProd[[#This Row],[Guard]],-1,0))</f>
        <v>0</v>
      </c>
      <c r="BA110" s="161"/>
      <c r="BB110" s="45">
        <f>TblProd[[#This Row],[Hour]]</f>
        <v>35</v>
      </c>
      <c r="BC110" s="166">
        <f>-TblProd[[#This Row],[Bank Lumber]] / 2 + -TblProd[[#This Row],[Bank Gems]] * 2</f>
        <v>0</v>
      </c>
      <c r="BD110" s="166"/>
      <c r="BE110" s="166"/>
      <c r="BF110" s="166"/>
      <c r="BG110" s="167">
        <f ca="1">TblProd[[#This Row],[Time]]</f>
        <v>44815.16666666641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682394</v>
      </c>
      <c r="BJ110" s="97">
        <f ca="1">TblProd[[#This Row],[Food]]</f>
        <v>136275</v>
      </c>
      <c r="BK110" s="97">
        <f ca="1">TblProd[[#This Row],[Lumber]]</f>
        <v>70706</v>
      </c>
      <c r="BL110" s="97">
        <f ca="1">TblProd[[#This Row],[Mana]]</f>
        <v>0</v>
      </c>
      <c r="BM110" s="97">
        <f ca="1">TblProd[[#This Row],[Ore]]</f>
        <v>0</v>
      </c>
    </row>
    <row r="111" spans="1:65" x14ac:dyDescent="0.2">
      <c r="A111" s="145">
        <v>36</v>
      </c>
      <c r="B111" s="160">
        <f ca="1">TblImps[[#This Row],[Time]]</f>
        <v>44815.208333333074</v>
      </c>
      <c r="C111" s="161"/>
      <c r="D111" s="162"/>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687880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10000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50"/>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63">
        <f ca="1">OFFSET(TblConstr[[#This Row],[Tot Doc]],1,0)*dock_boats_hr * (1 + tech_4_1*TblTech[[#This Row],[4-1]])</f>
        <v>0</v>
      </c>
      <c r="Z111" s="162"/>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2]]/2,0),)</f>
        <v>0</v>
      </c>
      <c r="AF111" s="97">
        <f ca="1">OFFSET(TblConstr[[#This Row],[Tot DM]],1,0)*dm_gems</f>
        <v>0</v>
      </c>
      <c r="AG111" s="150"/>
      <c r="AH111" s="164">
        <f ca="1">MIN(race_platinum_bonus + IF(Magic!AD111&gt;0,midas_bonus) + TblImps[[#This Row],[Science]] - TblProd[[#This Row],[Guard]]*(0.02 + tech_5_7*TblTech[[#This Row],[5-7]]) + tech_1_5*TblTech[[#This Row],[1-5]] + tech_4_4*TblTech[[#This Row],[4-4]], 0.5)</f>
        <v>0</v>
      </c>
      <c r="AI11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64">
        <f ca="1">race_lumber_bonus+ IF(TblMagic[[#This Row],[Active Gaia''s Blessing]]&gt;0,gaias_blessing_lumber)+ tech_1_3*TblTech[[#This Row],[1-3]] + tech_1_6*TblTech[[#This Row],[1-6]] + tech_3_3*TblTech[[#This Row],[3-3]]</f>
        <v>0</v>
      </c>
      <c r="AK111" s="164">
        <f ca="1">race_mana_bonus+ 0 + TblImps[[#This Row],[Towers]] + tech_1_2*TblTech[[#This Row],[1-2]] + tech_3_4*TblTech[[#This Row],[3-4]]</f>
        <v>0</v>
      </c>
      <c r="AL111" s="164">
        <f ca="1">race_ore_bonus + IF(TblMagic[[#This Row],[Active Miner''s Sight]]&gt;0,miners_sight_bonus,IF(TblMagic[[#This Row],[Active Mining Strength]]&gt;0,mining_strength_bonus)) +  tech_1_6*TblTech[[#This Row],[1-6]]</f>
        <v>0</v>
      </c>
      <c r="AM111" s="164">
        <f>race_gem_bonus+ tech_3_2*TblTech[[#This Row],[3-2]] + tech_4_3*TblTech[[#This Row],[4-3]] + tech_6_2*TblTech[[#This Row],[6-2]]</f>
        <v>0</v>
      </c>
      <c r="AN111" s="150"/>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62"/>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Military!$CH$25*TblMili[[#This Row],[Sec. rec. Cost]]</f>
        <v>0</v>
      </c>
      <c r="AV111" s="97">
        <f ca="1">TblMagic[[#This Row],[Mana cost]] + Military!$CH$26*TblMili[[#This Row],[Sec. rec. Cost]]</f>
        <v>0</v>
      </c>
      <c r="AW111" s="97">
        <f ca="1">Military!$CH$24*TblMili[[#This Row],[Sec. rec. Cost]]+TblImps[[#This Row],[O1]]-TblProd[[#This Row],[Bank Ore]]</f>
        <v>0</v>
      </c>
      <c r="AX111" s="97">
        <f>TblImps[[#This Row],[G1]]-TblProd[[#This Row],[Bank Gems]]</f>
        <v>0</v>
      </c>
      <c r="AY111" s="150"/>
      <c r="AZ111" s="62" t="b">
        <f ca="1">IF(TblProd[[#This Row],[Set Guard]]&lt;&gt;"",TblProd[[#This Row],[Set Guard]],OFFSET(TblProd[[#This Row],[Guard]],-1,0))</f>
        <v>0</v>
      </c>
      <c r="BA111" s="161"/>
      <c r="BB111" s="45">
        <f>TblProd[[#This Row],[Hour]]</f>
        <v>36</v>
      </c>
      <c r="BC111" s="166">
        <f>-TblProd[[#This Row],[Bank Lumber]] / 2 + -TblProd[[#This Row],[Bank Gems]] * 2</f>
        <v>0</v>
      </c>
      <c r="BD111" s="166"/>
      <c r="BE111" s="166"/>
      <c r="BF111" s="166"/>
      <c r="BG111" s="167">
        <f ca="1">TblProd[[#This Row],[Time]]</f>
        <v>44815.208333333074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687880</v>
      </c>
      <c r="BJ111" s="97">
        <f ca="1">TblProd[[#This Row],[Food]]</f>
        <v>136903</v>
      </c>
      <c r="BK111" s="97">
        <f ca="1">TblProd[[#This Row],[Lumber]]</f>
        <v>70999</v>
      </c>
      <c r="BL111" s="97">
        <f ca="1">TblProd[[#This Row],[Mana]]</f>
        <v>0</v>
      </c>
      <c r="BM111" s="97">
        <f ca="1">TblProd[[#This Row],[Ore]]</f>
        <v>0</v>
      </c>
    </row>
    <row r="112" spans="1:65" x14ac:dyDescent="0.2">
      <c r="A112" s="145">
        <v>37</v>
      </c>
      <c r="B112" s="160">
        <f ca="1">TblImps[[#This Row],[Time]]</f>
        <v>44815.249999999738</v>
      </c>
      <c r="C112" s="161"/>
      <c r="D112" s="162"/>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693366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10000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50"/>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63">
        <f ca="1">OFFSET(TblConstr[[#This Row],[Tot Doc]],1,0)*dock_boats_hr * (1 + tech_4_1*TblTech[[#This Row],[4-1]])</f>
        <v>0</v>
      </c>
      <c r="Z112" s="162"/>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2]]/2,0),)</f>
        <v>0</v>
      </c>
      <c r="AF112" s="97">
        <f ca="1">OFFSET(TblConstr[[#This Row],[Tot DM]],1,0)*dm_gems</f>
        <v>0</v>
      </c>
      <c r="AG112" s="150"/>
      <c r="AH112" s="164">
        <f ca="1">MIN(race_platinum_bonus + IF(Magic!AD112&gt;0,midas_bonus) + TblImps[[#This Row],[Science]] - TblProd[[#This Row],[Guard]]*(0.02 + tech_5_7*TblTech[[#This Row],[5-7]]) + tech_1_5*TblTech[[#This Row],[1-5]] + tech_4_4*TblTech[[#This Row],[4-4]], 0.5)</f>
        <v>0</v>
      </c>
      <c r="AI11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64">
        <f ca="1">race_lumber_bonus+ IF(TblMagic[[#This Row],[Active Gaia''s Blessing]]&gt;0,gaias_blessing_lumber)+ tech_1_3*TblTech[[#This Row],[1-3]] + tech_1_6*TblTech[[#This Row],[1-6]] + tech_3_3*TblTech[[#This Row],[3-3]]</f>
        <v>0</v>
      </c>
      <c r="AK112" s="164">
        <f ca="1">race_mana_bonus+ 0 + TblImps[[#This Row],[Towers]] + tech_1_2*TblTech[[#This Row],[1-2]] + tech_3_4*TblTech[[#This Row],[3-4]]</f>
        <v>0</v>
      </c>
      <c r="AL112" s="164">
        <f ca="1">race_ore_bonus + IF(TblMagic[[#This Row],[Active Miner''s Sight]]&gt;0,miners_sight_bonus,IF(TblMagic[[#This Row],[Active Mining Strength]]&gt;0,mining_strength_bonus)) +  tech_1_6*TblTech[[#This Row],[1-6]]</f>
        <v>0</v>
      </c>
      <c r="AM112" s="164">
        <f>race_gem_bonus+ tech_3_2*TblTech[[#This Row],[3-2]] + tech_4_3*TblTech[[#This Row],[4-3]] + tech_6_2*TblTech[[#This Row],[6-2]]</f>
        <v>0</v>
      </c>
      <c r="AN112" s="150"/>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62"/>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Military!$CH$25*TblMili[[#This Row],[Sec. rec. Cost]]</f>
        <v>0</v>
      </c>
      <c r="AV112" s="97">
        <f ca="1">TblMagic[[#This Row],[Mana cost]] + Military!$CH$26*TblMili[[#This Row],[Sec. rec. Cost]]</f>
        <v>0</v>
      </c>
      <c r="AW112" s="97">
        <f ca="1">Military!$CH$24*TblMili[[#This Row],[Sec. rec. Cost]]+TblImps[[#This Row],[O1]]-TblProd[[#This Row],[Bank Ore]]</f>
        <v>0</v>
      </c>
      <c r="AX112" s="97">
        <f>TblImps[[#This Row],[G1]]-TblProd[[#This Row],[Bank Gems]]</f>
        <v>0</v>
      </c>
      <c r="AY112" s="150"/>
      <c r="AZ112" s="62" t="b">
        <f ca="1">IF(TblProd[[#This Row],[Set Guard]]&lt;&gt;"",TblProd[[#This Row],[Set Guard]],OFFSET(TblProd[[#This Row],[Guard]],-1,0))</f>
        <v>0</v>
      </c>
      <c r="BA112" s="161"/>
      <c r="BB112" s="45">
        <f>TblProd[[#This Row],[Hour]]</f>
        <v>37</v>
      </c>
      <c r="BC112" s="166">
        <f>-TblProd[[#This Row],[Bank Lumber]] / 2 + -TblProd[[#This Row],[Bank Gems]] * 2</f>
        <v>0</v>
      </c>
      <c r="BD112" s="166"/>
      <c r="BE112" s="166"/>
      <c r="BF112" s="166"/>
      <c r="BG112" s="167">
        <f ca="1">TblProd[[#This Row],[Time]]</f>
        <v>44815.249999999738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693366</v>
      </c>
      <c r="BJ112" s="97">
        <f ca="1">TblProd[[#This Row],[Food]]</f>
        <v>137524</v>
      </c>
      <c r="BK112" s="97">
        <f ca="1">TblProd[[#This Row],[Lumber]]</f>
        <v>71289</v>
      </c>
      <c r="BL112" s="97">
        <f ca="1">TblProd[[#This Row],[Mana]]</f>
        <v>0</v>
      </c>
      <c r="BM112" s="97">
        <f ca="1">TblProd[[#This Row],[Ore]]</f>
        <v>0</v>
      </c>
    </row>
    <row r="113" spans="1:65" x14ac:dyDescent="0.2">
      <c r="A113" s="145">
        <v>38</v>
      </c>
      <c r="B113" s="160">
        <f ca="1">TblImps[[#This Row],[Time]]</f>
        <v>44815.291666666402</v>
      </c>
      <c r="C113" s="161"/>
      <c r="D113" s="162"/>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698852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10000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50"/>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63">
        <f ca="1">OFFSET(TblConstr[[#This Row],[Tot Doc]],1,0)*dock_boats_hr * (1 + tech_4_1*TblTech[[#This Row],[4-1]])</f>
        <v>0</v>
      </c>
      <c r="Z113" s="162"/>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2]]/2,0),)</f>
        <v>0</v>
      </c>
      <c r="AF113" s="97">
        <f ca="1">OFFSET(TblConstr[[#This Row],[Tot DM]],1,0)*dm_gems</f>
        <v>0</v>
      </c>
      <c r="AG113" s="150"/>
      <c r="AH113" s="164">
        <f ca="1">MIN(race_platinum_bonus + IF(Magic!AD113&gt;0,midas_bonus) + TblImps[[#This Row],[Science]] - TblProd[[#This Row],[Guard]]*(0.02 + tech_5_7*TblTech[[#This Row],[5-7]]) + tech_1_5*TblTech[[#This Row],[1-5]] + tech_4_4*TblTech[[#This Row],[4-4]], 0.5)</f>
        <v>0</v>
      </c>
      <c r="AI11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64">
        <f ca="1">race_lumber_bonus+ IF(TblMagic[[#This Row],[Active Gaia''s Blessing]]&gt;0,gaias_blessing_lumber)+ tech_1_3*TblTech[[#This Row],[1-3]] + tech_1_6*TblTech[[#This Row],[1-6]] + tech_3_3*TblTech[[#This Row],[3-3]]</f>
        <v>0</v>
      </c>
      <c r="AK113" s="164">
        <f ca="1">race_mana_bonus+ 0 + TblImps[[#This Row],[Towers]] + tech_1_2*TblTech[[#This Row],[1-2]] + tech_3_4*TblTech[[#This Row],[3-4]]</f>
        <v>0</v>
      </c>
      <c r="AL113" s="164">
        <f ca="1">race_ore_bonus + IF(TblMagic[[#This Row],[Active Miner''s Sight]]&gt;0,miners_sight_bonus,IF(TblMagic[[#This Row],[Active Mining Strength]]&gt;0,mining_strength_bonus)) +  tech_1_6*TblTech[[#This Row],[1-6]]</f>
        <v>0</v>
      </c>
      <c r="AM113" s="164">
        <f>race_gem_bonus+ tech_3_2*TblTech[[#This Row],[3-2]] + tech_4_3*TblTech[[#This Row],[4-3]] + tech_6_2*TblTech[[#This Row],[6-2]]</f>
        <v>0</v>
      </c>
      <c r="AN113" s="150"/>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62"/>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Military!$CH$25*TblMili[[#This Row],[Sec. rec. Cost]]</f>
        <v>0</v>
      </c>
      <c r="AV113" s="97">
        <f ca="1">TblMagic[[#This Row],[Mana cost]] + Military!$CH$26*TblMili[[#This Row],[Sec. rec. Cost]]</f>
        <v>0</v>
      </c>
      <c r="AW113" s="97">
        <f ca="1">Military!$CH$24*TblMili[[#This Row],[Sec. rec. Cost]]+TblImps[[#This Row],[O1]]-TblProd[[#This Row],[Bank Ore]]</f>
        <v>0</v>
      </c>
      <c r="AX113" s="97">
        <f>TblImps[[#This Row],[G1]]-TblProd[[#This Row],[Bank Gems]]</f>
        <v>0</v>
      </c>
      <c r="AY113" s="150"/>
      <c r="AZ113" s="62" t="b">
        <f ca="1">IF(TblProd[[#This Row],[Set Guard]]&lt;&gt;"",TblProd[[#This Row],[Set Guard]],OFFSET(TblProd[[#This Row],[Guard]],-1,0))</f>
        <v>0</v>
      </c>
      <c r="BA113" s="161"/>
      <c r="BB113" s="45">
        <f>TblProd[[#This Row],[Hour]]</f>
        <v>38</v>
      </c>
      <c r="BC113" s="166">
        <f>-TblProd[[#This Row],[Bank Lumber]] / 2 + -TblProd[[#This Row],[Bank Gems]] * 2</f>
        <v>0</v>
      </c>
      <c r="BD113" s="166"/>
      <c r="BE113" s="166"/>
      <c r="BF113" s="166"/>
      <c r="BG113" s="167">
        <f ca="1">TblProd[[#This Row],[Time]]</f>
        <v>44815.291666666402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698852</v>
      </c>
      <c r="BJ113" s="97">
        <f ca="1">TblProd[[#This Row],[Food]]</f>
        <v>138139</v>
      </c>
      <c r="BK113" s="97">
        <f ca="1">TblProd[[#This Row],[Lumber]]</f>
        <v>71576</v>
      </c>
      <c r="BL113" s="97">
        <f ca="1">TblProd[[#This Row],[Mana]]</f>
        <v>0</v>
      </c>
      <c r="BM113" s="97">
        <f ca="1">TblProd[[#This Row],[Ore]]</f>
        <v>0</v>
      </c>
    </row>
    <row r="114" spans="1:65" x14ac:dyDescent="0.2">
      <c r="A114" s="145">
        <v>39</v>
      </c>
      <c r="B114" s="160">
        <f ca="1">TblImps[[#This Row],[Time]]</f>
        <v>44815.333333333067</v>
      </c>
      <c r="C114" s="161"/>
      <c r="D114" s="162"/>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704338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10000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50"/>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63">
        <f ca="1">OFFSET(TblConstr[[#This Row],[Tot Doc]],1,0)*dock_boats_hr * (1 + tech_4_1*TblTech[[#This Row],[4-1]])</f>
        <v>0</v>
      </c>
      <c r="Z114" s="162"/>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2]]/2,0),)</f>
        <v>0</v>
      </c>
      <c r="AF114" s="97">
        <f ca="1">OFFSET(TblConstr[[#This Row],[Tot DM]],1,0)*dm_gems</f>
        <v>0</v>
      </c>
      <c r="AG114" s="150"/>
      <c r="AH114" s="164">
        <f ca="1">MIN(race_platinum_bonus + IF(Magic!AD114&gt;0,midas_bonus) + TblImps[[#This Row],[Science]] - TblProd[[#This Row],[Guard]]*(0.02 + tech_5_7*TblTech[[#This Row],[5-7]]) + tech_1_5*TblTech[[#This Row],[1-5]] + tech_4_4*TblTech[[#This Row],[4-4]], 0.5)</f>
        <v>0</v>
      </c>
      <c r="AI11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64">
        <f ca="1">race_lumber_bonus+ IF(TblMagic[[#This Row],[Active Gaia''s Blessing]]&gt;0,gaias_blessing_lumber)+ tech_1_3*TblTech[[#This Row],[1-3]] + tech_1_6*TblTech[[#This Row],[1-6]] + tech_3_3*TblTech[[#This Row],[3-3]]</f>
        <v>0</v>
      </c>
      <c r="AK114" s="164">
        <f ca="1">race_mana_bonus+ 0 + TblImps[[#This Row],[Towers]] + tech_1_2*TblTech[[#This Row],[1-2]] + tech_3_4*TblTech[[#This Row],[3-4]]</f>
        <v>0</v>
      </c>
      <c r="AL114" s="164">
        <f ca="1">race_ore_bonus + IF(TblMagic[[#This Row],[Active Miner''s Sight]]&gt;0,miners_sight_bonus,IF(TblMagic[[#This Row],[Active Mining Strength]]&gt;0,mining_strength_bonus)) +  tech_1_6*TblTech[[#This Row],[1-6]]</f>
        <v>0</v>
      </c>
      <c r="AM114" s="164">
        <f>race_gem_bonus+ tech_3_2*TblTech[[#This Row],[3-2]] + tech_4_3*TblTech[[#This Row],[4-3]] + tech_6_2*TblTech[[#This Row],[6-2]]</f>
        <v>0</v>
      </c>
      <c r="AN114" s="150"/>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62"/>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Military!$CH$25*TblMili[[#This Row],[Sec. rec. Cost]]</f>
        <v>0</v>
      </c>
      <c r="AV114" s="97">
        <f ca="1">TblMagic[[#This Row],[Mana cost]] + Military!$CH$26*TblMili[[#This Row],[Sec. rec. Cost]]</f>
        <v>0</v>
      </c>
      <c r="AW114" s="97">
        <f ca="1">Military!$CH$24*TblMili[[#This Row],[Sec. rec. Cost]]+TblImps[[#This Row],[O1]]-TblProd[[#This Row],[Bank Ore]]</f>
        <v>0</v>
      </c>
      <c r="AX114" s="97">
        <f>TblImps[[#This Row],[G1]]-TblProd[[#This Row],[Bank Gems]]</f>
        <v>0</v>
      </c>
      <c r="AY114" s="150"/>
      <c r="AZ114" s="62" t="b">
        <f ca="1">IF(TblProd[[#This Row],[Set Guard]]&lt;&gt;"",TblProd[[#This Row],[Set Guard]],OFFSET(TblProd[[#This Row],[Guard]],-1,0))</f>
        <v>0</v>
      </c>
      <c r="BA114" s="161"/>
      <c r="BB114" s="45">
        <f>TblProd[[#This Row],[Hour]]</f>
        <v>39</v>
      </c>
      <c r="BC114" s="166">
        <f>-TblProd[[#This Row],[Bank Lumber]] / 2 + -TblProd[[#This Row],[Bank Gems]] * 2</f>
        <v>0</v>
      </c>
      <c r="BD114" s="166"/>
      <c r="BE114" s="166"/>
      <c r="BF114" s="166"/>
      <c r="BG114" s="167">
        <f ca="1">TblProd[[#This Row],[Time]]</f>
        <v>44815.333333333067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704338</v>
      </c>
      <c r="BJ114" s="97">
        <f ca="1">TblProd[[#This Row],[Food]]</f>
        <v>138748</v>
      </c>
      <c r="BK114" s="97">
        <f ca="1">TblProd[[#This Row],[Lumber]]</f>
        <v>71860</v>
      </c>
      <c r="BL114" s="97">
        <f ca="1">TblProd[[#This Row],[Mana]]</f>
        <v>0</v>
      </c>
      <c r="BM114" s="97">
        <f ca="1">TblProd[[#This Row],[Ore]]</f>
        <v>0</v>
      </c>
    </row>
    <row r="115" spans="1:65" x14ac:dyDescent="0.2">
      <c r="A115" s="145">
        <v>40</v>
      </c>
      <c r="B115" s="160">
        <f ca="1">TblImps[[#This Row],[Time]]</f>
        <v>44815.374999999731</v>
      </c>
      <c r="C115" s="161"/>
      <c r="D115" s="162"/>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709824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10000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50"/>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63">
        <f ca="1">OFFSET(TblConstr[[#This Row],[Tot Doc]],1,0)*dock_boats_hr * (1 + tech_4_1*TblTech[[#This Row],[4-1]])</f>
        <v>0</v>
      </c>
      <c r="Z115" s="162"/>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2]]/2,0),)</f>
        <v>0</v>
      </c>
      <c r="AF115" s="97">
        <f ca="1">OFFSET(TblConstr[[#This Row],[Tot DM]],1,0)*dm_gems</f>
        <v>0</v>
      </c>
      <c r="AG115" s="150"/>
      <c r="AH115" s="164">
        <f ca="1">MIN(race_platinum_bonus + IF(Magic!AD115&gt;0,midas_bonus) + TblImps[[#This Row],[Science]] - TblProd[[#This Row],[Guard]]*(0.02 + tech_5_7*TblTech[[#This Row],[5-7]]) + tech_1_5*TblTech[[#This Row],[1-5]] + tech_4_4*TblTech[[#This Row],[4-4]], 0.5)</f>
        <v>0</v>
      </c>
      <c r="AI11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64">
        <f ca="1">race_lumber_bonus+ IF(TblMagic[[#This Row],[Active Gaia''s Blessing]]&gt;0,gaias_blessing_lumber)+ tech_1_3*TblTech[[#This Row],[1-3]] + tech_1_6*TblTech[[#This Row],[1-6]] + tech_3_3*TblTech[[#This Row],[3-3]]</f>
        <v>0</v>
      </c>
      <c r="AK115" s="164">
        <f ca="1">race_mana_bonus+ 0 + TblImps[[#This Row],[Towers]] + tech_1_2*TblTech[[#This Row],[1-2]] + tech_3_4*TblTech[[#This Row],[3-4]]</f>
        <v>0</v>
      </c>
      <c r="AL115" s="164">
        <f ca="1">race_ore_bonus + IF(TblMagic[[#This Row],[Active Miner''s Sight]]&gt;0,miners_sight_bonus,IF(TblMagic[[#This Row],[Active Mining Strength]]&gt;0,mining_strength_bonus)) +  tech_1_6*TblTech[[#This Row],[1-6]]</f>
        <v>0</v>
      </c>
      <c r="AM115" s="164">
        <f>race_gem_bonus+ tech_3_2*TblTech[[#This Row],[3-2]] + tech_4_3*TblTech[[#This Row],[4-3]] + tech_6_2*TblTech[[#This Row],[6-2]]</f>
        <v>0</v>
      </c>
      <c r="AN115" s="150"/>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62"/>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Military!$CH$25*TblMili[[#This Row],[Sec. rec. Cost]]</f>
        <v>0</v>
      </c>
      <c r="AV115" s="97">
        <f ca="1">TblMagic[[#This Row],[Mana cost]] + Military!$CH$26*TblMili[[#This Row],[Sec. rec. Cost]]</f>
        <v>0</v>
      </c>
      <c r="AW115" s="97">
        <f ca="1">Military!$CH$24*TblMili[[#This Row],[Sec. rec. Cost]]+TblImps[[#This Row],[O1]]-TblProd[[#This Row],[Bank Ore]]</f>
        <v>0</v>
      </c>
      <c r="AX115" s="97">
        <f>TblImps[[#This Row],[G1]]-TblProd[[#This Row],[Bank Gems]]</f>
        <v>0</v>
      </c>
      <c r="AY115" s="150"/>
      <c r="AZ115" s="62" t="b">
        <f ca="1">IF(TblProd[[#This Row],[Set Guard]]&lt;&gt;"",TblProd[[#This Row],[Set Guard]],OFFSET(TblProd[[#This Row],[Guard]],-1,0))</f>
        <v>0</v>
      </c>
      <c r="BA115" s="161"/>
      <c r="BB115" s="45">
        <f>TblProd[[#This Row],[Hour]]</f>
        <v>40</v>
      </c>
      <c r="BC115" s="166">
        <f>-TblProd[[#This Row],[Bank Lumber]] / 2 + -TblProd[[#This Row],[Bank Gems]] * 2</f>
        <v>0</v>
      </c>
      <c r="BD115" s="166"/>
      <c r="BE115" s="166"/>
      <c r="BF115" s="166"/>
      <c r="BG115" s="167">
        <f ca="1">TblProd[[#This Row],[Time]]</f>
        <v>44815.374999999731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709824</v>
      </c>
      <c r="BJ115" s="97">
        <f ca="1">TblProd[[#This Row],[Food]]</f>
        <v>139351</v>
      </c>
      <c r="BK115" s="97">
        <f ca="1">TblProd[[#This Row],[Lumber]]</f>
        <v>72141</v>
      </c>
      <c r="BL115" s="97">
        <f ca="1">TblProd[[#This Row],[Mana]]</f>
        <v>0</v>
      </c>
      <c r="BM115" s="97">
        <f ca="1">TblProd[[#This Row],[Ore]]</f>
        <v>0</v>
      </c>
    </row>
    <row r="116" spans="1:65" x14ac:dyDescent="0.2">
      <c r="A116" s="145">
        <v>41</v>
      </c>
      <c r="B116" s="160">
        <f ca="1">TblImps[[#This Row],[Time]]</f>
        <v>44815.416666666395</v>
      </c>
      <c r="C116" s="161"/>
      <c r="D116" s="162"/>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715310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10000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50"/>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63">
        <f ca="1">OFFSET(TblConstr[[#This Row],[Tot Doc]],1,0)*dock_boats_hr * (1 + tech_4_1*TblTech[[#This Row],[4-1]])</f>
        <v>0</v>
      </c>
      <c r="Z116" s="162"/>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2]]/2,0),)</f>
        <v>0</v>
      </c>
      <c r="AF116" s="97">
        <f ca="1">OFFSET(TblConstr[[#This Row],[Tot DM]],1,0)*dm_gems</f>
        <v>0</v>
      </c>
      <c r="AG116" s="150"/>
      <c r="AH116" s="164">
        <f ca="1">MIN(race_platinum_bonus + IF(Magic!AD116&gt;0,midas_bonus) + TblImps[[#This Row],[Science]] - TblProd[[#This Row],[Guard]]*(0.02 + tech_5_7*TblTech[[#This Row],[5-7]]) + tech_1_5*TblTech[[#This Row],[1-5]] + tech_4_4*TblTech[[#This Row],[4-4]], 0.5)</f>
        <v>0</v>
      </c>
      <c r="AI11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64">
        <f ca="1">race_lumber_bonus+ IF(TblMagic[[#This Row],[Active Gaia''s Blessing]]&gt;0,gaias_blessing_lumber)+ tech_1_3*TblTech[[#This Row],[1-3]] + tech_1_6*TblTech[[#This Row],[1-6]] + tech_3_3*TblTech[[#This Row],[3-3]]</f>
        <v>0</v>
      </c>
      <c r="AK116" s="164">
        <f ca="1">race_mana_bonus+ 0 + TblImps[[#This Row],[Towers]] + tech_1_2*TblTech[[#This Row],[1-2]] + tech_3_4*TblTech[[#This Row],[3-4]]</f>
        <v>0</v>
      </c>
      <c r="AL116" s="164">
        <f ca="1">race_ore_bonus + IF(TblMagic[[#This Row],[Active Miner''s Sight]]&gt;0,miners_sight_bonus,IF(TblMagic[[#This Row],[Active Mining Strength]]&gt;0,mining_strength_bonus)) +  tech_1_6*TblTech[[#This Row],[1-6]]</f>
        <v>0</v>
      </c>
      <c r="AM116" s="164">
        <f>race_gem_bonus+ tech_3_2*TblTech[[#This Row],[3-2]] + tech_4_3*TblTech[[#This Row],[4-3]] + tech_6_2*TblTech[[#This Row],[6-2]]</f>
        <v>0</v>
      </c>
      <c r="AN116" s="150"/>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62"/>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Military!$CH$25*TblMili[[#This Row],[Sec. rec. Cost]]</f>
        <v>0</v>
      </c>
      <c r="AV116" s="97">
        <f ca="1">TblMagic[[#This Row],[Mana cost]] + Military!$CH$26*TblMili[[#This Row],[Sec. rec. Cost]]</f>
        <v>0</v>
      </c>
      <c r="AW116" s="97">
        <f ca="1">Military!$CH$24*TblMili[[#This Row],[Sec. rec. Cost]]+TblImps[[#This Row],[O1]]-TblProd[[#This Row],[Bank Ore]]</f>
        <v>0</v>
      </c>
      <c r="AX116" s="97">
        <f>TblImps[[#This Row],[G1]]-TblProd[[#This Row],[Bank Gems]]</f>
        <v>0</v>
      </c>
      <c r="AY116" s="150"/>
      <c r="AZ116" s="62" t="b">
        <f ca="1">IF(TblProd[[#This Row],[Set Guard]]&lt;&gt;"",TblProd[[#This Row],[Set Guard]],OFFSET(TblProd[[#This Row],[Guard]],-1,0))</f>
        <v>0</v>
      </c>
      <c r="BA116" s="161"/>
      <c r="BB116" s="45">
        <f>TblProd[[#This Row],[Hour]]</f>
        <v>41</v>
      </c>
      <c r="BC116" s="166">
        <f>-TblProd[[#This Row],[Bank Lumber]] / 2 + -TblProd[[#This Row],[Bank Gems]] * 2</f>
        <v>0</v>
      </c>
      <c r="BD116" s="166"/>
      <c r="BE116" s="166"/>
      <c r="BF116" s="166"/>
      <c r="BG116" s="167">
        <f ca="1">TblProd[[#This Row],[Time]]</f>
        <v>44815.416666666395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715310</v>
      </c>
      <c r="BJ116" s="97">
        <f ca="1">TblProd[[#This Row],[Food]]</f>
        <v>139948</v>
      </c>
      <c r="BK116" s="97">
        <f ca="1">TblProd[[#This Row],[Lumber]]</f>
        <v>72420</v>
      </c>
      <c r="BL116" s="97">
        <f ca="1">TblProd[[#This Row],[Mana]]</f>
        <v>0</v>
      </c>
      <c r="BM116" s="97">
        <f ca="1">TblProd[[#This Row],[Ore]]</f>
        <v>0</v>
      </c>
    </row>
    <row r="117" spans="1:65" x14ac:dyDescent="0.2">
      <c r="A117" s="145">
        <v>42</v>
      </c>
      <c r="B117" s="160">
        <f ca="1">TblImps[[#This Row],[Time]]</f>
        <v>44815.458333333059</v>
      </c>
      <c r="C117" s="161"/>
      <c r="D117" s="162"/>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720796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10000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50"/>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63">
        <f ca="1">OFFSET(TblConstr[[#This Row],[Tot Doc]],1,0)*dock_boats_hr * (1 + tech_4_1*TblTech[[#This Row],[4-1]])</f>
        <v>0</v>
      </c>
      <c r="Z117" s="162"/>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2]]/2,0),)</f>
        <v>0</v>
      </c>
      <c r="AF117" s="97">
        <f ca="1">OFFSET(TblConstr[[#This Row],[Tot DM]],1,0)*dm_gems</f>
        <v>0</v>
      </c>
      <c r="AG117" s="150"/>
      <c r="AH117" s="164">
        <f ca="1">MIN(race_platinum_bonus + IF(Magic!AD117&gt;0,midas_bonus) + TblImps[[#This Row],[Science]] - TblProd[[#This Row],[Guard]]*(0.02 + tech_5_7*TblTech[[#This Row],[5-7]]) + tech_1_5*TblTech[[#This Row],[1-5]] + tech_4_4*TblTech[[#This Row],[4-4]], 0.5)</f>
        <v>0</v>
      </c>
      <c r="AI11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64">
        <f ca="1">race_lumber_bonus+ IF(TblMagic[[#This Row],[Active Gaia''s Blessing]]&gt;0,gaias_blessing_lumber)+ tech_1_3*TblTech[[#This Row],[1-3]] + tech_1_6*TblTech[[#This Row],[1-6]] + tech_3_3*TblTech[[#This Row],[3-3]]</f>
        <v>0</v>
      </c>
      <c r="AK117" s="164">
        <f ca="1">race_mana_bonus+ 0 + TblImps[[#This Row],[Towers]] + tech_1_2*TblTech[[#This Row],[1-2]] + tech_3_4*TblTech[[#This Row],[3-4]]</f>
        <v>0</v>
      </c>
      <c r="AL117" s="164">
        <f ca="1">race_ore_bonus + IF(TblMagic[[#This Row],[Active Miner''s Sight]]&gt;0,miners_sight_bonus,IF(TblMagic[[#This Row],[Active Mining Strength]]&gt;0,mining_strength_bonus)) +  tech_1_6*TblTech[[#This Row],[1-6]]</f>
        <v>0</v>
      </c>
      <c r="AM117" s="164">
        <f>race_gem_bonus+ tech_3_2*TblTech[[#This Row],[3-2]] + tech_4_3*TblTech[[#This Row],[4-3]] + tech_6_2*TblTech[[#This Row],[6-2]]</f>
        <v>0</v>
      </c>
      <c r="AN117" s="150"/>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62"/>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Military!$CH$25*TblMili[[#This Row],[Sec. rec. Cost]]</f>
        <v>0</v>
      </c>
      <c r="AV117" s="97">
        <f ca="1">TblMagic[[#This Row],[Mana cost]] + Military!$CH$26*TblMili[[#This Row],[Sec. rec. Cost]]</f>
        <v>0</v>
      </c>
      <c r="AW117" s="97">
        <f ca="1">Military!$CH$24*TblMili[[#This Row],[Sec. rec. Cost]]+TblImps[[#This Row],[O1]]-TblProd[[#This Row],[Bank Ore]]</f>
        <v>0</v>
      </c>
      <c r="AX117" s="97">
        <f>TblImps[[#This Row],[G1]]-TblProd[[#This Row],[Bank Gems]]</f>
        <v>0</v>
      </c>
      <c r="AY117" s="150"/>
      <c r="AZ117" s="62" t="b">
        <f ca="1">IF(TblProd[[#This Row],[Set Guard]]&lt;&gt;"",TblProd[[#This Row],[Set Guard]],OFFSET(TblProd[[#This Row],[Guard]],-1,0))</f>
        <v>0</v>
      </c>
      <c r="BA117" s="161"/>
      <c r="BB117" s="45">
        <f>TblProd[[#This Row],[Hour]]</f>
        <v>42</v>
      </c>
      <c r="BC117" s="166">
        <f>-TblProd[[#This Row],[Bank Lumber]] / 2 + -TblProd[[#This Row],[Bank Gems]] * 2</f>
        <v>0</v>
      </c>
      <c r="BD117" s="166"/>
      <c r="BE117" s="166"/>
      <c r="BF117" s="166"/>
      <c r="BG117" s="167">
        <f ca="1">TblProd[[#This Row],[Time]]</f>
        <v>44815.458333333059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720796</v>
      </c>
      <c r="BJ117" s="97">
        <f ca="1">TblProd[[#This Row],[Food]]</f>
        <v>140539</v>
      </c>
      <c r="BK117" s="97">
        <f ca="1">TblProd[[#This Row],[Lumber]]</f>
        <v>72696</v>
      </c>
      <c r="BL117" s="97">
        <f ca="1">TblProd[[#This Row],[Mana]]</f>
        <v>0</v>
      </c>
      <c r="BM117" s="97">
        <f ca="1">TblProd[[#This Row],[Ore]]</f>
        <v>0</v>
      </c>
    </row>
    <row r="118" spans="1:65" x14ac:dyDescent="0.2">
      <c r="A118" s="145">
        <v>43</v>
      </c>
      <c r="B118" s="160">
        <f ca="1">TblImps[[#This Row],[Time]]</f>
        <v>44815.499999999724</v>
      </c>
      <c r="C118" s="161"/>
      <c r="D118" s="162"/>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726282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10000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50"/>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63">
        <f ca="1">OFFSET(TblConstr[[#This Row],[Tot Doc]],1,0)*dock_boats_hr * (1 + tech_4_1*TblTech[[#This Row],[4-1]])</f>
        <v>0</v>
      </c>
      <c r="Z118" s="162"/>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2]]/2,0),)</f>
        <v>0</v>
      </c>
      <c r="AF118" s="97">
        <f ca="1">OFFSET(TblConstr[[#This Row],[Tot DM]],1,0)*dm_gems</f>
        <v>0</v>
      </c>
      <c r="AG118" s="150"/>
      <c r="AH118" s="164">
        <f ca="1">MIN(race_platinum_bonus + IF(Magic!AD118&gt;0,midas_bonus) + TblImps[[#This Row],[Science]] - TblProd[[#This Row],[Guard]]*(0.02 + tech_5_7*TblTech[[#This Row],[5-7]]) + tech_1_5*TblTech[[#This Row],[1-5]] + tech_4_4*TblTech[[#This Row],[4-4]], 0.5)</f>
        <v>0</v>
      </c>
      <c r="AI11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64">
        <f ca="1">race_lumber_bonus+ IF(TblMagic[[#This Row],[Active Gaia''s Blessing]]&gt;0,gaias_blessing_lumber)+ tech_1_3*TblTech[[#This Row],[1-3]] + tech_1_6*TblTech[[#This Row],[1-6]] + tech_3_3*TblTech[[#This Row],[3-3]]</f>
        <v>0</v>
      </c>
      <c r="AK118" s="164">
        <f ca="1">race_mana_bonus+ 0 + TblImps[[#This Row],[Towers]] + tech_1_2*TblTech[[#This Row],[1-2]] + tech_3_4*TblTech[[#This Row],[3-4]]</f>
        <v>0</v>
      </c>
      <c r="AL118" s="164">
        <f ca="1">race_ore_bonus + IF(TblMagic[[#This Row],[Active Miner''s Sight]]&gt;0,miners_sight_bonus,IF(TblMagic[[#This Row],[Active Mining Strength]]&gt;0,mining_strength_bonus)) +  tech_1_6*TblTech[[#This Row],[1-6]]</f>
        <v>0</v>
      </c>
      <c r="AM118" s="164">
        <f>race_gem_bonus+ tech_3_2*TblTech[[#This Row],[3-2]] + tech_4_3*TblTech[[#This Row],[4-3]] + tech_6_2*TblTech[[#This Row],[6-2]]</f>
        <v>0</v>
      </c>
      <c r="AN118" s="150"/>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62"/>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Military!$CH$25*TblMili[[#This Row],[Sec. rec. Cost]]</f>
        <v>0</v>
      </c>
      <c r="AV118" s="97">
        <f ca="1">TblMagic[[#This Row],[Mana cost]] + Military!$CH$26*TblMili[[#This Row],[Sec. rec. Cost]]</f>
        <v>0</v>
      </c>
      <c r="AW118" s="97">
        <f ca="1">Military!$CH$24*TblMili[[#This Row],[Sec. rec. Cost]]+TblImps[[#This Row],[O1]]-TblProd[[#This Row],[Bank Ore]]</f>
        <v>0</v>
      </c>
      <c r="AX118" s="97">
        <f>TblImps[[#This Row],[G1]]-TblProd[[#This Row],[Bank Gems]]</f>
        <v>0</v>
      </c>
      <c r="AY118" s="150"/>
      <c r="AZ118" s="62" t="b">
        <f ca="1">IF(TblProd[[#This Row],[Set Guard]]&lt;&gt;"",TblProd[[#This Row],[Set Guard]],OFFSET(TblProd[[#This Row],[Guard]],-1,0))</f>
        <v>0</v>
      </c>
      <c r="BA118" s="161"/>
      <c r="BB118" s="45">
        <f>TblProd[[#This Row],[Hour]]</f>
        <v>43</v>
      </c>
      <c r="BC118" s="166">
        <f>-TblProd[[#This Row],[Bank Lumber]] / 2 + -TblProd[[#This Row],[Bank Gems]] * 2</f>
        <v>0</v>
      </c>
      <c r="BD118" s="166"/>
      <c r="BE118" s="166"/>
      <c r="BF118" s="166"/>
      <c r="BG118" s="167">
        <f ca="1">TblProd[[#This Row],[Time]]</f>
        <v>44815.499999999724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726282</v>
      </c>
      <c r="BJ118" s="97">
        <f ca="1">TblProd[[#This Row],[Food]]</f>
        <v>141124</v>
      </c>
      <c r="BK118" s="97">
        <f ca="1">TblProd[[#This Row],[Lumber]]</f>
        <v>72969</v>
      </c>
      <c r="BL118" s="97">
        <f ca="1">TblProd[[#This Row],[Mana]]</f>
        <v>0</v>
      </c>
      <c r="BM118" s="97">
        <f ca="1">TblProd[[#This Row],[Ore]]</f>
        <v>0</v>
      </c>
    </row>
    <row r="119" spans="1:65" x14ac:dyDescent="0.2">
      <c r="A119" s="145">
        <v>44</v>
      </c>
      <c r="B119" s="160">
        <f ca="1">TblImps[[#This Row],[Time]]</f>
        <v>44815.541666666388</v>
      </c>
      <c r="C119" s="161"/>
      <c r="D119" s="162"/>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731768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10000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50"/>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63">
        <f ca="1">OFFSET(TblConstr[[#This Row],[Tot Doc]],1,0)*dock_boats_hr * (1 + tech_4_1*TblTech[[#This Row],[4-1]])</f>
        <v>0</v>
      </c>
      <c r="Z119" s="162"/>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2]]/2,0),)</f>
        <v>0</v>
      </c>
      <c r="AF119" s="97">
        <f ca="1">OFFSET(TblConstr[[#This Row],[Tot DM]],1,0)*dm_gems</f>
        <v>0</v>
      </c>
      <c r="AG119" s="150"/>
      <c r="AH119" s="164">
        <f ca="1">MIN(race_platinum_bonus + IF(Magic!AD119&gt;0,midas_bonus) + TblImps[[#This Row],[Science]] - TblProd[[#This Row],[Guard]]*(0.02 + tech_5_7*TblTech[[#This Row],[5-7]]) + tech_1_5*TblTech[[#This Row],[1-5]] + tech_4_4*TblTech[[#This Row],[4-4]], 0.5)</f>
        <v>0</v>
      </c>
      <c r="AI11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64">
        <f ca="1">race_lumber_bonus+ IF(TblMagic[[#This Row],[Active Gaia''s Blessing]]&gt;0,gaias_blessing_lumber)+ tech_1_3*TblTech[[#This Row],[1-3]] + tech_1_6*TblTech[[#This Row],[1-6]] + tech_3_3*TblTech[[#This Row],[3-3]]</f>
        <v>0</v>
      </c>
      <c r="AK119" s="164">
        <f ca="1">race_mana_bonus+ 0 + TblImps[[#This Row],[Towers]] + tech_1_2*TblTech[[#This Row],[1-2]] + tech_3_4*TblTech[[#This Row],[3-4]]</f>
        <v>0</v>
      </c>
      <c r="AL119" s="164">
        <f ca="1">race_ore_bonus + IF(TblMagic[[#This Row],[Active Miner''s Sight]]&gt;0,miners_sight_bonus,IF(TblMagic[[#This Row],[Active Mining Strength]]&gt;0,mining_strength_bonus)) +  tech_1_6*TblTech[[#This Row],[1-6]]</f>
        <v>0</v>
      </c>
      <c r="AM119" s="164">
        <f>race_gem_bonus+ tech_3_2*TblTech[[#This Row],[3-2]] + tech_4_3*TblTech[[#This Row],[4-3]] + tech_6_2*TblTech[[#This Row],[6-2]]</f>
        <v>0</v>
      </c>
      <c r="AN119" s="150"/>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62"/>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Military!$CH$25*TblMili[[#This Row],[Sec. rec. Cost]]</f>
        <v>0</v>
      </c>
      <c r="AV119" s="97">
        <f ca="1">TblMagic[[#This Row],[Mana cost]] + Military!$CH$26*TblMili[[#This Row],[Sec. rec. Cost]]</f>
        <v>0</v>
      </c>
      <c r="AW119" s="97">
        <f ca="1">Military!$CH$24*TblMili[[#This Row],[Sec. rec. Cost]]+TblImps[[#This Row],[O1]]-TblProd[[#This Row],[Bank Ore]]</f>
        <v>0</v>
      </c>
      <c r="AX119" s="97">
        <f>TblImps[[#This Row],[G1]]-TblProd[[#This Row],[Bank Gems]]</f>
        <v>0</v>
      </c>
      <c r="AY119" s="150"/>
      <c r="AZ119" s="62" t="b">
        <f ca="1">IF(TblProd[[#This Row],[Set Guard]]&lt;&gt;"",TblProd[[#This Row],[Set Guard]],OFFSET(TblProd[[#This Row],[Guard]],-1,0))</f>
        <v>0</v>
      </c>
      <c r="BA119" s="161"/>
      <c r="BB119" s="45">
        <f>TblProd[[#This Row],[Hour]]</f>
        <v>44</v>
      </c>
      <c r="BC119" s="166">
        <f>-TblProd[[#This Row],[Bank Lumber]] / 2 + -TblProd[[#This Row],[Bank Gems]] * 2</f>
        <v>0</v>
      </c>
      <c r="BD119" s="166"/>
      <c r="BE119" s="166"/>
      <c r="BF119" s="166"/>
      <c r="BG119" s="167">
        <f ca="1">TblProd[[#This Row],[Time]]</f>
        <v>44815.541666666388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731768</v>
      </c>
      <c r="BJ119" s="97">
        <f ca="1">TblProd[[#This Row],[Food]]</f>
        <v>141703</v>
      </c>
      <c r="BK119" s="97">
        <f ca="1">TblProd[[#This Row],[Lumber]]</f>
        <v>73239</v>
      </c>
      <c r="BL119" s="97">
        <f ca="1">TblProd[[#This Row],[Mana]]</f>
        <v>0</v>
      </c>
      <c r="BM119" s="97">
        <f ca="1">TblProd[[#This Row],[Ore]]</f>
        <v>0</v>
      </c>
    </row>
    <row r="120" spans="1:65" x14ac:dyDescent="0.2">
      <c r="A120" s="145">
        <v>45</v>
      </c>
      <c r="B120" s="160">
        <f ca="1">TblImps[[#This Row],[Time]]</f>
        <v>44815.583333333052</v>
      </c>
      <c r="C120" s="161"/>
      <c r="D120" s="162"/>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737254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10000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50"/>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63">
        <f ca="1">OFFSET(TblConstr[[#This Row],[Tot Doc]],1,0)*dock_boats_hr * (1 + tech_4_1*TblTech[[#This Row],[4-1]])</f>
        <v>0</v>
      </c>
      <c r="Z120" s="162"/>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2]]/2,0),)</f>
        <v>0</v>
      </c>
      <c r="AF120" s="97">
        <f ca="1">OFFSET(TblConstr[[#This Row],[Tot DM]],1,0)*dm_gems</f>
        <v>0</v>
      </c>
      <c r="AG120" s="150"/>
      <c r="AH120" s="164">
        <f ca="1">MIN(race_platinum_bonus + IF(Magic!AD120&gt;0,midas_bonus) + TblImps[[#This Row],[Science]] - TblProd[[#This Row],[Guard]]*(0.02 + tech_5_7*TblTech[[#This Row],[5-7]]) + tech_1_5*TblTech[[#This Row],[1-5]] + tech_4_4*TblTech[[#This Row],[4-4]], 0.5)</f>
        <v>0</v>
      </c>
      <c r="AI12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64">
        <f ca="1">race_lumber_bonus+ IF(TblMagic[[#This Row],[Active Gaia''s Blessing]]&gt;0,gaias_blessing_lumber)+ tech_1_3*TblTech[[#This Row],[1-3]] + tech_1_6*TblTech[[#This Row],[1-6]] + tech_3_3*TblTech[[#This Row],[3-3]]</f>
        <v>0</v>
      </c>
      <c r="AK120" s="164">
        <f ca="1">race_mana_bonus+ 0 + TblImps[[#This Row],[Towers]] + tech_1_2*TblTech[[#This Row],[1-2]] + tech_3_4*TblTech[[#This Row],[3-4]]</f>
        <v>0</v>
      </c>
      <c r="AL120" s="164">
        <f ca="1">race_ore_bonus + IF(TblMagic[[#This Row],[Active Miner''s Sight]]&gt;0,miners_sight_bonus,IF(TblMagic[[#This Row],[Active Mining Strength]]&gt;0,mining_strength_bonus)) +  tech_1_6*TblTech[[#This Row],[1-6]]</f>
        <v>0</v>
      </c>
      <c r="AM120" s="164">
        <f>race_gem_bonus+ tech_3_2*TblTech[[#This Row],[3-2]] + tech_4_3*TblTech[[#This Row],[4-3]] + tech_6_2*TblTech[[#This Row],[6-2]]</f>
        <v>0</v>
      </c>
      <c r="AN120" s="150"/>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62"/>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Military!$CH$25*TblMili[[#This Row],[Sec. rec. Cost]]</f>
        <v>0</v>
      </c>
      <c r="AV120" s="97">
        <f ca="1">TblMagic[[#This Row],[Mana cost]] + Military!$CH$26*TblMili[[#This Row],[Sec. rec. Cost]]</f>
        <v>0</v>
      </c>
      <c r="AW120" s="97">
        <f ca="1">Military!$CH$24*TblMili[[#This Row],[Sec. rec. Cost]]+TblImps[[#This Row],[O1]]-TblProd[[#This Row],[Bank Ore]]</f>
        <v>0</v>
      </c>
      <c r="AX120" s="97">
        <f>TblImps[[#This Row],[G1]]-TblProd[[#This Row],[Bank Gems]]</f>
        <v>0</v>
      </c>
      <c r="AY120" s="150"/>
      <c r="AZ120" s="62" t="b">
        <f ca="1">IF(TblProd[[#This Row],[Set Guard]]&lt;&gt;"",TblProd[[#This Row],[Set Guard]],OFFSET(TblProd[[#This Row],[Guard]],-1,0))</f>
        <v>0</v>
      </c>
      <c r="BA120" s="161"/>
      <c r="BB120" s="45">
        <f>TblProd[[#This Row],[Hour]]</f>
        <v>45</v>
      </c>
      <c r="BC120" s="166">
        <f>-TblProd[[#This Row],[Bank Lumber]] / 2 + -TblProd[[#This Row],[Bank Gems]] * 2</f>
        <v>0</v>
      </c>
      <c r="BD120" s="166"/>
      <c r="BE120" s="166"/>
      <c r="BF120" s="166"/>
      <c r="BG120" s="167">
        <f ca="1">TblProd[[#This Row],[Time]]</f>
        <v>44815.583333333052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737254</v>
      </c>
      <c r="BJ120" s="97">
        <f ca="1">TblProd[[#This Row],[Food]]</f>
        <v>142276</v>
      </c>
      <c r="BK120" s="97">
        <f ca="1">TblProd[[#This Row],[Lumber]]</f>
        <v>73507</v>
      </c>
      <c r="BL120" s="97">
        <f ca="1">TblProd[[#This Row],[Mana]]</f>
        <v>0</v>
      </c>
      <c r="BM120" s="97">
        <f ca="1">TblProd[[#This Row],[Ore]]</f>
        <v>0</v>
      </c>
    </row>
    <row r="121" spans="1:65" x14ac:dyDescent="0.2">
      <c r="A121" s="145">
        <v>46</v>
      </c>
      <c r="B121" s="160">
        <f ca="1">TblImps[[#This Row],[Time]]</f>
        <v>44815.624999999716</v>
      </c>
      <c r="C121" s="161"/>
      <c r="D121" s="162"/>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742740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10000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50"/>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63">
        <f ca="1">OFFSET(TblConstr[[#This Row],[Tot Doc]],1,0)*dock_boats_hr * (1 + tech_4_1*TblTech[[#This Row],[4-1]])</f>
        <v>0</v>
      </c>
      <c r="Z121" s="162"/>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2]]/2,0),)</f>
        <v>0</v>
      </c>
      <c r="AF121" s="97">
        <f ca="1">OFFSET(TblConstr[[#This Row],[Tot DM]],1,0)*dm_gems</f>
        <v>0</v>
      </c>
      <c r="AG121" s="150"/>
      <c r="AH121" s="164">
        <f ca="1">MIN(race_platinum_bonus + IF(Magic!AD121&gt;0,midas_bonus) + TblImps[[#This Row],[Science]] - TblProd[[#This Row],[Guard]]*(0.02 + tech_5_7*TblTech[[#This Row],[5-7]]) + tech_1_5*TblTech[[#This Row],[1-5]] + tech_4_4*TblTech[[#This Row],[4-4]], 0.5)</f>
        <v>0</v>
      </c>
      <c r="AI12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64">
        <f ca="1">race_lumber_bonus+ IF(TblMagic[[#This Row],[Active Gaia''s Blessing]]&gt;0,gaias_blessing_lumber)+ tech_1_3*TblTech[[#This Row],[1-3]] + tech_1_6*TblTech[[#This Row],[1-6]] + tech_3_3*TblTech[[#This Row],[3-3]]</f>
        <v>0</v>
      </c>
      <c r="AK121" s="164">
        <f ca="1">race_mana_bonus+ 0 + TblImps[[#This Row],[Towers]] + tech_1_2*TblTech[[#This Row],[1-2]] + tech_3_4*TblTech[[#This Row],[3-4]]</f>
        <v>0</v>
      </c>
      <c r="AL121" s="164">
        <f ca="1">race_ore_bonus + IF(TblMagic[[#This Row],[Active Miner''s Sight]]&gt;0,miners_sight_bonus,IF(TblMagic[[#This Row],[Active Mining Strength]]&gt;0,mining_strength_bonus)) +  tech_1_6*TblTech[[#This Row],[1-6]]</f>
        <v>0</v>
      </c>
      <c r="AM121" s="164">
        <f>race_gem_bonus+ tech_3_2*TblTech[[#This Row],[3-2]] + tech_4_3*TblTech[[#This Row],[4-3]] + tech_6_2*TblTech[[#This Row],[6-2]]</f>
        <v>0</v>
      </c>
      <c r="AN121" s="150"/>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62"/>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Military!$CH$25*TblMili[[#This Row],[Sec. rec. Cost]]</f>
        <v>0</v>
      </c>
      <c r="AV121" s="97">
        <f ca="1">TblMagic[[#This Row],[Mana cost]] + Military!$CH$26*TblMili[[#This Row],[Sec. rec. Cost]]</f>
        <v>0</v>
      </c>
      <c r="AW121" s="97">
        <f ca="1">Military!$CH$24*TblMili[[#This Row],[Sec. rec. Cost]]+TblImps[[#This Row],[O1]]-TblProd[[#This Row],[Bank Ore]]</f>
        <v>0</v>
      </c>
      <c r="AX121" s="97">
        <f>TblImps[[#This Row],[G1]]-TblProd[[#This Row],[Bank Gems]]</f>
        <v>0</v>
      </c>
      <c r="AY121" s="150"/>
      <c r="AZ121" s="62" t="b">
        <f ca="1">IF(TblProd[[#This Row],[Set Guard]]&lt;&gt;"",TblProd[[#This Row],[Set Guard]],OFFSET(TblProd[[#This Row],[Guard]],-1,0))</f>
        <v>0</v>
      </c>
      <c r="BA121" s="161"/>
      <c r="BB121" s="45">
        <f>TblProd[[#This Row],[Hour]]</f>
        <v>46</v>
      </c>
      <c r="BC121" s="166">
        <f>-TblProd[[#This Row],[Bank Lumber]] / 2 + -TblProd[[#This Row],[Bank Gems]] * 2</f>
        <v>0</v>
      </c>
      <c r="BD121" s="166"/>
      <c r="BE121" s="166"/>
      <c r="BF121" s="166"/>
      <c r="BG121" s="167">
        <f ca="1">TblProd[[#This Row],[Time]]</f>
        <v>44815.624999999716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742740</v>
      </c>
      <c r="BJ121" s="97">
        <f ca="1">TblProd[[#This Row],[Food]]</f>
        <v>142844</v>
      </c>
      <c r="BK121" s="97">
        <f ca="1">TblProd[[#This Row],[Lumber]]</f>
        <v>73772</v>
      </c>
      <c r="BL121" s="97">
        <f ca="1">TblProd[[#This Row],[Mana]]</f>
        <v>0</v>
      </c>
      <c r="BM121" s="97">
        <f ca="1">TblProd[[#This Row],[Ore]]</f>
        <v>0</v>
      </c>
    </row>
    <row r="122" spans="1:65" x14ac:dyDescent="0.2">
      <c r="A122" s="145">
        <v>47</v>
      </c>
      <c r="B122" s="160">
        <f ca="1">TblImps[[#This Row],[Time]]</f>
        <v>44815.66666666638</v>
      </c>
      <c r="C122" s="161"/>
      <c r="D122" s="162"/>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748226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10000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50"/>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63">
        <f ca="1">OFFSET(TblConstr[[#This Row],[Tot Doc]],1,0)*dock_boats_hr * (1 + tech_4_1*TblTech[[#This Row],[4-1]])</f>
        <v>0</v>
      </c>
      <c r="Z122" s="162"/>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2]]/2,0),)</f>
        <v>0</v>
      </c>
      <c r="AF122" s="97">
        <f ca="1">OFFSET(TblConstr[[#This Row],[Tot DM]],1,0)*dm_gems</f>
        <v>0</v>
      </c>
      <c r="AG122" s="150"/>
      <c r="AH122" s="164">
        <f ca="1">MIN(race_platinum_bonus + IF(Magic!AD122&gt;0,midas_bonus) + TblImps[[#This Row],[Science]] - TblProd[[#This Row],[Guard]]*(0.02 + tech_5_7*TblTech[[#This Row],[5-7]]) + tech_1_5*TblTech[[#This Row],[1-5]] + tech_4_4*TblTech[[#This Row],[4-4]], 0.5)</f>
        <v>0</v>
      </c>
      <c r="AI12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64">
        <f ca="1">race_lumber_bonus+ IF(TblMagic[[#This Row],[Active Gaia''s Blessing]]&gt;0,gaias_blessing_lumber)+ tech_1_3*TblTech[[#This Row],[1-3]] + tech_1_6*TblTech[[#This Row],[1-6]] + tech_3_3*TblTech[[#This Row],[3-3]]</f>
        <v>0</v>
      </c>
      <c r="AK122" s="164">
        <f ca="1">race_mana_bonus+ 0 + TblImps[[#This Row],[Towers]] + tech_1_2*TblTech[[#This Row],[1-2]] + tech_3_4*TblTech[[#This Row],[3-4]]</f>
        <v>0</v>
      </c>
      <c r="AL122" s="164">
        <f ca="1">race_ore_bonus + IF(TblMagic[[#This Row],[Active Miner''s Sight]]&gt;0,miners_sight_bonus,IF(TblMagic[[#This Row],[Active Mining Strength]]&gt;0,mining_strength_bonus)) +  tech_1_6*TblTech[[#This Row],[1-6]]</f>
        <v>0</v>
      </c>
      <c r="AM122" s="164">
        <f>race_gem_bonus+ tech_3_2*TblTech[[#This Row],[3-2]] + tech_4_3*TblTech[[#This Row],[4-3]] + tech_6_2*TblTech[[#This Row],[6-2]]</f>
        <v>0</v>
      </c>
      <c r="AN122" s="150"/>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62"/>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Military!$CH$25*TblMili[[#This Row],[Sec. rec. Cost]]</f>
        <v>0</v>
      </c>
      <c r="AV122" s="97">
        <f ca="1">TblMagic[[#This Row],[Mana cost]] + Military!$CH$26*TblMili[[#This Row],[Sec. rec. Cost]]</f>
        <v>0</v>
      </c>
      <c r="AW122" s="97">
        <f ca="1">Military!$CH$24*TblMili[[#This Row],[Sec. rec. Cost]]+TblImps[[#This Row],[O1]]-TblProd[[#This Row],[Bank Ore]]</f>
        <v>0</v>
      </c>
      <c r="AX122" s="97">
        <f>TblImps[[#This Row],[G1]]-TblProd[[#This Row],[Bank Gems]]</f>
        <v>0</v>
      </c>
      <c r="AY122" s="150"/>
      <c r="AZ122" s="62" t="b">
        <f ca="1">IF(TblProd[[#This Row],[Set Guard]]&lt;&gt;"",TblProd[[#This Row],[Set Guard]],OFFSET(TblProd[[#This Row],[Guard]],-1,0))</f>
        <v>0</v>
      </c>
      <c r="BA122" s="161"/>
      <c r="BB122" s="45">
        <f>TblProd[[#This Row],[Hour]]</f>
        <v>47</v>
      </c>
      <c r="BC122" s="166">
        <f>-TblProd[[#This Row],[Bank Lumber]] / 2 + -TblProd[[#This Row],[Bank Gems]] * 2</f>
        <v>0</v>
      </c>
      <c r="BD122" s="166"/>
      <c r="BE122" s="166"/>
      <c r="BF122" s="166"/>
      <c r="BG122" s="167">
        <f ca="1">TblProd[[#This Row],[Time]]</f>
        <v>44815.66666666638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748226</v>
      </c>
      <c r="BJ122" s="97">
        <f ca="1">TblProd[[#This Row],[Food]]</f>
        <v>143406</v>
      </c>
      <c r="BK122" s="97">
        <f ca="1">TblProd[[#This Row],[Lumber]]</f>
        <v>74034</v>
      </c>
      <c r="BL122" s="97">
        <f ca="1">TblProd[[#This Row],[Mana]]</f>
        <v>0</v>
      </c>
      <c r="BM122" s="97">
        <f ca="1">TblProd[[#This Row],[Ore]]</f>
        <v>0</v>
      </c>
    </row>
    <row r="123" spans="1:65" x14ac:dyDescent="0.2">
      <c r="A123" s="145">
        <v>48</v>
      </c>
      <c r="B123" s="160">
        <f ca="1">TblImps[[#This Row],[Time]]</f>
        <v>44815.708333333045</v>
      </c>
      <c r="C123" s="161"/>
      <c r="D123" s="162"/>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753712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10000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50"/>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63">
        <f ca="1">OFFSET(TblConstr[[#This Row],[Tot Doc]],1,0)*dock_boats_hr * (1 + tech_4_1*TblTech[[#This Row],[4-1]])</f>
        <v>0</v>
      </c>
      <c r="Z123" s="162"/>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2]]/2,0),)</f>
        <v>0</v>
      </c>
      <c r="AF123" s="97">
        <f ca="1">OFFSET(TblConstr[[#This Row],[Tot DM]],1,0)*dm_gems</f>
        <v>0</v>
      </c>
      <c r="AG123" s="150"/>
      <c r="AH123" s="164">
        <f ca="1">MIN(race_platinum_bonus + IF(Magic!AD123&gt;0,midas_bonus) + TblImps[[#This Row],[Science]] - TblProd[[#This Row],[Guard]]*(0.02 + tech_5_7*TblTech[[#This Row],[5-7]]) + tech_1_5*TblTech[[#This Row],[1-5]] + tech_4_4*TblTech[[#This Row],[4-4]], 0.5)</f>
        <v>0</v>
      </c>
      <c r="AI12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64">
        <f ca="1">race_lumber_bonus+ IF(TblMagic[[#This Row],[Active Gaia''s Blessing]]&gt;0,gaias_blessing_lumber)+ tech_1_3*TblTech[[#This Row],[1-3]] + tech_1_6*TblTech[[#This Row],[1-6]] + tech_3_3*TblTech[[#This Row],[3-3]]</f>
        <v>0</v>
      </c>
      <c r="AK123" s="164">
        <f ca="1">race_mana_bonus+ 0 + TblImps[[#This Row],[Towers]] + tech_1_2*TblTech[[#This Row],[1-2]] + tech_3_4*TblTech[[#This Row],[3-4]]</f>
        <v>0</v>
      </c>
      <c r="AL123" s="164">
        <f ca="1">race_ore_bonus + IF(TblMagic[[#This Row],[Active Miner''s Sight]]&gt;0,miners_sight_bonus,IF(TblMagic[[#This Row],[Active Mining Strength]]&gt;0,mining_strength_bonus)) +  tech_1_6*TblTech[[#This Row],[1-6]]</f>
        <v>0</v>
      </c>
      <c r="AM123" s="164">
        <f>race_gem_bonus+ tech_3_2*TblTech[[#This Row],[3-2]] + tech_4_3*TblTech[[#This Row],[4-3]] + tech_6_2*TblTech[[#This Row],[6-2]]</f>
        <v>0</v>
      </c>
      <c r="AN123" s="150"/>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62"/>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Military!$CH$25*TblMili[[#This Row],[Sec. rec. Cost]]</f>
        <v>0</v>
      </c>
      <c r="AV123" s="97">
        <f ca="1">TblMagic[[#This Row],[Mana cost]] + Military!$CH$26*TblMili[[#This Row],[Sec. rec. Cost]]</f>
        <v>0</v>
      </c>
      <c r="AW123" s="97">
        <f ca="1">Military!$CH$24*TblMili[[#This Row],[Sec. rec. Cost]]+TblImps[[#This Row],[O1]]-TblProd[[#This Row],[Bank Ore]]</f>
        <v>0</v>
      </c>
      <c r="AX123" s="97">
        <f>TblImps[[#This Row],[G1]]-TblProd[[#This Row],[Bank Gems]]</f>
        <v>0</v>
      </c>
      <c r="AY123" s="150"/>
      <c r="AZ123" s="62" t="b">
        <f ca="1">IF(TblProd[[#This Row],[Set Guard]]&lt;&gt;"",TblProd[[#This Row],[Set Guard]],OFFSET(TblProd[[#This Row],[Guard]],-1,0))</f>
        <v>0</v>
      </c>
      <c r="BA123" s="161"/>
      <c r="BB123" s="45">
        <f>TblProd[[#This Row],[Hour]]</f>
        <v>48</v>
      </c>
      <c r="BC123" s="166">
        <f>-TblProd[[#This Row],[Bank Lumber]] / 2 + -TblProd[[#This Row],[Bank Gems]] * 2</f>
        <v>0</v>
      </c>
      <c r="BD123" s="166"/>
      <c r="BE123" s="166"/>
      <c r="BF123" s="166"/>
      <c r="BG123" s="167">
        <f ca="1">TblProd[[#This Row],[Time]]</f>
        <v>44815.708333333045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753712</v>
      </c>
      <c r="BJ123" s="97">
        <f ca="1">TblProd[[#This Row],[Food]]</f>
        <v>143962</v>
      </c>
      <c r="BK123" s="97">
        <f ca="1">TblProd[[#This Row],[Lumber]]</f>
        <v>74294</v>
      </c>
      <c r="BL123" s="97">
        <f ca="1">TblProd[[#This Row],[Mana]]</f>
        <v>0</v>
      </c>
      <c r="BM123" s="97">
        <f ca="1">TblProd[[#This Row],[Ore]]</f>
        <v>0</v>
      </c>
    </row>
    <row r="124" spans="1:65" x14ac:dyDescent="0.2">
      <c r="A124" s="145">
        <v>49</v>
      </c>
      <c r="B124" s="160">
        <f ca="1">TblImps[[#This Row],[Time]]</f>
        <v>44815.749999999709</v>
      </c>
      <c r="C124" s="161"/>
      <c r="D124" s="162"/>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759198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10000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50"/>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63">
        <f ca="1">OFFSET(TblConstr[[#This Row],[Tot Doc]],1,0)*dock_boats_hr * (1 + tech_4_1*TblTech[[#This Row],[4-1]])</f>
        <v>0</v>
      </c>
      <c r="Z124" s="162"/>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2]]/2,0),)</f>
        <v>0</v>
      </c>
      <c r="AF124" s="97">
        <f ca="1">OFFSET(TblConstr[[#This Row],[Tot DM]],1,0)*dm_gems</f>
        <v>0</v>
      </c>
      <c r="AG124" s="150"/>
      <c r="AH124" s="164">
        <f ca="1">MIN(race_platinum_bonus + IF(Magic!AD124&gt;0,midas_bonus) + TblImps[[#This Row],[Science]] - TblProd[[#This Row],[Guard]]*(0.02 + tech_5_7*TblTech[[#This Row],[5-7]]) + tech_1_5*TblTech[[#This Row],[1-5]] + tech_4_4*TblTech[[#This Row],[4-4]], 0.5)</f>
        <v>0</v>
      </c>
      <c r="AI12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64">
        <f ca="1">race_lumber_bonus+ IF(TblMagic[[#This Row],[Active Gaia''s Blessing]]&gt;0,gaias_blessing_lumber)+ tech_1_3*TblTech[[#This Row],[1-3]] + tech_1_6*TblTech[[#This Row],[1-6]] + tech_3_3*TblTech[[#This Row],[3-3]]</f>
        <v>0</v>
      </c>
      <c r="AK124" s="164">
        <f ca="1">race_mana_bonus+ 0 + TblImps[[#This Row],[Towers]] + tech_1_2*TblTech[[#This Row],[1-2]] + tech_3_4*TblTech[[#This Row],[3-4]]</f>
        <v>0</v>
      </c>
      <c r="AL124" s="164">
        <f ca="1">race_ore_bonus + IF(TblMagic[[#This Row],[Active Miner''s Sight]]&gt;0,miners_sight_bonus,IF(TblMagic[[#This Row],[Active Mining Strength]]&gt;0,mining_strength_bonus)) +  tech_1_6*TblTech[[#This Row],[1-6]]</f>
        <v>0</v>
      </c>
      <c r="AM124" s="164">
        <f>race_gem_bonus+ tech_3_2*TblTech[[#This Row],[3-2]] + tech_4_3*TblTech[[#This Row],[4-3]] + tech_6_2*TblTech[[#This Row],[6-2]]</f>
        <v>0</v>
      </c>
      <c r="AN124" s="150"/>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62"/>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Military!$CH$25*TblMili[[#This Row],[Sec. rec. Cost]]</f>
        <v>0</v>
      </c>
      <c r="AV124" s="97">
        <f ca="1">TblMagic[[#This Row],[Mana cost]] + Military!$CH$26*TblMili[[#This Row],[Sec. rec. Cost]]</f>
        <v>0</v>
      </c>
      <c r="AW124" s="97">
        <f ca="1">Military!$CH$24*TblMili[[#This Row],[Sec. rec. Cost]]+TblImps[[#This Row],[O1]]-TblProd[[#This Row],[Bank Ore]]</f>
        <v>0</v>
      </c>
      <c r="AX124" s="97">
        <f>TblImps[[#This Row],[G1]]-TblProd[[#This Row],[Bank Gems]]</f>
        <v>0</v>
      </c>
      <c r="AY124" s="150"/>
      <c r="AZ124" s="62" t="b">
        <f ca="1">IF(TblProd[[#This Row],[Set Guard]]&lt;&gt;"",TblProd[[#This Row],[Set Guard]],OFFSET(TblProd[[#This Row],[Guard]],-1,0))</f>
        <v>0</v>
      </c>
      <c r="BA124" s="161"/>
      <c r="BB124" s="45">
        <f>TblProd[[#This Row],[Hour]]</f>
        <v>49</v>
      </c>
      <c r="BC124" s="166">
        <f>-TblProd[[#This Row],[Bank Lumber]] / 2 + -TblProd[[#This Row],[Bank Gems]] * 2</f>
        <v>0</v>
      </c>
      <c r="BD124" s="166"/>
      <c r="BE124" s="166"/>
      <c r="BF124" s="166"/>
      <c r="BG124" s="167">
        <f ca="1">TblProd[[#This Row],[Time]]</f>
        <v>44815.749999999709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759198</v>
      </c>
      <c r="BJ124" s="97">
        <f ca="1">TblProd[[#This Row],[Food]]</f>
        <v>144513</v>
      </c>
      <c r="BK124" s="97">
        <f ca="1">TblProd[[#This Row],[Lumber]]</f>
        <v>74551</v>
      </c>
      <c r="BL124" s="97">
        <f ca="1">TblProd[[#This Row],[Mana]]</f>
        <v>0</v>
      </c>
      <c r="BM124" s="97">
        <f ca="1">TblProd[[#This Row],[Ore]]</f>
        <v>0</v>
      </c>
    </row>
    <row r="125" spans="1:65" x14ac:dyDescent="0.2">
      <c r="A125" s="145">
        <v>50</v>
      </c>
      <c r="B125" s="160">
        <f ca="1">TblImps[[#This Row],[Time]]</f>
        <v>44815.791666666373</v>
      </c>
      <c r="C125" s="161"/>
      <c r="D125" s="162"/>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764684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10000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50"/>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63">
        <f ca="1">OFFSET(TblConstr[[#This Row],[Tot Doc]],1,0)*dock_boats_hr * (1 + tech_4_1*TblTech[[#This Row],[4-1]])</f>
        <v>0</v>
      </c>
      <c r="Z125" s="162"/>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2]]/2,0),)</f>
        <v>0</v>
      </c>
      <c r="AF125" s="97">
        <f ca="1">OFFSET(TblConstr[[#This Row],[Tot DM]],1,0)*dm_gems</f>
        <v>0</v>
      </c>
      <c r="AG125" s="150"/>
      <c r="AH125" s="164">
        <f ca="1">MIN(race_platinum_bonus + IF(Magic!AD125&gt;0,midas_bonus) + TblImps[[#This Row],[Science]] - TblProd[[#This Row],[Guard]]*(0.02 + tech_5_7*TblTech[[#This Row],[5-7]]) + tech_1_5*TblTech[[#This Row],[1-5]] + tech_4_4*TblTech[[#This Row],[4-4]], 0.5)</f>
        <v>0</v>
      </c>
      <c r="AI12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64">
        <f ca="1">race_lumber_bonus+ IF(TblMagic[[#This Row],[Active Gaia''s Blessing]]&gt;0,gaias_blessing_lumber)+ tech_1_3*TblTech[[#This Row],[1-3]] + tech_1_6*TblTech[[#This Row],[1-6]] + tech_3_3*TblTech[[#This Row],[3-3]]</f>
        <v>0</v>
      </c>
      <c r="AK125" s="164">
        <f ca="1">race_mana_bonus+ 0 + TblImps[[#This Row],[Towers]] + tech_1_2*TblTech[[#This Row],[1-2]] + tech_3_4*TblTech[[#This Row],[3-4]]</f>
        <v>0</v>
      </c>
      <c r="AL125" s="164">
        <f ca="1">race_ore_bonus + IF(TblMagic[[#This Row],[Active Miner''s Sight]]&gt;0,miners_sight_bonus,IF(TblMagic[[#This Row],[Active Mining Strength]]&gt;0,mining_strength_bonus)) +  tech_1_6*TblTech[[#This Row],[1-6]]</f>
        <v>0</v>
      </c>
      <c r="AM125" s="164">
        <f>race_gem_bonus+ tech_3_2*TblTech[[#This Row],[3-2]] + tech_4_3*TblTech[[#This Row],[4-3]] + tech_6_2*TblTech[[#This Row],[6-2]]</f>
        <v>0</v>
      </c>
      <c r="AN125" s="150"/>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62"/>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Military!$CH$25*TblMili[[#This Row],[Sec. rec. Cost]]</f>
        <v>0</v>
      </c>
      <c r="AV125" s="97">
        <f ca="1">TblMagic[[#This Row],[Mana cost]] + Military!$CH$26*TblMili[[#This Row],[Sec. rec. Cost]]</f>
        <v>0</v>
      </c>
      <c r="AW125" s="97">
        <f ca="1">Military!$CH$24*TblMili[[#This Row],[Sec. rec. Cost]]+TblImps[[#This Row],[O1]]-TblProd[[#This Row],[Bank Ore]]</f>
        <v>0</v>
      </c>
      <c r="AX125" s="97">
        <f>TblImps[[#This Row],[G1]]-TblProd[[#This Row],[Bank Gems]]</f>
        <v>0</v>
      </c>
      <c r="AY125" s="150"/>
      <c r="AZ125" s="62" t="b">
        <f ca="1">IF(TblProd[[#This Row],[Set Guard]]&lt;&gt;"",TblProd[[#This Row],[Set Guard]],OFFSET(TblProd[[#This Row],[Guard]],-1,0))</f>
        <v>0</v>
      </c>
      <c r="BA125" s="161"/>
      <c r="BB125" s="45">
        <f>TblProd[[#This Row],[Hour]]</f>
        <v>50</v>
      </c>
      <c r="BC125" s="166">
        <f>-TblProd[[#This Row],[Bank Lumber]] / 2 + -TblProd[[#This Row],[Bank Gems]] * 2</f>
        <v>0</v>
      </c>
      <c r="BD125" s="166"/>
      <c r="BE125" s="166"/>
      <c r="BF125" s="166"/>
      <c r="BG125" s="167">
        <f ca="1">TblProd[[#This Row],[Time]]</f>
        <v>44815.791666666373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764684</v>
      </c>
      <c r="BJ125" s="97">
        <f ca="1">TblProd[[#This Row],[Food]]</f>
        <v>145058</v>
      </c>
      <c r="BK125" s="97">
        <f ca="1">TblProd[[#This Row],[Lumber]]</f>
        <v>74805</v>
      </c>
      <c r="BL125" s="97">
        <f ca="1">TblProd[[#This Row],[Mana]]</f>
        <v>0</v>
      </c>
      <c r="BM125" s="97">
        <f ca="1">TblProd[[#This Row],[Ore]]</f>
        <v>0</v>
      </c>
    </row>
    <row r="126" spans="1:65" x14ac:dyDescent="0.2">
      <c r="A126" s="145">
        <v>51</v>
      </c>
      <c r="B126" s="160">
        <f ca="1">TblImps[[#This Row],[Time]]</f>
        <v>44815.833333333037</v>
      </c>
      <c r="C126" s="161"/>
      <c r="D126" s="162"/>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770170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10000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50"/>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63">
        <f ca="1">OFFSET(TblConstr[[#This Row],[Tot Doc]],1,0)*dock_boats_hr * (1 + tech_4_1*TblTech[[#This Row],[4-1]])</f>
        <v>0</v>
      </c>
      <c r="Z126" s="162"/>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2]]/2,0),)</f>
        <v>0</v>
      </c>
      <c r="AF126" s="97">
        <f ca="1">OFFSET(TblConstr[[#This Row],[Tot DM]],1,0)*dm_gems</f>
        <v>0</v>
      </c>
      <c r="AG126" s="150"/>
      <c r="AH126" s="164">
        <f ca="1">MIN(race_platinum_bonus + IF(Magic!AD126&gt;0,midas_bonus) + TblImps[[#This Row],[Science]] - TblProd[[#This Row],[Guard]]*(0.02 + tech_5_7*TblTech[[#This Row],[5-7]]) + tech_1_5*TblTech[[#This Row],[1-5]] + tech_4_4*TblTech[[#This Row],[4-4]], 0.5)</f>
        <v>0</v>
      </c>
      <c r="AI12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64">
        <f ca="1">race_lumber_bonus+ IF(TblMagic[[#This Row],[Active Gaia''s Blessing]]&gt;0,gaias_blessing_lumber)+ tech_1_3*TblTech[[#This Row],[1-3]] + tech_1_6*TblTech[[#This Row],[1-6]] + tech_3_3*TblTech[[#This Row],[3-3]]</f>
        <v>0</v>
      </c>
      <c r="AK126" s="164">
        <f ca="1">race_mana_bonus+ 0 + TblImps[[#This Row],[Towers]] + tech_1_2*TblTech[[#This Row],[1-2]] + tech_3_4*TblTech[[#This Row],[3-4]]</f>
        <v>0</v>
      </c>
      <c r="AL126" s="164">
        <f ca="1">race_ore_bonus + IF(TblMagic[[#This Row],[Active Miner''s Sight]]&gt;0,miners_sight_bonus,IF(TblMagic[[#This Row],[Active Mining Strength]]&gt;0,mining_strength_bonus)) +  tech_1_6*TblTech[[#This Row],[1-6]]</f>
        <v>0</v>
      </c>
      <c r="AM126" s="164">
        <f>race_gem_bonus+ tech_3_2*TblTech[[#This Row],[3-2]] + tech_4_3*TblTech[[#This Row],[4-3]] + tech_6_2*TblTech[[#This Row],[6-2]]</f>
        <v>0</v>
      </c>
      <c r="AN126" s="150"/>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62"/>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Military!$CH$25*TblMili[[#This Row],[Sec. rec. Cost]]</f>
        <v>0</v>
      </c>
      <c r="AV126" s="97">
        <f ca="1">TblMagic[[#This Row],[Mana cost]] + Military!$CH$26*TblMili[[#This Row],[Sec. rec. Cost]]</f>
        <v>0</v>
      </c>
      <c r="AW126" s="97">
        <f ca="1">Military!$CH$24*TblMili[[#This Row],[Sec. rec. Cost]]+TblImps[[#This Row],[O1]]-TblProd[[#This Row],[Bank Ore]]</f>
        <v>0</v>
      </c>
      <c r="AX126" s="97">
        <f>TblImps[[#This Row],[G1]]-TblProd[[#This Row],[Bank Gems]]</f>
        <v>0</v>
      </c>
      <c r="AY126" s="150"/>
      <c r="AZ126" s="62" t="b">
        <f ca="1">IF(TblProd[[#This Row],[Set Guard]]&lt;&gt;"",TblProd[[#This Row],[Set Guard]],OFFSET(TblProd[[#This Row],[Guard]],-1,0))</f>
        <v>0</v>
      </c>
      <c r="BA126" s="161"/>
      <c r="BB126" s="45">
        <f>TblProd[[#This Row],[Hour]]</f>
        <v>51</v>
      </c>
      <c r="BC126" s="166">
        <f>-TblProd[[#This Row],[Bank Lumber]] / 2 + -TblProd[[#This Row],[Bank Gems]] * 2</f>
        <v>0</v>
      </c>
      <c r="BD126" s="166"/>
      <c r="BE126" s="166"/>
      <c r="BF126" s="166"/>
      <c r="BG126" s="167">
        <f ca="1">TblProd[[#This Row],[Time]]</f>
        <v>44815.833333333037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770170</v>
      </c>
      <c r="BJ126" s="97">
        <f ca="1">TblProd[[#This Row],[Food]]</f>
        <v>145598</v>
      </c>
      <c r="BK126" s="97">
        <f ca="1">TblProd[[#This Row],[Lumber]]</f>
        <v>75057</v>
      </c>
      <c r="BL126" s="97">
        <f ca="1">TblProd[[#This Row],[Mana]]</f>
        <v>0</v>
      </c>
      <c r="BM126" s="97">
        <f ca="1">TblProd[[#This Row],[Ore]]</f>
        <v>0</v>
      </c>
    </row>
    <row r="127" spans="1:65" x14ac:dyDescent="0.2">
      <c r="A127" s="145">
        <v>52</v>
      </c>
      <c r="B127" s="160">
        <f ca="1">TblImps[[#This Row],[Time]]</f>
        <v>44815.874999999702</v>
      </c>
      <c r="C127" s="161"/>
      <c r="D127" s="162"/>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775656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10000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50"/>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63">
        <f ca="1">OFFSET(TblConstr[[#This Row],[Tot Doc]],1,0)*dock_boats_hr * (1 + tech_4_1*TblTech[[#This Row],[4-1]])</f>
        <v>0</v>
      </c>
      <c r="Z127" s="162"/>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2]]/2,0),)</f>
        <v>0</v>
      </c>
      <c r="AF127" s="97">
        <f ca="1">OFFSET(TblConstr[[#This Row],[Tot DM]],1,0)*dm_gems</f>
        <v>0</v>
      </c>
      <c r="AG127" s="150"/>
      <c r="AH127" s="164">
        <f ca="1">MIN(race_platinum_bonus + IF(Magic!AD127&gt;0,midas_bonus) + TblImps[[#This Row],[Science]] - TblProd[[#This Row],[Guard]]*(0.02 + tech_5_7*TblTech[[#This Row],[5-7]]) + tech_1_5*TblTech[[#This Row],[1-5]] + tech_4_4*TblTech[[#This Row],[4-4]], 0.5)</f>
        <v>0</v>
      </c>
      <c r="AI127"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64">
        <f ca="1">race_lumber_bonus+ IF(TblMagic[[#This Row],[Active Gaia''s Blessing]]&gt;0,gaias_blessing_lumber)+ tech_1_3*TblTech[[#This Row],[1-3]] + tech_1_6*TblTech[[#This Row],[1-6]] + tech_3_3*TblTech[[#This Row],[3-3]]</f>
        <v>0</v>
      </c>
      <c r="AK127" s="164">
        <f ca="1">race_mana_bonus+ 0 + TblImps[[#This Row],[Towers]] + tech_1_2*TblTech[[#This Row],[1-2]] + tech_3_4*TblTech[[#This Row],[3-4]]</f>
        <v>0</v>
      </c>
      <c r="AL127" s="164">
        <f ca="1">race_ore_bonus + IF(TblMagic[[#This Row],[Active Miner''s Sight]]&gt;0,miners_sight_bonus,IF(TblMagic[[#This Row],[Active Mining Strength]]&gt;0,mining_strength_bonus)) +  tech_1_6*TblTech[[#This Row],[1-6]]</f>
        <v>0</v>
      </c>
      <c r="AM127" s="164">
        <f>race_gem_bonus+ tech_3_2*TblTech[[#This Row],[3-2]] + tech_4_3*TblTech[[#This Row],[4-3]] + tech_6_2*TblTech[[#This Row],[6-2]]</f>
        <v>0</v>
      </c>
      <c r="AN127" s="150"/>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62"/>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Military!$CH$25*TblMili[[#This Row],[Sec. rec. Cost]]</f>
        <v>0</v>
      </c>
      <c r="AV127" s="97">
        <f ca="1">TblMagic[[#This Row],[Mana cost]] + Military!$CH$26*TblMili[[#This Row],[Sec. rec. Cost]]</f>
        <v>0</v>
      </c>
      <c r="AW127" s="97">
        <f ca="1">Military!$CH$24*TblMili[[#This Row],[Sec. rec. Cost]]+TblImps[[#This Row],[O1]]-TblProd[[#This Row],[Bank Ore]]</f>
        <v>0</v>
      </c>
      <c r="AX127" s="97">
        <f>TblImps[[#This Row],[G1]]-TblProd[[#This Row],[Bank Gems]]</f>
        <v>0</v>
      </c>
      <c r="AY127" s="150"/>
      <c r="AZ127" s="62" t="b">
        <f ca="1">IF(TblProd[[#This Row],[Set Guard]]&lt;&gt;"",TblProd[[#This Row],[Set Guard]],OFFSET(TblProd[[#This Row],[Guard]],-1,0))</f>
        <v>0</v>
      </c>
      <c r="BA127" s="161"/>
      <c r="BB127" s="45">
        <f>TblProd[[#This Row],[Hour]]</f>
        <v>52</v>
      </c>
      <c r="BC127" s="166">
        <f>-TblProd[[#This Row],[Bank Lumber]] / 2 + -TblProd[[#This Row],[Bank Gems]] * 2</f>
        <v>0</v>
      </c>
      <c r="BD127" s="166"/>
      <c r="BE127" s="166"/>
      <c r="BF127" s="166"/>
      <c r="BG127" s="167">
        <f ca="1">TblProd[[#This Row],[Time]]</f>
        <v>44815.874999999702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775656</v>
      </c>
      <c r="BJ127" s="97">
        <f ca="1">TblProd[[#This Row],[Food]]</f>
        <v>146133</v>
      </c>
      <c r="BK127" s="97">
        <f ca="1">TblProd[[#This Row],[Lumber]]</f>
        <v>75306</v>
      </c>
      <c r="BL127" s="97">
        <f ca="1">TblProd[[#This Row],[Mana]]</f>
        <v>0</v>
      </c>
      <c r="BM127" s="97">
        <f ca="1">TblProd[[#This Row],[Ore]]</f>
        <v>0</v>
      </c>
    </row>
    <row r="128" spans="1:65" x14ac:dyDescent="0.2">
      <c r="A128" s="145">
        <v>53</v>
      </c>
      <c r="B128" s="160">
        <f ca="1">TblImps[[#This Row],[Time]]</f>
        <v>44815.916666666366</v>
      </c>
      <c r="C128" s="161"/>
      <c r="D128" s="162"/>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781142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10000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50"/>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63">
        <f ca="1">OFFSET(TblConstr[[#This Row],[Tot Doc]],1,0)*dock_boats_hr * (1 + tech_4_1*TblTech[[#This Row],[4-1]])</f>
        <v>0</v>
      </c>
      <c r="Z128" s="162"/>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2]]/2,0),)</f>
        <v>0</v>
      </c>
      <c r="AF128" s="97">
        <f ca="1">OFFSET(TblConstr[[#This Row],[Tot DM]],1,0)*dm_gems</f>
        <v>0</v>
      </c>
      <c r="AG128" s="150"/>
      <c r="AH128" s="164">
        <f ca="1">MIN(race_platinum_bonus + IF(Magic!AD128&gt;0,midas_bonus) + TblImps[[#This Row],[Science]] - TblProd[[#This Row],[Guard]]*(0.02 + tech_5_7*TblTech[[#This Row],[5-7]]) + tech_1_5*TblTech[[#This Row],[1-5]] + tech_4_4*TblTech[[#This Row],[4-4]], 0.5)</f>
        <v>0</v>
      </c>
      <c r="AI128"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64">
        <f ca="1">race_lumber_bonus+ IF(TblMagic[[#This Row],[Active Gaia''s Blessing]]&gt;0,gaias_blessing_lumber)+ tech_1_3*TblTech[[#This Row],[1-3]] + tech_1_6*TblTech[[#This Row],[1-6]] + tech_3_3*TblTech[[#This Row],[3-3]]</f>
        <v>0</v>
      </c>
      <c r="AK128" s="164">
        <f ca="1">race_mana_bonus+ 0 + TblImps[[#This Row],[Towers]] + tech_1_2*TblTech[[#This Row],[1-2]] + tech_3_4*TblTech[[#This Row],[3-4]]</f>
        <v>0</v>
      </c>
      <c r="AL128" s="164">
        <f ca="1">race_ore_bonus + IF(TblMagic[[#This Row],[Active Miner''s Sight]]&gt;0,miners_sight_bonus,IF(TblMagic[[#This Row],[Active Mining Strength]]&gt;0,mining_strength_bonus)) +  tech_1_6*TblTech[[#This Row],[1-6]]</f>
        <v>0</v>
      </c>
      <c r="AM128" s="164">
        <f>race_gem_bonus+ tech_3_2*TblTech[[#This Row],[3-2]] + tech_4_3*TblTech[[#This Row],[4-3]] + tech_6_2*TblTech[[#This Row],[6-2]]</f>
        <v>0</v>
      </c>
      <c r="AN128" s="150"/>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62"/>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Military!$CH$25*TblMili[[#This Row],[Sec. rec. Cost]]</f>
        <v>0</v>
      </c>
      <c r="AV128" s="97">
        <f ca="1">TblMagic[[#This Row],[Mana cost]] + Military!$CH$26*TblMili[[#This Row],[Sec. rec. Cost]]</f>
        <v>0</v>
      </c>
      <c r="AW128" s="97">
        <f ca="1">Military!$CH$24*TblMili[[#This Row],[Sec. rec. Cost]]+TblImps[[#This Row],[O1]]-TblProd[[#This Row],[Bank Ore]]</f>
        <v>0</v>
      </c>
      <c r="AX128" s="97">
        <f>TblImps[[#This Row],[G1]]-TblProd[[#This Row],[Bank Gems]]</f>
        <v>0</v>
      </c>
      <c r="AY128" s="150"/>
      <c r="AZ128" s="62" t="b">
        <f ca="1">IF(TblProd[[#This Row],[Set Guard]]&lt;&gt;"",TblProd[[#This Row],[Set Guard]],OFFSET(TblProd[[#This Row],[Guard]],-1,0))</f>
        <v>0</v>
      </c>
      <c r="BA128" s="161"/>
      <c r="BB128" s="45">
        <f>TblProd[[#This Row],[Hour]]</f>
        <v>53</v>
      </c>
      <c r="BC128" s="166">
        <f>-TblProd[[#This Row],[Bank Lumber]] / 2 + -TblProd[[#This Row],[Bank Gems]] * 2</f>
        <v>0</v>
      </c>
      <c r="BD128" s="166"/>
      <c r="BE128" s="166"/>
      <c r="BF128" s="166"/>
      <c r="BG128" s="167">
        <f ca="1">TblProd[[#This Row],[Time]]</f>
        <v>44815.916666666366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781142</v>
      </c>
      <c r="BJ128" s="97">
        <f ca="1">TblProd[[#This Row],[Food]]</f>
        <v>146662</v>
      </c>
      <c r="BK128" s="97">
        <f ca="1">TblProd[[#This Row],[Lumber]]</f>
        <v>75553</v>
      </c>
      <c r="BL128" s="97">
        <f ca="1">TblProd[[#This Row],[Mana]]</f>
        <v>0</v>
      </c>
      <c r="BM128" s="97">
        <f ca="1">TblProd[[#This Row],[Ore]]</f>
        <v>0</v>
      </c>
    </row>
    <row r="129" spans="1:65" x14ac:dyDescent="0.2">
      <c r="A129" s="145">
        <v>54</v>
      </c>
      <c r="B129" s="160">
        <f ca="1">TblImps[[#This Row],[Time]]</f>
        <v>44815.95833333303</v>
      </c>
      <c r="C129" s="161"/>
      <c r="D129" s="162"/>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786628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10000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50"/>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63">
        <f ca="1">OFFSET(TblConstr[[#This Row],[Tot Doc]],1,0)*dock_boats_hr * (1 + tech_4_1*TblTech[[#This Row],[4-1]])</f>
        <v>0</v>
      </c>
      <c r="Z129" s="162"/>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2]]/2,0),)</f>
        <v>0</v>
      </c>
      <c r="AF129" s="97">
        <f ca="1">OFFSET(TblConstr[[#This Row],[Tot DM]],1,0)*dm_gems</f>
        <v>0</v>
      </c>
      <c r="AG129" s="150"/>
      <c r="AH129" s="164">
        <f ca="1">MIN(race_platinum_bonus + IF(Magic!AD129&gt;0,midas_bonus) + TblImps[[#This Row],[Science]] - TblProd[[#This Row],[Guard]]*(0.02 + tech_5_7*TblTech[[#This Row],[5-7]]) + tech_1_5*TblTech[[#This Row],[1-5]] + tech_4_4*TblTech[[#This Row],[4-4]], 0.5)</f>
        <v>0</v>
      </c>
      <c r="AI129"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64">
        <f ca="1">race_lumber_bonus+ IF(TblMagic[[#This Row],[Active Gaia''s Blessing]]&gt;0,gaias_blessing_lumber)+ tech_1_3*TblTech[[#This Row],[1-3]] + tech_1_6*TblTech[[#This Row],[1-6]] + tech_3_3*TblTech[[#This Row],[3-3]]</f>
        <v>0</v>
      </c>
      <c r="AK129" s="164">
        <f ca="1">race_mana_bonus+ 0 + TblImps[[#This Row],[Towers]] + tech_1_2*TblTech[[#This Row],[1-2]] + tech_3_4*TblTech[[#This Row],[3-4]]</f>
        <v>0</v>
      </c>
      <c r="AL129" s="164">
        <f ca="1">race_ore_bonus + IF(TblMagic[[#This Row],[Active Miner''s Sight]]&gt;0,miners_sight_bonus,IF(TblMagic[[#This Row],[Active Mining Strength]]&gt;0,mining_strength_bonus)) +  tech_1_6*TblTech[[#This Row],[1-6]]</f>
        <v>0</v>
      </c>
      <c r="AM129" s="164">
        <f>race_gem_bonus+ tech_3_2*TblTech[[#This Row],[3-2]] + tech_4_3*TblTech[[#This Row],[4-3]] + tech_6_2*TblTech[[#This Row],[6-2]]</f>
        <v>0</v>
      </c>
      <c r="AN129" s="150"/>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62"/>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Military!$CH$25*TblMili[[#This Row],[Sec. rec. Cost]]</f>
        <v>0</v>
      </c>
      <c r="AV129" s="97">
        <f ca="1">TblMagic[[#This Row],[Mana cost]] + Military!$CH$26*TblMili[[#This Row],[Sec. rec. Cost]]</f>
        <v>0</v>
      </c>
      <c r="AW129" s="97">
        <f ca="1">Military!$CH$24*TblMili[[#This Row],[Sec. rec. Cost]]+TblImps[[#This Row],[O1]]-TblProd[[#This Row],[Bank Ore]]</f>
        <v>0</v>
      </c>
      <c r="AX129" s="97">
        <f>TblImps[[#This Row],[G1]]-TblProd[[#This Row],[Bank Gems]]</f>
        <v>0</v>
      </c>
      <c r="AY129" s="150"/>
      <c r="AZ129" s="62" t="b">
        <f ca="1">IF(TblProd[[#This Row],[Set Guard]]&lt;&gt;"",TblProd[[#This Row],[Set Guard]],OFFSET(TblProd[[#This Row],[Guard]],-1,0))</f>
        <v>0</v>
      </c>
      <c r="BA129" s="161"/>
      <c r="BB129" s="45">
        <f>TblProd[[#This Row],[Hour]]</f>
        <v>54</v>
      </c>
      <c r="BC129" s="166">
        <f>-TblProd[[#This Row],[Bank Lumber]] / 2 + -TblProd[[#This Row],[Bank Gems]] * 2</f>
        <v>0</v>
      </c>
      <c r="BD129" s="166"/>
      <c r="BE129" s="166"/>
      <c r="BF129" s="166"/>
      <c r="BG129" s="167">
        <f ca="1">TblProd[[#This Row],[Time]]</f>
        <v>44815.95833333303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786628</v>
      </c>
      <c r="BJ129" s="97">
        <f ca="1">TblProd[[#This Row],[Food]]</f>
        <v>147186</v>
      </c>
      <c r="BK129" s="97">
        <f ca="1">TblProd[[#This Row],[Lumber]]</f>
        <v>75797</v>
      </c>
      <c r="BL129" s="97">
        <f ca="1">TblProd[[#This Row],[Mana]]</f>
        <v>0</v>
      </c>
      <c r="BM129" s="97">
        <f ca="1">TblProd[[#This Row],[Ore]]</f>
        <v>0</v>
      </c>
    </row>
    <row r="130" spans="1:65" x14ac:dyDescent="0.2">
      <c r="A130" s="145">
        <v>55</v>
      </c>
      <c r="B130" s="160">
        <f ca="1">TblImps[[#This Row],[Time]]</f>
        <v>44815.999999999694</v>
      </c>
      <c r="C130" s="161"/>
      <c r="D130" s="162"/>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792114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10000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50"/>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63">
        <f ca="1">OFFSET(TblConstr[[#This Row],[Tot Doc]],1,0)*dock_boats_hr * (1 + tech_4_1*TblTech[[#This Row],[4-1]])</f>
        <v>0</v>
      </c>
      <c r="Z130" s="162"/>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2]]/2,0),)</f>
        <v>0</v>
      </c>
      <c r="AF130" s="97">
        <f ca="1">OFFSET(TblConstr[[#This Row],[Tot DM]],1,0)*dm_gems</f>
        <v>0</v>
      </c>
      <c r="AG130" s="150"/>
      <c r="AH130" s="164">
        <f ca="1">MIN(race_platinum_bonus + IF(Magic!AD130&gt;0,midas_bonus) + TblImps[[#This Row],[Science]] - TblProd[[#This Row],[Guard]]*(0.02 + tech_5_7*TblTech[[#This Row],[5-7]]) + tech_1_5*TblTech[[#This Row],[1-5]] + tech_4_4*TblTech[[#This Row],[4-4]], 0.5)</f>
        <v>0</v>
      </c>
      <c r="AI130"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64">
        <f ca="1">race_lumber_bonus+ IF(TblMagic[[#This Row],[Active Gaia''s Blessing]]&gt;0,gaias_blessing_lumber)+ tech_1_3*TblTech[[#This Row],[1-3]] + tech_1_6*TblTech[[#This Row],[1-6]] + tech_3_3*TblTech[[#This Row],[3-3]]</f>
        <v>0</v>
      </c>
      <c r="AK130" s="164">
        <f ca="1">race_mana_bonus+ 0 + TblImps[[#This Row],[Towers]] + tech_1_2*TblTech[[#This Row],[1-2]] + tech_3_4*TblTech[[#This Row],[3-4]]</f>
        <v>0</v>
      </c>
      <c r="AL130" s="164">
        <f ca="1">race_ore_bonus + IF(TblMagic[[#This Row],[Active Miner''s Sight]]&gt;0,miners_sight_bonus,IF(TblMagic[[#This Row],[Active Mining Strength]]&gt;0,mining_strength_bonus)) +  tech_1_6*TblTech[[#This Row],[1-6]]</f>
        <v>0</v>
      </c>
      <c r="AM130" s="164">
        <f>race_gem_bonus+ tech_3_2*TblTech[[#This Row],[3-2]] + tech_4_3*TblTech[[#This Row],[4-3]] + tech_6_2*TblTech[[#This Row],[6-2]]</f>
        <v>0</v>
      </c>
      <c r="AN130" s="150"/>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62"/>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Military!$CH$25*TblMili[[#This Row],[Sec. rec. Cost]]</f>
        <v>0</v>
      </c>
      <c r="AV130" s="97">
        <f ca="1">TblMagic[[#This Row],[Mana cost]] + Military!$CH$26*TblMili[[#This Row],[Sec. rec. Cost]]</f>
        <v>0</v>
      </c>
      <c r="AW130" s="97">
        <f ca="1">Military!$CH$24*TblMili[[#This Row],[Sec. rec. Cost]]+TblImps[[#This Row],[O1]]-TblProd[[#This Row],[Bank Ore]]</f>
        <v>0</v>
      </c>
      <c r="AX130" s="97">
        <f>TblImps[[#This Row],[G1]]-TblProd[[#This Row],[Bank Gems]]</f>
        <v>0</v>
      </c>
      <c r="AY130" s="150"/>
      <c r="AZ130" s="62" t="b">
        <f ca="1">IF(TblProd[[#This Row],[Set Guard]]&lt;&gt;"",TblProd[[#This Row],[Set Guard]],OFFSET(TblProd[[#This Row],[Guard]],-1,0))</f>
        <v>0</v>
      </c>
      <c r="BA130" s="161"/>
      <c r="BB130" s="45">
        <f>TblProd[[#This Row],[Hour]]</f>
        <v>55</v>
      </c>
      <c r="BC130" s="166">
        <f>-TblProd[[#This Row],[Bank Lumber]] / 2 + -TblProd[[#This Row],[Bank Gems]] * 2</f>
        <v>0</v>
      </c>
      <c r="BD130" s="166"/>
      <c r="BE130" s="166"/>
      <c r="BF130" s="166"/>
      <c r="BG130" s="167">
        <f ca="1">TblProd[[#This Row],[Time]]</f>
        <v>44815.999999999694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792114</v>
      </c>
      <c r="BJ130" s="97">
        <f ca="1">TblProd[[#This Row],[Food]]</f>
        <v>147705</v>
      </c>
      <c r="BK130" s="97">
        <f ca="1">TblProd[[#This Row],[Lumber]]</f>
        <v>76039</v>
      </c>
      <c r="BL130" s="97">
        <f ca="1">TblProd[[#This Row],[Mana]]</f>
        <v>0</v>
      </c>
      <c r="BM130" s="97">
        <f ca="1">TblProd[[#This Row],[Ore]]</f>
        <v>0</v>
      </c>
    </row>
    <row r="131" spans="1:65" x14ac:dyDescent="0.2">
      <c r="A131" s="145">
        <v>56</v>
      </c>
      <c r="B131" s="160">
        <f ca="1">TblImps[[#This Row],[Time]]</f>
        <v>44816.041666666359</v>
      </c>
      <c r="C131" s="161"/>
      <c r="D131" s="162"/>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797600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10000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50"/>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63">
        <f ca="1">OFFSET(TblConstr[[#This Row],[Tot Doc]],1,0)*dock_boats_hr * (1 + tech_4_1*TblTech[[#This Row],[4-1]])</f>
        <v>0</v>
      </c>
      <c r="Z131" s="162"/>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2]]/2,0),)</f>
        <v>0</v>
      </c>
      <c r="AF131" s="97">
        <f ca="1">OFFSET(TblConstr[[#This Row],[Tot DM]],1,0)*dm_gems</f>
        <v>0</v>
      </c>
      <c r="AG131" s="150"/>
      <c r="AH131" s="164">
        <f ca="1">MIN(race_platinum_bonus + IF(Magic!AD131&gt;0,midas_bonus) + TblImps[[#This Row],[Science]] - TblProd[[#This Row],[Guard]]*(0.02 + tech_5_7*TblTech[[#This Row],[5-7]]) + tech_1_5*TblTech[[#This Row],[1-5]] + tech_4_4*TblTech[[#This Row],[4-4]], 0.5)</f>
        <v>0</v>
      </c>
      <c r="AI131"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64">
        <f ca="1">race_lumber_bonus+ IF(TblMagic[[#This Row],[Active Gaia''s Blessing]]&gt;0,gaias_blessing_lumber)+ tech_1_3*TblTech[[#This Row],[1-3]] + tech_1_6*TblTech[[#This Row],[1-6]] + tech_3_3*TblTech[[#This Row],[3-3]]</f>
        <v>0</v>
      </c>
      <c r="AK131" s="164">
        <f ca="1">race_mana_bonus+ 0 + TblImps[[#This Row],[Towers]] + tech_1_2*TblTech[[#This Row],[1-2]] + tech_3_4*TblTech[[#This Row],[3-4]]</f>
        <v>0</v>
      </c>
      <c r="AL131" s="164">
        <f ca="1">race_ore_bonus + IF(TblMagic[[#This Row],[Active Miner''s Sight]]&gt;0,miners_sight_bonus,IF(TblMagic[[#This Row],[Active Mining Strength]]&gt;0,mining_strength_bonus)) +  tech_1_6*TblTech[[#This Row],[1-6]]</f>
        <v>0</v>
      </c>
      <c r="AM131" s="164">
        <f>race_gem_bonus+ tech_3_2*TblTech[[#This Row],[3-2]] + tech_4_3*TblTech[[#This Row],[4-3]] + tech_6_2*TblTech[[#This Row],[6-2]]</f>
        <v>0</v>
      </c>
      <c r="AN131" s="150"/>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62"/>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Military!$CH$25*TblMili[[#This Row],[Sec. rec. Cost]]</f>
        <v>0</v>
      </c>
      <c r="AV131" s="97">
        <f ca="1">TblMagic[[#This Row],[Mana cost]] + Military!$CH$26*TblMili[[#This Row],[Sec. rec. Cost]]</f>
        <v>0</v>
      </c>
      <c r="AW131" s="97">
        <f ca="1">Military!$CH$24*TblMili[[#This Row],[Sec. rec. Cost]]+TblImps[[#This Row],[O1]]-TblProd[[#This Row],[Bank Ore]]</f>
        <v>0</v>
      </c>
      <c r="AX131" s="97">
        <f>TblImps[[#This Row],[G1]]-TblProd[[#This Row],[Bank Gems]]</f>
        <v>0</v>
      </c>
      <c r="AY131" s="150"/>
      <c r="AZ131" s="62" t="b">
        <f ca="1">IF(TblProd[[#This Row],[Set Guard]]&lt;&gt;"",TblProd[[#This Row],[Set Guard]],OFFSET(TblProd[[#This Row],[Guard]],-1,0))</f>
        <v>0</v>
      </c>
      <c r="BA131" s="161"/>
      <c r="BB131" s="45">
        <f>TblProd[[#This Row],[Hour]]</f>
        <v>56</v>
      </c>
      <c r="BC131" s="166">
        <f>-TblProd[[#This Row],[Bank Lumber]] / 2 + -TblProd[[#This Row],[Bank Gems]] * 2</f>
        <v>0</v>
      </c>
      <c r="BD131" s="166"/>
      <c r="BE131" s="166"/>
      <c r="BF131" s="166"/>
      <c r="BG131" s="167">
        <f ca="1">TblProd[[#This Row],[Time]]</f>
        <v>44816.041666666359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797600</v>
      </c>
      <c r="BJ131" s="97">
        <f ca="1">TblProd[[#This Row],[Food]]</f>
        <v>148218</v>
      </c>
      <c r="BK131" s="97">
        <f ca="1">TblProd[[#This Row],[Lumber]]</f>
        <v>76279</v>
      </c>
      <c r="BL131" s="97">
        <f ca="1">TblProd[[#This Row],[Mana]]</f>
        <v>0</v>
      </c>
      <c r="BM131" s="97">
        <f ca="1">TblProd[[#This Row],[Ore]]</f>
        <v>0</v>
      </c>
    </row>
    <row r="132" spans="1:65" x14ac:dyDescent="0.2">
      <c r="A132" s="145">
        <v>57</v>
      </c>
      <c r="B132" s="160">
        <f ca="1">TblImps[[#This Row],[Time]]</f>
        <v>44816.083333333023</v>
      </c>
      <c r="C132" s="161"/>
      <c r="D132" s="162"/>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803086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10000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50"/>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63">
        <f ca="1">OFFSET(TblConstr[[#This Row],[Tot Doc]],1,0)*dock_boats_hr * (1 + tech_4_1*TblTech[[#This Row],[4-1]])</f>
        <v>0</v>
      </c>
      <c r="Z132" s="162"/>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2]]/2,0),)</f>
        <v>0</v>
      </c>
      <c r="AF132" s="97">
        <f ca="1">OFFSET(TblConstr[[#This Row],[Tot DM]],1,0)*dm_gems</f>
        <v>0</v>
      </c>
      <c r="AG132" s="150"/>
      <c r="AH132" s="164">
        <f ca="1">MIN(race_platinum_bonus + IF(Magic!AD132&gt;0,midas_bonus) + TblImps[[#This Row],[Science]] - TblProd[[#This Row],[Guard]]*(0.02 + tech_5_7*TblTech[[#This Row],[5-7]]) + tech_1_5*TblTech[[#This Row],[1-5]] + tech_4_4*TblTech[[#This Row],[4-4]], 0.5)</f>
        <v>0</v>
      </c>
      <c r="AI132"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64">
        <f ca="1">race_lumber_bonus+ IF(TblMagic[[#This Row],[Active Gaia''s Blessing]]&gt;0,gaias_blessing_lumber)+ tech_1_3*TblTech[[#This Row],[1-3]] + tech_1_6*TblTech[[#This Row],[1-6]] + tech_3_3*TblTech[[#This Row],[3-3]]</f>
        <v>0</v>
      </c>
      <c r="AK132" s="164">
        <f ca="1">race_mana_bonus+ 0 + TblImps[[#This Row],[Towers]] + tech_1_2*TblTech[[#This Row],[1-2]] + tech_3_4*TblTech[[#This Row],[3-4]]</f>
        <v>0</v>
      </c>
      <c r="AL132" s="164">
        <f ca="1">race_ore_bonus + IF(TblMagic[[#This Row],[Active Miner''s Sight]]&gt;0,miners_sight_bonus,IF(TblMagic[[#This Row],[Active Mining Strength]]&gt;0,mining_strength_bonus)) +  tech_1_6*TblTech[[#This Row],[1-6]]</f>
        <v>0</v>
      </c>
      <c r="AM132" s="164">
        <f>race_gem_bonus+ tech_3_2*TblTech[[#This Row],[3-2]] + tech_4_3*TblTech[[#This Row],[4-3]] + tech_6_2*TblTech[[#This Row],[6-2]]</f>
        <v>0</v>
      </c>
      <c r="AN132" s="150"/>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62"/>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Military!$CH$25*TblMili[[#This Row],[Sec. rec. Cost]]</f>
        <v>0</v>
      </c>
      <c r="AV132" s="97">
        <f ca="1">TblMagic[[#This Row],[Mana cost]] + Military!$CH$26*TblMili[[#This Row],[Sec. rec. Cost]]</f>
        <v>0</v>
      </c>
      <c r="AW132" s="97">
        <f ca="1">Military!$CH$24*TblMili[[#This Row],[Sec. rec. Cost]]+TblImps[[#This Row],[O1]]-TblProd[[#This Row],[Bank Ore]]</f>
        <v>0</v>
      </c>
      <c r="AX132" s="97">
        <f>TblImps[[#This Row],[G1]]-TblProd[[#This Row],[Bank Gems]]</f>
        <v>0</v>
      </c>
      <c r="AY132" s="150"/>
      <c r="AZ132" s="62" t="b">
        <f ca="1">IF(TblProd[[#This Row],[Set Guard]]&lt;&gt;"",TblProd[[#This Row],[Set Guard]],OFFSET(TblProd[[#This Row],[Guard]],-1,0))</f>
        <v>0</v>
      </c>
      <c r="BA132" s="161"/>
      <c r="BB132" s="45">
        <f>TblProd[[#This Row],[Hour]]</f>
        <v>57</v>
      </c>
      <c r="BC132" s="166">
        <f>-TblProd[[#This Row],[Bank Lumber]] / 2 + -TblProd[[#This Row],[Bank Gems]] * 2</f>
        <v>0</v>
      </c>
      <c r="BD132" s="166"/>
      <c r="BE132" s="166"/>
      <c r="BF132" s="166"/>
      <c r="BG132" s="167">
        <f ca="1">TblProd[[#This Row],[Time]]</f>
        <v>44816.083333333023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803086</v>
      </c>
      <c r="BJ132" s="97">
        <f ca="1">TblProd[[#This Row],[Food]]</f>
        <v>148726</v>
      </c>
      <c r="BK132" s="97">
        <f ca="1">TblProd[[#This Row],[Lumber]]</f>
        <v>76516</v>
      </c>
      <c r="BL132" s="97">
        <f ca="1">TblProd[[#This Row],[Mana]]</f>
        <v>0</v>
      </c>
      <c r="BM132" s="97">
        <f ca="1">TblProd[[#This Row],[Ore]]</f>
        <v>0</v>
      </c>
    </row>
    <row r="133" spans="1:65" x14ac:dyDescent="0.2">
      <c r="A133" s="145">
        <v>58</v>
      </c>
      <c r="B133" s="160">
        <f ca="1">TblImps[[#This Row],[Time]]</f>
        <v>44816.124999999687</v>
      </c>
      <c r="C133" s="161"/>
      <c r="D133" s="162"/>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808572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10000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50"/>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63">
        <f ca="1">OFFSET(TblConstr[[#This Row],[Tot Doc]],1,0)*dock_boats_hr * (1 + tech_4_1*TblTech[[#This Row],[4-1]])</f>
        <v>0</v>
      </c>
      <c r="Z133" s="162"/>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2]]/2,0),)</f>
        <v>0</v>
      </c>
      <c r="AF133" s="97">
        <f ca="1">OFFSET(TblConstr[[#This Row],[Tot DM]],1,0)*dm_gems</f>
        <v>0</v>
      </c>
      <c r="AG133" s="150"/>
      <c r="AH133" s="164">
        <f ca="1">MIN(race_platinum_bonus + IF(Magic!AD133&gt;0,midas_bonus) + TblImps[[#This Row],[Science]] - TblProd[[#This Row],[Guard]]*(0.02 + tech_5_7*TblTech[[#This Row],[5-7]]) + tech_1_5*TblTech[[#This Row],[1-5]] + tech_4_4*TblTech[[#This Row],[4-4]], 0.5)</f>
        <v>0</v>
      </c>
      <c r="AI133"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64">
        <f ca="1">race_lumber_bonus+ IF(TblMagic[[#This Row],[Active Gaia''s Blessing]]&gt;0,gaias_blessing_lumber)+ tech_1_3*TblTech[[#This Row],[1-3]] + tech_1_6*TblTech[[#This Row],[1-6]] + tech_3_3*TblTech[[#This Row],[3-3]]</f>
        <v>0</v>
      </c>
      <c r="AK133" s="164">
        <f ca="1">race_mana_bonus+ 0 + TblImps[[#This Row],[Towers]] + tech_1_2*TblTech[[#This Row],[1-2]] + tech_3_4*TblTech[[#This Row],[3-4]]</f>
        <v>0</v>
      </c>
      <c r="AL133" s="164">
        <f ca="1">race_ore_bonus + IF(TblMagic[[#This Row],[Active Miner''s Sight]]&gt;0,miners_sight_bonus,IF(TblMagic[[#This Row],[Active Mining Strength]]&gt;0,mining_strength_bonus)) +  tech_1_6*TblTech[[#This Row],[1-6]]</f>
        <v>0</v>
      </c>
      <c r="AM133" s="164">
        <f>race_gem_bonus+ tech_3_2*TblTech[[#This Row],[3-2]] + tech_4_3*TblTech[[#This Row],[4-3]] + tech_6_2*TblTech[[#This Row],[6-2]]</f>
        <v>0</v>
      </c>
      <c r="AN133" s="150"/>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62"/>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Military!$CH$25*TblMili[[#This Row],[Sec. rec. Cost]]</f>
        <v>0</v>
      </c>
      <c r="AV133" s="97">
        <f ca="1">TblMagic[[#This Row],[Mana cost]] + Military!$CH$26*TblMili[[#This Row],[Sec. rec. Cost]]</f>
        <v>0</v>
      </c>
      <c r="AW133" s="97">
        <f ca="1">Military!$CH$24*TblMili[[#This Row],[Sec. rec. Cost]]+TblImps[[#This Row],[O1]]-TblProd[[#This Row],[Bank Ore]]</f>
        <v>0</v>
      </c>
      <c r="AX133" s="97">
        <f>TblImps[[#This Row],[G1]]-TblProd[[#This Row],[Bank Gems]]</f>
        <v>0</v>
      </c>
      <c r="AY133" s="150"/>
      <c r="AZ133" s="62" t="b">
        <f ca="1">IF(TblProd[[#This Row],[Set Guard]]&lt;&gt;"",TblProd[[#This Row],[Set Guard]],OFFSET(TblProd[[#This Row],[Guard]],-1,0))</f>
        <v>0</v>
      </c>
      <c r="BA133" s="161"/>
      <c r="BB133" s="45">
        <f>TblProd[[#This Row],[Hour]]</f>
        <v>58</v>
      </c>
      <c r="BC133" s="166">
        <f>-TblProd[[#This Row],[Bank Lumber]] / 2 + -TblProd[[#This Row],[Bank Gems]] * 2</f>
        <v>0</v>
      </c>
      <c r="BD133" s="166"/>
      <c r="BE133" s="166"/>
      <c r="BF133" s="166"/>
      <c r="BG133" s="167">
        <f ca="1">TblProd[[#This Row],[Time]]</f>
        <v>44816.124999999687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808572</v>
      </c>
      <c r="BJ133" s="97">
        <f ca="1">TblProd[[#This Row],[Food]]</f>
        <v>149229</v>
      </c>
      <c r="BK133" s="97">
        <f ca="1">TblProd[[#This Row],[Lumber]]</f>
        <v>76751</v>
      </c>
      <c r="BL133" s="97">
        <f ca="1">TblProd[[#This Row],[Mana]]</f>
        <v>0</v>
      </c>
      <c r="BM133" s="97">
        <f ca="1">TblProd[[#This Row],[Ore]]</f>
        <v>0</v>
      </c>
    </row>
    <row r="134" spans="1:65" x14ac:dyDescent="0.2">
      <c r="A134" s="145">
        <v>59</v>
      </c>
      <c r="B134" s="160">
        <f ca="1">TblImps[[#This Row],[Time]]</f>
        <v>44816.166666666351</v>
      </c>
      <c r="C134" s="161"/>
      <c r="D134" s="162"/>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814058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10000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50"/>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63">
        <f ca="1">OFFSET(TblConstr[[#This Row],[Tot Doc]],1,0)*dock_boats_hr * (1 + tech_4_1*TblTech[[#This Row],[4-1]])</f>
        <v>0</v>
      </c>
      <c r="Z134" s="162"/>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2]]/2,0),)</f>
        <v>0</v>
      </c>
      <c r="AF134" s="97">
        <f ca="1">OFFSET(TblConstr[[#This Row],[Tot DM]],1,0)*dm_gems</f>
        <v>0</v>
      </c>
      <c r="AG134" s="150"/>
      <c r="AH134" s="164">
        <f ca="1">MIN(race_platinum_bonus + IF(Magic!AD134&gt;0,midas_bonus) + TblImps[[#This Row],[Science]] - TblProd[[#This Row],[Guard]]*(0.02 + tech_5_7*TblTech[[#This Row],[5-7]]) + tech_1_5*TblTech[[#This Row],[1-5]] + tech_4_4*TblTech[[#This Row],[4-4]], 0.5)</f>
        <v>0</v>
      </c>
      <c r="AI134"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64">
        <f ca="1">race_lumber_bonus+ IF(TblMagic[[#This Row],[Active Gaia''s Blessing]]&gt;0,gaias_blessing_lumber)+ tech_1_3*TblTech[[#This Row],[1-3]] + tech_1_6*TblTech[[#This Row],[1-6]] + tech_3_3*TblTech[[#This Row],[3-3]]</f>
        <v>0</v>
      </c>
      <c r="AK134" s="164">
        <f ca="1">race_mana_bonus+ 0 + TblImps[[#This Row],[Towers]] + tech_1_2*TblTech[[#This Row],[1-2]] + tech_3_4*TblTech[[#This Row],[3-4]]</f>
        <v>0</v>
      </c>
      <c r="AL134" s="164">
        <f ca="1">race_ore_bonus + IF(TblMagic[[#This Row],[Active Miner''s Sight]]&gt;0,miners_sight_bonus,IF(TblMagic[[#This Row],[Active Mining Strength]]&gt;0,mining_strength_bonus)) +  tech_1_6*TblTech[[#This Row],[1-6]]</f>
        <v>0</v>
      </c>
      <c r="AM134" s="164">
        <f>race_gem_bonus+ tech_3_2*TblTech[[#This Row],[3-2]] + tech_4_3*TblTech[[#This Row],[4-3]] + tech_6_2*TblTech[[#This Row],[6-2]]</f>
        <v>0</v>
      </c>
      <c r="AN134" s="150"/>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62"/>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Military!$CH$25*TblMili[[#This Row],[Sec. rec. Cost]]</f>
        <v>0</v>
      </c>
      <c r="AV134" s="97">
        <f ca="1">TblMagic[[#This Row],[Mana cost]] + Military!$CH$26*TblMili[[#This Row],[Sec. rec. Cost]]</f>
        <v>0</v>
      </c>
      <c r="AW134" s="97">
        <f ca="1">Military!$CH$24*TblMili[[#This Row],[Sec. rec. Cost]]+TblImps[[#This Row],[O1]]-TblProd[[#This Row],[Bank Ore]]</f>
        <v>0</v>
      </c>
      <c r="AX134" s="97">
        <f>TblImps[[#This Row],[G1]]-TblProd[[#This Row],[Bank Gems]]</f>
        <v>0</v>
      </c>
      <c r="AY134" s="150"/>
      <c r="AZ134" s="62" t="b">
        <f ca="1">IF(TblProd[[#This Row],[Set Guard]]&lt;&gt;"",TblProd[[#This Row],[Set Guard]],OFFSET(TblProd[[#This Row],[Guard]],-1,0))</f>
        <v>0</v>
      </c>
      <c r="BA134" s="161"/>
      <c r="BB134" s="45">
        <f>TblProd[[#This Row],[Hour]]</f>
        <v>59</v>
      </c>
      <c r="BC134" s="166">
        <f>-TblProd[[#This Row],[Bank Lumber]] / 2 + -TblProd[[#This Row],[Bank Gems]] * 2</f>
        <v>0</v>
      </c>
      <c r="BD134" s="166"/>
      <c r="BE134" s="166"/>
      <c r="BF134" s="166"/>
      <c r="BG134" s="167">
        <f ca="1">TblProd[[#This Row],[Time]]</f>
        <v>44816.166666666351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814058</v>
      </c>
      <c r="BJ134" s="97">
        <f ca="1">TblProd[[#This Row],[Food]]</f>
        <v>149727</v>
      </c>
      <c r="BK134" s="97">
        <f ca="1">TblProd[[#This Row],[Lumber]]</f>
        <v>76983</v>
      </c>
      <c r="BL134" s="97">
        <f ca="1">TblProd[[#This Row],[Mana]]</f>
        <v>0</v>
      </c>
      <c r="BM134" s="97">
        <f ca="1">TblProd[[#This Row],[Ore]]</f>
        <v>0</v>
      </c>
    </row>
    <row r="135" spans="1:65" x14ac:dyDescent="0.2">
      <c r="A135" s="145">
        <v>60</v>
      </c>
      <c r="B135" s="160">
        <f ca="1">TblImps[[#This Row],[Time]]</f>
        <v>44816.208333333016</v>
      </c>
      <c r="C135" s="161"/>
      <c r="D135" s="162"/>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819544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10000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50"/>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63">
        <f ca="1">OFFSET(TblConstr[[#This Row],[Tot Doc]],1,0)*dock_boats_hr * (1 + tech_4_1*TblTech[[#This Row],[4-1]])</f>
        <v>0</v>
      </c>
      <c r="Z135" s="162"/>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2]]/2,0),)</f>
        <v>0</v>
      </c>
      <c r="AF135" s="97">
        <f ca="1">OFFSET(TblConstr[[#This Row],[Tot DM]],1,0)*dm_gems</f>
        <v>0</v>
      </c>
      <c r="AG135" s="150"/>
      <c r="AH135" s="164">
        <f ca="1">MIN(race_platinum_bonus + IF(Magic!AD135&gt;0,midas_bonus) + TblImps[[#This Row],[Science]] - TblProd[[#This Row],[Guard]]*(0.02 + tech_5_7*TblTech[[#This Row],[5-7]]) + tech_1_5*TblTech[[#This Row],[1-5]] + tech_4_4*TblTech[[#This Row],[4-4]], 0.5)</f>
        <v>0</v>
      </c>
      <c r="AI135"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64">
        <f ca="1">race_lumber_bonus+ IF(TblMagic[[#This Row],[Active Gaia''s Blessing]]&gt;0,gaias_blessing_lumber)+ tech_1_3*TblTech[[#This Row],[1-3]] + tech_1_6*TblTech[[#This Row],[1-6]] + tech_3_3*TblTech[[#This Row],[3-3]]</f>
        <v>0</v>
      </c>
      <c r="AK135" s="164">
        <f ca="1">race_mana_bonus+ 0 + TblImps[[#This Row],[Towers]] + tech_1_2*TblTech[[#This Row],[1-2]] + tech_3_4*TblTech[[#This Row],[3-4]]</f>
        <v>0</v>
      </c>
      <c r="AL135" s="164">
        <f ca="1">race_ore_bonus + IF(TblMagic[[#This Row],[Active Miner''s Sight]]&gt;0,miners_sight_bonus,IF(TblMagic[[#This Row],[Active Mining Strength]]&gt;0,mining_strength_bonus)) +  tech_1_6*TblTech[[#This Row],[1-6]]</f>
        <v>0</v>
      </c>
      <c r="AM135" s="164">
        <f>race_gem_bonus+ tech_3_2*TblTech[[#This Row],[3-2]] + tech_4_3*TblTech[[#This Row],[4-3]] + tech_6_2*TblTech[[#This Row],[6-2]]</f>
        <v>0</v>
      </c>
      <c r="AN135" s="150"/>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62"/>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Military!$CH$25*TblMili[[#This Row],[Sec. rec. Cost]]</f>
        <v>0</v>
      </c>
      <c r="AV135" s="97">
        <f ca="1">TblMagic[[#This Row],[Mana cost]] + Military!$CH$26*TblMili[[#This Row],[Sec. rec. Cost]]</f>
        <v>0</v>
      </c>
      <c r="AW135" s="97">
        <f ca="1">Military!$CH$24*TblMili[[#This Row],[Sec. rec. Cost]]+TblImps[[#This Row],[O1]]-TblProd[[#This Row],[Bank Ore]]</f>
        <v>0</v>
      </c>
      <c r="AX135" s="97">
        <f>TblImps[[#This Row],[G1]]-TblProd[[#This Row],[Bank Gems]]</f>
        <v>0</v>
      </c>
      <c r="AY135" s="150"/>
      <c r="AZ135" s="62" t="b">
        <f ca="1">IF(TblProd[[#This Row],[Set Guard]]&lt;&gt;"",TblProd[[#This Row],[Set Guard]],OFFSET(TblProd[[#This Row],[Guard]],-1,0))</f>
        <v>0</v>
      </c>
      <c r="BA135" s="161"/>
      <c r="BB135" s="45">
        <f>TblProd[[#This Row],[Hour]]</f>
        <v>60</v>
      </c>
      <c r="BC135" s="166">
        <f>-TblProd[[#This Row],[Bank Lumber]] / 2 + -TblProd[[#This Row],[Bank Gems]] * 2</f>
        <v>0</v>
      </c>
      <c r="BD135" s="166"/>
      <c r="BE135" s="166"/>
      <c r="BF135" s="166"/>
      <c r="BG135" s="167">
        <f ca="1">TblProd[[#This Row],[Time]]</f>
        <v>44816.208333333016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819544</v>
      </c>
      <c r="BJ135" s="97">
        <f ca="1">TblProd[[#This Row],[Food]]</f>
        <v>150220</v>
      </c>
      <c r="BK135" s="97">
        <f ca="1">TblProd[[#This Row],[Lumber]]</f>
        <v>77213</v>
      </c>
      <c r="BL135" s="97">
        <f ca="1">TblProd[[#This Row],[Mana]]</f>
        <v>0</v>
      </c>
      <c r="BM135" s="97">
        <f ca="1">TblProd[[#This Row],[Ore]]</f>
        <v>0</v>
      </c>
    </row>
    <row r="136" spans="1:65" x14ac:dyDescent="0.2">
      <c r="A136" s="145">
        <v>61</v>
      </c>
      <c r="B136" s="160">
        <f ca="1">TblImps[[#This Row],[Time]]</f>
        <v>44816.24999999968</v>
      </c>
      <c r="C136" s="161"/>
      <c r="D136" s="162"/>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825030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10000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50"/>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63">
        <f ca="1">OFFSET(TblConstr[[#This Row],[Tot Doc]],1,0)*dock_boats_hr * (1 + tech_4_1*TblTech[[#This Row],[4-1]])</f>
        <v>0</v>
      </c>
      <c r="Z136" s="162"/>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2]]/2,0),)</f>
        <v>0</v>
      </c>
      <c r="AF136" s="97">
        <f ca="1">OFFSET(TblConstr[[#This Row],[Tot DM]],1,0)*dm_gems</f>
        <v>0</v>
      </c>
      <c r="AG136" s="150"/>
      <c r="AH136" s="164">
        <f ca="1">MIN(race_platinum_bonus + IF(Magic!AD136&gt;0,midas_bonus) + TblImps[[#This Row],[Science]] - TblProd[[#This Row],[Guard]]*(0.02 + tech_5_7*TblTech[[#This Row],[5-7]]) + tech_1_5*TblTech[[#This Row],[1-5]] + tech_4_4*TblTech[[#This Row],[4-4]], 0.5)</f>
        <v>0</v>
      </c>
      <c r="AI136" s="16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64">
        <f ca="1">race_lumber_bonus+ IF(TblMagic[[#This Row],[Active Gaia''s Blessing]]&gt;0,gaias_blessing_lumber)+ tech_1_3*TblTech[[#This Row],[1-3]] + tech_1_6*TblTech[[#This Row],[1-6]] + tech_3_3*TblTech[[#This Row],[3-3]]</f>
        <v>0</v>
      </c>
      <c r="AK136" s="164">
        <f ca="1">race_mana_bonus+ 0 + TblImps[[#This Row],[Towers]] + tech_1_2*TblTech[[#This Row],[1-2]] + tech_3_4*TblTech[[#This Row],[3-4]]</f>
        <v>0</v>
      </c>
      <c r="AL136" s="164">
        <f ca="1">race_ore_bonus + IF(TblMagic[[#This Row],[Active Miner''s Sight]]&gt;0,miners_sight_bonus,IF(TblMagic[[#This Row],[Active Mining Strength]]&gt;0,mining_strength_bonus)) +  tech_1_6*TblTech[[#This Row],[1-6]]</f>
        <v>0</v>
      </c>
      <c r="AM136" s="164">
        <f>race_gem_bonus+ tech_3_2*TblTech[[#This Row],[3-2]] + tech_4_3*TblTech[[#This Row],[4-3]] + tech_6_2*TblTech[[#This Row],[6-2]]</f>
        <v>0</v>
      </c>
      <c r="AN136" s="150"/>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62"/>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Military!$CH$25*TblMili[[#This Row],[Sec. rec. Cost]]</f>
        <v>0</v>
      </c>
      <c r="AV136" s="97">
        <f ca="1">TblMagic[[#This Row],[Mana cost]] + Military!$CH$26*TblMili[[#This Row],[Sec. rec. Cost]]</f>
        <v>0</v>
      </c>
      <c r="AW136" s="97">
        <f ca="1">Military!$CH$24*TblMili[[#This Row],[Sec. rec. Cost]]+TblImps[[#This Row],[O1]]-TblProd[[#This Row],[Bank Ore]]</f>
        <v>0</v>
      </c>
      <c r="AX136" s="97">
        <f>TblImps[[#This Row],[G1]]-TblProd[[#This Row],[Bank Gems]]</f>
        <v>0</v>
      </c>
      <c r="AY136" s="150"/>
      <c r="AZ136" s="62" t="b">
        <f ca="1">IF(TblProd[[#This Row],[Set Guard]]&lt;&gt;"",TblProd[[#This Row],[Set Guard]],OFFSET(TblProd[[#This Row],[Guard]],-1,0))</f>
        <v>0</v>
      </c>
      <c r="BA136" s="161"/>
      <c r="BB136" s="45">
        <f>TblProd[[#This Row],[Hour]]</f>
        <v>61</v>
      </c>
      <c r="BC136" s="166">
        <f>-TblProd[[#This Row],[Bank Lumber]] / 2 + -TblProd[[#This Row],[Bank Gems]] * 2</f>
        <v>0</v>
      </c>
      <c r="BD136" s="166"/>
      <c r="BE136" s="166"/>
      <c r="BF136" s="166"/>
      <c r="BG136" s="167">
        <f ca="1">TblProd[[#This Row],[Time]]</f>
        <v>44816.24999999968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825030</v>
      </c>
      <c r="BJ136" s="97">
        <f ca="1">TblProd[[#This Row],[Food]]</f>
        <v>150708</v>
      </c>
      <c r="BK136" s="97">
        <f ca="1">TblProd[[#This Row],[Lumber]]</f>
        <v>77441</v>
      </c>
      <c r="BL136" s="97">
        <f ca="1">TblProd[[#This Row],[Mana]]</f>
        <v>0</v>
      </c>
      <c r="BM136" s="97">
        <f ca="1">TblProd[[#This Row],[Ore]]</f>
        <v>0</v>
      </c>
    </row>
    <row r="1269" spans="3:12" x14ac:dyDescent="0.2">
      <c r="C1269" s="495" t="s">
        <v>321</v>
      </c>
      <c r="D1269" s="448"/>
      <c r="L1269" s="57"/>
    </row>
    <row r="1270" spans="3:12" x14ac:dyDescent="0.2">
      <c r="C1270" s="28">
        <f>Overview!E17</f>
        <v>0</v>
      </c>
      <c r="D1270" s="28"/>
      <c r="E1270" s="176"/>
      <c r="F1270" s="176"/>
      <c r="G1270" s="176"/>
      <c r="H1270" s="176"/>
      <c r="I1270" s="176"/>
      <c r="J1270" s="176"/>
      <c r="K1270" s="65"/>
      <c r="L1270" s="177"/>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3" priority="58" stopIfTrue="1">
      <formula>ROW()-2=#REF!</formula>
    </cfRule>
  </conditionalFormatting>
  <conditionalFormatting sqref="A1269:XFD1270">
    <cfRule type="expression" dxfId="792" priority="59" stopIfTrue="1">
      <formula>$C$1270&gt;144</formula>
    </cfRule>
  </conditionalFormatting>
  <conditionalFormatting sqref="E4:Q136">
    <cfRule type="expression" dxfId="791" priority="39" stopIfTrue="1">
      <formula>OR(ROW()-3=$C$1270,E4&lt;0)</formula>
    </cfRule>
  </conditionalFormatting>
  <conditionalFormatting sqref="BH4:BH136">
    <cfRule type="cellIs" dxfId="790" priority="61" stopIfTrue="1" operator="equal">
      <formula>"Nope"</formula>
    </cfRule>
  </conditionalFormatting>
  <conditionalFormatting sqref="A4:BM136">
    <cfRule type="expression" dxfId="789" priority="1" stopIfTrue="1">
      <formula>ROW()-3=$C$1270</formula>
    </cfRule>
    <cfRule type="expression" dxfId="788" priority="56">
      <formula>$A4="OOP"</formula>
    </cfRule>
    <cfRule type="expression" dxfId="787" priority="57">
      <formula>ROUND(($A4-1)/12,0)=INT($A4-1)/12</formula>
    </cfRule>
  </conditionalFormatting>
  <conditionalFormatting sqref="A1:XFD3">
    <cfRule type="expression" dxfId="786"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185" customWidth="1"/>
    <col min="2" max="3" width="11.42578125" style="185"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5"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bestFit="1" customWidth="1"/>
    <col min="42" max="42" width="10.85546875" style="45" bestFit="1" customWidth="1"/>
    <col min="43" max="44" width="8.7109375" style="45" bestFit="1" customWidth="1"/>
    <col min="45" max="45" width="8.140625" style="45" bestFit="1" customWidth="1"/>
    <col min="46" max="46" width="8.5703125" style="45" bestFit="1"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93" width="5.28515625" style="45" customWidth="1"/>
    <col min="94" max="94" width="3.85546875" style="45" customWidth="1"/>
    <col min="95" max="95" width="8" style="57" bestFit="1" customWidth="1"/>
    <col min="96" max="96" width="9" style="57" bestFit="1" customWidth="1"/>
    <col min="97" max="97" width="11.85546875" style="57" bestFit="1" customWidth="1"/>
    <col min="98" max="98" width="6.85546875" style="57" bestFit="1" customWidth="1"/>
    <col min="99" max="99" width="9.7109375" style="57" bestFit="1" customWidth="1"/>
    <col min="100" max="100" width="9.5703125" style="57" bestFit="1" customWidth="1"/>
    <col min="101" max="101" width="9" style="57" bestFit="1" customWidth="1"/>
    <col min="102" max="102" width="11.85546875" style="45" customWidth="1"/>
    <col min="103" max="103" width="2.7109375" style="45" customWidth="1"/>
    <col min="104" max="114" width="10.7109375" style="45" customWidth="1"/>
    <col min="115" max="16384" width="9.140625" style="45"/>
  </cols>
  <sheetData>
    <row r="1" spans="1:114" x14ac:dyDescent="0.2">
      <c r="A1" s="181"/>
      <c r="B1" s="181"/>
      <c r="C1" s="181"/>
      <c r="D1" s="5"/>
      <c r="E1" s="5"/>
      <c r="F1" s="28"/>
      <c r="G1" s="28" t="s">
        <v>54</v>
      </c>
      <c r="H1" s="28"/>
      <c r="I1" s="28"/>
      <c r="J1" s="28"/>
      <c r="K1" s="28"/>
      <c r="L1" s="28"/>
      <c r="M1" s="28"/>
      <c r="N1" s="28"/>
      <c r="O1" s="498" t="s">
        <v>56</v>
      </c>
      <c r="P1" s="498"/>
      <c r="Q1" s="448"/>
      <c r="R1" s="5"/>
      <c r="S1" s="5"/>
      <c r="T1" s="5"/>
      <c r="U1" s="5"/>
      <c r="V1" s="5"/>
      <c r="W1" s="5"/>
      <c r="X1" s="5"/>
      <c r="Y1" s="5"/>
      <c r="Z1" s="5"/>
      <c r="AA1" s="5"/>
      <c r="AB1" s="5"/>
      <c r="AC1" s="5"/>
      <c r="AD1" s="5"/>
      <c r="AE1" s="5"/>
      <c r="AF1" s="5"/>
      <c r="AG1" s="5"/>
      <c r="AH1" s="5"/>
      <c r="AI1" s="182" t="s">
        <v>522</v>
      </c>
      <c r="AJ1" s="182" t="s">
        <v>525</v>
      </c>
      <c r="AK1" s="498" t="s">
        <v>77</v>
      </c>
      <c r="AL1" s="498"/>
      <c r="AM1" s="496" t="s">
        <v>523</v>
      </c>
      <c r="AN1" s="496"/>
      <c r="AO1" s="496" t="s">
        <v>524</v>
      </c>
      <c r="AP1" s="496"/>
      <c r="AQ1" s="496" t="s">
        <v>521</v>
      </c>
      <c r="AR1" s="496"/>
      <c r="AS1" s="5"/>
      <c r="AT1" s="5"/>
      <c r="AU1" s="5"/>
      <c r="AV1" s="5" t="s">
        <v>520</v>
      </c>
      <c r="AW1" s="5"/>
      <c r="AX1" s="5"/>
      <c r="AY1" s="496" t="s">
        <v>53</v>
      </c>
      <c r="AZ1" s="496"/>
      <c r="BA1" s="496"/>
      <c r="BB1" s="28"/>
      <c r="BC1" s="28"/>
      <c r="BD1" s="28"/>
      <c r="BE1" s="28"/>
      <c r="BF1" s="28"/>
      <c r="BG1" s="28"/>
      <c r="BH1" s="28"/>
      <c r="BI1" s="28"/>
      <c r="BJ1" s="28"/>
      <c r="BK1" s="28"/>
      <c r="BL1" s="28"/>
      <c r="BM1" s="28"/>
      <c r="BN1" s="28"/>
      <c r="BO1" s="28"/>
      <c r="BP1" s="28"/>
      <c r="BQ1" s="28"/>
      <c r="BR1" s="5"/>
      <c r="BS1" s="5"/>
      <c r="BT1" s="5"/>
      <c r="BU1" s="5"/>
      <c r="BV1" s="5"/>
      <c r="BW1" s="498" t="s">
        <v>84</v>
      </c>
      <c r="BX1" s="498"/>
      <c r="BY1" s="5"/>
      <c r="BZ1" s="5"/>
      <c r="CA1" s="5"/>
      <c r="CB1" s="5"/>
      <c r="CC1" s="5"/>
      <c r="CD1" s="5"/>
      <c r="CE1" s="5"/>
      <c r="CF1" s="5"/>
      <c r="CG1" s="5"/>
      <c r="CH1" s="5"/>
      <c r="CI1" s="5"/>
      <c r="CJ1" s="5"/>
      <c r="CK1" s="5"/>
      <c r="CL1" s="5"/>
      <c r="CM1" s="5"/>
      <c r="CN1" s="5"/>
      <c r="CO1" s="5"/>
      <c r="CP1" s="5"/>
      <c r="CQ1" s="496" t="s">
        <v>18</v>
      </c>
      <c r="CR1" s="496"/>
      <c r="CS1" s="28"/>
      <c r="CT1" s="28"/>
      <c r="CU1" s="28"/>
      <c r="CV1" s="28"/>
      <c r="CW1" s="28"/>
      <c r="CX1" s="5"/>
      <c r="CY1" s="5"/>
      <c r="CZ1" s="498" t="s">
        <v>300</v>
      </c>
      <c r="DA1" s="498"/>
      <c r="DB1" s="498"/>
      <c r="DC1" s="498"/>
      <c r="DD1" s="498"/>
      <c r="DE1" s="5"/>
      <c r="DF1" s="5"/>
      <c r="DG1" s="498" t="s">
        <v>263</v>
      </c>
      <c r="DH1" s="498"/>
      <c r="DI1" s="5" t="s">
        <v>540</v>
      </c>
      <c r="DJ1" s="5"/>
    </row>
    <row r="2" spans="1:114" x14ac:dyDescent="0.2">
      <c r="A2" s="181"/>
      <c r="B2" s="181"/>
      <c r="C2" s="181"/>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82"/>
      <c r="AJ2" s="182"/>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43" t="s">
        <v>0</v>
      </c>
      <c r="B3" s="143" t="s">
        <v>54</v>
      </c>
      <c r="C3" s="143" t="s">
        <v>53</v>
      </c>
      <c r="D3" s="143" t="s">
        <v>1027</v>
      </c>
      <c r="E3" s="143" t="s">
        <v>791</v>
      </c>
      <c r="F3" s="143" t="s">
        <v>1</v>
      </c>
      <c r="G3" s="178" t="s">
        <v>249</v>
      </c>
      <c r="H3" s="143" t="s">
        <v>58</v>
      </c>
      <c r="I3" s="143" t="s">
        <v>251</v>
      </c>
      <c r="J3" s="143" t="s">
        <v>250</v>
      </c>
      <c r="K3" s="143" t="s">
        <v>60</v>
      </c>
      <c r="L3" s="143" t="s">
        <v>248</v>
      </c>
      <c r="M3" s="143" t="s">
        <v>62</v>
      </c>
      <c r="N3" s="143" t="s">
        <v>1071</v>
      </c>
      <c r="O3" s="179" t="s">
        <v>72</v>
      </c>
      <c r="P3" s="179" t="s">
        <v>71</v>
      </c>
      <c r="Q3" s="179" t="s">
        <v>70</v>
      </c>
      <c r="R3" s="179" t="s">
        <v>69</v>
      </c>
      <c r="S3" s="179" t="s">
        <v>68</v>
      </c>
      <c r="T3" s="179" t="s">
        <v>63</v>
      </c>
      <c r="U3" s="179" t="s">
        <v>353</v>
      </c>
      <c r="V3" s="179" t="s">
        <v>64</v>
      </c>
      <c r="W3" s="179" t="s">
        <v>65</v>
      </c>
      <c r="X3" s="179" t="s">
        <v>66</v>
      </c>
      <c r="Y3" s="179" t="s">
        <v>67</v>
      </c>
      <c r="Z3" s="179" t="s">
        <v>355</v>
      </c>
      <c r="AA3" s="179" t="s">
        <v>358</v>
      </c>
      <c r="AB3" s="179" t="s">
        <v>74</v>
      </c>
      <c r="AC3" s="179" t="s">
        <v>356</v>
      </c>
      <c r="AD3" s="179" t="s">
        <v>302</v>
      </c>
      <c r="AE3" s="179" t="s">
        <v>75</v>
      </c>
      <c r="AF3" s="179" t="s">
        <v>376</v>
      </c>
      <c r="AG3" s="179" t="s">
        <v>76</v>
      </c>
      <c r="AH3" s="143" t="s">
        <v>368</v>
      </c>
      <c r="AI3" s="143" t="s">
        <v>835</v>
      </c>
      <c r="AJ3" s="143" t="s">
        <v>836</v>
      </c>
      <c r="AK3" s="143" t="s">
        <v>2</v>
      </c>
      <c r="AL3" s="143" t="s">
        <v>7</v>
      </c>
      <c r="AM3" s="143" t="s">
        <v>831</v>
      </c>
      <c r="AN3" s="143" t="s">
        <v>832</v>
      </c>
      <c r="AO3" s="143" t="s">
        <v>833</v>
      </c>
      <c r="AP3" s="143" t="s">
        <v>834</v>
      </c>
      <c r="AQ3" s="143" t="s">
        <v>1059</v>
      </c>
      <c r="AR3" s="143" t="s">
        <v>1060</v>
      </c>
      <c r="AS3" s="143" t="s">
        <v>526</v>
      </c>
      <c r="AT3" s="143" t="s">
        <v>527</v>
      </c>
      <c r="AU3" s="143" t="s">
        <v>792</v>
      </c>
      <c r="AV3" s="143" t="s">
        <v>837</v>
      </c>
      <c r="AW3" s="143" t="s">
        <v>838</v>
      </c>
      <c r="AX3" s="143" t="s">
        <v>793</v>
      </c>
      <c r="AY3" s="178" t="s">
        <v>839</v>
      </c>
      <c r="AZ3" s="143" t="s">
        <v>840</v>
      </c>
      <c r="BA3" s="143" t="s">
        <v>841</v>
      </c>
      <c r="BB3" s="143" t="s">
        <v>842</v>
      </c>
      <c r="BC3" s="143" t="s">
        <v>843</v>
      </c>
      <c r="BD3" s="143" t="s">
        <v>844</v>
      </c>
      <c r="BE3" s="143" t="s">
        <v>845</v>
      </c>
      <c r="BF3" s="143" t="s">
        <v>846</v>
      </c>
      <c r="BG3" s="143" t="s">
        <v>847</v>
      </c>
      <c r="BH3" s="143" t="s">
        <v>848</v>
      </c>
      <c r="BI3" s="143" t="s">
        <v>849</v>
      </c>
      <c r="BJ3" s="143" t="s">
        <v>850</v>
      </c>
      <c r="BK3" s="143" t="s">
        <v>851</v>
      </c>
      <c r="BL3" s="143" t="s">
        <v>852</v>
      </c>
      <c r="BM3" s="143" t="s">
        <v>853</v>
      </c>
      <c r="BN3" s="143" t="s">
        <v>854</v>
      </c>
      <c r="BO3" s="143" t="s">
        <v>855</v>
      </c>
      <c r="BP3" s="143" t="s">
        <v>856</v>
      </c>
      <c r="BQ3" s="180" t="s">
        <v>857</v>
      </c>
      <c r="BR3" s="143" t="s">
        <v>809</v>
      </c>
      <c r="BS3" s="143" t="s">
        <v>810</v>
      </c>
      <c r="BT3" s="143" t="s">
        <v>902</v>
      </c>
      <c r="BU3" s="143" t="s">
        <v>880</v>
      </c>
      <c r="BV3" s="143" t="s">
        <v>811</v>
      </c>
      <c r="BW3" s="143" t="s">
        <v>1042</v>
      </c>
      <c r="BX3" s="143" t="s">
        <v>923</v>
      </c>
      <c r="BY3" s="143" t="s">
        <v>924</v>
      </c>
      <c r="BZ3" s="143" t="s">
        <v>925</v>
      </c>
      <c r="CA3" s="143" t="s">
        <v>926</v>
      </c>
      <c r="CB3" s="143" t="s">
        <v>927</v>
      </c>
      <c r="CC3" s="143" t="s">
        <v>928</v>
      </c>
      <c r="CD3" s="143" t="s">
        <v>929</v>
      </c>
      <c r="CE3" s="143" t="s">
        <v>930</v>
      </c>
      <c r="CF3" s="143" t="s">
        <v>931</v>
      </c>
      <c r="CG3" s="143" t="s">
        <v>932</v>
      </c>
      <c r="CH3" s="143" t="s">
        <v>933</v>
      </c>
      <c r="CI3" s="143" t="s">
        <v>934</v>
      </c>
      <c r="CJ3" s="143" t="s">
        <v>935</v>
      </c>
      <c r="CK3" s="143" t="s">
        <v>936</v>
      </c>
      <c r="CL3" s="143" t="s">
        <v>937</v>
      </c>
      <c r="CM3" s="143" t="s">
        <v>938</v>
      </c>
      <c r="CN3" s="143" t="s">
        <v>939</v>
      </c>
      <c r="CO3" s="143" t="s">
        <v>940</v>
      </c>
      <c r="CP3" s="143" t="s">
        <v>886</v>
      </c>
      <c r="CQ3" s="143" t="s">
        <v>823</v>
      </c>
      <c r="CR3" s="143" t="s">
        <v>824</v>
      </c>
      <c r="CS3" s="143" t="s">
        <v>825</v>
      </c>
      <c r="CT3" s="143" t="s">
        <v>826</v>
      </c>
      <c r="CU3" s="143" t="s">
        <v>827</v>
      </c>
      <c r="CV3" s="143" t="s">
        <v>828</v>
      </c>
      <c r="CW3" s="143" t="s">
        <v>829</v>
      </c>
      <c r="CX3" s="143" t="s">
        <v>263</v>
      </c>
      <c r="CY3" s="143" t="s">
        <v>887</v>
      </c>
      <c r="CZ3" s="143" t="s">
        <v>891</v>
      </c>
      <c r="DA3" s="143" t="s">
        <v>892</v>
      </c>
      <c r="DB3" s="143" t="s">
        <v>893</v>
      </c>
      <c r="DC3" s="143" t="s">
        <v>894</v>
      </c>
      <c r="DD3" s="143" t="s">
        <v>895</v>
      </c>
      <c r="DE3" s="143" t="s">
        <v>896</v>
      </c>
      <c r="DF3" s="143" t="s">
        <v>897</v>
      </c>
      <c r="DG3" s="143" t="s">
        <v>830</v>
      </c>
      <c r="DH3" s="143" t="s">
        <v>301</v>
      </c>
      <c r="DI3" s="143" t="s">
        <v>541</v>
      </c>
      <c r="DJ3" s="143" t="s">
        <v>542</v>
      </c>
    </row>
    <row r="4" spans="1:114" x14ac:dyDescent="0.2">
      <c r="A4" s="183">
        <f>TblRezone[[#This Row],[Hour]]</f>
        <v>1</v>
      </c>
      <c r="B4" s="184">
        <f ca="1">SUM(TblConstr[[#This Row],[Plain]:[Water]])</f>
        <v>160</v>
      </c>
      <c r="C4" s="185">
        <f>SUM(TblConstr[[#This Row],[Tot Hom]:[Tot Doc]])</f>
        <v>90</v>
      </c>
      <c r="D4" s="185">
        <f>SUM(TblConstr[[#This Row],[Hom]:[Doc]])</f>
        <v>0</v>
      </c>
      <c r="E4" s="186"/>
      <c r="F4" s="62">
        <f ca="1">TblConstr[[#This Row],[Barren]]+TblConstr[[#This Row],[Buildings]]+TblConstr[[#This Row],[Incoming]]</f>
        <v>250</v>
      </c>
      <c r="G4" s="411">
        <f ca="1">start_plains+TblConstr[[#This Row],[Ch_Plain]]</f>
        <v>40</v>
      </c>
      <c r="H4" s="412">
        <f ca="1">start_forest+TblConstr[[#This Row],[Ch_Forest]]</f>
        <v>20</v>
      </c>
      <c r="I4" s="413">
        <f ca="1">start_mountains+TblConstr[[#This Row],[Ch_Mountain]]</f>
        <v>20</v>
      </c>
      <c r="J4" s="414">
        <f ca="1">start_hills+TblConstr[[#This Row],[Ch_Hill]]</f>
        <v>20</v>
      </c>
      <c r="K4" s="415">
        <f ca="1">start_swamp+TblConstr[[#This Row],[Ch_Swamp]]</f>
        <v>20</v>
      </c>
      <c r="L4" s="416">
        <f ca="1">start_caverns+TblConstr[[#This Row],[Ch_Cavern]]</f>
        <v>20</v>
      </c>
      <c r="M4" s="417">
        <f ca="1">start_water+TblConstr[[#This Row],[Ch_Water]]</f>
        <v>20</v>
      </c>
      <c r="N4" s="388">
        <f>TblRezone[[#This Row],[Hour]]</f>
        <v>1</v>
      </c>
      <c r="O4" s="187"/>
      <c r="P4" s="166"/>
      <c r="Q4" s="187"/>
      <c r="R4" s="187"/>
      <c r="S4" s="187"/>
      <c r="T4" s="187"/>
      <c r="U4" s="187"/>
      <c r="V4" s="187"/>
      <c r="W4" s="187"/>
      <c r="X4" s="166"/>
      <c r="Y4" s="187"/>
      <c r="Z4" s="187"/>
      <c r="AA4" s="187"/>
      <c r="AB4" s="187"/>
      <c r="AC4" s="166"/>
      <c r="AD4" s="187"/>
      <c r="AE4" s="187"/>
      <c r="AF4" s="187"/>
      <c r="AG4" s="166"/>
      <c r="AH4" s="53">
        <f>TblImps[[#This Row],[Time]]</f>
        <v>44810.75</v>
      </c>
      <c r="AI4" s="188">
        <f ca="1">MIN(25%,(TblConstr[[#This Row],[Tot Fac]]+TblConstr[[#This Row],[Dest Fac]])/(TblConstr[[#This Row],[Land]]-TblExplore[[#This Row],[Land Bonus]]*20))</f>
        <v>0</v>
      </c>
      <c r="AJ4" s="188">
        <f ca="1">MIN(25%,(TblConstr[[#This Row],[Tot Fac]]+TblConstr[[#This Row],[Dest Fac]])/TblConstr[[#This Row],[Land]])</f>
        <v>0</v>
      </c>
      <c r="AK4" s="97">
        <f ca="1">TblProd[[#This Row],[Platinum]]</f>
        <v>100000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8">
        <f ca="1">SUM($O4:$AG4)*AN4</f>
        <v>0</v>
      </c>
      <c r="AS4" s="409">
        <f>MIN(SUM(Constants!A30:G30)+SUM(TblConstr[[#This Row],[Dest Hom]:[Dest Doc]]),SUM(TblConstr[[#This Row],[Hom]:[Doc]]))</f>
        <v>0</v>
      </c>
      <c r="AT4" s="418">
        <f>IF(TblExplore[[#This Row],[Land Bonus]]&lt;&gt;0,MAX(0, MIN(20, 20 + SUM(TblConstr[[#This Row],[Hom]:[Doc]]) - SUM(TblConstr[[#This Row],[Dest Hom]:[Dest Doc]]) - SUM(Constants!A$30:G$30)-20*TblExplore[[#This Row],[Land Bonus]])),0)</f>
        <v>0</v>
      </c>
      <c r="AU4" s="150"/>
      <c r="AV4" s="97">
        <f ca="1">ROUND((TblConstr[[#This Row],[Land]]-250 - IF(TblExplore[[#This Row],[Land Bonus]]&lt;&gt;0,20,0))*1.25 + 850 + 0,0)</f>
        <v>850</v>
      </c>
      <c r="AW4" s="97">
        <f ca="1">ROUND((TblConstr[[#This Row],[Land]]-250 - IF(TblExplore[[#This Row],[Land Bonus]]&lt;&gt;0,20,0))*0.285 + 87.5 + 0/4.25,0)</f>
        <v>88</v>
      </c>
      <c r="AX4" s="162"/>
      <c r="AY4" s="419">
        <f>start_homes-TblConstr[[#This Row],[Dest Hom]]</f>
        <v>10</v>
      </c>
      <c r="AZ4" s="420">
        <f>start_alchs-TblConstr[[#This Row],[Dest Alc]]</f>
        <v>30</v>
      </c>
      <c r="BA4" s="420">
        <f>start_farms-TblConstr[[#This Row],[Dest Farm]]</f>
        <v>30</v>
      </c>
      <c r="BB4" s="420">
        <f>start_smithies-TblConstr[[#This Row],[Dest Smi]]</f>
        <v>0</v>
      </c>
      <c r="BC4" s="420">
        <f>start_masons-TblConstr[[#This Row],[Dest Mas]]</f>
        <v>0</v>
      </c>
      <c r="BD4" s="421">
        <f>start_ly-TblConstr[[#This Row],[Dest Ly]]</f>
        <v>20</v>
      </c>
      <c r="BE4" s="421">
        <f>start_havens-TblConstr[[#This Row],[Dest Hav]]</f>
        <v>0</v>
      </c>
      <c r="BF4" s="422">
        <f>start_om-TblConstr[[#This Row],[Dest OM]]</f>
        <v>0</v>
      </c>
      <c r="BG4" s="422">
        <f>start_gn-TblConstr[[#This Row],[Dest GN]]</f>
        <v>0</v>
      </c>
      <c r="BH4" s="423">
        <f>start_facs-TblConstr[[#This Row],[Dest Fac]]</f>
        <v>0</v>
      </c>
      <c r="BI4" s="423">
        <f>start_gt-TblConstr[[#This Row],[Dest GT]]</f>
        <v>0</v>
      </c>
      <c r="BJ4" s="423">
        <f>start_rax-TblConstr[[#This Row],[Dest Bar]]</f>
        <v>0</v>
      </c>
      <c r="BK4" s="423">
        <f>start_shrines-TblConstr[[#This Row],[Dest Shr]]</f>
        <v>0</v>
      </c>
      <c r="BL4" s="424">
        <f>start_towers-TblConstr[[#This Row],[Dest Tow]]</f>
        <v>0</v>
      </c>
      <c r="BM4" s="424">
        <f>start_temples-TblConstr[[#This Row],[Dest Tem]]</f>
        <v>0</v>
      </c>
      <c r="BN4" s="424">
        <f>start_temples-TblConstr[[#This Row],[Dest WG]]</f>
        <v>0</v>
      </c>
      <c r="BO4" s="425">
        <f>start_dm-TblConstr[[#This Row],[Dest DM]]</f>
        <v>0</v>
      </c>
      <c r="BP4" s="425">
        <f>start_schools-TblConstr[[#This Row],[Dest Sch]]</f>
        <v>0</v>
      </c>
      <c r="BQ4" s="426">
        <f>start_docks-TblConstr[[#This Row],[Dest Doc]]</f>
        <v>0</v>
      </c>
      <c r="BR4" s="150"/>
      <c r="BS4" s="162"/>
      <c r="BT4" s="97">
        <f ca="1">TblConstr[[#This Row],[Land]]</f>
        <v>250</v>
      </c>
      <c r="BU4" s="167">
        <f>TblImps[[#This Row],[Time]]</f>
        <v>44810.75</v>
      </c>
      <c r="BV4" s="150"/>
      <c r="BW4" s="187"/>
      <c r="BX4" s="187"/>
      <c r="BY4" s="187"/>
      <c r="BZ4" s="187"/>
      <c r="CA4" s="187"/>
      <c r="CB4" s="187"/>
      <c r="CC4" s="187"/>
      <c r="CD4" s="187"/>
      <c r="CE4" s="187"/>
      <c r="CF4" s="187"/>
      <c r="CG4" s="187"/>
      <c r="CH4" s="187"/>
      <c r="CI4" s="187"/>
      <c r="CJ4" s="187"/>
      <c r="CK4" s="187"/>
      <c r="CL4" s="187"/>
      <c r="CM4" s="187"/>
      <c r="CN4" s="187"/>
      <c r="CO4" s="187"/>
      <c r="CP4" s="150"/>
      <c r="CQ4" s="189">
        <f ca="1">-SUM(TblConstr[[#This Row],[Alc]:[Mas]])+SUM(TblConstr[[#This Row],[Dest Alc]:[Dest Mas]])+Rezone!L4+IF("Ch_"&amp; home_land=TblConstr[[#Headers],[Ch_Plain]],TblConstr[[#This Row],[Home Land]])+IF(TblConstr[[#This Row],[Hour]:[Hour]]&gt;12,OFFSET(TblExplore[[#This Row],[Plains Explore]],-12,0),0)</f>
        <v>0</v>
      </c>
      <c r="CR4" s="190">
        <f ca="1">-SUM(TblConstr[[#This Row],[Ly]:[Hav]])+SUM(TblConstr[[#This Row],[Dest Ly]:[Dest Hav]]) +Rezone!M4 + IF("Ch_"&amp; home_land=TblConstr[[#Headers],[Ch_Forest]],TblConstr[[#This Row],[Home Land]])+IF(TblConstr[[#This Row],[Hour]:[Hour]]&gt;12,OFFSET(TblExplore[[#This Row],[Forest Explore]],-12,0),0)</f>
        <v>0</v>
      </c>
      <c r="CS4" s="392">
        <f ca="1">-SUM(TblConstr[[#This Row],[OM]:[GN]])+SUM(TblConstr[[#This Row],[Dest OM]:[Dest GN]]) +Rezone!N4 + IF("Ch_"&amp; home_land=TblConstr[[#Headers],[Ch_Mountain]],TblConstr[[#This Row],[Home Land]])+IF(TblConstr[[#This Row],[Hour]:[Hour]]&gt;12,OFFSET(TblExplore[[#This Row],[Mountain Explore]],-12,0),0)</f>
        <v>0</v>
      </c>
      <c r="CT4" s="191">
        <f ca="1">-SUM(TblConstr[[#This Row],[Fac]:[Shr]])+SUM(TblConstr[[#This Row],[Dest Fac]:[Dest Shr]]) +Rezone!O4 + IF("Ch_" &amp; home_land=TblConstr[[#Headers],[Ch_Hill]],TblConstr[[#This Row],[Home Land]])+IF(TblConstr[[#This Row],[Hour]:[Hour]]&gt;12,OFFSET(TblExplore[[#This Row],[Hill Explore]],-12,0),0)</f>
        <v>0</v>
      </c>
      <c r="CU4" s="192">
        <f ca="1">-SUM(TblConstr[[#This Row],[Tow]:[WG]])+SUM(TblConstr[[#This Row],[Dest Tow]:[Dest WG]]) +Rezone!P4 + IF("Ch_" &amp; home_land=TblConstr[[#Headers],[Ch_Swamp]],TblConstr[[#This Row],[Home Land]])+IF(TblConstr[[#This Row],[Hour]:[Hour]]&gt;12,OFFSET(TblExplore[[#This Row],[Swamp Explore]],-12,0),0)</f>
        <v>0</v>
      </c>
      <c r="CV4" s="193">
        <f ca="1" xml:space="preserve"> - SUM(TblConstr[[#This Row],[DM]:[Sch]])+SUM(TblConstr[[#This Row],[Dest DM]:[Dest Sch]]) +Rezone!Q4 + IF("Ch_" &amp; home_land=TblConstr[[#Headers],[Ch_Cavern]],TblConstr[[#This Row],[Home Land]])+IF(TblConstr[[#This Row],[Hour]:[Hour]]&gt;12,OFFSET(TblExplore[[#This Row],[Cavern Explore]],-12,0),0)</f>
        <v>0</v>
      </c>
      <c r="CW4" s="194">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50"/>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83">
        <f>TblRezone[[#This Row],[Hour]]</f>
        <v>2</v>
      </c>
      <c r="B5" s="184">
        <f ca="1">SUM(TblConstr[[#This Row],[Plain]:[Water]])</f>
        <v>160</v>
      </c>
      <c r="C5" s="185">
        <f ca="1">SUM(TblConstr[[#This Row],[Tot Hom]:[Tot Doc]])</f>
        <v>90</v>
      </c>
      <c r="D5" s="185">
        <f>SUM(O$4:AG5)</f>
        <v>0</v>
      </c>
      <c r="E5" s="186"/>
      <c r="F5" s="62">
        <f ca="1">TblConstr[[#This Row],[Barren]]+TblConstr[[#This Row],[Buildings]]+TblConstr[[#This Row],[Incoming]]</f>
        <v>250</v>
      </c>
      <c r="G5" s="195">
        <f ca="1">OFFSET(TblConstr[[#This Row],[Plain]],-1,0)+TblConstr[[#This Row],[Ch_Plain]]</f>
        <v>40</v>
      </c>
      <c r="H5" s="190">
        <f ca="1">OFFSET(TblConstr[[#This Row],[Forest]],-1,0)+TblConstr[[#This Row],[Ch_Forest]]</f>
        <v>20</v>
      </c>
      <c r="I5" s="390">
        <f ca="1">OFFSET(TblConstr[[#This Row],[Mountain]],-1,0)+TblConstr[[#This Row],[Ch_Mountain]]</f>
        <v>20</v>
      </c>
      <c r="J5" s="394">
        <f ca="1">OFFSET(TblConstr[[#This Row],[Hill]],-1,0)+TblConstr[[#This Row],[Ch_Hill]]</f>
        <v>20</v>
      </c>
      <c r="K5" s="398">
        <f ca="1">OFFSET(TblConstr[[#This Row],[Swamp]],-1,0)+TblConstr[[#This Row],[Ch_Swamp]]</f>
        <v>20</v>
      </c>
      <c r="L5" s="193">
        <f ca="1">OFFSET(TblConstr[[#This Row],[Cavern]],-1,0)+TblConstr[[#This Row],[Ch_Cavern]]</f>
        <v>20</v>
      </c>
      <c r="M5" s="194">
        <f ca="1">OFFSET(TblConstr[[#This Row],[Water]],-1,0)+TblConstr[[#This Row],[Ch_Water]]</f>
        <v>20</v>
      </c>
      <c r="N5" s="388">
        <f>TblRezone[[#This Row],[Hour]]</f>
        <v>2</v>
      </c>
      <c r="O5" s="187"/>
      <c r="P5" s="187"/>
      <c r="Q5" s="187"/>
      <c r="R5" s="187"/>
      <c r="S5" s="187"/>
      <c r="T5" s="187"/>
      <c r="U5" s="187"/>
      <c r="V5" s="187"/>
      <c r="W5" s="187"/>
      <c r="X5" s="187"/>
      <c r="Y5" s="187"/>
      <c r="Z5" s="187"/>
      <c r="AA5" s="187"/>
      <c r="AB5" s="187"/>
      <c r="AC5" s="187"/>
      <c r="AD5" s="187"/>
      <c r="AE5" s="187"/>
      <c r="AF5" s="187"/>
      <c r="AG5" s="187"/>
      <c r="AH5" s="53">
        <f ca="1">TblImps[[#This Row],[Time]]</f>
        <v>44810.791666666664</v>
      </c>
      <c r="AI5" s="188">
        <f ca="1">MIN(25%,(TblConstr[[#This Row],[Tot Fac]]+TblConstr[[#This Row],[Dest Fac]])/(TblConstr[[#This Row],[Land]]-TblExplore[[#This Row],[Land Bonus]]*20))</f>
        <v>0</v>
      </c>
      <c r="AJ5" s="188">
        <f ca="1">MIN(25%,(TblConstr[[#This Row],[Tot Fac]]+TblConstr[[#This Row],[Dest Fac]])/TblConstr[[#This Row],[Land]])</f>
        <v>0</v>
      </c>
      <c r="AK5" s="97">
        <f ca="1">TblProd[[#This Row],[Platinum]]</f>
        <v>104860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50"/>
      <c r="AV5" s="97">
        <f ca="1">ROUND((TblConstr[[#This Row],[Land]]-250 - IF(TblExplore[[#This Row],[Land Bonus]]&lt;&gt;0,20,0))*1.25 + 850 + 0,0)</f>
        <v>850</v>
      </c>
      <c r="AW5" s="97">
        <f ca="1">ROUND((TblConstr[[#This Row],[Land]]-250 - IF(TblExplore[[#This Row],[Land Bonus]]&lt;&gt;0,20,0))*0.285 + 87.5 + 0/4.25,0)</f>
        <v>88</v>
      </c>
      <c r="AX5" s="162"/>
      <c r="AY5" s="196" cm="1">
        <f t="array" aca="1" ref="AY5" ca="1">IF(TblConstr[[#This Row],[Hour]:[Hour]]&gt;12,OFFSET(TblConstr[[#This Row],[Hom]],-12,0),0)+OFFSET(TblConstr[[#This Row],[Tot Hom]],-1,0)-TblConstr[[#This Row],[Dest Hom]]</f>
        <v>10</v>
      </c>
      <c r="AZ5" s="197" cm="1">
        <f t="array" aca="1" ref="AZ5" ca="1">IF(TblConstr[[#This Row],[Hour]:[Hour]]&gt;12,OFFSET(TblConstr[[#This Row],[Alc]],-12,0),0)+OFFSET(TblConstr[[#This Row],[Tot Alc]],-1,0)-TblConstr[[#This Row],[Dest Alc]]</f>
        <v>30</v>
      </c>
      <c r="BA5" s="197" cm="1">
        <f t="array" aca="1" ref="BA5" ca="1">IF(TblConstr[[#This Row],[Hour]:[Hour]]&gt;12,OFFSET(TblConstr[[#This Row],[Far]],-12,0),0)+OFFSET(TblConstr[[#This Row],[Tot Farm]],-1,0)-TblConstr[[#This Row],[Dest Farm]]</f>
        <v>30</v>
      </c>
      <c r="BB5" s="197" cm="1">
        <f t="array" aca="1" ref="BB5" ca="1">IF(TblConstr[[#This Row],[Hour]:[Hour]]&gt;12,OFFSET(TblConstr[[#This Row],[Smi]],-12,0),0)+OFFSET(TblConstr[[#This Row],[Tot Smi]],-1,0)-TblConstr[[#This Row],[Dest Smi]]</f>
        <v>0</v>
      </c>
      <c r="BC5" s="197" cm="1">
        <f t="array" aca="1" ref="BC5" ca="1">IF(TblConstr[[#This Row],[Hour]:[Hour]]&gt;12,OFFSET(TblConstr[[#This Row],[Mas]],-12,0),0)+OFFSET(TblConstr[[#This Row],[Tot Mas]],-1,0)-TblConstr[[#This Row],[Dest Mas]]</f>
        <v>0</v>
      </c>
      <c r="BD5" s="198" cm="1">
        <f t="array" aca="1" ref="BD5" ca="1">IF(TblConstr[[#This Row],[Hour]:[Hour]]&gt;12,OFFSET(TblConstr[[#This Row],[Ly]],-12,0),0)+OFFSET(TblConstr[[#This Row],[Tot Ly]],-1,0)-TblConstr[[#This Row],[Dest Ly]]</f>
        <v>20</v>
      </c>
      <c r="BE5" s="198" cm="1">
        <f t="array" aca="1" ref="BE5" ca="1">IF(TblConstr[[#This Row],[Hour]:[Hour]]&gt;12,OFFSET(TblConstr[[#This Row],[Hav]],-12,0),0)+OFFSET(TblConstr[[#This Row],[Tot Hav]],-1,0)-TblConstr[[#This Row],[Dest Hav]]</f>
        <v>0</v>
      </c>
      <c r="BF5" s="392" cm="1">
        <f t="array" aca="1" ref="BF5" ca="1">IF(TblConstr[[#This Row],[Hour]:[Hour]]&gt;12,OFFSET(TblConstr[[#This Row],[OM]],-12,0),0)+OFFSET(TblConstr[[#This Row],[Tot OM]],-1,0)-TblConstr[[#This Row],[Dest OM]]</f>
        <v>0</v>
      </c>
      <c r="BG5" s="392" cm="1">
        <f t="array" aca="1" ref="BG5" ca="1">IF(TblConstr[[#This Row],[Hour]:[Hour]]&gt;12,OFFSET(TblConstr[[#This Row],[GN]],-12,0),0)+OFFSET(TblConstr[[#This Row],[Tot GN]],-1,0)-TblConstr[[#This Row],[Dest GN]]</f>
        <v>0</v>
      </c>
      <c r="BH5" s="396" cm="1">
        <f t="array" aca="1" ref="BH5" ca="1">IF(TblConstr[[#This Row],[Hour]:[Hour]]&gt;12,OFFSET(TblConstr[[#This Row],[Fac]],-12,0),0)+OFFSET(TblConstr[[#This Row],[Tot Fac]],-1,0)-TblConstr[[#This Row],[Dest Fac]]</f>
        <v>0</v>
      </c>
      <c r="BI5" s="396" cm="1">
        <f t="array" aca="1" ref="BI5" ca="1">IF(TblConstr[[#This Row],[Hour]:[Hour]]&gt;12,OFFSET(TblConstr[[#This Row],[GT]],-12,0),0)+OFFSET(TblConstr[[#This Row],[Tot GT]],-1,0)-TblConstr[[#This Row],[Dest GT]]</f>
        <v>0</v>
      </c>
      <c r="BJ5" s="396" cm="1">
        <f t="array" aca="1" ref="BJ5" ca="1">IF(TblConstr[[#This Row],[Hour]:[Hour]]&gt;12,OFFSET(TblConstr[[#This Row],[Bar]],-12,0),0)+OFFSET(TblConstr[[#This Row],[Tot Bar]],-1,0)-TblConstr[[#This Row],[Dest Bar]]</f>
        <v>0</v>
      </c>
      <c r="BK5" s="396" cm="1">
        <f t="array" aca="1" ref="BK5" ca="1">IF(TblConstr[[#This Row],[Hour]:[Hour]]&gt;12,OFFSET(TblConstr[[#This Row],[Shr]],-12,0),0)+OFFSET(TblConstr[[#This Row],[Tot Shr]],-1,0)-TblConstr[[#This Row],[Dest Shr]]</f>
        <v>0</v>
      </c>
      <c r="BL5" s="400" cm="1">
        <f t="array" aca="1" ref="BL5" ca="1">IF(TblConstr[[#This Row],[Hour]:[Hour]]&gt;12,OFFSET(TblConstr[[#This Row],[Tow]],-12,0),0)+OFFSET(TblConstr[[#This Row],[Tot Tow]],-1,0)-TblConstr[[#This Row],[Dest Tow]]</f>
        <v>0</v>
      </c>
      <c r="BM5" s="400" cm="1">
        <f t="array" aca="1" ref="BM5" ca="1">IF(TblConstr[[#This Row],[Hour]:[Hour]]&gt;12,OFFSET(TblConstr[[#This Row],[Tem]],-12,0),0)+OFFSET(TblConstr[[#This Row],[Tot Tem]],-1,0)-TblConstr[[#This Row],[Dest Tem]]</f>
        <v>0</v>
      </c>
      <c r="BN5" s="400" cm="1">
        <f t="array" aca="1" ref="BN5" ca="1">IF(TblConstr[[#This Row],[Hour]:[Hour]]&gt;12,OFFSET(TblConstr[[#This Row],[WG]],-12,0),0)+OFFSET(TblConstr[[#This Row],[Tot WG]],-1,0)-TblConstr[[#This Row],[Dest WG]]</f>
        <v>0</v>
      </c>
      <c r="BO5" s="199" cm="1">
        <f t="array" aca="1" ref="BO5" ca="1">IF(TblConstr[[#This Row],[Hour]:[Hour]]&gt;12,OFFSET(TblConstr[[#This Row],[DM]],-12,0),0)+OFFSET(TblConstr[[#This Row],[Tot DM]],-1,0)-TblConstr[[#This Row],[Dest DM]]</f>
        <v>0</v>
      </c>
      <c r="BP5" s="199" cm="1">
        <f t="array" aca="1" ref="BP5" ca="1">IF(TblConstr[[#This Row],[Hour]:[Hour]]&gt;12,OFFSET(TblConstr[[#This Row],[Sch]],-12,0),0)+OFFSET(TblConstr[[#This Row],[Tot Sch]],-1,0)-TblConstr[[#This Row],[Dest Sch]]</f>
        <v>0</v>
      </c>
      <c r="BQ5" s="200" cm="1">
        <f t="array" aca="1" ref="BQ5" ca="1">IF(TblConstr[[#This Row],[Hour]:[Hour]]&gt;12,OFFSET(TblConstr[[#This Row],[Doc]],-12,0),0)+OFFSET(TblConstr[[#This Row],[Tot Doc]],-1,0)-TblConstr[[#This Row],[Dest Doc]]</f>
        <v>0</v>
      </c>
      <c r="BR5" s="150"/>
      <c r="BS5" s="162"/>
      <c r="BT5" s="97">
        <f ca="1">TblConstr[[#This Row],[Land]]</f>
        <v>250</v>
      </c>
      <c r="BU5" s="167">
        <f ca="1">TblImps[[#This Row],[Time]]</f>
        <v>44810.791666666664</v>
      </c>
      <c r="BV5" s="150"/>
      <c r="BW5" s="187"/>
      <c r="BX5" s="187"/>
      <c r="BY5" s="187"/>
      <c r="BZ5" s="187"/>
      <c r="CA5" s="187"/>
      <c r="CB5" s="187"/>
      <c r="CC5" s="187"/>
      <c r="CD5" s="187"/>
      <c r="CE5" s="187"/>
      <c r="CF5" s="187"/>
      <c r="CG5" s="187"/>
      <c r="CH5" s="187"/>
      <c r="CI5" s="187"/>
      <c r="CJ5" s="187"/>
      <c r="CK5" s="187"/>
      <c r="CL5" s="187"/>
      <c r="CM5" s="187"/>
      <c r="CN5" s="187"/>
      <c r="CO5" s="187"/>
      <c r="CP5" s="150"/>
      <c r="CQ5" s="189">
        <f ca="1">-SUM(TblConstr[[#This Row],[Alc]:[Mas]])+SUM(TblConstr[[#This Row],[Dest Alc]:[Dest Mas]])+Rezone!L5+IF("Ch_"&amp; home_land=TblConstr[[#Headers],[Ch_Plain]],TblConstr[[#This Row],[Home Land]])+IF(TblConstr[[#This Row],[Hour]:[Hour]]&gt;12,OFFSET(TblExplore[[#This Row],[Plains Explore]],-12,0),0)</f>
        <v>0</v>
      </c>
      <c r="CR5" s="190">
        <f ca="1">-SUM(TblConstr[[#This Row],[Ly]:[Hav]])+SUM(TblConstr[[#This Row],[Dest Ly]:[Dest Hav]]) +Rezone!M5 + IF("Ch_"&amp; home_land=TblConstr[[#Headers],[Ch_Forest]],TblConstr[[#This Row],[Home Land]])+IF(TblConstr[[#This Row],[Hour]:[Hour]]&gt;12,OFFSET(TblExplore[[#This Row],[Forest Explore]],-12,0),0)</f>
        <v>0</v>
      </c>
      <c r="CS5" s="390">
        <f ca="1">-SUM(TblConstr[[#This Row],[OM]:[GN]])+SUM(TblConstr[[#This Row],[Dest OM]:[Dest GN]]) +Rezone!N5 + IF("Ch_"&amp; home_land=TblConstr[[#Headers],[Ch_Mountain]],TblConstr[[#This Row],[Home Land]])+IF(TblConstr[[#This Row],[Hour]:[Hour]]&gt;12,OFFSET(TblExplore[[#This Row],[Mountain Explore]],-12,0),0)</f>
        <v>0</v>
      </c>
      <c r="CT5" s="191">
        <f ca="1">-SUM(TblConstr[[#This Row],[Fac]:[Shr]])+SUM(TblConstr[[#This Row],[Dest Fac]:[Dest Shr]]) +Rezone!O5 + IF("Ch_" &amp; home_land=TblConstr[[#Headers],[Ch_Hill]],TblConstr[[#This Row],[Home Land]])+IF(TblConstr[[#This Row],[Hour]:[Hour]]&gt;12,OFFSET(TblExplore[[#This Row],[Hill Explore]],-12,0),0)</f>
        <v>0</v>
      </c>
      <c r="CU5" s="192">
        <f ca="1">-SUM(TblConstr[[#This Row],[Tow]:[WG]])+SUM(TblConstr[[#This Row],[Dest Tow]:[Dest WG]]) +Rezone!P5 + IF("Ch_" &amp; home_land=TblConstr[[#Headers],[Ch_Swamp]],TblConstr[[#This Row],[Home Land]])+IF(TblConstr[[#This Row],[Hour]:[Hour]]&gt;12,OFFSET(TblExplore[[#This Row],[Swamp Explore]],-12,0),0)</f>
        <v>0</v>
      </c>
      <c r="CV5" s="193">
        <f ca="1" xml:space="preserve"> - SUM(TblConstr[[#This Row],[DM]:[Sch]])+SUM(TblConstr[[#This Row],[Dest DM]:[Dest Sch]]) +Rezone!Q5 + IF("Ch_" &amp; home_land=TblConstr[[#Headers],[Ch_Cavern]],TblConstr[[#This Row],[Home Land]])+IF(TblConstr[[#This Row],[Hour]:[Hour]]&gt;12,OFFSET(TblExplore[[#This Row],[Cavern Explore]],-12,0),0)</f>
        <v>0</v>
      </c>
      <c r="CW5" s="194">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50"/>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83">
        <f>TblRezone[[#This Row],[Hour]]</f>
        <v>3</v>
      </c>
      <c r="B6" s="184">
        <f ca="1">SUM(TblConstr[[#This Row],[Plain]:[Water]])</f>
        <v>160</v>
      </c>
      <c r="C6" s="185">
        <f ca="1">SUM(TblConstr[[#This Row],[Tot Hom]:[Tot Doc]])</f>
        <v>90</v>
      </c>
      <c r="D6" s="185">
        <f>SUM(O$4:AG6)</f>
        <v>0</v>
      </c>
      <c r="E6" s="186"/>
      <c r="F6" s="62">
        <f ca="1">TblConstr[[#This Row],[Barren]]+TblConstr[[#This Row],[Buildings]]+TblConstr[[#This Row],[Incoming]]</f>
        <v>250</v>
      </c>
      <c r="G6" s="195">
        <f ca="1">OFFSET(TblConstr[[#This Row],[Plain]],-1,0)+TblConstr[[#This Row],[Ch_Plain]]</f>
        <v>40</v>
      </c>
      <c r="H6" s="190">
        <f ca="1">OFFSET(TblConstr[[#This Row],[Forest]],-1,0)+TblConstr[[#This Row],[Ch_Forest]]</f>
        <v>20</v>
      </c>
      <c r="I6" s="390">
        <f ca="1">OFFSET(TblConstr[[#This Row],[Mountain]],-1,0)+TblConstr[[#This Row],[Ch_Mountain]]</f>
        <v>20</v>
      </c>
      <c r="J6" s="394">
        <f ca="1">OFFSET(TblConstr[[#This Row],[Hill]],-1,0)+TblConstr[[#This Row],[Ch_Hill]]</f>
        <v>20</v>
      </c>
      <c r="K6" s="398">
        <f ca="1">OFFSET(TblConstr[[#This Row],[Swamp]],-1,0)+TblConstr[[#This Row],[Ch_Swamp]]</f>
        <v>20</v>
      </c>
      <c r="L6" s="193">
        <f ca="1">OFFSET(TblConstr[[#This Row],[Cavern]],-1,0)+TblConstr[[#This Row],[Ch_Cavern]]</f>
        <v>20</v>
      </c>
      <c r="M6" s="194">
        <f ca="1">OFFSET(TblConstr[[#This Row],[Water]],-1,0)+TblConstr[[#This Row],[Ch_Water]]</f>
        <v>20</v>
      </c>
      <c r="N6" s="388">
        <f>TblRezone[[#This Row],[Hour]]</f>
        <v>3</v>
      </c>
      <c r="O6" s="187"/>
      <c r="P6" s="187"/>
      <c r="Q6" s="187"/>
      <c r="R6" s="187"/>
      <c r="S6" s="187"/>
      <c r="T6" s="187"/>
      <c r="U6" s="187"/>
      <c r="V6" s="187"/>
      <c r="W6" s="187"/>
      <c r="X6" s="187"/>
      <c r="Y6" s="187"/>
      <c r="Z6" s="187"/>
      <c r="AA6" s="187"/>
      <c r="AB6" s="187"/>
      <c r="AC6" s="187"/>
      <c r="AD6" s="187"/>
      <c r="AE6" s="187"/>
      <c r="AF6" s="187"/>
      <c r="AG6" s="187"/>
      <c r="AH6" s="53">
        <f ca="1">TblImps[[#This Row],[Time]]</f>
        <v>44810.833333333328</v>
      </c>
      <c r="AI6" s="188">
        <f ca="1">MIN(25%,(TblConstr[[#This Row],[Tot Fac]]+TblConstr[[#This Row],[Dest Fac]])/(TblConstr[[#This Row],[Land]]-TblExplore[[#This Row],[Land Bonus]]*20))</f>
        <v>0</v>
      </c>
      <c r="AJ6" s="188">
        <f ca="1">MIN(25%,(TblConstr[[#This Row],[Tot Fac]]+TblConstr[[#This Row],[Dest Fac]])/TblConstr[[#This Row],[Land]])</f>
        <v>0</v>
      </c>
      <c r="AK6" s="97">
        <f ca="1">TblProd[[#This Row],[Platinum]]</f>
        <v>109790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50"/>
      <c r="AV6" s="97">
        <f ca="1">ROUND((TblConstr[[#This Row],[Land]]-250 - IF(TblExplore[[#This Row],[Land Bonus]]&lt;&gt;0,20,0))*1.25 + 850 + 0,0)</f>
        <v>850</v>
      </c>
      <c r="AW6" s="97">
        <f ca="1">ROUND((TblConstr[[#This Row],[Land]]-250 - IF(TblExplore[[#This Row],[Land Bonus]]&lt;&gt;0,20,0))*0.285 + 87.5 + 0/4.25,0)</f>
        <v>88</v>
      </c>
      <c r="AX6" s="162"/>
      <c r="AY6" s="196" cm="1">
        <f t="array" aca="1" ref="AY6" ca="1">IF(TblConstr[[#This Row],[Hour]:[Hour]]&gt;12,OFFSET(TblConstr[[#This Row],[Hom]],-12,0),0)+OFFSET(TblConstr[[#This Row],[Tot Hom]],-1,0)-TblConstr[[#This Row],[Dest Hom]]</f>
        <v>10</v>
      </c>
      <c r="AZ6" s="197" cm="1">
        <f t="array" aca="1" ref="AZ6" ca="1">IF(TblConstr[[#This Row],[Hour]:[Hour]]&gt;12,OFFSET(TblConstr[[#This Row],[Alc]],-12,0),0)+OFFSET(TblConstr[[#This Row],[Tot Alc]],-1,0)-TblConstr[[#This Row],[Dest Alc]]</f>
        <v>30</v>
      </c>
      <c r="BA6" s="197" cm="1">
        <f t="array" aca="1" ref="BA6" ca="1">IF(TblConstr[[#This Row],[Hour]:[Hour]]&gt;12,OFFSET(TblConstr[[#This Row],[Far]],-12,0),0)+OFFSET(TblConstr[[#This Row],[Tot Farm]],-1,0)-TblConstr[[#This Row],[Dest Farm]]</f>
        <v>30</v>
      </c>
      <c r="BB6" s="197" cm="1">
        <f t="array" aca="1" ref="BB6" ca="1">IF(TblConstr[[#This Row],[Hour]:[Hour]]&gt;12,OFFSET(TblConstr[[#This Row],[Smi]],-12,0),0)+OFFSET(TblConstr[[#This Row],[Tot Smi]],-1,0)-TblConstr[[#This Row],[Dest Smi]]</f>
        <v>0</v>
      </c>
      <c r="BC6" s="197" cm="1">
        <f t="array" aca="1" ref="BC6" ca="1">IF(TblConstr[[#This Row],[Hour]:[Hour]]&gt;12,OFFSET(TblConstr[[#This Row],[Mas]],-12,0),0)+OFFSET(TblConstr[[#This Row],[Tot Mas]],-1,0)-TblConstr[[#This Row],[Dest Mas]]</f>
        <v>0</v>
      </c>
      <c r="BD6" s="198" cm="1">
        <f t="array" aca="1" ref="BD6" ca="1">IF(TblConstr[[#This Row],[Hour]:[Hour]]&gt;12,OFFSET(TblConstr[[#This Row],[Ly]],-12,0),0)+OFFSET(TblConstr[[#This Row],[Tot Ly]],-1,0)-TblConstr[[#This Row],[Dest Ly]]</f>
        <v>20</v>
      </c>
      <c r="BE6" s="198" cm="1">
        <f t="array" aca="1" ref="BE6" ca="1">IF(TblConstr[[#This Row],[Hour]:[Hour]]&gt;12,OFFSET(TblConstr[[#This Row],[Hav]],-12,0),0)+OFFSET(TblConstr[[#This Row],[Tot Hav]],-1,0)-TblConstr[[#This Row],[Dest Hav]]</f>
        <v>0</v>
      </c>
      <c r="BF6" s="392" cm="1">
        <f t="array" aca="1" ref="BF6" ca="1">IF(TblConstr[[#This Row],[Hour]:[Hour]]&gt;12,OFFSET(TblConstr[[#This Row],[OM]],-12,0),0)+OFFSET(TblConstr[[#This Row],[Tot OM]],-1,0)-TblConstr[[#This Row],[Dest OM]]</f>
        <v>0</v>
      </c>
      <c r="BG6" s="392" cm="1">
        <f t="array" aca="1" ref="BG6" ca="1">IF(TblConstr[[#This Row],[Hour]:[Hour]]&gt;12,OFFSET(TblConstr[[#This Row],[GN]],-12,0),0)+OFFSET(TblConstr[[#This Row],[Tot GN]],-1,0)-TblConstr[[#This Row],[Dest GN]]</f>
        <v>0</v>
      </c>
      <c r="BH6" s="396" cm="1">
        <f t="array" aca="1" ref="BH6" ca="1">IF(TblConstr[[#This Row],[Hour]:[Hour]]&gt;12,OFFSET(TblConstr[[#This Row],[Fac]],-12,0),0)+OFFSET(TblConstr[[#This Row],[Tot Fac]],-1,0)-TblConstr[[#This Row],[Dest Fac]]</f>
        <v>0</v>
      </c>
      <c r="BI6" s="396" cm="1">
        <f t="array" aca="1" ref="BI6" ca="1">IF(TblConstr[[#This Row],[Hour]:[Hour]]&gt;12,OFFSET(TblConstr[[#This Row],[GT]],-12,0),0)+OFFSET(TblConstr[[#This Row],[Tot GT]],-1,0)-TblConstr[[#This Row],[Dest GT]]</f>
        <v>0</v>
      </c>
      <c r="BJ6" s="396" cm="1">
        <f t="array" aca="1" ref="BJ6" ca="1">IF(TblConstr[[#This Row],[Hour]:[Hour]]&gt;12,OFFSET(TblConstr[[#This Row],[Bar]],-12,0),0)+OFFSET(TblConstr[[#This Row],[Tot Bar]],-1,0)-TblConstr[[#This Row],[Dest Bar]]</f>
        <v>0</v>
      </c>
      <c r="BK6" s="396" cm="1">
        <f t="array" aca="1" ref="BK6" ca="1">IF(TblConstr[[#This Row],[Hour]:[Hour]]&gt;12,OFFSET(TblConstr[[#This Row],[Shr]],-12,0),0)+OFFSET(TblConstr[[#This Row],[Tot Shr]],-1,0)-TblConstr[[#This Row],[Dest Shr]]</f>
        <v>0</v>
      </c>
      <c r="BL6" s="400" cm="1">
        <f t="array" aca="1" ref="BL6" ca="1">IF(TblConstr[[#This Row],[Hour]:[Hour]]&gt;12,OFFSET(TblConstr[[#This Row],[Tow]],-12,0),0)+OFFSET(TblConstr[[#This Row],[Tot Tow]],-1,0)-TblConstr[[#This Row],[Dest Tow]]</f>
        <v>0</v>
      </c>
      <c r="BM6" s="400" cm="1">
        <f t="array" aca="1" ref="BM6" ca="1">IF(TblConstr[[#This Row],[Hour]:[Hour]]&gt;12,OFFSET(TblConstr[[#This Row],[Tem]],-12,0),0)+OFFSET(TblConstr[[#This Row],[Tot Tem]],-1,0)-TblConstr[[#This Row],[Dest Tem]]</f>
        <v>0</v>
      </c>
      <c r="BN6" s="400" cm="1">
        <f t="array" aca="1" ref="BN6" ca="1">IF(TblConstr[[#This Row],[Hour]:[Hour]]&gt;12,OFFSET(TblConstr[[#This Row],[WG]],-12,0),0)+OFFSET(TblConstr[[#This Row],[Tot WG]],-1,0)-TblConstr[[#This Row],[Dest WG]]</f>
        <v>0</v>
      </c>
      <c r="BO6" s="199" cm="1">
        <f t="array" aca="1" ref="BO6" ca="1">IF(TblConstr[[#This Row],[Hour]:[Hour]]&gt;12,OFFSET(TblConstr[[#This Row],[DM]],-12,0),0)+OFFSET(TblConstr[[#This Row],[Tot DM]],-1,0)-TblConstr[[#This Row],[Dest DM]]</f>
        <v>0</v>
      </c>
      <c r="BP6" s="199" cm="1">
        <f t="array" aca="1" ref="BP6" ca="1">IF(TblConstr[[#This Row],[Hour]:[Hour]]&gt;12,OFFSET(TblConstr[[#This Row],[Sch]],-12,0),0)+OFFSET(TblConstr[[#This Row],[Tot Sch]],-1,0)-TblConstr[[#This Row],[Dest Sch]]</f>
        <v>0</v>
      </c>
      <c r="BQ6" s="200" cm="1">
        <f t="array" aca="1" ref="BQ6" ca="1">IF(TblConstr[[#This Row],[Hour]:[Hour]]&gt;12,OFFSET(TblConstr[[#This Row],[Doc]],-12,0),0)+OFFSET(TblConstr[[#This Row],[Tot Doc]],-1,0)-TblConstr[[#This Row],[Dest Doc]]</f>
        <v>0</v>
      </c>
      <c r="BR6" s="150"/>
      <c r="BS6" s="162"/>
      <c r="BT6" s="97">
        <f ca="1">TblConstr[[#This Row],[Land]]</f>
        <v>250</v>
      </c>
      <c r="BU6" s="167">
        <f ca="1">TblImps[[#This Row],[Time]]</f>
        <v>44810.833333333328</v>
      </c>
      <c r="BV6" s="150"/>
      <c r="BW6" s="187"/>
      <c r="BX6" s="187"/>
      <c r="BY6" s="187"/>
      <c r="BZ6" s="187"/>
      <c r="CA6" s="187"/>
      <c r="CB6" s="187"/>
      <c r="CC6" s="187"/>
      <c r="CD6" s="187"/>
      <c r="CE6" s="187"/>
      <c r="CF6" s="187"/>
      <c r="CG6" s="187"/>
      <c r="CH6" s="187"/>
      <c r="CI6" s="187"/>
      <c r="CJ6" s="187"/>
      <c r="CK6" s="187"/>
      <c r="CL6" s="187"/>
      <c r="CM6" s="187"/>
      <c r="CN6" s="187"/>
      <c r="CO6" s="187"/>
      <c r="CP6" s="150"/>
      <c r="CQ6" s="189">
        <f ca="1">-SUM(TblConstr[[#This Row],[Alc]:[Mas]])+SUM(TblConstr[[#This Row],[Dest Alc]:[Dest Mas]])+Rezone!L6+IF("Ch_"&amp; home_land=TblConstr[[#Headers],[Ch_Plain]],TblConstr[[#This Row],[Home Land]])+IF(TblConstr[[#This Row],[Hour]:[Hour]]&gt;12,OFFSET(TblExplore[[#This Row],[Plains Explore]],-12,0),0)</f>
        <v>0</v>
      </c>
      <c r="CR6" s="190">
        <f ca="1">-SUM(TblConstr[[#This Row],[Ly]:[Hav]])+SUM(TblConstr[[#This Row],[Dest Ly]:[Dest Hav]]) +Rezone!M6 + IF("Ch_"&amp; home_land=TblConstr[[#Headers],[Ch_Forest]],TblConstr[[#This Row],[Home Land]])+IF(TblConstr[[#This Row],[Hour]:[Hour]]&gt;12,OFFSET(TblExplore[[#This Row],[Forest Explore]],-12,0),0)</f>
        <v>0</v>
      </c>
      <c r="CS6" s="390">
        <f ca="1">-SUM(TblConstr[[#This Row],[OM]:[GN]])+SUM(TblConstr[[#This Row],[Dest OM]:[Dest GN]]) +Rezone!N6 + IF("Ch_"&amp; home_land=TblConstr[[#Headers],[Ch_Mountain]],TblConstr[[#This Row],[Home Land]])+IF(TblConstr[[#This Row],[Hour]:[Hour]]&gt;12,OFFSET(TblExplore[[#This Row],[Mountain Explore]],-12,0),0)</f>
        <v>0</v>
      </c>
      <c r="CT6" s="191">
        <f ca="1">-SUM(TblConstr[[#This Row],[Fac]:[Shr]])+SUM(TblConstr[[#This Row],[Dest Fac]:[Dest Shr]]) +Rezone!O6 + IF("Ch_" &amp; home_land=TblConstr[[#Headers],[Ch_Hill]],TblConstr[[#This Row],[Home Land]])+IF(TblConstr[[#This Row],[Hour]:[Hour]]&gt;12,OFFSET(TblExplore[[#This Row],[Hill Explore]],-12,0),0)</f>
        <v>0</v>
      </c>
      <c r="CU6" s="192">
        <f ca="1">-SUM(TblConstr[[#This Row],[Tow]:[WG]])+SUM(TblConstr[[#This Row],[Dest Tow]:[Dest WG]]) +Rezone!P6 + IF("Ch_" &amp; home_land=TblConstr[[#Headers],[Ch_Swamp]],TblConstr[[#This Row],[Home Land]])+IF(TblConstr[[#This Row],[Hour]:[Hour]]&gt;12,OFFSET(TblExplore[[#This Row],[Swamp Explore]],-12,0),0)</f>
        <v>0</v>
      </c>
      <c r="CV6" s="193">
        <f ca="1" xml:space="preserve"> - SUM(TblConstr[[#This Row],[DM]:[Sch]])+SUM(TblConstr[[#This Row],[Dest DM]:[Dest Sch]]) +Rezone!Q6 + IF("Ch_" &amp; home_land=TblConstr[[#Headers],[Ch_Cavern]],TblConstr[[#This Row],[Home Land]])+IF(TblConstr[[#This Row],[Hour]:[Hour]]&gt;12,OFFSET(TblExplore[[#This Row],[Cavern Explore]],-12,0),0)</f>
        <v>0</v>
      </c>
      <c r="CW6" s="194">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50"/>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83">
        <f>TblRezone[[#This Row],[Hour]]</f>
        <v>4</v>
      </c>
      <c r="B7" s="184">
        <f ca="1">SUM(TblConstr[[#This Row],[Plain]:[Water]])</f>
        <v>160</v>
      </c>
      <c r="C7" s="185">
        <f ca="1">SUM(TblConstr[[#This Row],[Tot Hom]:[Tot Doc]])</f>
        <v>90</v>
      </c>
      <c r="D7" s="185">
        <f>SUM(O$4:AG7)</f>
        <v>0</v>
      </c>
      <c r="E7" s="186"/>
      <c r="F7" s="62">
        <f ca="1">TblConstr[[#This Row],[Barren]]+TblConstr[[#This Row],[Buildings]]+TblConstr[[#This Row],[Incoming]]</f>
        <v>250</v>
      </c>
      <c r="G7" s="195">
        <f ca="1">OFFSET(TblConstr[[#This Row],[Plain]],-1,0)+TblConstr[[#This Row],[Ch_Plain]]</f>
        <v>40</v>
      </c>
      <c r="H7" s="190">
        <f ca="1">OFFSET(TblConstr[[#This Row],[Forest]],-1,0)+TblConstr[[#This Row],[Ch_Forest]]</f>
        <v>20</v>
      </c>
      <c r="I7" s="390">
        <f ca="1">OFFSET(TblConstr[[#This Row],[Mountain]],-1,0)+TblConstr[[#This Row],[Ch_Mountain]]</f>
        <v>20</v>
      </c>
      <c r="J7" s="394">
        <f ca="1">OFFSET(TblConstr[[#This Row],[Hill]],-1,0)+TblConstr[[#This Row],[Ch_Hill]]</f>
        <v>20</v>
      </c>
      <c r="K7" s="398">
        <f ca="1">OFFSET(TblConstr[[#This Row],[Swamp]],-1,0)+TblConstr[[#This Row],[Ch_Swamp]]</f>
        <v>20</v>
      </c>
      <c r="L7" s="193">
        <f ca="1">OFFSET(TblConstr[[#This Row],[Cavern]],-1,0)+TblConstr[[#This Row],[Ch_Cavern]]</f>
        <v>20</v>
      </c>
      <c r="M7" s="194">
        <f ca="1">OFFSET(TblConstr[[#This Row],[Water]],-1,0)+TblConstr[[#This Row],[Ch_Water]]</f>
        <v>20</v>
      </c>
      <c r="N7" s="388">
        <f>TblRezone[[#This Row],[Hour]]</f>
        <v>4</v>
      </c>
      <c r="O7" s="187"/>
      <c r="P7" s="187"/>
      <c r="Q7" s="187"/>
      <c r="R7" s="187"/>
      <c r="S7" s="187"/>
      <c r="T7" s="187"/>
      <c r="U7" s="187"/>
      <c r="V7" s="187"/>
      <c r="W7" s="187"/>
      <c r="X7" s="187"/>
      <c r="Y7" s="187"/>
      <c r="Z7" s="187"/>
      <c r="AA7" s="187"/>
      <c r="AB7" s="187"/>
      <c r="AC7" s="187"/>
      <c r="AD7" s="187"/>
      <c r="AE7" s="187"/>
      <c r="AF7" s="187"/>
      <c r="AG7" s="187"/>
      <c r="AH7" s="53">
        <f ca="1">TblImps[[#This Row],[Time]]</f>
        <v>44810.874999999993</v>
      </c>
      <c r="AI7" s="188">
        <f ca="1">MIN(25%,(TblConstr[[#This Row],[Tot Fac]]+TblConstr[[#This Row],[Dest Fac]])/(TblConstr[[#This Row],[Land]]-TblExplore[[#This Row],[Land Bonus]]*20))</f>
        <v>0</v>
      </c>
      <c r="AJ7" s="188">
        <f ca="1">MIN(25%,(TblConstr[[#This Row],[Tot Fac]]+TblConstr[[#This Row],[Dest Fac]])/TblConstr[[#This Row],[Land]])</f>
        <v>0</v>
      </c>
      <c r="AK7" s="97">
        <f ca="1">TblProd[[#This Row],[Platinum]]</f>
        <v>114790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50"/>
      <c r="AV7" s="97">
        <f ca="1">ROUND((TblConstr[[#This Row],[Land]]-250 - IF(TblExplore[[#This Row],[Land Bonus]]&lt;&gt;0,20,0))*1.25 + 850 + 0,0)</f>
        <v>850</v>
      </c>
      <c r="AW7" s="97">
        <f ca="1">ROUND((TblConstr[[#This Row],[Land]]-250 - IF(TblExplore[[#This Row],[Land Bonus]]&lt;&gt;0,20,0))*0.285 + 87.5 + 0/4.25,0)</f>
        <v>88</v>
      </c>
      <c r="AX7" s="162"/>
      <c r="AY7" s="196" cm="1">
        <f t="array" aca="1" ref="AY7" ca="1">IF(TblConstr[[#This Row],[Hour]:[Hour]]&gt;12,OFFSET(TblConstr[[#This Row],[Hom]],-12,0),0)+OFFSET(TblConstr[[#This Row],[Tot Hom]],-1,0)-TblConstr[[#This Row],[Dest Hom]]</f>
        <v>10</v>
      </c>
      <c r="AZ7" s="197" cm="1">
        <f t="array" aca="1" ref="AZ7" ca="1">IF(TblConstr[[#This Row],[Hour]:[Hour]]&gt;12,OFFSET(TblConstr[[#This Row],[Alc]],-12,0),0)+OFFSET(TblConstr[[#This Row],[Tot Alc]],-1,0)-TblConstr[[#This Row],[Dest Alc]]</f>
        <v>30</v>
      </c>
      <c r="BA7" s="197" cm="1">
        <f t="array" aca="1" ref="BA7" ca="1">IF(TblConstr[[#This Row],[Hour]:[Hour]]&gt;12,OFFSET(TblConstr[[#This Row],[Far]],-12,0),0)+OFFSET(TblConstr[[#This Row],[Tot Farm]],-1,0)-TblConstr[[#This Row],[Dest Farm]]</f>
        <v>30</v>
      </c>
      <c r="BB7" s="197" cm="1">
        <f t="array" aca="1" ref="BB7" ca="1">IF(TblConstr[[#This Row],[Hour]:[Hour]]&gt;12,OFFSET(TblConstr[[#This Row],[Smi]],-12,0),0)+OFFSET(TblConstr[[#This Row],[Tot Smi]],-1,0)-TblConstr[[#This Row],[Dest Smi]]</f>
        <v>0</v>
      </c>
      <c r="BC7" s="197" cm="1">
        <f t="array" aca="1" ref="BC7" ca="1">IF(TblConstr[[#This Row],[Hour]:[Hour]]&gt;12,OFFSET(TblConstr[[#This Row],[Mas]],-12,0),0)+OFFSET(TblConstr[[#This Row],[Tot Mas]],-1,0)-TblConstr[[#This Row],[Dest Mas]]</f>
        <v>0</v>
      </c>
      <c r="BD7" s="198" cm="1">
        <f t="array" aca="1" ref="BD7" ca="1">IF(TblConstr[[#This Row],[Hour]:[Hour]]&gt;12,OFFSET(TblConstr[[#This Row],[Ly]],-12,0),0)+OFFSET(TblConstr[[#This Row],[Tot Ly]],-1,0)-TblConstr[[#This Row],[Dest Ly]]</f>
        <v>20</v>
      </c>
      <c r="BE7" s="198" cm="1">
        <f t="array" aca="1" ref="BE7" ca="1">IF(TblConstr[[#This Row],[Hour]:[Hour]]&gt;12,OFFSET(TblConstr[[#This Row],[Hav]],-12,0),0)+OFFSET(TblConstr[[#This Row],[Tot Hav]],-1,0)-TblConstr[[#This Row],[Dest Hav]]</f>
        <v>0</v>
      </c>
      <c r="BF7" s="392" cm="1">
        <f t="array" aca="1" ref="BF7" ca="1">IF(TblConstr[[#This Row],[Hour]:[Hour]]&gt;12,OFFSET(TblConstr[[#This Row],[OM]],-12,0),0)+OFFSET(TblConstr[[#This Row],[Tot OM]],-1,0)-TblConstr[[#This Row],[Dest OM]]</f>
        <v>0</v>
      </c>
      <c r="BG7" s="392" cm="1">
        <f t="array" aca="1" ref="BG7" ca="1">IF(TblConstr[[#This Row],[Hour]:[Hour]]&gt;12,OFFSET(TblConstr[[#This Row],[GN]],-12,0),0)+OFFSET(TblConstr[[#This Row],[Tot GN]],-1,0)-TblConstr[[#This Row],[Dest GN]]</f>
        <v>0</v>
      </c>
      <c r="BH7" s="396" cm="1">
        <f t="array" aca="1" ref="BH7" ca="1">IF(TblConstr[[#This Row],[Hour]:[Hour]]&gt;12,OFFSET(TblConstr[[#This Row],[Fac]],-12,0),0)+OFFSET(TblConstr[[#This Row],[Tot Fac]],-1,0)-TblConstr[[#This Row],[Dest Fac]]</f>
        <v>0</v>
      </c>
      <c r="BI7" s="396" cm="1">
        <f t="array" aca="1" ref="BI7" ca="1">IF(TblConstr[[#This Row],[Hour]:[Hour]]&gt;12,OFFSET(TblConstr[[#This Row],[GT]],-12,0),0)+OFFSET(TblConstr[[#This Row],[Tot GT]],-1,0)-TblConstr[[#This Row],[Dest GT]]</f>
        <v>0</v>
      </c>
      <c r="BJ7" s="396" cm="1">
        <f t="array" aca="1" ref="BJ7" ca="1">IF(TblConstr[[#This Row],[Hour]:[Hour]]&gt;12,OFFSET(TblConstr[[#This Row],[Bar]],-12,0),0)+OFFSET(TblConstr[[#This Row],[Tot Bar]],-1,0)-TblConstr[[#This Row],[Dest Bar]]</f>
        <v>0</v>
      </c>
      <c r="BK7" s="396" cm="1">
        <f t="array" aca="1" ref="BK7" ca="1">IF(TblConstr[[#This Row],[Hour]:[Hour]]&gt;12,OFFSET(TblConstr[[#This Row],[Shr]],-12,0),0)+OFFSET(TblConstr[[#This Row],[Tot Shr]],-1,0)-TblConstr[[#This Row],[Dest Shr]]</f>
        <v>0</v>
      </c>
      <c r="BL7" s="400" cm="1">
        <f t="array" aca="1" ref="BL7" ca="1">IF(TblConstr[[#This Row],[Hour]:[Hour]]&gt;12,OFFSET(TblConstr[[#This Row],[Tow]],-12,0),0)+OFFSET(TblConstr[[#This Row],[Tot Tow]],-1,0)-TblConstr[[#This Row],[Dest Tow]]</f>
        <v>0</v>
      </c>
      <c r="BM7" s="400" cm="1">
        <f t="array" aca="1" ref="BM7" ca="1">IF(TblConstr[[#This Row],[Hour]:[Hour]]&gt;12,OFFSET(TblConstr[[#This Row],[Tem]],-12,0),0)+OFFSET(TblConstr[[#This Row],[Tot Tem]],-1,0)-TblConstr[[#This Row],[Dest Tem]]</f>
        <v>0</v>
      </c>
      <c r="BN7" s="400" cm="1">
        <f t="array" aca="1" ref="BN7" ca="1">IF(TblConstr[[#This Row],[Hour]:[Hour]]&gt;12,OFFSET(TblConstr[[#This Row],[WG]],-12,0),0)+OFFSET(TblConstr[[#This Row],[Tot WG]],-1,0)-TblConstr[[#This Row],[Dest WG]]</f>
        <v>0</v>
      </c>
      <c r="BO7" s="199" cm="1">
        <f t="array" aca="1" ref="BO7" ca="1">IF(TblConstr[[#This Row],[Hour]:[Hour]]&gt;12,OFFSET(TblConstr[[#This Row],[DM]],-12,0),0)+OFFSET(TblConstr[[#This Row],[Tot DM]],-1,0)-TblConstr[[#This Row],[Dest DM]]</f>
        <v>0</v>
      </c>
      <c r="BP7" s="199" cm="1">
        <f t="array" aca="1" ref="BP7" ca="1">IF(TblConstr[[#This Row],[Hour]:[Hour]]&gt;12,OFFSET(TblConstr[[#This Row],[Sch]],-12,0),0)+OFFSET(TblConstr[[#This Row],[Tot Sch]],-1,0)-TblConstr[[#This Row],[Dest Sch]]</f>
        <v>0</v>
      </c>
      <c r="BQ7" s="200" cm="1">
        <f t="array" aca="1" ref="BQ7" ca="1">IF(TblConstr[[#This Row],[Hour]:[Hour]]&gt;12,OFFSET(TblConstr[[#This Row],[Doc]],-12,0),0)+OFFSET(TblConstr[[#This Row],[Tot Doc]],-1,0)-TblConstr[[#This Row],[Dest Doc]]</f>
        <v>0</v>
      </c>
      <c r="BR7" s="150"/>
      <c r="BS7" s="162"/>
      <c r="BT7" s="97">
        <f ca="1">TblConstr[[#This Row],[Land]]</f>
        <v>250</v>
      </c>
      <c r="BU7" s="167">
        <f ca="1">TblImps[[#This Row],[Time]]</f>
        <v>44810.874999999993</v>
      </c>
      <c r="BV7" s="150"/>
      <c r="BW7" s="187"/>
      <c r="BX7" s="187"/>
      <c r="BY7" s="187"/>
      <c r="BZ7" s="187"/>
      <c r="CA7" s="187"/>
      <c r="CB7" s="187"/>
      <c r="CC7" s="187"/>
      <c r="CD7" s="187"/>
      <c r="CE7" s="187"/>
      <c r="CF7" s="187"/>
      <c r="CG7" s="187"/>
      <c r="CH7" s="187"/>
      <c r="CI7" s="187"/>
      <c r="CJ7" s="187"/>
      <c r="CK7" s="187"/>
      <c r="CL7" s="187"/>
      <c r="CM7" s="187"/>
      <c r="CN7" s="187"/>
      <c r="CO7" s="187"/>
      <c r="CP7" s="150"/>
      <c r="CQ7" s="189">
        <f ca="1">-SUM(TblConstr[[#This Row],[Alc]:[Mas]])+SUM(TblConstr[[#This Row],[Dest Alc]:[Dest Mas]])+Rezone!L7+IF("Ch_"&amp; home_land=TblConstr[[#Headers],[Ch_Plain]],TblConstr[[#This Row],[Home Land]])+IF(TblConstr[[#This Row],[Hour]:[Hour]]&gt;12,OFFSET(TblExplore[[#This Row],[Plains Explore]],-12,0),0)</f>
        <v>0</v>
      </c>
      <c r="CR7" s="190">
        <f ca="1">-SUM(TblConstr[[#This Row],[Ly]:[Hav]])+SUM(TblConstr[[#This Row],[Dest Ly]:[Dest Hav]]) +Rezone!M7 + IF("Ch_"&amp; home_land=TblConstr[[#Headers],[Ch_Forest]],TblConstr[[#This Row],[Home Land]])+IF(TblConstr[[#This Row],[Hour]:[Hour]]&gt;12,OFFSET(TblExplore[[#This Row],[Forest Explore]],-12,0),0)</f>
        <v>0</v>
      </c>
      <c r="CS7" s="390">
        <f ca="1">-SUM(TblConstr[[#This Row],[OM]:[GN]])+SUM(TblConstr[[#This Row],[Dest OM]:[Dest GN]]) +Rezone!N7 + IF("Ch_"&amp; home_land=TblConstr[[#Headers],[Ch_Mountain]],TblConstr[[#This Row],[Home Land]])+IF(TblConstr[[#This Row],[Hour]:[Hour]]&gt;12,OFFSET(TblExplore[[#This Row],[Mountain Explore]],-12,0),0)</f>
        <v>0</v>
      </c>
      <c r="CT7" s="191">
        <f ca="1">-SUM(TblConstr[[#This Row],[Fac]:[Shr]])+SUM(TblConstr[[#This Row],[Dest Fac]:[Dest Shr]]) +Rezone!O7 + IF("Ch_" &amp; home_land=TblConstr[[#Headers],[Ch_Hill]],TblConstr[[#This Row],[Home Land]])+IF(TblConstr[[#This Row],[Hour]:[Hour]]&gt;12,OFFSET(TblExplore[[#This Row],[Hill Explore]],-12,0),0)</f>
        <v>0</v>
      </c>
      <c r="CU7" s="192">
        <f ca="1">-SUM(TblConstr[[#This Row],[Tow]:[WG]])+SUM(TblConstr[[#This Row],[Dest Tow]:[Dest WG]]) +Rezone!P7 + IF("Ch_" &amp; home_land=TblConstr[[#Headers],[Ch_Swamp]],TblConstr[[#This Row],[Home Land]])+IF(TblConstr[[#This Row],[Hour]:[Hour]]&gt;12,OFFSET(TblExplore[[#This Row],[Swamp Explore]],-12,0),0)</f>
        <v>0</v>
      </c>
      <c r="CV7" s="193">
        <f ca="1" xml:space="preserve"> - SUM(TblConstr[[#This Row],[DM]:[Sch]])+SUM(TblConstr[[#This Row],[Dest DM]:[Dest Sch]]) +Rezone!Q7 + IF("Ch_" &amp; home_land=TblConstr[[#Headers],[Ch_Cavern]],TblConstr[[#This Row],[Home Land]])+IF(TblConstr[[#This Row],[Hour]:[Hour]]&gt;12,OFFSET(TblExplore[[#This Row],[Cavern Explore]],-12,0),0)</f>
        <v>0</v>
      </c>
      <c r="CW7" s="194">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50"/>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7">
        <f>TblRezone[[#This Row],[Hour]]</f>
        <v>5</v>
      </c>
      <c r="B8" s="184">
        <f ca="1">SUM(TblConstr[[#This Row],[Plain]:[Water]])</f>
        <v>160</v>
      </c>
      <c r="C8" s="185">
        <f ca="1">SUM(TblConstr[[#This Row],[Tot Hom]:[Tot Doc]])</f>
        <v>90</v>
      </c>
      <c r="D8" s="185">
        <f>SUM(O$4:AG8)</f>
        <v>0</v>
      </c>
      <c r="E8" s="186"/>
      <c r="F8" s="62">
        <f ca="1">TblConstr[[#This Row],[Barren]]+TblConstr[[#This Row],[Buildings]]+TblConstr[[#This Row],[Incoming]]</f>
        <v>250</v>
      </c>
      <c r="G8" s="195">
        <f ca="1">OFFSET(TblConstr[[#This Row],[Plain]],-1,0)+TblConstr[[#This Row],[Ch_Plain]]</f>
        <v>40</v>
      </c>
      <c r="H8" s="190">
        <f ca="1">OFFSET(TblConstr[[#This Row],[Forest]],-1,0)+TblConstr[[#This Row],[Ch_Forest]]</f>
        <v>20</v>
      </c>
      <c r="I8" s="390">
        <f ca="1">OFFSET(TblConstr[[#This Row],[Mountain]],-1,0)+TblConstr[[#This Row],[Ch_Mountain]]</f>
        <v>20</v>
      </c>
      <c r="J8" s="394">
        <f ca="1">OFFSET(TblConstr[[#This Row],[Hill]],-1,0)+TblConstr[[#This Row],[Ch_Hill]]</f>
        <v>20</v>
      </c>
      <c r="K8" s="398">
        <f ca="1">OFFSET(TblConstr[[#This Row],[Swamp]],-1,0)+TblConstr[[#This Row],[Ch_Swamp]]</f>
        <v>20</v>
      </c>
      <c r="L8" s="193">
        <f ca="1">OFFSET(TblConstr[[#This Row],[Cavern]],-1,0)+TblConstr[[#This Row],[Ch_Cavern]]</f>
        <v>20</v>
      </c>
      <c r="M8" s="194">
        <f ca="1">OFFSET(TblConstr[[#This Row],[Water]],-1,0)+TblConstr[[#This Row],[Ch_Water]]</f>
        <v>20</v>
      </c>
      <c r="N8" s="388">
        <f>TblRezone[[#This Row],[Hour]]</f>
        <v>5</v>
      </c>
      <c r="O8" s="187"/>
      <c r="P8" s="187"/>
      <c r="Q8" s="187"/>
      <c r="R8" s="187"/>
      <c r="S8" s="187"/>
      <c r="T8" s="187"/>
      <c r="U8" s="187"/>
      <c r="V8" s="187"/>
      <c r="W8" s="187"/>
      <c r="X8" s="187"/>
      <c r="Y8" s="187"/>
      <c r="Z8" s="187"/>
      <c r="AA8" s="187"/>
      <c r="AB8" s="187"/>
      <c r="AC8" s="187"/>
      <c r="AD8" s="187"/>
      <c r="AE8" s="187"/>
      <c r="AF8" s="187"/>
      <c r="AG8" s="187"/>
      <c r="AH8" s="53">
        <f ca="1">TblImps[[#This Row],[Time]]</f>
        <v>44810.916666666657</v>
      </c>
      <c r="AI8" s="188">
        <f ca="1">MIN(25%,(TblConstr[[#This Row],[Tot Fac]]+TblConstr[[#This Row],[Dest Fac]])/(TblConstr[[#This Row],[Land]]-TblExplore[[#This Row],[Land Bonus]]*20))</f>
        <v>0</v>
      </c>
      <c r="AJ8" s="188">
        <f ca="1">MIN(25%,(TblConstr[[#This Row],[Tot Fac]]+TblConstr[[#This Row],[Dest Fac]])/TblConstr[[#This Row],[Land]])</f>
        <v>0</v>
      </c>
      <c r="AK8" s="97">
        <f ca="1">TblProd[[#This Row],[Platinum]]</f>
        <v>119860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50"/>
      <c r="AV8" s="97">
        <f ca="1">ROUND((TblConstr[[#This Row],[Land]]-250 - IF(TblExplore[[#This Row],[Land Bonus]]&lt;&gt;0,20,0))*1.25 + 850 + 0,0)</f>
        <v>850</v>
      </c>
      <c r="AW8" s="97">
        <f ca="1">ROUND((TblConstr[[#This Row],[Land]]-250 - IF(TblExplore[[#This Row],[Land Bonus]]&lt;&gt;0,20,0))*0.285 + 87.5 + 0/4.25,0)</f>
        <v>88</v>
      </c>
      <c r="AX8" s="162"/>
      <c r="AY8" s="196" cm="1">
        <f t="array" aca="1" ref="AY8" ca="1">IF(TblConstr[[#This Row],[Hour]:[Hour]]&gt;12,OFFSET(TblConstr[[#This Row],[Hom]],-12,0),0)+OFFSET(TblConstr[[#This Row],[Tot Hom]],-1,0)-TblConstr[[#This Row],[Dest Hom]]</f>
        <v>10</v>
      </c>
      <c r="AZ8" s="197" cm="1">
        <f t="array" aca="1" ref="AZ8" ca="1">IF(TblConstr[[#This Row],[Hour]:[Hour]]&gt;12,OFFSET(TblConstr[[#This Row],[Alc]],-12,0),0)+OFFSET(TblConstr[[#This Row],[Tot Alc]],-1,0)-TblConstr[[#This Row],[Dest Alc]]</f>
        <v>30</v>
      </c>
      <c r="BA8" s="197" cm="1">
        <f t="array" aca="1" ref="BA8" ca="1">IF(TblConstr[[#This Row],[Hour]:[Hour]]&gt;12,OFFSET(TblConstr[[#This Row],[Far]],-12,0),0)+OFFSET(TblConstr[[#This Row],[Tot Farm]],-1,0)-TblConstr[[#This Row],[Dest Farm]]</f>
        <v>30</v>
      </c>
      <c r="BB8" s="197" cm="1">
        <f t="array" aca="1" ref="BB8" ca="1">IF(TblConstr[[#This Row],[Hour]:[Hour]]&gt;12,OFFSET(TblConstr[[#This Row],[Smi]],-12,0),0)+OFFSET(TblConstr[[#This Row],[Tot Smi]],-1,0)-TblConstr[[#This Row],[Dest Smi]]</f>
        <v>0</v>
      </c>
      <c r="BC8" s="197" cm="1">
        <f t="array" aca="1" ref="BC8" ca="1">IF(TblConstr[[#This Row],[Hour]:[Hour]]&gt;12,OFFSET(TblConstr[[#This Row],[Mas]],-12,0),0)+OFFSET(TblConstr[[#This Row],[Tot Mas]],-1,0)-TblConstr[[#This Row],[Dest Mas]]</f>
        <v>0</v>
      </c>
      <c r="BD8" s="198" cm="1">
        <f t="array" aca="1" ref="BD8" ca="1">IF(TblConstr[[#This Row],[Hour]:[Hour]]&gt;12,OFFSET(TblConstr[[#This Row],[Ly]],-12,0),0)+OFFSET(TblConstr[[#This Row],[Tot Ly]],-1,0)-TblConstr[[#This Row],[Dest Ly]]</f>
        <v>20</v>
      </c>
      <c r="BE8" s="198" cm="1">
        <f t="array" aca="1" ref="BE8" ca="1">IF(TblConstr[[#This Row],[Hour]:[Hour]]&gt;12,OFFSET(TblConstr[[#This Row],[Hav]],-12,0),0)+OFFSET(TblConstr[[#This Row],[Tot Hav]],-1,0)-TblConstr[[#This Row],[Dest Hav]]</f>
        <v>0</v>
      </c>
      <c r="BF8" s="392" cm="1">
        <f t="array" aca="1" ref="BF8" ca="1">IF(TblConstr[[#This Row],[Hour]:[Hour]]&gt;12,OFFSET(TblConstr[[#This Row],[OM]],-12,0),0)+OFFSET(TblConstr[[#This Row],[Tot OM]],-1,0)-TblConstr[[#This Row],[Dest OM]]</f>
        <v>0</v>
      </c>
      <c r="BG8" s="392" cm="1">
        <f t="array" aca="1" ref="BG8" ca="1">IF(TblConstr[[#This Row],[Hour]:[Hour]]&gt;12,OFFSET(TblConstr[[#This Row],[GN]],-12,0),0)+OFFSET(TblConstr[[#This Row],[Tot GN]],-1,0)-TblConstr[[#This Row],[Dest GN]]</f>
        <v>0</v>
      </c>
      <c r="BH8" s="396" cm="1">
        <f t="array" aca="1" ref="BH8" ca="1">IF(TblConstr[[#This Row],[Hour]:[Hour]]&gt;12,OFFSET(TblConstr[[#This Row],[Fac]],-12,0),0)+OFFSET(TblConstr[[#This Row],[Tot Fac]],-1,0)-TblConstr[[#This Row],[Dest Fac]]</f>
        <v>0</v>
      </c>
      <c r="BI8" s="396" cm="1">
        <f t="array" aca="1" ref="BI8" ca="1">IF(TblConstr[[#This Row],[Hour]:[Hour]]&gt;12,OFFSET(TblConstr[[#This Row],[GT]],-12,0),0)+OFFSET(TblConstr[[#This Row],[Tot GT]],-1,0)-TblConstr[[#This Row],[Dest GT]]</f>
        <v>0</v>
      </c>
      <c r="BJ8" s="396" cm="1">
        <f t="array" aca="1" ref="BJ8" ca="1">IF(TblConstr[[#This Row],[Hour]:[Hour]]&gt;12,OFFSET(TblConstr[[#This Row],[Bar]],-12,0),0)+OFFSET(TblConstr[[#This Row],[Tot Bar]],-1,0)-TblConstr[[#This Row],[Dest Bar]]</f>
        <v>0</v>
      </c>
      <c r="BK8" s="396" cm="1">
        <f t="array" aca="1" ref="BK8" ca="1">IF(TblConstr[[#This Row],[Hour]:[Hour]]&gt;12,OFFSET(TblConstr[[#This Row],[Shr]],-12,0),0)+OFFSET(TblConstr[[#This Row],[Tot Shr]],-1,0)-TblConstr[[#This Row],[Dest Shr]]</f>
        <v>0</v>
      </c>
      <c r="BL8" s="400" cm="1">
        <f t="array" aca="1" ref="BL8" ca="1">IF(TblConstr[[#This Row],[Hour]:[Hour]]&gt;12,OFFSET(TblConstr[[#This Row],[Tow]],-12,0),0)+OFFSET(TblConstr[[#This Row],[Tot Tow]],-1,0)-TblConstr[[#This Row],[Dest Tow]]</f>
        <v>0</v>
      </c>
      <c r="BM8" s="400" cm="1">
        <f t="array" aca="1" ref="BM8" ca="1">IF(TblConstr[[#This Row],[Hour]:[Hour]]&gt;12,OFFSET(TblConstr[[#This Row],[Tem]],-12,0),0)+OFFSET(TblConstr[[#This Row],[Tot Tem]],-1,0)-TblConstr[[#This Row],[Dest Tem]]</f>
        <v>0</v>
      </c>
      <c r="BN8" s="400" cm="1">
        <f t="array" aca="1" ref="BN8" ca="1">IF(TblConstr[[#This Row],[Hour]:[Hour]]&gt;12,OFFSET(TblConstr[[#This Row],[WG]],-12,0),0)+OFFSET(TblConstr[[#This Row],[Tot WG]],-1,0)-TblConstr[[#This Row],[Dest WG]]</f>
        <v>0</v>
      </c>
      <c r="BO8" s="199" cm="1">
        <f t="array" aca="1" ref="BO8" ca="1">IF(TblConstr[[#This Row],[Hour]:[Hour]]&gt;12,OFFSET(TblConstr[[#This Row],[DM]],-12,0),0)+OFFSET(TblConstr[[#This Row],[Tot DM]],-1,0)-TblConstr[[#This Row],[Dest DM]]</f>
        <v>0</v>
      </c>
      <c r="BP8" s="199" cm="1">
        <f t="array" aca="1" ref="BP8" ca="1">IF(TblConstr[[#This Row],[Hour]:[Hour]]&gt;12,OFFSET(TblConstr[[#This Row],[Sch]],-12,0),0)+OFFSET(TblConstr[[#This Row],[Tot Sch]],-1,0)-TblConstr[[#This Row],[Dest Sch]]</f>
        <v>0</v>
      </c>
      <c r="BQ8" s="200" cm="1">
        <f t="array" aca="1" ref="BQ8" ca="1">IF(TblConstr[[#This Row],[Hour]:[Hour]]&gt;12,OFFSET(TblConstr[[#This Row],[Doc]],-12,0),0)+OFFSET(TblConstr[[#This Row],[Tot Doc]],-1,0)-TblConstr[[#This Row],[Dest Doc]]</f>
        <v>0</v>
      </c>
      <c r="BR8" s="150"/>
      <c r="BS8" s="162"/>
      <c r="BT8" s="97">
        <f ca="1">TblConstr[[#This Row],[Land]]</f>
        <v>250</v>
      </c>
      <c r="BU8" s="167">
        <f ca="1">TblImps[[#This Row],[Time]]</f>
        <v>44810.916666666657</v>
      </c>
      <c r="BV8" s="150"/>
      <c r="BW8" s="187"/>
      <c r="BX8" s="187"/>
      <c r="BY8" s="187"/>
      <c r="BZ8" s="187"/>
      <c r="CA8" s="187"/>
      <c r="CB8" s="187"/>
      <c r="CC8" s="187"/>
      <c r="CD8" s="187"/>
      <c r="CE8" s="187"/>
      <c r="CF8" s="187"/>
      <c r="CG8" s="187"/>
      <c r="CH8" s="187"/>
      <c r="CI8" s="187"/>
      <c r="CJ8" s="187"/>
      <c r="CK8" s="187"/>
      <c r="CL8" s="187"/>
      <c r="CM8" s="187"/>
      <c r="CN8" s="187"/>
      <c r="CO8" s="187"/>
      <c r="CP8" s="150"/>
      <c r="CQ8" s="189">
        <f ca="1">-SUM(TblConstr[[#This Row],[Alc]:[Mas]])+SUM(TblConstr[[#This Row],[Dest Alc]:[Dest Mas]])+Rezone!L8+IF("Ch_"&amp; home_land=TblConstr[[#Headers],[Ch_Plain]],TblConstr[[#This Row],[Home Land]])+IF(TblConstr[[#This Row],[Hour]:[Hour]]&gt;12,OFFSET(TblExplore[[#This Row],[Plains Explore]],-12,0),0)</f>
        <v>0</v>
      </c>
      <c r="CR8" s="190">
        <f ca="1">-SUM(TblConstr[[#This Row],[Ly]:[Hav]])+SUM(TblConstr[[#This Row],[Dest Ly]:[Dest Hav]]) +Rezone!M8 + IF("Ch_"&amp; home_land=TblConstr[[#Headers],[Ch_Forest]],TblConstr[[#This Row],[Home Land]])+IF(TblConstr[[#This Row],[Hour]:[Hour]]&gt;12,OFFSET(TblExplore[[#This Row],[Forest Explore]],-12,0),0)</f>
        <v>0</v>
      </c>
      <c r="CS8" s="390">
        <f ca="1">-SUM(TblConstr[[#This Row],[OM]:[GN]])+SUM(TblConstr[[#This Row],[Dest OM]:[Dest GN]]) +Rezone!N8 + IF("Ch_"&amp; home_land=TblConstr[[#Headers],[Ch_Mountain]],TblConstr[[#This Row],[Home Land]])+IF(TblConstr[[#This Row],[Hour]:[Hour]]&gt;12,OFFSET(TblExplore[[#This Row],[Mountain Explore]],-12,0),0)</f>
        <v>0</v>
      </c>
      <c r="CT8" s="191">
        <f ca="1">-SUM(TblConstr[[#This Row],[Fac]:[Shr]])+SUM(TblConstr[[#This Row],[Dest Fac]:[Dest Shr]]) +Rezone!O8 + IF("Ch_" &amp; home_land=TblConstr[[#Headers],[Ch_Hill]],TblConstr[[#This Row],[Home Land]])+IF(TblConstr[[#This Row],[Hour]:[Hour]]&gt;12,OFFSET(TblExplore[[#This Row],[Hill Explore]],-12,0),0)</f>
        <v>0</v>
      </c>
      <c r="CU8" s="192">
        <f ca="1">-SUM(TblConstr[[#This Row],[Tow]:[WG]])+SUM(TblConstr[[#This Row],[Dest Tow]:[Dest WG]]) +Rezone!P8 + IF("Ch_" &amp; home_land=TblConstr[[#Headers],[Ch_Swamp]],TblConstr[[#This Row],[Home Land]])+IF(TblConstr[[#This Row],[Hour]:[Hour]]&gt;12,OFFSET(TblExplore[[#This Row],[Swamp Explore]],-12,0),0)</f>
        <v>0</v>
      </c>
      <c r="CV8" s="193">
        <f ca="1" xml:space="preserve"> - SUM(TblConstr[[#This Row],[DM]:[Sch]])+SUM(TblConstr[[#This Row],[Dest DM]:[Dest Sch]]) +Rezone!Q8 + IF("Ch_" &amp; home_land=TblConstr[[#Headers],[Ch_Cavern]],TblConstr[[#This Row],[Home Land]])+IF(TblConstr[[#This Row],[Hour]:[Hour]]&gt;12,OFFSET(TblExplore[[#This Row],[Cavern Explore]],-12,0),0)</f>
        <v>0</v>
      </c>
      <c r="CW8" s="194">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50"/>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83">
        <f>TblRezone[[#This Row],[Hour]]</f>
        <v>6</v>
      </c>
      <c r="B9" s="184">
        <f ca="1">SUM(TblConstr[[#This Row],[Plain]:[Water]])</f>
        <v>160</v>
      </c>
      <c r="C9" s="185">
        <f ca="1">SUM(TblConstr[[#This Row],[Tot Hom]:[Tot Doc]])</f>
        <v>90</v>
      </c>
      <c r="D9" s="185">
        <f>SUM(O$4:AG9)</f>
        <v>0</v>
      </c>
      <c r="E9" s="186"/>
      <c r="F9" s="62">
        <f ca="1">TblConstr[[#This Row],[Barren]]+TblConstr[[#This Row],[Buildings]]+TblConstr[[#This Row],[Incoming]]</f>
        <v>250</v>
      </c>
      <c r="G9" s="195">
        <f ca="1">OFFSET(TblConstr[[#This Row],[Plain]],-1,0)+TblConstr[[#This Row],[Ch_Plain]]</f>
        <v>40</v>
      </c>
      <c r="H9" s="190">
        <f ca="1">OFFSET(TblConstr[[#This Row],[Forest]],-1,0)+TblConstr[[#This Row],[Ch_Forest]]</f>
        <v>20</v>
      </c>
      <c r="I9" s="390">
        <f ca="1">OFFSET(TblConstr[[#This Row],[Mountain]],-1,0)+TblConstr[[#This Row],[Ch_Mountain]]</f>
        <v>20</v>
      </c>
      <c r="J9" s="394">
        <f ca="1">OFFSET(TblConstr[[#This Row],[Hill]],-1,0)+TblConstr[[#This Row],[Ch_Hill]]</f>
        <v>20</v>
      </c>
      <c r="K9" s="398">
        <f ca="1">OFFSET(TblConstr[[#This Row],[Swamp]],-1,0)+TblConstr[[#This Row],[Ch_Swamp]]</f>
        <v>20</v>
      </c>
      <c r="L9" s="193">
        <f ca="1">OFFSET(TblConstr[[#This Row],[Cavern]],-1,0)+TblConstr[[#This Row],[Ch_Cavern]]</f>
        <v>20</v>
      </c>
      <c r="M9" s="194">
        <f ca="1">OFFSET(TblConstr[[#This Row],[Water]],-1,0)+TblConstr[[#This Row],[Ch_Water]]</f>
        <v>20</v>
      </c>
      <c r="N9" s="388">
        <f>TblRezone[[#This Row],[Hour]]</f>
        <v>6</v>
      </c>
      <c r="O9" s="187"/>
      <c r="P9" s="187"/>
      <c r="Q9" s="187"/>
      <c r="R9" s="187"/>
      <c r="S9" s="187"/>
      <c r="T9" s="187"/>
      <c r="U9" s="187"/>
      <c r="V9" s="187"/>
      <c r="W9" s="187"/>
      <c r="X9" s="187"/>
      <c r="Y9" s="187"/>
      <c r="Z9" s="187"/>
      <c r="AA9" s="187"/>
      <c r="AB9" s="187"/>
      <c r="AC9" s="187"/>
      <c r="AD9" s="187"/>
      <c r="AE9" s="187"/>
      <c r="AF9" s="187"/>
      <c r="AG9" s="187"/>
      <c r="AH9" s="53">
        <f ca="1">TblImps[[#This Row],[Time]]</f>
        <v>44810.958333333321</v>
      </c>
      <c r="AI9" s="188">
        <f ca="1">MIN(25%,(TblConstr[[#This Row],[Tot Fac]]+TblConstr[[#This Row],[Dest Fac]])/(TblConstr[[#This Row],[Land]]-TblExplore[[#This Row],[Land Bonus]]*20))</f>
        <v>0</v>
      </c>
      <c r="AJ9" s="188">
        <f ca="1">MIN(25%,(TblConstr[[#This Row],[Tot Fac]]+TblConstr[[#This Row],[Dest Fac]])/TblConstr[[#This Row],[Land]])</f>
        <v>0</v>
      </c>
      <c r="AK9" s="97">
        <f ca="1">TblProd[[#This Row],[Platinum]]</f>
        <v>125003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50"/>
      <c r="AV9" s="97">
        <f ca="1">ROUND((TblConstr[[#This Row],[Land]]-250 - IF(TblExplore[[#This Row],[Land Bonus]]&lt;&gt;0,20,0))*1.25 + 850 + 0,0)</f>
        <v>850</v>
      </c>
      <c r="AW9" s="97">
        <f ca="1">ROUND((TblConstr[[#This Row],[Land]]-250 - IF(TblExplore[[#This Row],[Land Bonus]]&lt;&gt;0,20,0))*0.285 + 87.5 + 0/4.25,0)</f>
        <v>88</v>
      </c>
      <c r="AX9" s="162"/>
      <c r="AY9" s="196" cm="1">
        <f t="array" aca="1" ref="AY9" ca="1">IF(TblConstr[[#This Row],[Hour]:[Hour]]&gt;12,OFFSET(TblConstr[[#This Row],[Hom]],-12,0),0)+OFFSET(TblConstr[[#This Row],[Tot Hom]],-1,0)-TblConstr[[#This Row],[Dest Hom]]</f>
        <v>10</v>
      </c>
      <c r="AZ9" s="197" cm="1">
        <f t="array" aca="1" ref="AZ9" ca="1">IF(TblConstr[[#This Row],[Hour]:[Hour]]&gt;12,OFFSET(TblConstr[[#This Row],[Alc]],-12,0),0)+OFFSET(TblConstr[[#This Row],[Tot Alc]],-1,0)-TblConstr[[#This Row],[Dest Alc]]</f>
        <v>30</v>
      </c>
      <c r="BA9" s="197" cm="1">
        <f t="array" aca="1" ref="BA9" ca="1">IF(TblConstr[[#This Row],[Hour]:[Hour]]&gt;12,OFFSET(TblConstr[[#This Row],[Far]],-12,0),0)+OFFSET(TblConstr[[#This Row],[Tot Farm]],-1,0)-TblConstr[[#This Row],[Dest Farm]]</f>
        <v>30</v>
      </c>
      <c r="BB9" s="197" cm="1">
        <f t="array" aca="1" ref="BB9" ca="1">IF(TblConstr[[#This Row],[Hour]:[Hour]]&gt;12,OFFSET(TblConstr[[#This Row],[Smi]],-12,0),0)+OFFSET(TblConstr[[#This Row],[Tot Smi]],-1,0)-TblConstr[[#This Row],[Dest Smi]]</f>
        <v>0</v>
      </c>
      <c r="BC9" s="197" cm="1">
        <f t="array" aca="1" ref="BC9" ca="1">IF(TblConstr[[#This Row],[Hour]:[Hour]]&gt;12,OFFSET(TblConstr[[#This Row],[Mas]],-12,0),0)+OFFSET(TblConstr[[#This Row],[Tot Mas]],-1,0)-TblConstr[[#This Row],[Dest Mas]]</f>
        <v>0</v>
      </c>
      <c r="BD9" s="198" cm="1">
        <f t="array" aca="1" ref="BD9" ca="1">IF(TblConstr[[#This Row],[Hour]:[Hour]]&gt;12,OFFSET(TblConstr[[#This Row],[Ly]],-12,0),0)+OFFSET(TblConstr[[#This Row],[Tot Ly]],-1,0)-TblConstr[[#This Row],[Dest Ly]]</f>
        <v>20</v>
      </c>
      <c r="BE9" s="198" cm="1">
        <f t="array" aca="1" ref="BE9" ca="1">IF(TblConstr[[#This Row],[Hour]:[Hour]]&gt;12,OFFSET(TblConstr[[#This Row],[Hav]],-12,0),0)+OFFSET(TblConstr[[#This Row],[Tot Hav]],-1,0)-TblConstr[[#This Row],[Dest Hav]]</f>
        <v>0</v>
      </c>
      <c r="BF9" s="392" cm="1">
        <f t="array" aca="1" ref="BF9" ca="1">IF(TblConstr[[#This Row],[Hour]:[Hour]]&gt;12,OFFSET(TblConstr[[#This Row],[OM]],-12,0),0)+OFFSET(TblConstr[[#This Row],[Tot OM]],-1,0)-TblConstr[[#This Row],[Dest OM]]</f>
        <v>0</v>
      </c>
      <c r="BG9" s="392" cm="1">
        <f t="array" aca="1" ref="BG9" ca="1">IF(TblConstr[[#This Row],[Hour]:[Hour]]&gt;12,OFFSET(TblConstr[[#This Row],[GN]],-12,0),0)+OFFSET(TblConstr[[#This Row],[Tot GN]],-1,0)-TblConstr[[#This Row],[Dest GN]]</f>
        <v>0</v>
      </c>
      <c r="BH9" s="396" cm="1">
        <f t="array" aca="1" ref="BH9" ca="1">IF(TblConstr[[#This Row],[Hour]:[Hour]]&gt;12,OFFSET(TblConstr[[#This Row],[Fac]],-12,0),0)+OFFSET(TblConstr[[#This Row],[Tot Fac]],-1,0)-TblConstr[[#This Row],[Dest Fac]]</f>
        <v>0</v>
      </c>
      <c r="BI9" s="396" cm="1">
        <f t="array" aca="1" ref="BI9" ca="1">IF(TblConstr[[#This Row],[Hour]:[Hour]]&gt;12,OFFSET(TblConstr[[#This Row],[GT]],-12,0),0)+OFFSET(TblConstr[[#This Row],[Tot GT]],-1,0)-TblConstr[[#This Row],[Dest GT]]</f>
        <v>0</v>
      </c>
      <c r="BJ9" s="396" cm="1">
        <f t="array" aca="1" ref="BJ9" ca="1">IF(TblConstr[[#This Row],[Hour]:[Hour]]&gt;12,OFFSET(TblConstr[[#This Row],[Bar]],-12,0),0)+OFFSET(TblConstr[[#This Row],[Tot Bar]],-1,0)-TblConstr[[#This Row],[Dest Bar]]</f>
        <v>0</v>
      </c>
      <c r="BK9" s="396" cm="1">
        <f t="array" aca="1" ref="BK9" ca="1">IF(TblConstr[[#This Row],[Hour]:[Hour]]&gt;12,OFFSET(TblConstr[[#This Row],[Shr]],-12,0),0)+OFFSET(TblConstr[[#This Row],[Tot Shr]],-1,0)-TblConstr[[#This Row],[Dest Shr]]</f>
        <v>0</v>
      </c>
      <c r="BL9" s="400" cm="1">
        <f t="array" aca="1" ref="BL9" ca="1">IF(TblConstr[[#This Row],[Hour]:[Hour]]&gt;12,OFFSET(TblConstr[[#This Row],[Tow]],-12,0),0)+OFFSET(TblConstr[[#This Row],[Tot Tow]],-1,0)-TblConstr[[#This Row],[Dest Tow]]</f>
        <v>0</v>
      </c>
      <c r="BM9" s="400" cm="1">
        <f t="array" aca="1" ref="BM9" ca="1">IF(TblConstr[[#This Row],[Hour]:[Hour]]&gt;12,OFFSET(TblConstr[[#This Row],[Tem]],-12,0),0)+OFFSET(TblConstr[[#This Row],[Tot Tem]],-1,0)-TblConstr[[#This Row],[Dest Tem]]</f>
        <v>0</v>
      </c>
      <c r="BN9" s="400" cm="1">
        <f t="array" aca="1" ref="BN9" ca="1">IF(TblConstr[[#This Row],[Hour]:[Hour]]&gt;12,OFFSET(TblConstr[[#This Row],[WG]],-12,0),0)+OFFSET(TblConstr[[#This Row],[Tot WG]],-1,0)-TblConstr[[#This Row],[Dest WG]]</f>
        <v>0</v>
      </c>
      <c r="BO9" s="199" cm="1">
        <f t="array" aca="1" ref="BO9" ca="1">IF(TblConstr[[#This Row],[Hour]:[Hour]]&gt;12,OFFSET(TblConstr[[#This Row],[DM]],-12,0),0)+OFFSET(TblConstr[[#This Row],[Tot DM]],-1,0)-TblConstr[[#This Row],[Dest DM]]</f>
        <v>0</v>
      </c>
      <c r="BP9" s="199" cm="1">
        <f t="array" aca="1" ref="BP9" ca="1">IF(TblConstr[[#This Row],[Hour]:[Hour]]&gt;12,OFFSET(TblConstr[[#This Row],[Sch]],-12,0),0)+OFFSET(TblConstr[[#This Row],[Tot Sch]],-1,0)-TblConstr[[#This Row],[Dest Sch]]</f>
        <v>0</v>
      </c>
      <c r="BQ9" s="200" cm="1">
        <f t="array" aca="1" ref="BQ9" ca="1">IF(TblConstr[[#This Row],[Hour]:[Hour]]&gt;12,OFFSET(TblConstr[[#This Row],[Doc]],-12,0),0)+OFFSET(TblConstr[[#This Row],[Tot Doc]],-1,0)-TblConstr[[#This Row],[Dest Doc]]</f>
        <v>0</v>
      </c>
      <c r="BR9" s="150"/>
      <c r="BS9" s="162"/>
      <c r="BT9" s="97">
        <f ca="1">TblConstr[[#This Row],[Land]]</f>
        <v>250</v>
      </c>
      <c r="BU9" s="167">
        <f ca="1">TblImps[[#This Row],[Time]]</f>
        <v>44810.958333333321</v>
      </c>
      <c r="BV9" s="150"/>
      <c r="BW9" s="187"/>
      <c r="BX9" s="187"/>
      <c r="BY9" s="187"/>
      <c r="BZ9" s="187"/>
      <c r="CA9" s="187"/>
      <c r="CB9" s="187"/>
      <c r="CC9" s="187"/>
      <c r="CD9" s="187"/>
      <c r="CE9" s="187"/>
      <c r="CF9" s="187"/>
      <c r="CG9" s="187"/>
      <c r="CH9" s="187"/>
      <c r="CI9" s="187"/>
      <c r="CJ9" s="187"/>
      <c r="CK9" s="187"/>
      <c r="CL9" s="187"/>
      <c r="CM9" s="187"/>
      <c r="CN9" s="187"/>
      <c r="CO9" s="187"/>
      <c r="CP9" s="150"/>
      <c r="CQ9" s="189">
        <f ca="1">-SUM(TblConstr[[#This Row],[Alc]:[Mas]])+SUM(TblConstr[[#This Row],[Dest Alc]:[Dest Mas]])+Rezone!L9+IF("Ch_"&amp; home_land=TblConstr[[#Headers],[Ch_Plain]],TblConstr[[#This Row],[Home Land]])+IF(TblConstr[[#This Row],[Hour]:[Hour]]&gt;12,OFFSET(TblExplore[[#This Row],[Plains Explore]],-12,0),0)</f>
        <v>0</v>
      </c>
      <c r="CR9" s="190">
        <f ca="1">-SUM(TblConstr[[#This Row],[Ly]:[Hav]])+SUM(TblConstr[[#This Row],[Dest Ly]:[Dest Hav]]) +Rezone!M9 + IF("Ch_"&amp; home_land=TblConstr[[#Headers],[Ch_Forest]],TblConstr[[#This Row],[Home Land]])+IF(TblConstr[[#This Row],[Hour]:[Hour]]&gt;12,OFFSET(TblExplore[[#This Row],[Forest Explore]],-12,0),0)</f>
        <v>0</v>
      </c>
      <c r="CS9" s="390">
        <f ca="1">-SUM(TblConstr[[#This Row],[OM]:[GN]])+SUM(TblConstr[[#This Row],[Dest OM]:[Dest GN]]) +Rezone!N9 + IF("Ch_"&amp; home_land=TblConstr[[#Headers],[Ch_Mountain]],TblConstr[[#This Row],[Home Land]])+IF(TblConstr[[#This Row],[Hour]:[Hour]]&gt;12,OFFSET(TblExplore[[#This Row],[Mountain Explore]],-12,0),0)</f>
        <v>0</v>
      </c>
      <c r="CT9" s="191">
        <f ca="1">-SUM(TblConstr[[#This Row],[Fac]:[Shr]])+SUM(TblConstr[[#This Row],[Dest Fac]:[Dest Shr]]) +Rezone!O9 + IF("Ch_" &amp; home_land=TblConstr[[#Headers],[Ch_Hill]],TblConstr[[#This Row],[Home Land]])+IF(TblConstr[[#This Row],[Hour]:[Hour]]&gt;12,OFFSET(TblExplore[[#This Row],[Hill Explore]],-12,0),0)</f>
        <v>0</v>
      </c>
      <c r="CU9" s="192">
        <f ca="1">-SUM(TblConstr[[#This Row],[Tow]:[WG]])+SUM(TblConstr[[#This Row],[Dest Tow]:[Dest WG]]) +Rezone!P9 + IF("Ch_" &amp; home_land=TblConstr[[#Headers],[Ch_Swamp]],TblConstr[[#This Row],[Home Land]])+IF(TblConstr[[#This Row],[Hour]:[Hour]]&gt;12,OFFSET(TblExplore[[#This Row],[Swamp Explore]],-12,0),0)</f>
        <v>0</v>
      </c>
      <c r="CV9" s="193">
        <f ca="1" xml:space="preserve"> - SUM(TblConstr[[#This Row],[DM]:[Sch]])+SUM(TblConstr[[#This Row],[Dest DM]:[Dest Sch]]) +Rezone!Q9 + IF("Ch_" &amp; home_land=TblConstr[[#Headers],[Ch_Cavern]],TblConstr[[#This Row],[Home Land]])+IF(TblConstr[[#This Row],[Hour]:[Hour]]&gt;12,OFFSET(TblExplore[[#This Row],[Cavern Explore]],-12,0),0)</f>
        <v>0</v>
      </c>
      <c r="CW9" s="194">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50"/>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83">
        <f>TblRezone[[#This Row],[Hour]]</f>
        <v>7</v>
      </c>
      <c r="B10" s="184">
        <f ca="1">SUM(TblConstr[[#This Row],[Plain]:[Water]])</f>
        <v>160</v>
      </c>
      <c r="C10" s="185">
        <f ca="1">SUM(TblConstr[[#This Row],[Tot Hom]:[Tot Doc]])</f>
        <v>90</v>
      </c>
      <c r="D10" s="185">
        <f>SUM(O$4:AG10)</f>
        <v>0</v>
      </c>
      <c r="E10" s="186"/>
      <c r="F10" s="62">
        <f ca="1">TblConstr[[#This Row],[Barren]]+TblConstr[[#This Row],[Buildings]]+TblConstr[[#This Row],[Incoming]]</f>
        <v>250</v>
      </c>
      <c r="G10" s="195">
        <f ca="1">OFFSET(TblConstr[[#This Row],[Plain]],-1,0)+TblConstr[[#This Row],[Ch_Plain]]</f>
        <v>40</v>
      </c>
      <c r="H10" s="190">
        <f ca="1">OFFSET(TblConstr[[#This Row],[Forest]],-1,0)+TblConstr[[#This Row],[Ch_Forest]]</f>
        <v>20</v>
      </c>
      <c r="I10" s="390">
        <f ca="1">OFFSET(TblConstr[[#This Row],[Mountain]],-1,0)+TblConstr[[#This Row],[Ch_Mountain]]</f>
        <v>20</v>
      </c>
      <c r="J10" s="394">
        <f ca="1">OFFSET(TblConstr[[#This Row],[Hill]],-1,0)+TblConstr[[#This Row],[Ch_Hill]]</f>
        <v>20</v>
      </c>
      <c r="K10" s="398">
        <f ca="1">OFFSET(TblConstr[[#This Row],[Swamp]],-1,0)+TblConstr[[#This Row],[Ch_Swamp]]</f>
        <v>20</v>
      </c>
      <c r="L10" s="193">
        <f ca="1">OFFSET(TblConstr[[#This Row],[Cavern]],-1,0)+TblConstr[[#This Row],[Ch_Cavern]]</f>
        <v>20</v>
      </c>
      <c r="M10" s="194">
        <f ca="1">OFFSET(TblConstr[[#This Row],[Water]],-1,0)+TblConstr[[#This Row],[Ch_Water]]</f>
        <v>20</v>
      </c>
      <c r="N10" s="388">
        <f>TblRezone[[#This Row],[Hour]]</f>
        <v>7</v>
      </c>
      <c r="O10" s="187"/>
      <c r="P10" s="187"/>
      <c r="Q10" s="187"/>
      <c r="R10" s="187"/>
      <c r="S10" s="187"/>
      <c r="T10" s="187"/>
      <c r="U10" s="187"/>
      <c r="V10" s="187"/>
      <c r="W10" s="187"/>
      <c r="X10" s="187"/>
      <c r="Y10" s="187"/>
      <c r="Z10" s="187"/>
      <c r="AA10" s="187"/>
      <c r="AB10" s="187"/>
      <c r="AC10" s="187"/>
      <c r="AD10" s="187"/>
      <c r="AE10" s="187"/>
      <c r="AF10" s="187"/>
      <c r="AG10" s="187"/>
      <c r="AH10" s="53">
        <f ca="1">TblImps[[#This Row],[Time]]</f>
        <v>44810.999999999985</v>
      </c>
      <c r="AI10" s="188">
        <f ca="1">MIN(25%,(TblConstr[[#This Row],[Tot Fac]]+TblConstr[[#This Row],[Dest Fac]])/(TblConstr[[#This Row],[Land]]-TblExplore[[#This Row],[Land Bonus]]*20))</f>
        <v>0</v>
      </c>
      <c r="AJ10" s="188">
        <f ca="1">MIN(25%,(TblConstr[[#This Row],[Tot Fac]]+TblConstr[[#This Row],[Dest Fac]])/TblConstr[[#This Row],[Land]])</f>
        <v>0</v>
      </c>
      <c r="AK10" s="97">
        <f ca="1">TblProd[[#This Row],[Platinum]]</f>
        <v>130222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50"/>
      <c r="AV10" s="97">
        <f ca="1">ROUND((TblConstr[[#This Row],[Land]]-250 - IF(TblExplore[[#This Row],[Land Bonus]]&lt;&gt;0,20,0))*1.25 + 850 + 0,0)</f>
        <v>850</v>
      </c>
      <c r="AW10" s="97">
        <f ca="1">ROUND((TblConstr[[#This Row],[Land]]-250 - IF(TblExplore[[#This Row],[Land Bonus]]&lt;&gt;0,20,0))*0.285 + 87.5 + 0/4.25,0)</f>
        <v>88</v>
      </c>
      <c r="AX10" s="162"/>
      <c r="AY10" s="196" cm="1">
        <f t="array" aca="1" ref="AY10" ca="1">IF(TblConstr[[#This Row],[Hour]:[Hour]]&gt;12,OFFSET(TblConstr[[#This Row],[Hom]],-12,0),0)+OFFSET(TblConstr[[#This Row],[Tot Hom]],-1,0)-TblConstr[[#This Row],[Dest Hom]]</f>
        <v>10</v>
      </c>
      <c r="AZ10" s="197" cm="1">
        <f t="array" aca="1" ref="AZ10" ca="1">IF(TblConstr[[#This Row],[Hour]:[Hour]]&gt;12,OFFSET(TblConstr[[#This Row],[Alc]],-12,0),0)+OFFSET(TblConstr[[#This Row],[Tot Alc]],-1,0)-TblConstr[[#This Row],[Dest Alc]]</f>
        <v>30</v>
      </c>
      <c r="BA10" s="197" cm="1">
        <f t="array" aca="1" ref="BA10" ca="1">IF(TblConstr[[#This Row],[Hour]:[Hour]]&gt;12,OFFSET(TblConstr[[#This Row],[Far]],-12,0),0)+OFFSET(TblConstr[[#This Row],[Tot Farm]],-1,0)-TblConstr[[#This Row],[Dest Farm]]</f>
        <v>30</v>
      </c>
      <c r="BB10" s="197" cm="1">
        <f t="array" aca="1" ref="BB10" ca="1">IF(TblConstr[[#This Row],[Hour]:[Hour]]&gt;12,OFFSET(TblConstr[[#This Row],[Smi]],-12,0),0)+OFFSET(TblConstr[[#This Row],[Tot Smi]],-1,0)-TblConstr[[#This Row],[Dest Smi]]</f>
        <v>0</v>
      </c>
      <c r="BC10" s="197" cm="1">
        <f t="array" aca="1" ref="BC10" ca="1">IF(TblConstr[[#This Row],[Hour]:[Hour]]&gt;12,OFFSET(TblConstr[[#This Row],[Mas]],-12,0),0)+OFFSET(TblConstr[[#This Row],[Tot Mas]],-1,0)-TblConstr[[#This Row],[Dest Mas]]</f>
        <v>0</v>
      </c>
      <c r="BD10" s="198" cm="1">
        <f t="array" aca="1" ref="BD10" ca="1">IF(TblConstr[[#This Row],[Hour]:[Hour]]&gt;12,OFFSET(TblConstr[[#This Row],[Ly]],-12,0),0)+OFFSET(TblConstr[[#This Row],[Tot Ly]],-1,0)-TblConstr[[#This Row],[Dest Ly]]</f>
        <v>20</v>
      </c>
      <c r="BE10" s="198" cm="1">
        <f t="array" aca="1" ref="BE10" ca="1">IF(TblConstr[[#This Row],[Hour]:[Hour]]&gt;12,OFFSET(TblConstr[[#This Row],[Hav]],-12,0),0)+OFFSET(TblConstr[[#This Row],[Tot Hav]],-1,0)-TblConstr[[#This Row],[Dest Hav]]</f>
        <v>0</v>
      </c>
      <c r="BF10" s="392" cm="1">
        <f t="array" aca="1" ref="BF10" ca="1">IF(TblConstr[[#This Row],[Hour]:[Hour]]&gt;12,OFFSET(TblConstr[[#This Row],[OM]],-12,0),0)+OFFSET(TblConstr[[#This Row],[Tot OM]],-1,0)-TblConstr[[#This Row],[Dest OM]]</f>
        <v>0</v>
      </c>
      <c r="BG10" s="392" cm="1">
        <f t="array" aca="1" ref="BG10" ca="1">IF(TblConstr[[#This Row],[Hour]:[Hour]]&gt;12,OFFSET(TblConstr[[#This Row],[GN]],-12,0),0)+OFFSET(TblConstr[[#This Row],[Tot GN]],-1,0)-TblConstr[[#This Row],[Dest GN]]</f>
        <v>0</v>
      </c>
      <c r="BH10" s="396" cm="1">
        <f t="array" aca="1" ref="BH10" ca="1">IF(TblConstr[[#This Row],[Hour]:[Hour]]&gt;12,OFFSET(TblConstr[[#This Row],[Fac]],-12,0),0)+OFFSET(TblConstr[[#This Row],[Tot Fac]],-1,0)-TblConstr[[#This Row],[Dest Fac]]</f>
        <v>0</v>
      </c>
      <c r="BI10" s="396" cm="1">
        <f t="array" aca="1" ref="BI10" ca="1">IF(TblConstr[[#This Row],[Hour]:[Hour]]&gt;12,OFFSET(TblConstr[[#This Row],[GT]],-12,0),0)+OFFSET(TblConstr[[#This Row],[Tot GT]],-1,0)-TblConstr[[#This Row],[Dest GT]]</f>
        <v>0</v>
      </c>
      <c r="BJ10" s="396" cm="1">
        <f t="array" aca="1" ref="BJ10" ca="1">IF(TblConstr[[#This Row],[Hour]:[Hour]]&gt;12,OFFSET(TblConstr[[#This Row],[Bar]],-12,0),0)+OFFSET(TblConstr[[#This Row],[Tot Bar]],-1,0)-TblConstr[[#This Row],[Dest Bar]]</f>
        <v>0</v>
      </c>
      <c r="BK10" s="396" cm="1">
        <f t="array" aca="1" ref="BK10" ca="1">IF(TblConstr[[#This Row],[Hour]:[Hour]]&gt;12,OFFSET(TblConstr[[#This Row],[Shr]],-12,0),0)+OFFSET(TblConstr[[#This Row],[Tot Shr]],-1,0)-TblConstr[[#This Row],[Dest Shr]]</f>
        <v>0</v>
      </c>
      <c r="BL10" s="400" cm="1">
        <f t="array" aca="1" ref="BL10" ca="1">IF(TblConstr[[#This Row],[Hour]:[Hour]]&gt;12,OFFSET(TblConstr[[#This Row],[Tow]],-12,0),0)+OFFSET(TblConstr[[#This Row],[Tot Tow]],-1,0)-TblConstr[[#This Row],[Dest Tow]]</f>
        <v>0</v>
      </c>
      <c r="BM10" s="400" cm="1">
        <f t="array" aca="1" ref="BM10" ca="1">IF(TblConstr[[#This Row],[Hour]:[Hour]]&gt;12,OFFSET(TblConstr[[#This Row],[Tem]],-12,0),0)+OFFSET(TblConstr[[#This Row],[Tot Tem]],-1,0)-TblConstr[[#This Row],[Dest Tem]]</f>
        <v>0</v>
      </c>
      <c r="BN10" s="400" cm="1">
        <f t="array" aca="1" ref="BN10" ca="1">IF(TblConstr[[#This Row],[Hour]:[Hour]]&gt;12,OFFSET(TblConstr[[#This Row],[WG]],-12,0),0)+OFFSET(TblConstr[[#This Row],[Tot WG]],-1,0)-TblConstr[[#This Row],[Dest WG]]</f>
        <v>0</v>
      </c>
      <c r="BO10" s="199" cm="1">
        <f t="array" aca="1" ref="BO10" ca="1">IF(TblConstr[[#This Row],[Hour]:[Hour]]&gt;12,OFFSET(TblConstr[[#This Row],[DM]],-12,0),0)+OFFSET(TblConstr[[#This Row],[Tot DM]],-1,0)-TblConstr[[#This Row],[Dest DM]]</f>
        <v>0</v>
      </c>
      <c r="BP10" s="199" cm="1">
        <f t="array" aca="1" ref="BP10" ca="1">IF(TblConstr[[#This Row],[Hour]:[Hour]]&gt;12,OFFSET(TblConstr[[#This Row],[Sch]],-12,0),0)+OFFSET(TblConstr[[#This Row],[Tot Sch]],-1,0)-TblConstr[[#This Row],[Dest Sch]]</f>
        <v>0</v>
      </c>
      <c r="BQ10" s="200" cm="1">
        <f t="array" aca="1" ref="BQ10" ca="1">IF(TblConstr[[#This Row],[Hour]:[Hour]]&gt;12,OFFSET(TblConstr[[#This Row],[Doc]],-12,0),0)+OFFSET(TblConstr[[#This Row],[Tot Doc]],-1,0)-TblConstr[[#This Row],[Dest Doc]]</f>
        <v>0</v>
      </c>
      <c r="BR10" s="150"/>
      <c r="BS10" s="162"/>
      <c r="BT10" s="97">
        <f ca="1">TblConstr[[#This Row],[Land]]</f>
        <v>250</v>
      </c>
      <c r="BU10" s="167">
        <f ca="1">TblImps[[#This Row],[Time]]</f>
        <v>44810.999999999985</v>
      </c>
      <c r="BV10" s="150"/>
      <c r="BW10" s="187"/>
      <c r="BX10" s="187"/>
      <c r="BY10" s="187"/>
      <c r="BZ10" s="187"/>
      <c r="CA10" s="187"/>
      <c r="CB10" s="187"/>
      <c r="CC10" s="187"/>
      <c r="CD10" s="187"/>
      <c r="CE10" s="187"/>
      <c r="CF10" s="187"/>
      <c r="CG10" s="187"/>
      <c r="CH10" s="187"/>
      <c r="CI10" s="187"/>
      <c r="CJ10" s="187"/>
      <c r="CK10" s="187"/>
      <c r="CL10" s="187"/>
      <c r="CM10" s="187"/>
      <c r="CN10" s="187"/>
      <c r="CO10" s="187"/>
      <c r="CP10" s="150"/>
      <c r="CQ10" s="189">
        <f ca="1">-SUM(TblConstr[[#This Row],[Alc]:[Mas]])+SUM(TblConstr[[#This Row],[Dest Alc]:[Dest Mas]])+Rezone!L10+IF("Ch_"&amp; home_land=TblConstr[[#Headers],[Ch_Plain]],TblConstr[[#This Row],[Home Land]])+IF(TblConstr[[#This Row],[Hour]:[Hour]]&gt;12,OFFSET(TblExplore[[#This Row],[Plains Explore]],-12,0),0)</f>
        <v>0</v>
      </c>
      <c r="CR10" s="190">
        <f ca="1">-SUM(TblConstr[[#This Row],[Ly]:[Hav]])+SUM(TblConstr[[#This Row],[Dest Ly]:[Dest Hav]]) +Rezone!M10 + IF("Ch_"&amp; home_land=TblConstr[[#Headers],[Ch_Forest]],TblConstr[[#This Row],[Home Land]])+IF(TblConstr[[#This Row],[Hour]:[Hour]]&gt;12,OFFSET(TblExplore[[#This Row],[Forest Explore]],-12,0),0)</f>
        <v>0</v>
      </c>
      <c r="CS10" s="390">
        <f ca="1">-SUM(TblConstr[[#This Row],[OM]:[GN]])+SUM(TblConstr[[#This Row],[Dest OM]:[Dest GN]]) +Rezone!N10 + IF("Ch_"&amp; home_land=TblConstr[[#Headers],[Ch_Mountain]],TblConstr[[#This Row],[Home Land]])+IF(TblConstr[[#This Row],[Hour]:[Hour]]&gt;12,OFFSET(TblExplore[[#This Row],[Mountain Explore]],-12,0),0)</f>
        <v>0</v>
      </c>
      <c r="CT10" s="191">
        <f ca="1">-SUM(TblConstr[[#This Row],[Fac]:[Shr]])+SUM(TblConstr[[#This Row],[Dest Fac]:[Dest Shr]]) +Rezone!O10 + IF("Ch_" &amp; home_land=TblConstr[[#Headers],[Ch_Hill]],TblConstr[[#This Row],[Home Land]])+IF(TblConstr[[#This Row],[Hour]:[Hour]]&gt;12,OFFSET(TblExplore[[#This Row],[Hill Explore]],-12,0),0)</f>
        <v>0</v>
      </c>
      <c r="CU10" s="192">
        <f ca="1">-SUM(TblConstr[[#This Row],[Tow]:[WG]])+SUM(TblConstr[[#This Row],[Dest Tow]:[Dest WG]]) +Rezone!P10 + IF("Ch_" &amp; home_land=TblConstr[[#Headers],[Ch_Swamp]],TblConstr[[#This Row],[Home Land]])+IF(TblConstr[[#This Row],[Hour]:[Hour]]&gt;12,OFFSET(TblExplore[[#This Row],[Swamp Explore]],-12,0),0)</f>
        <v>0</v>
      </c>
      <c r="CV10" s="193">
        <f ca="1" xml:space="preserve"> - SUM(TblConstr[[#This Row],[DM]:[Sch]])+SUM(TblConstr[[#This Row],[Dest DM]:[Dest Sch]]) +Rezone!Q10 + IF("Ch_" &amp; home_land=TblConstr[[#Headers],[Ch_Cavern]],TblConstr[[#This Row],[Home Land]])+IF(TblConstr[[#This Row],[Hour]:[Hour]]&gt;12,OFFSET(TblExplore[[#This Row],[Cavern Explore]],-12,0),0)</f>
        <v>0</v>
      </c>
      <c r="CW10" s="194">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50"/>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83">
        <f>TblRezone[[#This Row],[Hour]]</f>
        <v>8</v>
      </c>
      <c r="B11" s="184">
        <f ca="1">SUM(TblConstr[[#This Row],[Plain]:[Water]])</f>
        <v>160</v>
      </c>
      <c r="C11" s="185">
        <f ca="1">SUM(TblConstr[[#This Row],[Tot Hom]:[Tot Doc]])</f>
        <v>90</v>
      </c>
      <c r="D11" s="185">
        <f>SUM(O$4:AG11)</f>
        <v>0</v>
      </c>
      <c r="E11" s="186"/>
      <c r="F11" s="62">
        <f ca="1">TblConstr[[#This Row],[Barren]]+TblConstr[[#This Row],[Buildings]]+TblConstr[[#This Row],[Incoming]]</f>
        <v>250</v>
      </c>
      <c r="G11" s="195">
        <f ca="1">OFFSET(TblConstr[[#This Row],[Plain]],-1,0)+TblConstr[[#This Row],[Ch_Plain]]</f>
        <v>40</v>
      </c>
      <c r="H11" s="190">
        <f ca="1">OFFSET(TblConstr[[#This Row],[Forest]],-1,0)+TblConstr[[#This Row],[Ch_Forest]]</f>
        <v>20</v>
      </c>
      <c r="I11" s="390">
        <f ca="1">OFFSET(TblConstr[[#This Row],[Mountain]],-1,0)+TblConstr[[#This Row],[Ch_Mountain]]</f>
        <v>20</v>
      </c>
      <c r="J11" s="394">
        <f ca="1">OFFSET(TblConstr[[#This Row],[Hill]],-1,0)+TblConstr[[#This Row],[Ch_Hill]]</f>
        <v>20</v>
      </c>
      <c r="K11" s="398">
        <f ca="1">OFFSET(TblConstr[[#This Row],[Swamp]],-1,0)+TblConstr[[#This Row],[Ch_Swamp]]</f>
        <v>20</v>
      </c>
      <c r="L11" s="193">
        <f ca="1">OFFSET(TblConstr[[#This Row],[Cavern]],-1,0)+TblConstr[[#This Row],[Ch_Cavern]]</f>
        <v>20</v>
      </c>
      <c r="M11" s="194">
        <f ca="1">OFFSET(TblConstr[[#This Row],[Water]],-1,0)+TblConstr[[#This Row],[Ch_Water]]</f>
        <v>20</v>
      </c>
      <c r="N11" s="388">
        <f>TblRezone[[#This Row],[Hour]]</f>
        <v>8</v>
      </c>
      <c r="O11" s="187"/>
      <c r="P11" s="187"/>
      <c r="Q11" s="187"/>
      <c r="R11" s="187"/>
      <c r="S11" s="187"/>
      <c r="T11" s="187"/>
      <c r="U11" s="187"/>
      <c r="V11" s="187"/>
      <c r="W11" s="187"/>
      <c r="X11" s="187"/>
      <c r="Y11" s="187"/>
      <c r="Z11" s="187"/>
      <c r="AA11" s="187"/>
      <c r="AB11" s="187"/>
      <c r="AC11" s="187"/>
      <c r="AD11" s="187"/>
      <c r="AE11" s="187"/>
      <c r="AF11" s="187"/>
      <c r="AG11" s="187"/>
      <c r="AH11" s="53">
        <f ca="1">TblImps[[#This Row],[Time]]</f>
        <v>44811.04166666665</v>
      </c>
      <c r="AI11" s="188">
        <f ca="1">MIN(25%,(TblConstr[[#This Row],[Tot Fac]]+TblConstr[[#This Row],[Dest Fac]])/(TblConstr[[#This Row],[Land]]-TblExplore[[#This Row],[Land Bonus]]*20))</f>
        <v>0</v>
      </c>
      <c r="AJ11" s="188">
        <f ca="1">MIN(25%,(TblConstr[[#This Row],[Tot Fac]]+TblConstr[[#This Row],[Dest Fac]])/TblConstr[[#This Row],[Land]])</f>
        <v>0</v>
      </c>
      <c r="AK11" s="97">
        <f ca="1">TblProd[[#This Row],[Platinum]]</f>
        <v>135519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50"/>
      <c r="AV11" s="97">
        <f ca="1">ROUND((TblConstr[[#This Row],[Land]]-250 - IF(TblExplore[[#This Row],[Land Bonus]]&lt;&gt;0,20,0))*1.25 + 850 + 0,0)</f>
        <v>850</v>
      </c>
      <c r="AW11" s="97">
        <f ca="1">ROUND((TblConstr[[#This Row],[Land]]-250 - IF(TblExplore[[#This Row],[Land Bonus]]&lt;&gt;0,20,0))*0.285 + 87.5 + 0/4.25,0)</f>
        <v>88</v>
      </c>
      <c r="AX11" s="162"/>
      <c r="AY11" s="196" cm="1">
        <f t="array" aca="1" ref="AY11" ca="1">IF(TblConstr[[#This Row],[Hour]:[Hour]]&gt;12,OFFSET(TblConstr[[#This Row],[Hom]],-12,0),0)+OFFSET(TblConstr[[#This Row],[Tot Hom]],-1,0)-TblConstr[[#This Row],[Dest Hom]]</f>
        <v>10</v>
      </c>
      <c r="AZ11" s="197" cm="1">
        <f t="array" aca="1" ref="AZ11" ca="1">IF(TblConstr[[#This Row],[Hour]:[Hour]]&gt;12,OFFSET(TblConstr[[#This Row],[Alc]],-12,0),0)+OFFSET(TblConstr[[#This Row],[Tot Alc]],-1,0)-TblConstr[[#This Row],[Dest Alc]]</f>
        <v>30</v>
      </c>
      <c r="BA11" s="197" cm="1">
        <f t="array" aca="1" ref="BA11" ca="1">IF(TblConstr[[#This Row],[Hour]:[Hour]]&gt;12,OFFSET(TblConstr[[#This Row],[Far]],-12,0),0)+OFFSET(TblConstr[[#This Row],[Tot Farm]],-1,0)-TblConstr[[#This Row],[Dest Farm]]</f>
        <v>30</v>
      </c>
      <c r="BB11" s="197" cm="1">
        <f t="array" aca="1" ref="BB11" ca="1">IF(TblConstr[[#This Row],[Hour]:[Hour]]&gt;12,OFFSET(TblConstr[[#This Row],[Smi]],-12,0),0)+OFFSET(TblConstr[[#This Row],[Tot Smi]],-1,0)-TblConstr[[#This Row],[Dest Smi]]</f>
        <v>0</v>
      </c>
      <c r="BC11" s="197" cm="1">
        <f t="array" aca="1" ref="BC11" ca="1">IF(TblConstr[[#This Row],[Hour]:[Hour]]&gt;12,OFFSET(TblConstr[[#This Row],[Mas]],-12,0),0)+OFFSET(TblConstr[[#This Row],[Tot Mas]],-1,0)-TblConstr[[#This Row],[Dest Mas]]</f>
        <v>0</v>
      </c>
      <c r="BD11" s="198" cm="1">
        <f t="array" aca="1" ref="BD11" ca="1">IF(TblConstr[[#This Row],[Hour]:[Hour]]&gt;12,OFFSET(TblConstr[[#This Row],[Ly]],-12,0),0)+OFFSET(TblConstr[[#This Row],[Tot Ly]],-1,0)-TblConstr[[#This Row],[Dest Ly]]</f>
        <v>20</v>
      </c>
      <c r="BE11" s="198" cm="1">
        <f t="array" aca="1" ref="BE11" ca="1">IF(TblConstr[[#This Row],[Hour]:[Hour]]&gt;12,OFFSET(TblConstr[[#This Row],[Hav]],-12,0),0)+OFFSET(TblConstr[[#This Row],[Tot Hav]],-1,0)-TblConstr[[#This Row],[Dest Hav]]</f>
        <v>0</v>
      </c>
      <c r="BF11" s="392" cm="1">
        <f t="array" aca="1" ref="BF11" ca="1">IF(TblConstr[[#This Row],[Hour]:[Hour]]&gt;12,OFFSET(TblConstr[[#This Row],[OM]],-12,0),0)+OFFSET(TblConstr[[#This Row],[Tot OM]],-1,0)-TblConstr[[#This Row],[Dest OM]]</f>
        <v>0</v>
      </c>
      <c r="BG11" s="392" cm="1">
        <f t="array" aca="1" ref="BG11" ca="1">IF(TblConstr[[#This Row],[Hour]:[Hour]]&gt;12,OFFSET(TblConstr[[#This Row],[GN]],-12,0),0)+OFFSET(TblConstr[[#This Row],[Tot GN]],-1,0)-TblConstr[[#This Row],[Dest GN]]</f>
        <v>0</v>
      </c>
      <c r="BH11" s="396" cm="1">
        <f t="array" aca="1" ref="BH11" ca="1">IF(TblConstr[[#This Row],[Hour]:[Hour]]&gt;12,OFFSET(TblConstr[[#This Row],[Fac]],-12,0),0)+OFFSET(TblConstr[[#This Row],[Tot Fac]],-1,0)-TblConstr[[#This Row],[Dest Fac]]</f>
        <v>0</v>
      </c>
      <c r="BI11" s="396" cm="1">
        <f t="array" aca="1" ref="BI11" ca="1">IF(TblConstr[[#This Row],[Hour]:[Hour]]&gt;12,OFFSET(TblConstr[[#This Row],[GT]],-12,0),0)+OFFSET(TblConstr[[#This Row],[Tot GT]],-1,0)-TblConstr[[#This Row],[Dest GT]]</f>
        <v>0</v>
      </c>
      <c r="BJ11" s="396" cm="1">
        <f t="array" aca="1" ref="BJ11" ca="1">IF(TblConstr[[#This Row],[Hour]:[Hour]]&gt;12,OFFSET(TblConstr[[#This Row],[Bar]],-12,0),0)+OFFSET(TblConstr[[#This Row],[Tot Bar]],-1,0)-TblConstr[[#This Row],[Dest Bar]]</f>
        <v>0</v>
      </c>
      <c r="BK11" s="396" cm="1">
        <f t="array" aca="1" ref="BK11" ca="1">IF(TblConstr[[#This Row],[Hour]:[Hour]]&gt;12,OFFSET(TblConstr[[#This Row],[Shr]],-12,0),0)+OFFSET(TblConstr[[#This Row],[Tot Shr]],-1,0)-TblConstr[[#This Row],[Dest Shr]]</f>
        <v>0</v>
      </c>
      <c r="BL11" s="400" cm="1">
        <f t="array" aca="1" ref="BL11" ca="1">IF(TblConstr[[#This Row],[Hour]:[Hour]]&gt;12,OFFSET(TblConstr[[#This Row],[Tow]],-12,0),0)+OFFSET(TblConstr[[#This Row],[Tot Tow]],-1,0)-TblConstr[[#This Row],[Dest Tow]]</f>
        <v>0</v>
      </c>
      <c r="BM11" s="400" cm="1">
        <f t="array" aca="1" ref="BM11" ca="1">IF(TblConstr[[#This Row],[Hour]:[Hour]]&gt;12,OFFSET(TblConstr[[#This Row],[Tem]],-12,0),0)+OFFSET(TblConstr[[#This Row],[Tot Tem]],-1,0)-TblConstr[[#This Row],[Dest Tem]]</f>
        <v>0</v>
      </c>
      <c r="BN11" s="400" cm="1">
        <f t="array" aca="1" ref="BN11" ca="1">IF(TblConstr[[#This Row],[Hour]:[Hour]]&gt;12,OFFSET(TblConstr[[#This Row],[WG]],-12,0),0)+OFFSET(TblConstr[[#This Row],[Tot WG]],-1,0)-TblConstr[[#This Row],[Dest WG]]</f>
        <v>0</v>
      </c>
      <c r="BO11" s="199" cm="1">
        <f t="array" aca="1" ref="BO11" ca="1">IF(TblConstr[[#This Row],[Hour]:[Hour]]&gt;12,OFFSET(TblConstr[[#This Row],[DM]],-12,0),0)+OFFSET(TblConstr[[#This Row],[Tot DM]],-1,0)-TblConstr[[#This Row],[Dest DM]]</f>
        <v>0</v>
      </c>
      <c r="BP11" s="199" cm="1">
        <f t="array" aca="1" ref="BP11" ca="1">IF(TblConstr[[#This Row],[Hour]:[Hour]]&gt;12,OFFSET(TblConstr[[#This Row],[Sch]],-12,0),0)+OFFSET(TblConstr[[#This Row],[Tot Sch]],-1,0)-TblConstr[[#This Row],[Dest Sch]]</f>
        <v>0</v>
      </c>
      <c r="BQ11" s="200" cm="1">
        <f t="array" aca="1" ref="BQ11" ca="1">IF(TblConstr[[#This Row],[Hour]:[Hour]]&gt;12,OFFSET(TblConstr[[#This Row],[Doc]],-12,0),0)+OFFSET(TblConstr[[#This Row],[Tot Doc]],-1,0)-TblConstr[[#This Row],[Dest Doc]]</f>
        <v>0</v>
      </c>
      <c r="BR11" s="150"/>
      <c r="BS11" s="162"/>
      <c r="BT11" s="97">
        <f ca="1">TblConstr[[#This Row],[Land]]</f>
        <v>250</v>
      </c>
      <c r="BU11" s="167">
        <f ca="1">TblImps[[#This Row],[Time]]</f>
        <v>44811.04166666665</v>
      </c>
      <c r="BV11" s="150"/>
      <c r="BW11" s="187"/>
      <c r="BX11" s="187"/>
      <c r="BY11" s="187"/>
      <c r="BZ11" s="187"/>
      <c r="CA11" s="187"/>
      <c r="CB11" s="187"/>
      <c r="CC11" s="187"/>
      <c r="CD11" s="187"/>
      <c r="CE11" s="187"/>
      <c r="CF11" s="187"/>
      <c r="CG11" s="187"/>
      <c r="CH11" s="187"/>
      <c r="CI11" s="187"/>
      <c r="CJ11" s="187"/>
      <c r="CK11" s="187"/>
      <c r="CL11" s="187"/>
      <c r="CM11" s="187"/>
      <c r="CN11" s="187"/>
      <c r="CO11" s="187"/>
      <c r="CP11" s="150"/>
      <c r="CQ11" s="189">
        <f ca="1">-SUM(TblConstr[[#This Row],[Alc]:[Mas]])+SUM(TblConstr[[#This Row],[Dest Alc]:[Dest Mas]])+Rezone!L11+IF("Ch_"&amp; home_land=TblConstr[[#Headers],[Ch_Plain]],TblConstr[[#This Row],[Home Land]])+IF(TblConstr[[#This Row],[Hour]:[Hour]]&gt;12,OFFSET(TblExplore[[#This Row],[Plains Explore]],-12,0),0)</f>
        <v>0</v>
      </c>
      <c r="CR11" s="190">
        <f ca="1">-SUM(TblConstr[[#This Row],[Ly]:[Hav]])+SUM(TblConstr[[#This Row],[Dest Ly]:[Dest Hav]]) +Rezone!M11 + IF("Ch_"&amp; home_land=TblConstr[[#Headers],[Ch_Forest]],TblConstr[[#This Row],[Home Land]])+IF(TblConstr[[#This Row],[Hour]:[Hour]]&gt;12,OFFSET(TblExplore[[#This Row],[Forest Explore]],-12,0),0)</f>
        <v>0</v>
      </c>
      <c r="CS11" s="390">
        <f ca="1">-SUM(TblConstr[[#This Row],[OM]:[GN]])+SUM(TblConstr[[#This Row],[Dest OM]:[Dest GN]]) +Rezone!N11 + IF("Ch_"&amp; home_land=TblConstr[[#Headers],[Ch_Mountain]],TblConstr[[#This Row],[Home Land]])+IF(TblConstr[[#This Row],[Hour]:[Hour]]&gt;12,OFFSET(TblExplore[[#This Row],[Mountain Explore]],-12,0),0)</f>
        <v>0</v>
      </c>
      <c r="CT11" s="191">
        <f ca="1">-SUM(TblConstr[[#This Row],[Fac]:[Shr]])+SUM(TblConstr[[#This Row],[Dest Fac]:[Dest Shr]]) +Rezone!O11 + IF("Ch_" &amp; home_land=TblConstr[[#Headers],[Ch_Hill]],TblConstr[[#This Row],[Home Land]])+IF(TblConstr[[#This Row],[Hour]:[Hour]]&gt;12,OFFSET(TblExplore[[#This Row],[Hill Explore]],-12,0),0)</f>
        <v>0</v>
      </c>
      <c r="CU11" s="192">
        <f ca="1">-SUM(TblConstr[[#This Row],[Tow]:[WG]])+SUM(TblConstr[[#This Row],[Dest Tow]:[Dest WG]]) +Rezone!P11 + IF("Ch_" &amp; home_land=TblConstr[[#Headers],[Ch_Swamp]],TblConstr[[#This Row],[Home Land]])+IF(TblConstr[[#This Row],[Hour]:[Hour]]&gt;12,OFFSET(TblExplore[[#This Row],[Swamp Explore]],-12,0),0)</f>
        <v>0</v>
      </c>
      <c r="CV11" s="193">
        <f ca="1" xml:space="preserve"> - SUM(TblConstr[[#This Row],[DM]:[Sch]])+SUM(TblConstr[[#This Row],[Dest DM]:[Dest Sch]]) +Rezone!Q11 + IF("Ch_" &amp; home_land=TblConstr[[#Headers],[Ch_Cavern]],TblConstr[[#This Row],[Home Land]])+IF(TblConstr[[#This Row],[Hour]:[Hour]]&gt;12,OFFSET(TblExplore[[#This Row],[Cavern Explore]],-12,0),0)</f>
        <v>0</v>
      </c>
      <c r="CW11" s="194">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50"/>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83">
        <f>TblRezone[[#This Row],[Hour]]</f>
        <v>9</v>
      </c>
      <c r="B12" s="184">
        <f ca="1">SUM(TblConstr[[#This Row],[Plain]:[Water]])</f>
        <v>160</v>
      </c>
      <c r="C12" s="185">
        <f ca="1">SUM(TblConstr[[#This Row],[Tot Hom]:[Tot Doc]])</f>
        <v>90</v>
      </c>
      <c r="D12" s="185">
        <f>SUM(O$4:AG12)</f>
        <v>0</v>
      </c>
      <c r="E12" s="186"/>
      <c r="F12" s="62">
        <f ca="1">TblConstr[[#This Row],[Barren]]+TblConstr[[#This Row],[Buildings]]+TblConstr[[#This Row],[Incoming]]</f>
        <v>250</v>
      </c>
      <c r="G12" s="195">
        <f ca="1">OFFSET(TblConstr[[#This Row],[Plain]],-1,0)+TblConstr[[#This Row],[Ch_Plain]]</f>
        <v>40</v>
      </c>
      <c r="H12" s="190">
        <f ca="1">OFFSET(TblConstr[[#This Row],[Forest]],-1,0)+TblConstr[[#This Row],[Ch_Forest]]</f>
        <v>20</v>
      </c>
      <c r="I12" s="390">
        <f ca="1">OFFSET(TblConstr[[#This Row],[Mountain]],-1,0)+TblConstr[[#This Row],[Ch_Mountain]]</f>
        <v>20</v>
      </c>
      <c r="J12" s="394">
        <f ca="1">OFFSET(TblConstr[[#This Row],[Hill]],-1,0)+TblConstr[[#This Row],[Ch_Hill]]</f>
        <v>20</v>
      </c>
      <c r="K12" s="398">
        <f ca="1">OFFSET(TblConstr[[#This Row],[Swamp]],-1,0)+TblConstr[[#This Row],[Ch_Swamp]]</f>
        <v>20</v>
      </c>
      <c r="L12" s="193">
        <f ca="1">OFFSET(TblConstr[[#This Row],[Cavern]],-1,0)+TblConstr[[#This Row],[Ch_Cavern]]</f>
        <v>20</v>
      </c>
      <c r="M12" s="194">
        <f ca="1">OFFSET(TblConstr[[#This Row],[Water]],-1,0)+TblConstr[[#This Row],[Ch_Water]]</f>
        <v>20</v>
      </c>
      <c r="N12" s="388">
        <f>TblRezone[[#This Row],[Hour]]</f>
        <v>9</v>
      </c>
      <c r="O12" s="187"/>
      <c r="P12" s="187"/>
      <c r="Q12" s="187"/>
      <c r="R12" s="166"/>
      <c r="S12" s="187"/>
      <c r="T12" s="187"/>
      <c r="U12" s="187"/>
      <c r="V12" s="187"/>
      <c r="W12" s="187"/>
      <c r="X12" s="187"/>
      <c r="Y12" s="187"/>
      <c r="Z12" s="187"/>
      <c r="AA12" s="187"/>
      <c r="AB12" s="187"/>
      <c r="AC12" s="187"/>
      <c r="AD12" s="187"/>
      <c r="AE12" s="187"/>
      <c r="AF12" s="187"/>
      <c r="AG12" s="187"/>
      <c r="AH12" s="53">
        <f ca="1">TblImps[[#This Row],[Time]]</f>
        <v>44811.083333333314</v>
      </c>
      <c r="AI12" s="188">
        <f ca="1">MIN(25%,(TblConstr[[#This Row],[Tot Fac]]+TblConstr[[#This Row],[Dest Fac]])/(TblConstr[[#This Row],[Land]]-TblExplore[[#This Row],[Land Bonus]]*20))</f>
        <v>0</v>
      </c>
      <c r="AJ12" s="188">
        <f ca="1">MIN(25%,(TblConstr[[#This Row],[Tot Fac]]+TblConstr[[#This Row],[Dest Fac]])/TblConstr[[#This Row],[Land]])</f>
        <v>0</v>
      </c>
      <c r="AK12" s="97">
        <f ca="1">TblProd[[#This Row],[Platinum]]</f>
        <v>140892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50"/>
      <c r="AV12" s="97">
        <f ca="1">ROUND((TblConstr[[#This Row],[Land]]-250 - IF(TblExplore[[#This Row],[Land Bonus]]&lt;&gt;0,20,0))*1.25 + 850 + 0,0)</f>
        <v>850</v>
      </c>
      <c r="AW12" s="97">
        <f ca="1">ROUND((TblConstr[[#This Row],[Land]]-250 - IF(TblExplore[[#This Row],[Land Bonus]]&lt;&gt;0,20,0))*0.285 + 87.5 + 0/4.25,0)</f>
        <v>88</v>
      </c>
      <c r="AX12" s="162"/>
      <c r="AY12" s="196" cm="1">
        <f t="array" aca="1" ref="AY12" ca="1">IF(TblConstr[[#This Row],[Hour]:[Hour]]&gt;12,OFFSET(TblConstr[[#This Row],[Hom]],-12,0),0)+OFFSET(TblConstr[[#This Row],[Tot Hom]],-1,0)-TblConstr[[#This Row],[Dest Hom]]</f>
        <v>10</v>
      </c>
      <c r="AZ12" s="197" cm="1">
        <f t="array" aca="1" ref="AZ12" ca="1">IF(TblConstr[[#This Row],[Hour]:[Hour]]&gt;12,OFFSET(TblConstr[[#This Row],[Alc]],-12,0),0)+OFFSET(TblConstr[[#This Row],[Tot Alc]],-1,0)-TblConstr[[#This Row],[Dest Alc]]</f>
        <v>30</v>
      </c>
      <c r="BA12" s="197" cm="1">
        <f t="array" aca="1" ref="BA12" ca="1">IF(TblConstr[[#This Row],[Hour]:[Hour]]&gt;12,OFFSET(TblConstr[[#This Row],[Far]],-12,0),0)+OFFSET(TblConstr[[#This Row],[Tot Farm]],-1,0)-TblConstr[[#This Row],[Dest Farm]]</f>
        <v>30</v>
      </c>
      <c r="BB12" s="197" cm="1">
        <f t="array" aca="1" ref="BB12" ca="1">IF(TblConstr[[#This Row],[Hour]:[Hour]]&gt;12,OFFSET(TblConstr[[#This Row],[Smi]],-12,0),0)+OFFSET(TblConstr[[#This Row],[Tot Smi]],-1,0)-TblConstr[[#This Row],[Dest Smi]]</f>
        <v>0</v>
      </c>
      <c r="BC12" s="197" cm="1">
        <f t="array" aca="1" ref="BC12" ca="1">IF(TblConstr[[#This Row],[Hour]:[Hour]]&gt;12,OFFSET(TblConstr[[#This Row],[Mas]],-12,0),0)+OFFSET(TblConstr[[#This Row],[Tot Mas]],-1,0)-TblConstr[[#This Row],[Dest Mas]]</f>
        <v>0</v>
      </c>
      <c r="BD12" s="198" cm="1">
        <f t="array" aca="1" ref="BD12" ca="1">IF(TblConstr[[#This Row],[Hour]:[Hour]]&gt;12,OFFSET(TblConstr[[#This Row],[Ly]],-12,0),0)+OFFSET(TblConstr[[#This Row],[Tot Ly]],-1,0)-TblConstr[[#This Row],[Dest Ly]]</f>
        <v>20</v>
      </c>
      <c r="BE12" s="198" cm="1">
        <f t="array" aca="1" ref="BE12" ca="1">IF(TblConstr[[#This Row],[Hour]:[Hour]]&gt;12,OFFSET(TblConstr[[#This Row],[Hav]],-12,0),0)+OFFSET(TblConstr[[#This Row],[Tot Hav]],-1,0)-TblConstr[[#This Row],[Dest Hav]]</f>
        <v>0</v>
      </c>
      <c r="BF12" s="392" cm="1">
        <f t="array" aca="1" ref="BF12" ca="1">IF(TblConstr[[#This Row],[Hour]:[Hour]]&gt;12,OFFSET(TblConstr[[#This Row],[OM]],-12,0),0)+OFFSET(TblConstr[[#This Row],[Tot OM]],-1,0)-TblConstr[[#This Row],[Dest OM]]</f>
        <v>0</v>
      </c>
      <c r="BG12" s="392" cm="1">
        <f t="array" aca="1" ref="BG12" ca="1">IF(TblConstr[[#This Row],[Hour]:[Hour]]&gt;12,OFFSET(TblConstr[[#This Row],[GN]],-12,0),0)+OFFSET(TblConstr[[#This Row],[Tot GN]],-1,0)-TblConstr[[#This Row],[Dest GN]]</f>
        <v>0</v>
      </c>
      <c r="BH12" s="396" cm="1">
        <f t="array" aca="1" ref="BH12" ca="1">IF(TblConstr[[#This Row],[Hour]:[Hour]]&gt;12,OFFSET(TblConstr[[#This Row],[Fac]],-12,0),0)+OFFSET(TblConstr[[#This Row],[Tot Fac]],-1,0)-TblConstr[[#This Row],[Dest Fac]]</f>
        <v>0</v>
      </c>
      <c r="BI12" s="396" cm="1">
        <f t="array" aca="1" ref="BI12" ca="1">IF(TblConstr[[#This Row],[Hour]:[Hour]]&gt;12,OFFSET(TblConstr[[#This Row],[GT]],-12,0),0)+OFFSET(TblConstr[[#This Row],[Tot GT]],-1,0)-TblConstr[[#This Row],[Dest GT]]</f>
        <v>0</v>
      </c>
      <c r="BJ12" s="396" cm="1">
        <f t="array" aca="1" ref="BJ12" ca="1">IF(TblConstr[[#This Row],[Hour]:[Hour]]&gt;12,OFFSET(TblConstr[[#This Row],[Bar]],-12,0),0)+OFFSET(TblConstr[[#This Row],[Tot Bar]],-1,0)-TblConstr[[#This Row],[Dest Bar]]</f>
        <v>0</v>
      </c>
      <c r="BK12" s="396" cm="1">
        <f t="array" aca="1" ref="BK12" ca="1">IF(TblConstr[[#This Row],[Hour]:[Hour]]&gt;12,OFFSET(TblConstr[[#This Row],[Shr]],-12,0),0)+OFFSET(TblConstr[[#This Row],[Tot Shr]],-1,0)-TblConstr[[#This Row],[Dest Shr]]</f>
        <v>0</v>
      </c>
      <c r="BL12" s="400" cm="1">
        <f t="array" aca="1" ref="BL12" ca="1">IF(TblConstr[[#This Row],[Hour]:[Hour]]&gt;12,OFFSET(TblConstr[[#This Row],[Tow]],-12,0),0)+OFFSET(TblConstr[[#This Row],[Tot Tow]],-1,0)-TblConstr[[#This Row],[Dest Tow]]</f>
        <v>0</v>
      </c>
      <c r="BM12" s="400" cm="1">
        <f t="array" aca="1" ref="BM12" ca="1">IF(TblConstr[[#This Row],[Hour]:[Hour]]&gt;12,OFFSET(TblConstr[[#This Row],[Tem]],-12,0),0)+OFFSET(TblConstr[[#This Row],[Tot Tem]],-1,0)-TblConstr[[#This Row],[Dest Tem]]</f>
        <v>0</v>
      </c>
      <c r="BN12" s="400" cm="1">
        <f t="array" aca="1" ref="BN12" ca="1">IF(TblConstr[[#This Row],[Hour]:[Hour]]&gt;12,OFFSET(TblConstr[[#This Row],[WG]],-12,0),0)+OFFSET(TblConstr[[#This Row],[Tot WG]],-1,0)-TblConstr[[#This Row],[Dest WG]]</f>
        <v>0</v>
      </c>
      <c r="BO12" s="199" cm="1">
        <f t="array" aca="1" ref="BO12" ca="1">IF(TblConstr[[#This Row],[Hour]:[Hour]]&gt;12,OFFSET(TblConstr[[#This Row],[DM]],-12,0),0)+OFFSET(TblConstr[[#This Row],[Tot DM]],-1,0)-TblConstr[[#This Row],[Dest DM]]</f>
        <v>0</v>
      </c>
      <c r="BP12" s="199" cm="1">
        <f t="array" aca="1" ref="BP12" ca="1">IF(TblConstr[[#This Row],[Hour]:[Hour]]&gt;12,OFFSET(TblConstr[[#This Row],[Sch]],-12,0),0)+OFFSET(TblConstr[[#This Row],[Tot Sch]],-1,0)-TblConstr[[#This Row],[Dest Sch]]</f>
        <v>0</v>
      </c>
      <c r="BQ12" s="200" cm="1">
        <f t="array" aca="1" ref="BQ12" ca="1">IF(TblConstr[[#This Row],[Hour]:[Hour]]&gt;12,OFFSET(TblConstr[[#This Row],[Doc]],-12,0),0)+OFFSET(TblConstr[[#This Row],[Tot Doc]],-1,0)-TblConstr[[#This Row],[Dest Doc]]</f>
        <v>0</v>
      </c>
      <c r="BR12" s="150"/>
      <c r="BS12" s="162"/>
      <c r="BT12" s="97">
        <f ca="1">TblConstr[[#This Row],[Land]]</f>
        <v>250</v>
      </c>
      <c r="BU12" s="167">
        <f ca="1">TblImps[[#This Row],[Time]]</f>
        <v>44811.083333333314</v>
      </c>
      <c r="BV12" s="150"/>
      <c r="BW12" s="187"/>
      <c r="BX12" s="187"/>
      <c r="BY12" s="187"/>
      <c r="BZ12" s="187"/>
      <c r="CA12" s="187"/>
      <c r="CB12" s="187"/>
      <c r="CC12" s="187"/>
      <c r="CD12" s="187"/>
      <c r="CE12" s="187"/>
      <c r="CF12" s="187"/>
      <c r="CG12" s="187"/>
      <c r="CH12" s="187"/>
      <c r="CI12" s="187"/>
      <c r="CJ12" s="187"/>
      <c r="CK12" s="187"/>
      <c r="CL12" s="187"/>
      <c r="CM12" s="187"/>
      <c r="CN12" s="187"/>
      <c r="CO12" s="187"/>
      <c r="CP12" s="150"/>
      <c r="CQ12" s="189">
        <f ca="1">-SUM(TblConstr[[#This Row],[Alc]:[Mas]])+SUM(TblConstr[[#This Row],[Dest Alc]:[Dest Mas]])+Rezone!L12+IF("Ch_"&amp; home_land=TblConstr[[#Headers],[Ch_Plain]],TblConstr[[#This Row],[Home Land]])+IF(TblConstr[[#This Row],[Hour]:[Hour]]&gt;12,OFFSET(TblExplore[[#This Row],[Plains Explore]],-12,0),0)</f>
        <v>0</v>
      </c>
      <c r="CR12" s="190">
        <f ca="1">-SUM(TblConstr[[#This Row],[Ly]:[Hav]])+SUM(TblConstr[[#This Row],[Dest Ly]:[Dest Hav]]) +Rezone!M12 + IF("Ch_"&amp; home_land=TblConstr[[#Headers],[Ch_Forest]],TblConstr[[#This Row],[Home Land]])+IF(TblConstr[[#This Row],[Hour]:[Hour]]&gt;12,OFFSET(TblExplore[[#This Row],[Forest Explore]],-12,0),0)</f>
        <v>0</v>
      </c>
      <c r="CS12" s="390">
        <f ca="1">-SUM(TblConstr[[#This Row],[OM]:[GN]])+SUM(TblConstr[[#This Row],[Dest OM]:[Dest GN]]) +Rezone!N12 + IF("Ch_"&amp; home_land=TblConstr[[#Headers],[Ch_Mountain]],TblConstr[[#This Row],[Home Land]])+IF(TblConstr[[#This Row],[Hour]:[Hour]]&gt;12,OFFSET(TblExplore[[#This Row],[Mountain Explore]],-12,0),0)</f>
        <v>0</v>
      </c>
      <c r="CT12" s="191">
        <f ca="1">-SUM(TblConstr[[#This Row],[Fac]:[Shr]])+SUM(TblConstr[[#This Row],[Dest Fac]:[Dest Shr]]) +Rezone!O12 + IF("Ch_" &amp; home_land=TblConstr[[#Headers],[Ch_Hill]],TblConstr[[#This Row],[Home Land]])+IF(TblConstr[[#This Row],[Hour]:[Hour]]&gt;12,OFFSET(TblExplore[[#This Row],[Hill Explore]],-12,0),0)</f>
        <v>0</v>
      </c>
      <c r="CU12" s="192">
        <f ca="1">-SUM(TblConstr[[#This Row],[Tow]:[WG]])+SUM(TblConstr[[#This Row],[Dest Tow]:[Dest WG]]) +Rezone!P12 + IF("Ch_" &amp; home_land=TblConstr[[#Headers],[Ch_Swamp]],TblConstr[[#This Row],[Home Land]])+IF(TblConstr[[#This Row],[Hour]:[Hour]]&gt;12,OFFSET(TblExplore[[#This Row],[Swamp Explore]],-12,0),0)</f>
        <v>0</v>
      </c>
      <c r="CV12" s="193">
        <f ca="1" xml:space="preserve"> - SUM(TblConstr[[#This Row],[DM]:[Sch]])+SUM(TblConstr[[#This Row],[Dest DM]:[Dest Sch]]) +Rezone!Q12 + IF("Ch_" &amp; home_land=TblConstr[[#Headers],[Ch_Cavern]],TblConstr[[#This Row],[Home Land]])+IF(TblConstr[[#This Row],[Hour]:[Hour]]&gt;12,OFFSET(TblExplore[[#This Row],[Cavern Explore]],-12,0),0)</f>
        <v>0</v>
      </c>
      <c r="CW12" s="194">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50"/>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83">
        <f>TblRezone[[#This Row],[Hour]]</f>
        <v>10</v>
      </c>
      <c r="B13" s="184">
        <f ca="1">SUM(TblConstr[[#This Row],[Plain]:[Water]])</f>
        <v>160</v>
      </c>
      <c r="C13" s="185">
        <f ca="1">SUM(TblConstr[[#This Row],[Tot Hom]:[Tot Doc]])</f>
        <v>90</v>
      </c>
      <c r="D13" s="185">
        <f>SUM(O$4:AG13)</f>
        <v>0</v>
      </c>
      <c r="E13" s="186"/>
      <c r="F13" s="62">
        <f ca="1">TblConstr[[#This Row],[Barren]]+TblConstr[[#This Row],[Buildings]]+TblConstr[[#This Row],[Incoming]]</f>
        <v>250</v>
      </c>
      <c r="G13" s="195">
        <f ca="1">OFFSET(TblConstr[[#This Row],[Plain]],-1,0)+TblConstr[[#This Row],[Ch_Plain]]</f>
        <v>40</v>
      </c>
      <c r="H13" s="190">
        <f ca="1">OFFSET(TblConstr[[#This Row],[Forest]],-1,0)+TblConstr[[#This Row],[Ch_Forest]]</f>
        <v>20</v>
      </c>
      <c r="I13" s="390">
        <f ca="1">OFFSET(TblConstr[[#This Row],[Mountain]],-1,0)+TblConstr[[#This Row],[Ch_Mountain]]</f>
        <v>20</v>
      </c>
      <c r="J13" s="394">
        <f ca="1">OFFSET(TblConstr[[#This Row],[Hill]],-1,0)+TblConstr[[#This Row],[Ch_Hill]]</f>
        <v>20</v>
      </c>
      <c r="K13" s="398">
        <f ca="1">OFFSET(TblConstr[[#This Row],[Swamp]],-1,0)+TblConstr[[#This Row],[Ch_Swamp]]</f>
        <v>20</v>
      </c>
      <c r="L13" s="193">
        <f ca="1">OFFSET(TblConstr[[#This Row],[Cavern]],-1,0)+TblConstr[[#This Row],[Ch_Cavern]]</f>
        <v>20</v>
      </c>
      <c r="M13" s="194">
        <f ca="1">OFFSET(TblConstr[[#This Row],[Water]],-1,0)+TblConstr[[#This Row],[Ch_Water]]</f>
        <v>20</v>
      </c>
      <c r="N13" s="388">
        <f>TblRezone[[#This Row],[Hour]]</f>
        <v>10</v>
      </c>
      <c r="O13" s="187"/>
      <c r="P13" s="187"/>
      <c r="Q13" s="187"/>
      <c r="R13" s="166"/>
      <c r="S13" s="187"/>
      <c r="T13" s="187"/>
      <c r="U13" s="187"/>
      <c r="V13" s="187"/>
      <c r="W13" s="187"/>
      <c r="X13" s="187"/>
      <c r="Y13" s="187"/>
      <c r="Z13" s="187"/>
      <c r="AA13" s="187"/>
      <c r="AB13" s="187"/>
      <c r="AC13" s="187"/>
      <c r="AD13" s="187"/>
      <c r="AE13" s="187"/>
      <c r="AF13" s="187"/>
      <c r="AG13" s="187"/>
      <c r="AH13" s="53">
        <f ca="1">TblImps[[#This Row],[Time]]</f>
        <v>44811.124999999978</v>
      </c>
      <c r="AI13" s="188">
        <f ca="1">MIN(25%,(TblConstr[[#This Row],[Tot Fac]]+TblConstr[[#This Row],[Dest Fac]])/(TblConstr[[#This Row],[Land]]-TblExplore[[#This Row],[Land Bonus]]*20))</f>
        <v>0</v>
      </c>
      <c r="AJ13" s="188">
        <f ca="1">MIN(25%,(TblConstr[[#This Row],[Tot Fac]]+TblConstr[[#This Row],[Dest Fac]])/TblConstr[[#This Row],[Land]])</f>
        <v>0</v>
      </c>
      <c r="AK13" s="97">
        <f ca="1">TblProd[[#This Row],[Platinum]]</f>
        <v>146343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50"/>
      <c r="AV13" s="97">
        <f ca="1">ROUND((TblConstr[[#This Row],[Land]]-250 - IF(TblExplore[[#This Row],[Land Bonus]]&lt;&gt;0,20,0))*1.25 + 850 + 0,0)</f>
        <v>850</v>
      </c>
      <c r="AW13" s="97">
        <f ca="1">ROUND((TblConstr[[#This Row],[Land]]-250 - IF(TblExplore[[#This Row],[Land Bonus]]&lt;&gt;0,20,0))*0.285 + 87.5 + 0/4.25,0)</f>
        <v>88</v>
      </c>
      <c r="AX13" s="162"/>
      <c r="AY13" s="196" cm="1">
        <f t="array" aca="1" ref="AY13" ca="1">IF(TblConstr[[#This Row],[Hour]:[Hour]]&gt;12,OFFSET(TblConstr[[#This Row],[Hom]],-12,0),0)+OFFSET(TblConstr[[#This Row],[Tot Hom]],-1,0)-TblConstr[[#This Row],[Dest Hom]]</f>
        <v>10</v>
      </c>
      <c r="AZ13" s="197" cm="1">
        <f t="array" aca="1" ref="AZ13" ca="1">IF(TblConstr[[#This Row],[Hour]:[Hour]]&gt;12,OFFSET(TblConstr[[#This Row],[Alc]],-12,0),0)+OFFSET(TblConstr[[#This Row],[Tot Alc]],-1,0)-TblConstr[[#This Row],[Dest Alc]]</f>
        <v>30</v>
      </c>
      <c r="BA13" s="197" cm="1">
        <f t="array" aca="1" ref="BA13" ca="1">IF(TblConstr[[#This Row],[Hour]:[Hour]]&gt;12,OFFSET(TblConstr[[#This Row],[Far]],-12,0),0)+OFFSET(TblConstr[[#This Row],[Tot Farm]],-1,0)-TblConstr[[#This Row],[Dest Farm]]</f>
        <v>30</v>
      </c>
      <c r="BB13" s="197" cm="1">
        <f t="array" aca="1" ref="BB13" ca="1">IF(TblConstr[[#This Row],[Hour]:[Hour]]&gt;12,OFFSET(TblConstr[[#This Row],[Smi]],-12,0),0)+OFFSET(TblConstr[[#This Row],[Tot Smi]],-1,0)-TblConstr[[#This Row],[Dest Smi]]</f>
        <v>0</v>
      </c>
      <c r="BC13" s="197" cm="1">
        <f t="array" aca="1" ref="BC13" ca="1">IF(TblConstr[[#This Row],[Hour]:[Hour]]&gt;12,OFFSET(TblConstr[[#This Row],[Mas]],-12,0),0)+OFFSET(TblConstr[[#This Row],[Tot Mas]],-1,0)-TblConstr[[#This Row],[Dest Mas]]</f>
        <v>0</v>
      </c>
      <c r="BD13" s="198" cm="1">
        <f t="array" aca="1" ref="BD13" ca="1">IF(TblConstr[[#This Row],[Hour]:[Hour]]&gt;12,OFFSET(TblConstr[[#This Row],[Ly]],-12,0),0)+OFFSET(TblConstr[[#This Row],[Tot Ly]],-1,0)-TblConstr[[#This Row],[Dest Ly]]</f>
        <v>20</v>
      </c>
      <c r="BE13" s="198" cm="1">
        <f t="array" aca="1" ref="BE13" ca="1">IF(TblConstr[[#This Row],[Hour]:[Hour]]&gt;12,OFFSET(TblConstr[[#This Row],[Hav]],-12,0),0)+OFFSET(TblConstr[[#This Row],[Tot Hav]],-1,0)-TblConstr[[#This Row],[Dest Hav]]</f>
        <v>0</v>
      </c>
      <c r="BF13" s="392" cm="1">
        <f t="array" aca="1" ref="BF13" ca="1">IF(TblConstr[[#This Row],[Hour]:[Hour]]&gt;12,OFFSET(TblConstr[[#This Row],[OM]],-12,0),0)+OFFSET(TblConstr[[#This Row],[Tot OM]],-1,0)-TblConstr[[#This Row],[Dest OM]]</f>
        <v>0</v>
      </c>
      <c r="BG13" s="392" cm="1">
        <f t="array" aca="1" ref="BG13" ca="1">IF(TblConstr[[#This Row],[Hour]:[Hour]]&gt;12,OFFSET(TblConstr[[#This Row],[GN]],-12,0),0)+OFFSET(TblConstr[[#This Row],[Tot GN]],-1,0)-TblConstr[[#This Row],[Dest GN]]</f>
        <v>0</v>
      </c>
      <c r="BH13" s="396" cm="1">
        <f t="array" aca="1" ref="BH13" ca="1">IF(TblConstr[[#This Row],[Hour]:[Hour]]&gt;12,OFFSET(TblConstr[[#This Row],[Fac]],-12,0),0)+OFFSET(TblConstr[[#This Row],[Tot Fac]],-1,0)-TblConstr[[#This Row],[Dest Fac]]</f>
        <v>0</v>
      </c>
      <c r="BI13" s="396" cm="1">
        <f t="array" aca="1" ref="BI13" ca="1">IF(TblConstr[[#This Row],[Hour]:[Hour]]&gt;12,OFFSET(TblConstr[[#This Row],[GT]],-12,0),0)+OFFSET(TblConstr[[#This Row],[Tot GT]],-1,0)-TblConstr[[#This Row],[Dest GT]]</f>
        <v>0</v>
      </c>
      <c r="BJ13" s="396" cm="1">
        <f t="array" aca="1" ref="BJ13" ca="1">IF(TblConstr[[#This Row],[Hour]:[Hour]]&gt;12,OFFSET(TblConstr[[#This Row],[Bar]],-12,0),0)+OFFSET(TblConstr[[#This Row],[Tot Bar]],-1,0)-TblConstr[[#This Row],[Dest Bar]]</f>
        <v>0</v>
      </c>
      <c r="BK13" s="396" cm="1">
        <f t="array" aca="1" ref="BK13" ca="1">IF(TblConstr[[#This Row],[Hour]:[Hour]]&gt;12,OFFSET(TblConstr[[#This Row],[Shr]],-12,0),0)+OFFSET(TblConstr[[#This Row],[Tot Shr]],-1,0)-TblConstr[[#This Row],[Dest Shr]]</f>
        <v>0</v>
      </c>
      <c r="BL13" s="400" cm="1">
        <f t="array" aca="1" ref="BL13" ca="1">IF(TblConstr[[#This Row],[Hour]:[Hour]]&gt;12,OFFSET(TblConstr[[#This Row],[Tow]],-12,0),0)+OFFSET(TblConstr[[#This Row],[Tot Tow]],-1,0)-TblConstr[[#This Row],[Dest Tow]]</f>
        <v>0</v>
      </c>
      <c r="BM13" s="400" cm="1">
        <f t="array" aca="1" ref="BM13" ca="1">IF(TblConstr[[#This Row],[Hour]:[Hour]]&gt;12,OFFSET(TblConstr[[#This Row],[Tem]],-12,0),0)+OFFSET(TblConstr[[#This Row],[Tot Tem]],-1,0)-TblConstr[[#This Row],[Dest Tem]]</f>
        <v>0</v>
      </c>
      <c r="BN13" s="400" cm="1">
        <f t="array" aca="1" ref="BN13" ca="1">IF(TblConstr[[#This Row],[Hour]:[Hour]]&gt;12,OFFSET(TblConstr[[#This Row],[WG]],-12,0),0)+OFFSET(TblConstr[[#This Row],[Tot WG]],-1,0)-TblConstr[[#This Row],[Dest WG]]</f>
        <v>0</v>
      </c>
      <c r="BO13" s="199" cm="1">
        <f t="array" aca="1" ref="BO13" ca="1">IF(TblConstr[[#This Row],[Hour]:[Hour]]&gt;12,OFFSET(TblConstr[[#This Row],[DM]],-12,0),0)+OFFSET(TblConstr[[#This Row],[Tot DM]],-1,0)-TblConstr[[#This Row],[Dest DM]]</f>
        <v>0</v>
      </c>
      <c r="BP13" s="199" cm="1">
        <f t="array" aca="1" ref="BP13" ca="1">IF(TblConstr[[#This Row],[Hour]:[Hour]]&gt;12,OFFSET(TblConstr[[#This Row],[Sch]],-12,0),0)+OFFSET(TblConstr[[#This Row],[Tot Sch]],-1,0)-TblConstr[[#This Row],[Dest Sch]]</f>
        <v>0</v>
      </c>
      <c r="BQ13" s="200" cm="1">
        <f t="array" aca="1" ref="BQ13" ca="1">IF(TblConstr[[#This Row],[Hour]:[Hour]]&gt;12,OFFSET(TblConstr[[#This Row],[Doc]],-12,0),0)+OFFSET(TblConstr[[#This Row],[Tot Doc]],-1,0)-TblConstr[[#This Row],[Dest Doc]]</f>
        <v>0</v>
      </c>
      <c r="BR13" s="150"/>
      <c r="BS13" s="162"/>
      <c r="BT13" s="97">
        <f ca="1">TblConstr[[#This Row],[Land]]</f>
        <v>250</v>
      </c>
      <c r="BU13" s="167">
        <f ca="1">TblImps[[#This Row],[Time]]</f>
        <v>44811.124999999978</v>
      </c>
      <c r="BV13" s="150"/>
      <c r="BW13" s="187"/>
      <c r="BX13" s="187"/>
      <c r="BY13" s="187"/>
      <c r="BZ13" s="187"/>
      <c r="CA13" s="187"/>
      <c r="CB13" s="187"/>
      <c r="CC13" s="187"/>
      <c r="CD13" s="187"/>
      <c r="CE13" s="187"/>
      <c r="CF13" s="187"/>
      <c r="CG13" s="187"/>
      <c r="CH13" s="187"/>
      <c r="CI13" s="187"/>
      <c r="CJ13" s="187"/>
      <c r="CK13" s="187"/>
      <c r="CL13" s="187"/>
      <c r="CM13" s="187"/>
      <c r="CN13" s="187"/>
      <c r="CO13" s="187"/>
      <c r="CP13" s="150"/>
      <c r="CQ13" s="189">
        <f ca="1">-SUM(TblConstr[[#This Row],[Alc]:[Mas]])+SUM(TblConstr[[#This Row],[Dest Alc]:[Dest Mas]])+Rezone!L13+IF("Ch_"&amp; home_land=TblConstr[[#Headers],[Ch_Plain]],TblConstr[[#This Row],[Home Land]])+IF(TblConstr[[#This Row],[Hour]:[Hour]]&gt;12,OFFSET(TblExplore[[#This Row],[Plains Explore]],-12,0),0)</f>
        <v>0</v>
      </c>
      <c r="CR13" s="190">
        <f ca="1">-SUM(TblConstr[[#This Row],[Ly]:[Hav]])+SUM(TblConstr[[#This Row],[Dest Ly]:[Dest Hav]]) +Rezone!M13 + IF("Ch_"&amp; home_land=TblConstr[[#Headers],[Ch_Forest]],TblConstr[[#This Row],[Home Land]])+IF(TblConstr[[#This Row],[Hour]:[Hour]]&gt;12,OFFSET(TblExplore[[#This Row],[Forest Explore]],-12,0),0)</f>
        <v>0</v>
      </c>
      <c r="CS13" s="390">
        <f ca="1">-SUM(TblConstr[[#This Row],[OM]:[GN]])+SUM(TblConstr[[#This Row],[Dest OM]:[Dest GN]]) +Rezone!N13 + IF("Ch_"&amp; home_land=TblConstr[[#Headers],[Ch_Mountain]],TblConstr[[#This Row],[Home Land]])+IF(TblConstr[[#This Row],[Hour]:[Hour]]&gt;12,OFFSET(TblExplore[[#This Row],[Mountain Explore]],-12,0),0)</f>
        <v>0</v>
      </c>
      <c r="CT13" s="191">
        <f ca="1">-SUM(TblConstr[[#This Row],[Fac]:[Shr]])+SUM(TblConstr[[#This Row],[Dest Fac]:[Dest Shr]]) +Rezone!O13 + IF("Ch_" &amp; home_land=TblConstr[[#Headers],[Ch_Hill]],TblConstr[[#This Row],[Home Land]])+IF(TblConstr[[#This Row],[Hour]:[Hour]]&gt;12,OFFSET(TblExplore[[#This Row],[Hill Explore]],-12,0),0)</f>
        <v>0</v>
      </c>
      <c r="CU13" s="192">
        <f ca="1">-SUM(TblConstr[[#This Row],[Tow]:[WG]])+SUM(TblConstr[[#This Row],[Dest Tow]:[Dest WG]]) +Rezone!P13 + IF("Ch_" &amp; home_land=TblConstr[[#Headers],[Ch_Swamp]],TblConstr[[#This Row],[Home Land]])+IF(TblConstr[[#This Row],[Hour]:[Hour]]&gt;12,OFFSET(TblExplore[[#This Row],[Swamp Explore]],-12,0),0)</f>
        <v>0</v>
      </c>
      <c r="CV13" s="193">
        <f ca="1" xml:space="preserve"> - SUM(TblConstr[[#This Row],[DM]:[Sch]])+SUM(TblConstr[[#This Row],[Dest DM]:[Dest Sch]]) +Rezone!Q13 + IF("Ch_" &amp; home_land=TblConstr[[#Headers],[Ch_Cavern]],TblConstr[[#This Row],[Home Land]])+IF(TblConstr[[#This Row],[Hour]:[Hour]]&gt;12,OFFSET(TblExplore[[#This Row],[Cavern Explore]],-12,0),0)</f>
        <v>0</v>
      </c>
      <c r="CW13" s="194">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50"/>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83">
        <f>TblRezone[[#This Row],[Hour]]</f>
        <v>11</v>
      </c>
      <c r="B14" s="184">
        <f ca="1">SUM(TblConstr[[#This Row],[Plain]:[Water]])</f>
        <v>160</v>
      </c>
      <c r="C14" s="185">
        <f ca="1">SUM(TblConstr[[#This Row],[Tot Hom]:[Tot Doc]])</f>
        <v>90</v>
      </c>
      <c r="D14" s="185">
        <f>SUM(O$4:AG14)</f>
        <v>0</v>
      </c>
      <c r="E14" s="186"/>
      <c r="F14" s="62">
        <f ca="1">TblConstr[[#This Row],[Barren]]+TblConstr[[#This Row],[Buildings]]+TblConstr[[#This Row],[Incoming]]</f>
        <v>250</v>
      </c>
      <c r="G14" s="195">
        <f ca="1">OFFSET(TblConstr[[#This Row],[Plain]],-1,0)+TblConstr[[#This Row],[Ch_Plain]]</f>
        <v>40</v>
      </c>
      <c r="H14" s="190">
        <f ca="1">OFFSET(TblConstr[[#This Row],[Forest]],-1,0)+TblConstr[[#This Row],[Ch_Forest]]</f>
        <v>20</v>
      </c>
      <c r="I14" s="390">
        <f ca="1">OFFSET(TblConstr[[#This Row],[Mountain]],-1,0)+TblConstr[[#This Row],[Ch_Mountain]]</f>
        <v>20</v>
      </c>
      <c r="J14" s="394">
        <f ca="1">OFFSET(TblConstr[[#This Row],[Hill]],-1,0)+TblConstr[[#This Row],[Ch_Hill]]</f>
        <v>20</v>
      </c>
      <c r="K14" s="398">
        <f ca="1">OFFSET(TblConstr[[#This Row],[Swamp]],-1,0)+TblConstr[[#This Row],[Ch_Swamp]]</f>
        <v>20</v>
      </c>
      <c r="L14" s="193">
        <f ca="1">OFFSET(TblConstr[[#This Row],[Cavern]],-1,0)+TblConstr[[#This Row],[Ch_Cavern]]</f>
        <v>20</v>
      </c>
      <c r="M14" s="194">
        <f ca="1">OFFSET(TblConstr[[#This Row],[Water]],-1,0)+TblConstr[[#This Row],[Ch_Water]]</f>
        <v>20</v>
      </c>
      <c r="N14" s="388">
        <f>TblRezone[[#This Row],[Hour]]</f>
        <v>11</v>
      </c>
      <c r="O14" s="187"/>
      <c r="P14" s="187"/>
      <c r="Q14" s="187"/>
      <c r="R14" s="166"/>
      <c r="S14" s="187"/>
      <c r="T14" s="187"/>
      <c r="U14" s="187"/>
      <c r="V14" s="187"/>
      <c r="W14" s="187"/>
      <c r="X14" s="187"/>
      <c r="Y14" s="187"/>
      <c r="Z14" s="187"/>
      <c r="AA14" s="187"/>
      <c r="AB14" s="187"/>
      <c r="AC14" s="187"/>
      <c r="AD14" s="187"/>
      <c r="AE14" s="187"/>
      <c r="AF14" s="187"/>
      <c r="AG14" s="187"/>
      <c r="AH14" s="53">
        <f ca="1">TblImps[[#This Row],[Time]]</f>
        <v>44811.166666666642</v>
      </c>
      <c r="AI14" s="188">
        <f ca="1">MIN(25%,(TblConstr[[#This Row],[Tot Fac]]+TblConstr[[#This Row],[Dest Fac]])/(TblConstr[[#This Row],[Land]]-TblExplore[[#This Row],[Land Bonus]]*20))</f>
        <v>0</v>
      </c>
      <c r="AJ14" s="188">
        <f ca="1">MIN(25%,(TblConstr[[#This Row],[Tot Fac]]+TblConstr[[#This Row],[Dest Fac]])/TblConstr[[#This Row],[Land]])</f>
        <v>0</v>
      </c>
      <c r="AK14" s="97">
        <f ca="1">TblProd[[#This Row],[Platinum]]</f>
        <v>151875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50"/>
      <c r="AV14" s="97">
        <f ca="1">ROUND((TblConstr[[#This Row],[Land]]-250 - IF(TblExplore[[#This Row],[Land Bonus]]&lt;&gt;0,20,0))*1.25 + 850 + 0,0)</f>
        <v>850</v>
      </c>
      <c r="AW14" s="97">
        <f ca="1">ROUND((TblConstr[[#This Row],[Land]]-250 - IF(TblExplore[[#This Row],[Land Bonus]]&lt;&gt;0,20,0))*0.285 + 87.5 + 0/4.25,0)</f>
        <v>88</v>
      </c>
      <c r="AX14" s="162"/>
      <c r="AY14" s="196" cm="1">
        <f t="array" aca="1" ref="AY14" ca="1">IF(TblConstr[[#This Row],[Hour]:[Hour]]&gt;12,OFFSET(TblConstr[[#This Row],[Hom]],-12,0),0)+OFFSET(TblConstr[[#This Row],[Tot Hom]],-1,0)-TblConstr[[#This Row],[Dest Hom]]</f>
        <v>10</v>
      </c>
      <c r="AZ14" s="197" cm="1">
        <f t="array" aca="1" ref="AZ14" ca="1">IF(TblConstr[[#This Row],[Hour]:[Hour]]&gt;12,OFFSET(TblConstr[[#This Row],[Alc]],-12,0),0)+OFFSET(TblConstr[[#This Row],[Tot Alc]],-1,0)-TblConstr[[#This Row],[Dest Alc]]</f>
        <v>30</v>
      </c>
      <c r="BA14" s="197" cm="1">
        <f t="array" aca="1" ref="BA14" ca="1">IF(TblConstr[[#This Row],[Hour]:[Hour]]&gt;12,OFFSET(TblConstr[[#This Row],[Far]],-12,0),0)+OFFSET(TblConstr[[#This Row],[Tot Farm]],-1,0)-TblConstr[[#This Row],[Dest Farm]]</f>
        <v>30</v>
      </c>
      <c r="BB14" s="197" cm="1">
        <f t="array" aca="1" ref="BB14" ca="1">IF(TblConstr[[#This Row],[Hour]:[Hour]]&gt;12,OFFSET(TblConstr[[#This Row],[Smi]],-12,0),0)+OFFSET(TblConstr[[#This Row],[Tot Smi]],-1,0)-TblConstr[[#This Row],[Dest Smi]]</f>
        <v>0</v>
      </c>
      <c r="BC14" s="197" cm="1">
        <f t="array" aca="1" ref="BC14" ca="1">IF(TblConstr[[#This Row],[Hour]:[Hour]]&gt;12,OFFSET(TblConstr[[#This Row],[Mas]],-12,0),0)+OFFSET(TblConstr[[#This Row],[Tot Mas]],-1,0)-TblConstr[[#This Row],[Dest Mas]]</f>
        <v>0</v>
      </c>
      <c r="BD14" s="198" cm="1">
        <f t="array" aca="1" ref="BD14" ca="1">IF(TblConstr[[#This Row],[Hour]:[Hour]]&gt;12,OFFSET(TblConstr[[#This Row],[Ly]],-12,0),0)+OFFSET(TblConstr[[#This Row],[Tot Ly]],-1,0)-TblConstr[[#This Row],[Dest Ly]]</f>
        <v>20</v>
      </c>
      <c r="BE14" s="198" cm="1">
        <f t="array" aca="1" ref="BE14" ca="1">IF(TblConstr[[#This Row],[Hour]:[Hour]]&gt;12,OFFSET(TblConstr[[#This Row],[Hav]],-12,0),0)+OFFSET(TblConstr[[#This Row],[Tot Hav]],-1,0)-TblConstr[[#This Row],[Dest Hav]]</f>
        <v>0</v>
      </c>
      <c r="BF14" s="392" cm="1">
        <f t="array" aca="1" ref="BF14" ca="1">IF(TblConstr[[#This Row],[Hour]:[Hour]]&gt;12,OFFSET(TblConstr[[#This Row],[OM]],-12,0),0)+OFFSET(TblConstr[[#This Row],[Tot OM]],-1,0)-TblConstr[[#This Row],[Dest OM]]</f>
        <v>0</v>
      </c>
      <c r="BG14" s="392" cm="1">
        <f t="array" aca="1" ref="BG14" ca="1">IF(TblConstr[[#This Row],[Hour]:[Hour]]&gt;12,OFFSET(TblConstr[[#This Row],[GN]],-12,0),0)+OFFSET(TblConstr[[#This Row],[Tot GN]],-1,0)-TblConstr[[#This Row],[Dest GN]]</f>
        <v>0</v>
      </c>
      <c r="BH14" s="396" cm="1">
        <f t="array" aca="1" ref="BH14" ca="1">IF(TblConstr[[#This Row],[Hour]:[Hour]]&gt;12,OFFSET(TblConstr[[#This Row],[Fac]],-12,0),0)+OFFSET(TblConstr[[#This Row],[Tot Fac]],-1,0)-TblConstr[[#This Row],[Dest Fac]]</f>
        <v>0</v>
      </c>
      <c r="BI14" s="396" cm="1">
        <f t="array" aca="1" ref="BI14" ca="1">IF(TblConstr[[#This Row],[Hour]:[Hour]]&gt;12,OFFSET(TblConstr[[#This Row],[GT]],-12,0),0)+OFFSET(TblConstr[[#This Row],[Tot GT]],-1,0)-TblConstr[[#This Row],[Dest GT]]</f>
        <v>0</v>
      </c>
      <c r="BJ14" s="396" cm="1">
        <f t="array" aca="1" ref="BJ14" ca="1">IF(TblConstr[[#This Row],[Hour]:[Hour]]&gt;12,OFFSET(TblConstr[[#This Row],[Bar]],-12,0),0)+OFFSET(TblConstr[[#This Row],[Tot Bar]],-1,0)-TblConstr[[#This Row],[Dest Bar]]</f>
        <v>0</v>
      </c>
      <c r="BK14" s="396" cm="1">
        <f t="array" aca="1" ref="BK14" ca="1">IF(TblConstr[[#This Row],[Hour]:[Hour]]&gt;12,OFFSET(TblConstr[[#This Row],[Shr]],-12,0),0)+OFFSET(TblConstr[[#This Row],[Tot Shr]],-1,0)-TblConstr[[#This Row],[Dest Shr]]</f>
        <v>0</v>
      </c>
      <c r="BL14" s="400" cm="1">
        <f t="array" aca="1" ref="BL14" ca="1">IF(TblConstr[[#This Row],[Hour]:[Hour]]&gt;12,OFFSET(TblConstr[[#This Row],[Tow]],-12,0),0)+OFFSET(TblConstr[[#This Row],[Tot Tow]],-1,0)-TblConstr[[#This Row],[Dest Tow]]</f>
        <v>0</v>
      </c>
      <c r="BM14" s="400" cm="1">
        <f t="array" aca="1" ref="BM14" ca="1">IF(TblConstr[[#This Row],[Hour]:[Hour]]&gt;12,OFFSET(TblConstr[[#This Row],[Tem]],-12,0),0)+OFFSET(TblConstr[[#This Row],[Tot Tem]],-1,0)-TblConstr[[#This Row],[Dest Tem]]</f>
        <v>0</v>
      </c>
      <c r="BN14" s="400" cm="1">
        <f t="array" aca="1" ref="BN14" ca="1">IF(TblConstr[[#This Row],[Hour]:[Hour]]&gt;12,OFFSET(TblConstr[[#This Row],[WG]],-12,0),0)+OFFSET(TblConstr[[#This Row],[Tot WG]],-1,0)-TblConstr[[#This Row],[Dest WG]]</f>
        <v>0</v>
      </c>
      <c r="BO14" s="199" cm="1">
        <f t="array" aca="1" ref="BO14" ca="1">IF(TblConstr[[#This Row],[Hour]:[Hour]]&gt;12,OFFSET(TblConstr[[#This Row],[DM]],-12,0),0)+OFFSET(TblConstr[[#This Row],[Tot DM]],-1,0)-TblConstr[[#This Row],[Dest DM]]</f>
        <v>0</v>
      </c>
      <c r="BP14" s="199" cm="1">
        <f t="array" aca="1" ref="BP14" ca="1">IF(TblConstr[[#This Row],[Hour]:[Hour]]&gt;12,OFFSET(TblConstr[[#This Row],[Sch]],-12,0),0)+OFFSET(TblConstr[[#This Row],[Tot Sch]],-1,0)-TblConstr[[#This Row],[Dest Sch]]</f>
        <v>0</v>
      </c>
      <c r="BQ14" s="200" cm="1">
        <f t="array" aca="1" ref="BQ14" ca="1">IF(TblConstr[[#This Row],[Hour]:[Hour]]&gt;12,OFFSET(TblConstr[[#This Row],[Doc]],-12,0),0)+OFFSET(TblConstr[[#This Row],[Tot Doc]],-1,0)-TblConstr[[#This Row],[Dest Doc]]</f>
        <v>0</v>
      </c>
      <c r="BR14" s="150"/>
      <c r="BS14" s="162"/>
      <c r="BT14" s="97">
        <f ca="1">TblConstr[[#This Row],[Land]]</f>
        <v>250</v>
      </c>
      <c r="BU14" s="167">
        <f ca="1">TblImps[[#This Row],[Time]]</f>
        <v>44811.166666666642</v>
      </c>
      <c r="BV14" s="150"/>
      <c r="BW14" s="187"/>
      <c r="BX14" s="187"/>
      <c r="BY14" s="187"/>
      <c r="BZ14" s="187"/>
      <c r="CA14" s="187"/>
      <c r="CB14" s="187"/>
      <c r="CC14" s="187"/>
      <c r="CD14" s="187"/>
      <c r="CE14" s="187"/>
      <c r="CF14" s="187"/>
      <c r="CG14" s="187"/>
      <c r="CH14" s="187"/>
      <c r="CI14" s="187"/>
      <c r="CJ14" s="187"/>
      <c r="CK14" s="187"/>
      <c r="CL14" s="187"/>
      <c r="CM14" s="187"/>
      <c r="CN14" s="187"/>
      <c r="CO14" s="187"/>
      <c r="CP14" s="150"/>
      <c r="CQ14" s="189">
        <f ca="1">-SUM(TblConstr[[#This Row],[Alc]:[Mas]])+SUM(TblConstr[[#This Row],[Dest Alc]:[Dest Mas]])+Rezone!L14+IF("Ch_"&amp; home_land=TblConstr[[#Headers],[Ch_Plain]],TblConstr[[#This Row],[Home Land]])+IF(TblConstr[[#This Row],[Hour]:[Hour]]&gt;12,OFFSET(TblExplore[[#This Row],[Plains Explore]],-12,0),0)</f>
        <v>0</v>
      </c>
      <c r="CR14" s="190">
        <f ca="1">-SUM(TblConstr[[#This Row],[Ly]:[Hav]])+SUM(TblConstr[[#This Row],[Dest Ly]:[Dest Hav]]) +Rezone!M14 + IF("Ch_"&amp; home_land=TblConstr[[#Headers],[Ch_Forest]],TblConstr[[#This Row],[Home Land]])+IF(TblConstr[[#This Row],[Hour]:[Hour]]&gt;12,OFFSET(TblExplore[[#This Row],[Forest Explore]],-12,0),0)</f>
        <v>0</v>
      </c>
      <c r="CS14" s="390">
        <f ca="1">-SUM(TblConstr[[#This Row],[OM]:[GN]])+SUM(TblConstr[[#This Row],[Dest OM]:[Dest GN]]) +Rezone!N14 + IF("Ch_"&amp; home_land=TblConstr[[#Headers],[Ch_Mountain]],TblConstr[[#This Row],[Home Land]])+IF(TblConstr[[#This Row],[Hour]:[Hour]]&gt;12,OFFSET(TblExplore[[#This Row],[Mountain Explore]],-12,0),0)</f>
        <v>0</v>
      </c>
      <c r="CT14" s="191">
        <f ca="1">-SUM(TblConstr[[#This Row],[Fac]:[Shr]])+SUM(TblConstr[[#This Row],[Dest Fac]:[Dest Shr]]) +Rezone!O14 + IF("Ch_" &amp; home_land=TblConstr[[#Headers],[Ch_Hill]],TblConstr[[#This Row],[Home Land]])+IF(TblConstr[[#This Row],[Hour]:[Hour]]&gt;12,OFFSET(TblExplore[[#This Row],[Hill Explore]],-12,0),0)</f>
        <v>0</v>
      </c>
      <c r="CU14" s="192">
        <f ca="1">-SUM(TblConstr[[#This Row],[Tow]:[WG]])+SUM(TblConstr[[#This Row],[Dest Tow]:[Dest WG]]) +Rezone!P14 + IF("Ch_" &amp; home_land=TblConstr[[#Headers],[Ch_Swamp]],TblConstr[[#This Row],[Home Land]])+IF(TblConstr[[#This Row],[Hour]:[Hour]]&gt;12,OFFSET(TblExplore[[#This Row],[Swamp Explore]],-12,0),0)</f>
        <v>0</v>
      </c>
      <c r="CV14" s="193">
        <f ca="1" xml:space="preserve"> - SUM(TblConstr[[#This Row],[DM]:[Sch]])+SUM(TblConstr[[#This Row],[Dest DM]:[Dest Sch]]) +Rezone!Q14 + IF("Ch_" &amp; home_land=TblConstr[[#Headers],[Ch_Cavern]],TblConstr[[#This Row],[Home Land]])+IF(TblConstr[[#This Row],[Hour]:[Hour]]&gt;12,OFFSET(TblExplore[[#This Row],[Cavern Explore]],-12,0),0)</f>
        <v>0</v>
      </c>
      <c r="CW14" s="194">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50"/>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83">
        <f>TblRezone[[#This Row],[Hour]]</f>
        <v>12</v>
      </c>
      <c r="B15" s="184">
        <f ca="1">SUM(TblConstr[[#This Row],[Plain]:[Water]])</f>
        <v>160</v>
      </c>
      <c r="C15" s="185">
        <f ca="1">SUM(TblConstr[[#This Row],[Tot Hom]:[Tot Doc]])</f>
        <v>90</v>
      </c>
      <c r="D15" s="185">
        <f>SUM(O$4:AG15)</f>
        <v>0</v>
      </c>
      <c r="E15" s="186"/>
      <c r="F15" s="62">
        <f ca="1">TblConstr[[#This Row],[Barren]]+TblConstr[[#This Row],[Buildings]]+TblConstr[[#This Row],[Incoming]]</f>
        <v>250</v>
      </c>
      <c r="G15" s="195">
        <f ca="1">OFFSET(TblConstr[[#This Row],[Plain]],-1,0)+TblConstr[[#This Row],[Ch_Plain]]</f>
        <v>40</v>
      </c>
      <c r="H15" s="190">
        <f ca="1">OFFSET(TblConstr[[#This Row],[Forest]],-1,0)+TblConstr[[#This Row],[Ch_Forest]]</f>
        <v>20</v>
      </c>
      <c r="I15" s="390">
        <f ca="1">OFFSET(TblConstr[[#This Row],[Mountain]],-1,0)+TblConstr[[#This Row],[Ch_Mountain]]</f>
        <v>20</v>
      </c>
      <c r="J15" s="394">
        <f ca="1">OFFSET(TblConstr[[#This Row],[Hill]],-1,0)+TblConstr[[#This Row],[Ch_Hill]]</f>
        <v>20</v>
      </c>
      <c r="K15" s="398">
        <f ca="1">OFFSET(TblConstr[[#This Row],[Swamp]],-1,0)+TblConstr[[#This Row],[Ch_Swamp]]</f>
        <v>20</v>
      </c>
      <c r="L15" s="193">
        <f ca="1">OFFSET(TblConstr[[#This Row],[Cavern]],-1,0)+TblConstr[[#This Row],[Ch_Cavern]]</f>
        <v>20</v>
      </c>
      <c r="M15" s="194">
        <f ca="1">OFFSET(TblConstr[[#This Row],[Water]],-1,0)+TblConstr[[#This Row],[Ch_Water]]</f>
        <v>20</v>
      </c>
      <c r="N15" s="388">
        <f>TblRezone[[#This Row],[Hour]]</f>
        <v>12</v>
      </c>
      <c r="O15" s="187"/>
      <c r="P15" s="187"/>
      <c r="Q15" s="187"/>
      <c r="R15" s="187"/>
      <c r="S15" s="187"/>
      <c r="T15" s="187"/>
      <c r="U15" s="187"/>
      <c r="V15" s="187"/>
      <c r="W15" s="187"/>
      <c r="X15" s="187"/>
      <c r="Y15" s="187"/>
      <c r="Z15" s="187"/>
      <c r="AA15" s="187"/>
      <c r="AB15" s="187"/>
      <c r="AC15" s="187"/>
      <c r="AD15" s="187"/>
      <c r="AE15" s="187"/>
      <c r="AF15" s="187"/>
      <c r="AG15" s="187"/>
      <c r="AH15" s="53">
        <f ca="1">TblImps[[#This Row],[Time]]</f>
        <v>44811.208333333307</v>
      </c>
      <c r="AI15" s="188">
        <f ca="1">MIN(25%,(TblConstr[[#This Row],[Tot Fac]]+TblConstr[[#This Row],[Dest Fac]])/(TblConstr[[#This Row],[Land]]-TblExplore[[#This Row],[Land Bonus]]*20))</f>
        <v>0</v>
      </c>
      <c r="AJ15" s="188">
        <f ca="1">MIN(25%,(TblConstr[[#This Row],[Tot Fac]]+TblConstr[[#This Row],[Dest Fac]])/TblConstr[[#This Row],[Land]])</f>
        <v>0</v>
      </c>
      <c r="AK15" s="97">
        <f ca="1">TblProd[[#This Row],[Platinum]]</f>
        <v>157491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50"/>
      <c r="AV15" s="97">
        <f ca="1">ROUND((TblConstr[[#This Row],[Land]]-250 - IF(TblExplore[[#This Row],[Land Bonus]]&lt;&gt;0,20,0))*1.25 + 850 + 0,0)</f>
        <v>850</v>
      </c>
      <c r="AW15" s="97">
        <f ca="1">ROUND((TblConstr[[#This Row],[Land]]-250 - IF(TblExplore[[#This Row],[Land Bonus]]&lt;&gt;0,20,0))*0.285 + 87.5 + 0/4.25,0)</f>
        <v>88</v>
      </c>
      <c r="AX15" s="162"/>
      <c r="AY15" s="196" cm="1">
        <f t="array" aca="1" ref="AY15" ca="1">IF(TblConstr[[#This Row],[Hour]:[Hour]]&gt;12,OFFSET(TblConstr[[#This Row],[Hom]],-12,0),0)+OFFSET(TblConstr[[#This Row],[Tot Hom]],-1,0)-TblConstr[[#This Row],[Dest Hom]]</f>
        <v>10</v>
      </c>
      <c r="AZ15" s="197" cm="1">
        <f t="array" aca="1" ref="AZ15" ca="1">IF(TblConstr[[#This Row],[Hour]:[Hour]]&gt;12,OFFSET(TblConstr[[#This Row],[Alc]],-12,0),0)+OFFSET(TblConstr[[#This Row],[Tot Alc]],-1,0)-TblConstr[[#This Row],[Dest Alc]]</f>
        <v>30</v>
      </c>
      <c r="BA15" s="197" cm="1">
        <f t="array" aca="1" ref="BA15" ca="1">IF(TblConstr[[#This Row],[Hour]:[Hour]]&gt;12,OFFSET(TblConstr[[#This Row],[Far]],-12,0),0)+OFFSET(TblConstr[[#This Row],[Tot Farm]],-1,0)-TblConstr[[#This Row],[Dest Farm]]</f>
        <v>30</v>
      </c>
      <c r="BB15" s="197" cm="1">
        <f t="array" aca="1" ref="BB15" ca="1">IF(TblConstr[[#This Row],[Hour]:[Hour]]&gt;12,OFFSET(TblConstr[[#This Row],[Smi]],-12,0),0)+OFFSET(TblConstr[[#This Row],[Tot Smi]],-1,0)-TblConstr[[#This Row],[Dest Smi]]</f>
        <v>0</v>
      </c>
      <c r="BC15" s="197" cm="1">
        <f t="array" aca="1" ref="BC15" ca="1">IF(TblConstr[[#This Row],[Hour]:[Hour]]&gt;12,OFFSET(TblConstr[[#This Row],[Mas]],-12,0),0)+OFFSET(TblConstr[[#This Row],[Tot Mas]],-1,0)-TblConstr[[#This Row],[Dest Mas]]</f>
        <v>0</v>
      </c>
      <c r="BD15" s="198" cm="1">
        <f t="array" aca="1" ref="BD15" ca="1">IF(TblConstr[[#This Row],[Hour]:[Hour]]&gt;12,OFFSET(TblConstr[[#This Row],[Ly]],-12,0),0)+OFFSET(TblConstr[[#This Row],[Tot Ly]],-1,0)-TblConstr[[#This Row],[Dest Ly]]</f>
        <v>20</v>
      </c>
      <c r="BE15" s="198" cm="1">
        <f t="array" aca="1" ref="BE15" ca="1">IF(TblConstr[[#This Row],[Hour]:[Hour]]&gt;12,OFFSET(TblConstr[[#This Row],[Hav]],-12,0),0)+OFFSET(TblConstr[[#This Row],[Tot Hav]],-1,0)-TblConstr[[#This Row],[Dest Hav]]</f>
        <v>0</v>
      </c>
      <c r="BF15" s="392" cm="1">
        <f t="array" aca="1" ref="BF15" ca="1">IF(TblConstr[[#This Row],[Hour]:[Hour]]&gt;12,OFFSET(TblConstr[[#This Row],[OM]],-12,0),0)+OFFSET(TblConstr[[#This Row],[Tot OM]],-1,0)-TblConstr[[#This Row],[Dest OM]]</f>
        <v>0</v>
      </c>
      <c r="BG15" s="392" cm="1">
        <f t="array" aca="1" ref="BG15" ca="1">IF(TblConstr[[#This Row],[Hour]:[Hour]]&gt;12,OFFSET(TblConstr[[#This Row],[GN]],-12,0),0)+OFFSET(TblConstr[[#This Row],[Tot GN]],-1,0)-TblConstr[[#This Row],[Dest GN]]</f>
        <v>0</v>
      </c>
      <c r="BH15" s="396" cm="1">
        <f t="array" aca="1" ref="BH15" ca="1">IF(TblConstr[[#This Row],[Hour]:[Hour]]&gt;12,OFFSET(TblConstr[[#This Row],[Fac]],-12,0),0)+OFFSET(TblConstr[[#This Row],[Tot Fac]],-1,0)-TblConstr[[#This Row],[Dest Fac]]</f>
        <v>0</v>
      </c>
      <c r="BI15" s="396" cm="1">
        <f t="array" aca="1" ref="BI15" ca="1">IF(TblConstr[[#This Row],[Hour]:[Hour]]&gt;12,OFFSET(TblConstr[[#This Row],[GT]],-12,0),0)+OFFSET(TblConstr[[#This Row],[Tot GT]],-1,0)-TblConstr[[#This Row],[Dest GT]]</f>
        <v>0</v>
      </c>
      <c r="BJ15" s="396" cm="1">
        <f t="array" aca="1" ref="BJ15" ca="1">IF(TblConstr[[#This Row],[Hour]:[Hour]]&gt;12,OFFSET(TblConstr[[#This Row],[Bar]],-12,0),0)+OFFSET(TblConstr[[#This Row],[Tot Bar]],-1,0)-TblConstr[[#This Row],[Dest Bar]]</f>
        <v>0</v>
      </c>
      <c r="BK15" s="396" cm="1">
        <f t="array" aca="1" ref="BK15" ca="1">IF(TblConstr[[#This Row],[Hour]:[Hour]]&gt;12,OFFSET(TblConstr[[#This Row],[Shr]],-12,0),0)+OFFSET(TblConstr[[#This Row],[Tot Shr]],-1,0)-TblConstr[[#This Row],[Dest Shr]]</f>
        <v>0</v>
      </c>
      <c r="BL15" s="400" cm="1">
        <f t="array" aca="1" ref="BL15" ca="1">IF(TblConstr[[#This Row],[Hour]:[Hour]]&gt;12,OFFSET(TblConstr[[#This Row],[Tow]],-12,0),0)+OFFSET(TblConstr[[#This Row],[Tot Tow]],-1,0)-TblConstr[[#This Row],[Dest Tow]]</f>
        <v>0</v>
      </c>
      <c r="BM15" s="400" cm="1">
        <f t="array" aca="1" ref="BM15" ca="1">IF(TblConstr[[#This Row],[Hour]:[Hour]]&gt;12,OFFSET(TblConstr[[#This Row],[Tem]],-12,0),0)+OFFSET(TblConstr[[#This Row],[Tot Tem]],-1,0)-TblConstr[[#This Row],[Dest Tem]]</f>
        <v>0</v>
      </c>
      <c r="BN15" s="400" cm="1">
        <f t="array" aca="1" ref="BN15" ca="1">IF(TblConstr[[#This Row],[Hour]:[Hour]]&gt;12,OFFSET(TblConstr[[#This Row],[WG]],-12,0),0)+OFFSET(TblConstr[[#This Row],[Tot WG]],-1,0)-TblConstr[[#This Row],[Dest WG]]</f>
        <v>0</v>
      </c>
      <c r="BO15" s="199" cm="1">
        <f t="array" aca="1" ref="BO15" ca="1">IF(TblConstr[[#This Row],[Hour]:[Hour]]&gt;12,OFFSET(TblConstr[[#This Row],[DM]],-12,0),0)+OFFSET(TblConstr[[#This Row],[Tot DM]],-1,0)-TblConstr[[#This Row],[Dest DM]]</f>
        <v>0</v>
      </c>
      <c r="BP15" s="199" cm="1">
        <f t="array" aca="1" ref="BP15" ca="1">IF(TblConstr[[#This Row],[Hour]:[Hour]]&gt;12,OFFSET(TblConstr[[#This Row],[Sch]],-12,0),0)+OFFSET(TblConstr[[#This Row],[Tot Sch]],-1,0)-TblConstr[[#This Row],[Dest Sch]]</f>
        <v>0</v>
      </c>
      <c r="BQ15" s="200" cm="1">
        <f t="array" aca="1" ref="BQ15" ca="1">IF(TblConstr[[#This Row],[Hour]:[Hour]]&gt;12,OFFSET(TblConstr[[#This Row],[Doc]],-12,0),0)+OFFSET(TblConstr[[#This Row],[Tot Doc]],-1,0)-TblConstr[[#This Row],[Dest Doc]]</f>
        <v>0</v>
      </c>
      <c r="BR15" s="150"/>
      <c r="BS15" s="162"/>
      <c r="BT15" s="97">
        <f ca="1">TblConstr[[#This Row],[Land]]</f>
        <v>250</v>
      </c>
      <c r="BU15" s="167">
        <f ca="1">TblImps[[#This Row],[Time]]</f>
        <v>44811.208333333307</v>
      </c>
      <c r="BV15" s="150"/>
      <c r="BW15" s="187"/>
      <c r="BX15" s="187"/>
      <c r="BY15" s="187"/>
      <c r="BZ15" s="187"/>
      <c r="CA15" s="187"/>
      <c r="CB15" s="187"/>
      <c r="CC15" s="187"/>
      <c r="CD15" s="187"/>
      <c r="CE15" s="187"/>
      <c r="CF15" s="187"/>
      <c r="CG15" s="187"/>
      <c r="CH15" s="187"/>
      <c r="CI15" s="187"/>
      <c r="CJ15" s="187"/>
      <c r="CK15" s="187"/>
      <c r="CL15" s="187"/>
      <c r="CM15" s="187"/>
      <c r="CN15" s="187"/>
      <c r="CO15" s="187"/>
      <c r="CP15" s="150"/>
      <c r="CQ15" s="189">
        <f ca="1">-SUM(TblConstr[[#This Row],[Alc]:[Mas]])+SUM(TblConstr[[#This Row],[Dest Alc]:[Dest Mas]])+Rezone!L15+IF("Ch_"&amp; home_land=TblConstr[[#Headers],[Ch_Plain]],TblConstr[[#This Row],[Home Land]])+IF(TblConstr[[#This Row],[Hour]:[Hour]]&gt;12,OFFSET(TblExplore[[#This Row],[Plains Explore]],-12,0),0)</f>
        <v>0</v>
      </c>
      <c r="CR15" s="190">
        <f ca="1">-SUM(TblConstr[[#This Row],[Ly]:[Hav]])+SUM(TblConstr[[#This Row],[Dest Ly]:[Dest Hav]]) +Rezone!M15 + IF("Ch_"&amp; home_land=TblConstr[[#Headers],[Ch_Forest]],TblConstr[[#This Row],[Home Land]])+IF(TblConstr[[#This Row],[Hour]:[Hour]]&gt;12,OFFSET(TblExplore[[#This Row],[Forest Explore]],-12,0),0)</f>
        <v>0</v>
      </c>
      <c r="CS15" s="390">
        <f ca="1">-SUM(TblConstr[[#This Row],[OM]:[GN]])+SUM(TblConstr[[#This Row],[Dest OM]:[Dest GN]]) +Rezone!N15 + IF("Ch_"&amp; home_land=TblConstr[[#Headers],[Ch_Mountain]],TblConstr[[#This Row],[Home Land]])+IF(TblConstr[[#This Row],[Hour]:[Hour]]&gt;12,OFFSET(TblExplore[[#This Row],[Mountain Explore]],-12,0),0)</f>
        <v>0</v>
      </c>
      <c r="CT15" s="191">
        <f ca="1">-SUM(TblConstr[[#This Row],[Fac]:[Shr]])+SUM(TblConstr[[#This Row],[Dest Fac]:[Dest Shr]]) +Rezone!O15 + IF("Ch_" &amp; home_land=TblConstr[[#Headers],[Ch_Hill]],TblConstr[[#This Row],[Home Land]])+IF(TblConstr[[#This Row],[Hour]:[Hour]]&gt;12,OFFSET(TblExplore[[#This Row],[Hill Explore]],-12,0),0)</f>
        <v>0</v>
      </c>
      <c r="CU15" s="192">
        <f ca="1">-SUM(TblConstr[[#This Row],[Tow]:[WG]])+SUM(TblConstr[[#This Row],[Dest Tow]:[Dest WG]]) +Rezone!P15 + IF("Ch_" &amp; home_land=TblConstr[[#Headers],[Ch_Swamp]],TblConstr[[#This Row],[Home Land]])+IF(TblConstr[[#This Row],[Hour]:[Hour]]&gt;12,OFFSET(TblExplore[[#This Row],[Swamp Explore]],-12,0),0)</f>
        <v>0</v>
      </c>
      <c r="CV15" s="193">
        <f ca="1" xml:space="preserve"> - SUM(TblConstr[[#This Row],[DM]:[Sch]])+SUM(TblConstr[[#This Row],[Dest DM]:[Dest Sch]]) +Rezone!Q15 + IF("Ch_" &amp; home_land=TblConstr[[#Headers],[Ch_Cavern]],TblConstr[[#This Row],[Home Land]])+IF(TblConstr[[#This Row],[Hour]:[Hour]]&gt;12,OFFSET(TblExplore[[#This Row],[Cavern Explore]],-12,0),0)</f>
        <v>0</v>
      </c>
      <c r="CW15" s="194">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50"/>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83">
        <f>TblRezone[[#This Row],[Hour]]</f>
        <v>13</v>
      </c>
      <c r="B16" s="184">
        <f ca="1">SUM(TblConstr[[#This Row],[Plain]:[Water]])</f>
        <v>160</v>
      </c>
      <c r="C16" s="185">
        <f ca="1">SUM(TblConstr[[#This Row],[Tot Hom]:[Tot Doc]])</f>
        <v>90</v>
      </c>
      <c r="D16" s="185">
        <f t="shared" ref="D16:D46" si="2">SUM(O5:AG16)</f>
        <v>0</v>
      </c>
      <c r="E16" s="186"/>
      <c r="F16" s="62">
        <f ca="1">TblConstr[[#This Row],[Barren]]+TblConstr[[#This Row],[Buildings]]+TblConstr[[#This Row],[Incoming]]</f>
        <v>250</v>
      </c>
      <c r="G16" s="195">
        <f ca="1">OFFSET(TblConstr[[#This Row],[Plain]],-1,0)+TblConstr[[#This Row],[Ch_Plain]]</f>
        <v>40</v>
      </c>
      <c r="H16" s="190">
        <f ca="1">OFFSET(TblConstr[[#This Row],[Forest]],-1,0)+TblConstr[[#This Row],[Ch_Forest]]</f>
        <v>20</v>
      </c>
      <c r="I16" s="390">
        <f ca="1">OFFSET(TblConstr[[#This Row],[Mountain]],-1,0)+TblConstr[[#This Row],[Ch_Mountain]]</f>
        <v>20</v>
      </c>
      <c r="J16" s="394">
        <f ca="1">OFFSET(TblConstr[[#This Row],[Hill]],-1,0)+TblConstr[[#This Row],[Ch_Hill]]</f>
        <v>20</v>
      </c>
      <c r="K16" s="398">
        <f ca="1">OFFSET(TblConstr[[#This Row],[Swamp]],-1,0)+TblConstr[[#This Row],[Ch_Swamp]]</f>
        <v>20</v>
      </c>
      <c r="L16" s="193">
        <f ca="1">OFFSET(TblConstr[[#This Row],[Cavern]],-1,0)+TblConstr[[#This Row],[Ch_Cavern]]</f>
        <v>20</v>
      </c>
      <c r="M16" s="194">
        <f ca="1">OFFSET(TblConstr[[#This Row],[Water]],-1,0)+TblConstr[[#This Row],[Ch_Water]]</f>
        <v>20</v>
      </c>
      <c r="N16" s="388">
        <f>TblRezone[[#This Row],[Hour]]</f>
        <v>13</v>
      </c>
      <c r="O16" s="187"/>
      <c r="P16" s="166"/>
      <c r="Q16" s="187"/>
      <c r="R16" s="187"/>
      <c r="S16" s="187"/>
      <c r="T16" s="187"/>
      <c r="U16" s="187"/>
      <c r="V16" s="166"/>
      <c r="W16" s="187"/>
      <c r="X16" s="166"/>
      <c r="Y16" s="187"/>
      <c r="Z16" s="187"/>
      <c r="AA16" s="187"/>
      <c r="AB16" s="187"/>
      <c r="AC16" s="187"/>
      <c r="AD16" s="187"/>
      <c r="AE16" s="187"/>
      <c r="AF16" s="187"/>
      <c r="AG16" s="166"/>
      <c r="AH16" s="53">
        <f ca="1">TblImps[[#This Row],[Time]]</f>
        <v>44811.249999999971</v>
      </c>
      <c r="AI16" s="188">
        <f ca="1">MIN(25%,(TblConstr[[#This Row],[Tot Fac]]+TblConstr[[#This Row],[Dest Fac]])/(TblConstr[[#This Row],[Land]]-TblExplore[[#This Row],[Land Bonus]]*20))</f>
        <v>0</v>
      </c>
      <c r="AJ16" s="188">
        <f ca="1">MIN(25%,(TblConstr[[#This Row],[Tot Fac]]+TblConstr[[#This Row],[Dest Fac]])/TblConstr[[#This Row],[Land]])</f>
        <v>0</v>
      </c>
      <c r="AK16" s="97">
        <f ca="1">TblProd[[#This Row],[Platinum]]</f>
        <v>163161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50"/>
      <c r="AV16" s="97">
        <f ca="1">ROUND((TblConstr[[#This Row],[Land]]-250 - IF(TblExplore[[#This Row],[Land Bonus]]&lt;&gt;0,20,0))*1.25 + 850 + 0,0)</f>
        <v>850</v>
      </c>
      <c r="AW16" s="97">
        <f ca="1">ROUND((TblConstr[[#This Row],[Land]]-250 - IF(TblExplore[[#This Row],[Land Bonus]]&lt;&gt;0,20,0))*0.285 + 87.5 + 0/4.25,0)</f>
        <v>88</v>
      </c>
      <c r="AX16" s="162"/>
      <c r="AY16" s="196" cm="1">
        <f t="array" aca="1" ref="AY16" ca="1">IF(TblConstr[[#This Row],[Hour]:[Hour]]&gt;12,OFFSET(TblConstr[[#This Row],[Hom]],-12,0),0)+OFFSET(TblConstr[[#This Row],[Tot Hom]],-1,0)-TblConstr[[#This Row],[Dest Hom]]</f>
        <v>10</v>
      </c>
      <c r="AZ16" s="197">
        <f ca="1">IF(TblConstr[[#This Row],[Hour]:[Hour]]&gt;12,OFFSET(TblConstr[[#This Row],[Alc]],-12,0),0)+OFFSET(TblConstr[[#This Row],[Tot Alc]],-1,0)-TblConstr[[#This Row],[Dest Alc]]</f>
        <v>30</v>
      </c>
      <c r="BA16" s="197" cm="1">
        <f t="array" aca="1" ref="BA16" ca="1">IF(TblConstr[[#This Row],[Hour]:[Hour]]&gt;12,OFFSET(TblConstr[[#This Row],[Far]],-12,0),0)+OFFSET(TblConstr[[#This Row],[Tot Farm]],-1,0)-TblConstr[[#This Row],[Dest Farm]]</f>
        <v>30</v>
      </c>
      <c r="BB16" s="197" cm="1">
        <f t="array" aca="1" ref="BB16" ca="1">IF(TblConstr[[#This Row],[Hour]:[Hour]]&gt;12,OFFSET(TblConstr[[#This Row],[Smi]],-12,0),0)+OFFSET(TblConstr[[#This Row],[Tot Smi]],-1,0)-TblConstr[[#This Row],[Dest Smi]]</f>
        <v>0</v>
      </c>
      <c r="BC16" s="197" cm="1">
        <f t="array" aca="1" ref="BC16" ca="1">IF(TblConstr[[#This Row],[Hour]:[Hour]]&gt;12,OFFSET(TblConstr[[#This Row],[Mas]],-12,0),0)+OFFSET(TblConstr[[#This Row],[Tot Mas]],-1,0)-TblConstr[[#This Row],[Dest Mas]]</f>
        <v>0</v>
      </c>
      <c r="BD16" s="198" cm="1">
        <f t="array" aca="1" ref="BD16" ca="1">IF(TblConstr[[#This Row],[Hour]:[Hour]]&gt;12,OFFSET(TblConstr[[#This Row],[Ly]],-12,0),0)+OFFSET(TblConstr[[#This Row],[Tot Ly]],-1,0)-TblConstr[[#This Row],[Dest Ly]]</f>
        <v>20</v>
      </c>
      <c r="BE16" s="198" cm="1">
        <f t="array" aca="1" ref="BE16" ca="1">IF(TblConstr[[#This Row],[Hour]:[Hour]]&gt;12,OFFSET(TblConstr[[#This Row],[Hav]],-12,0),0)+OFFSET(TblConstr[[#This Row],[Tot Hav]],-1,0)-TblConstr[[#This Row],[Dest Hav]]</f>
        <v>0</v>
      </c>
      <c r="BF16" s="392" cm="1">
        <f t="array" aca="1" ref="BF16" ca="1">IF(TblConstr[[#This Row],[Hour]:[Hour]]&gt;12,OFFSET(TblConstr[[#This Row],[OM]],-12,0),0)+OFFSET(TblConstr[[#This Row],[Tot OM]],-1,0)-TblConstr[[#This Row],[Dest OM]]</f>
        <v>0</v>
      </c>
      <c r="BG16" s="392" cm="1">
        <f t="array" aca="1" ref="BG16" ca="1">IF(TblConstr[[#This Row],[Hour]:[Hour]]&gt;12,OFFSET(TblConstr[[#This Row],[GN]],-12,0),0)+OFFSET(TblConstr[[#This Row],[Tot GN]],-1,0)-TblConstr[[#This Row],[Dest GN]]</f>
        <v>0</v>
      </c>
      <c r="BH16" s="396" cm="1">
        <f t="array" aca="1" ref="BH16" ca="1">IF(TblConstr[[#This Row],[Hour]:[Hour]]&gt;12,OFFSET(TblConstr[[#This Row],[Fac]],-12,0),0)+OFFSET(TblConstr[[#This Row],[Tot Fac]],-1,0)-TblConstr[[#This Row],[Dest Fac]]</f>
        <v>0</v>
      </c>
      <c r="BI16" s="396" cm="1">
        <f t="array" aca="1" ref="BI16" ca="1">IF(TblConstr[[#This Row],[Hour]:[Hour]]&gt;12,OFFSET(TblConstr[[#This Row],[GT]],-12,0),0)+OFFSET(TblConstr[[#This Row],[Tot GT]],-1,0)-TblConstr[[#This Row],[Dest GT]]</f>
        <v>0</v>
      </c>
      <c r="BJ16" s="396" cm="1">
        <f t="array" aca="1" ref="BJ16" ca="1">IF(TblConstr[[#This Row],[Hour]:[Hour]]&gt;12,OFFSET(TblConstr[[#This Row],[Bar]],-12,0),0)+OFFSET(TblConstr[[#This Row],[Tot Bar]],-1,0)-TblConstr[[#This Row],[Dest Bar]]</f>
        <v>0</v>
      </c>
      <c r="BK16" s="396" cm="1">
        <f t="array" aca="1" ref="BK16" ca="1">IF(TblConstr[[#This Row],[Hour]:[Hour]]&gt;12,OFFSET(TblConstr[[#This Row],[Shr]],-12,0),0)+OFFSET(TblConstr[[#This Row],[Tot Shr]],-1,0)-TblConstr[[#This Row],[Dest Shr]]</f>
        <v>0</v>
      </c>
      <c r="BL16" s="400" cm="1">
        <f t="array" aca="1" ref="BL16" ca="1">IF(TblConstr[[#This Row],[Hour]:[Hour]]&gt;12,OFFSET(TblConstr[[#This Row],[Tow]],-12,0),0)+OFFSET(TblConstr[[#This Row],[Tot Tow]],-1,0)-TblConstr[[#This Row],[Dest Tow]]</f>
        <v>0</v>
      </c>
      <c r="BM16" s="400" cm="1">
        <f t="array" aca="1" ref="BM16" ca="1">IF(TblConstr[[#This Row],[Hour]:[Hour]]&gt;12,OFFSET(TblConstr[[#This Row],[Tem]],-12,0),0)+OFFSET(TblConstr[[#This Row],[Tot Tem]],-1,0)-TblConstr[[#This Row],[Dest Tem]]</f>
        <v>0</v>
      </c>
      <c r="BN16" s="400" cm="1">
        <f t="array" aca="1" ref="BN16" ca="1">IF(TblConstr[[#This Row],[Hour]:[Hour]]&gt;12,OFFSET(TblConstr[[#This Row],[WG]],-12,0),0)+OFFSET(TblConstr[[#This Row],[Tot WG]],-1,0)-TblConstr[[#This Row],[Dest WG]]</f>
        <v>0</v>
      </c>
      <c r="BO16" s="199" cm="1">
        <f t="array" aca="1" ref="BO16" ca="1">IF(TblConstr[[#This Row],[Hour]:[Hour]]&gt;12,OFFSET(TblConstr[[#This Row],[DM]],-12,0),0)+OFFSET(TblConstr[[#This Row],[Tot DM]],-1,0)-TblConstr[[#This Row],[Dest DM]]</f>
        <v>0</v>
      </c>
      <c r="BP16" s="199" cm="1">
        <f t="array" aca="1" ref="BP16" ca="1">IF(TblConstr[[#This Row],[Hour]:[Hour]]&gt;12,OFFSET(TblConstr[[#This Row],[Sch]],-12,0),0)+OFFSET(TblConstr[[#This Row],[Tot Sch]],-1,0)-TblConstr[[#This Row],[Dest Sch]]</f>
        <v>0</v>
      </c>
      <c r="BQ16" s="200" cm="1">
        <f t="array" aca="1" ref="BQ16" ca="1">IF(TblConstr[[#This Row],[Hour]:[Hour]]&gt;12,OFFSET(TblConstr[[#This Row],[Doc]],-12,0),0)+OFFSET(TblConstr[[#This Row],[Tot Doc]],-1,0)-TblConstr[[#This Row],[Dest Doc]]</f>
        <v>0</v>
      </c>
      <c r="BR16" s="150"/>
      <c r="BS16" s="162"/>
      <c r="BT16" s="97">
        <f ca="1">TblConstr[[#This Row],[Land]]</f>
        <v>250</v>
      </c>
      <c r="BU16" s="167">
        <f ca="1">TblImps[[#This Row],[Time]]</f>
        <v>44811.249999999971</v>
      </c>
      <c r="BV16" s="150"/>
      <c r="BW16" s="187"/>
      <c r="BX16" s="187"/>
      <c r="BY16" s="166"/>
      <c r="BZ16" s="187"/>
      <c r="CA16" s="187"/>
      <c r="CB16" s="187"/>
      <c r="CC16" s="187"/>
      <c r="CD16" s="187"/>
      <c r="CE16" s="187"/>
      <c r="CF16" s="187"/>
      <c r="CG16" s="187"/>
      <c r="CH16" s="187"/>
      <c r="CI16" s="187"/>
      <c r="CJ16" s="187"/>
      <c r="CK16" s="187"/>
      <c r="CL16" s="187"/>
      <c r="CM16" s="187"/>
      <c r="CN16" s="187"/>
      <c r="CO16" s="187"/>
      <c r="CP16" s="150"/>
      <c r="CQ16" s="189">
        <f ca="1">-SUM(TblConstr[[#This Row],[Alc]:[Mas]])+SUM(TblConstr[[#This Row],[Dest Alc]:[Dest Mas]])+Rezone!L16+IF("Ch_"&amp; home_land=TblConstr[[#Headers],[Ch_Plain]],TblConstr[[#This Row],[Home Land]])+IF(TblConstr[[#This Row],[Hour]:[Hour]]&gt;12,OFFSET(TblExplore[[#This Row],[Plains Explore]],-12,0),0)</f>
        <v>0</v>
      </c>
      <c r="CR16" s="190">
        <f ca="1">-SUM(TblConstr[[#This Row],[Ly]:[Hav]])+SUM(TblConstr[[#This Row],[Dest Ly]:[Dest Hav]]) +Rezone!M16 + IF("Ch_"&amp; home_land=TblConstr[[#Headers],[Ch_Forest]],TblConstr[[#This Row],[Home Land]])+IF(TblConstr[[#This Row],[Hour]:[Hour]]&gt;12,OFFSET(TblExplore[[#This Row],[Forest Explore]],-12,0),0)</f>
        <v>0</v>
      </c>
      <c r="CS16" s="390">
        <f ca="1">-SUM(TblConstr[[#This Row],[OM]:[GN]])+SUM(TblConstr[[#This Row],[Dest OM]:[Dest GN]]) +Rezone!N16 + IF("Ch_"&amp; home_land=TblConstr[[#Headers],[Ch_Mountain]],TblConstr[[#This Row],[Home Land]])+IF(TblConstr[[#This Row],[Hour]:[Hour]]&gt;12,OFFSET(TblExplore[[#This Row],[Mountain Explore]],-12,0),0)</f>
        <v>0</v>
      </c>
      <c r="CT16" s="191">
        <f ca="1">-SUM(TblConstr[[#This Row],[Fac]:[Shr]])+SUM(TblConstr[[#This Row],[Dest Fac]:[Dest Shr]]) +Rezone!O16 + IF("Ch_" &amp; home_land=TblConstr[[#Headers],[Ch_Hill]],TblConstr[[#This Row],[Home Land]])+IF(TblConstr[[#This Row],[Hour]:[Hour]]&gt;12,OFFSET(TblExplore[[#This Row],[Hill Explore]],-12,0),0)</f>
        <v>0</v>
      </c>
      <c r="CU16" s="192">
        <f ca="1">-SUM(TblConstr[[#This Row],[Tow]:[WG]])+SUM(TblConstr[[#This Row],[Dest Tow]:[Dest WG]]) +Rezone!P16 + IF("Ch_" &amp; home_land=TblConstr[[#Headers],[Ch_Swamp]],TblConstr[[#This Row],[Home Land]])+IF(TblConstr[[#This Row],[Hour]:[Hour]]&gt;12,OFFSET(TblExplore[[#This Row],[Swamp Explore]],-12,0),0)</f>
        <v>0</v>
      </c>
      <c r="CV16" s="193">
        <f ca="1" xml:space="preserve"> - SUM(TblConstr[[#This Row],[DM]:[Sch]])+SUM(TblConstr[[#This Row],[Dest DM]:[Dest Sch]]) +Rezone!Q16 + IF("Ch_" &amp; home_land=TblConstr[[#Headers],[Ch_Cavern]],TblConstr[[#This Row],[Home Land]])+IF(TblConstr[[#This Row],[Hour]:[Hour]]&gt;12,OFFSET(TblExplore[[#This Row],[Cavern Explore]],-12,0),0)</f>
        <v>0</v>
      </c>
      <c r="CW16" s="194">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50"/>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83">
        <f>TblRezone[[#This Row],[Hour]]</f>
        <v>14</v>
      </c>
      <c r="B17" s="184">
        <f ca="1">SUM(TblConstr[[#This Row],[Plain]:[Water]])</f>
        <v>160</v>
      </c>
      <c r="C17" s="185">
        <f ca="1">SUM(TblConstr[[#This Row],[Tot Hom]:[Tot Doc]])</f>
        <v>90</v>
      </c>
      <c r="D17" s="185">
        <f t="shared" si="2"/>
        <v>0</v>
      </c>
      <c r="E17" s="186"/>
      <c r="F17" s="62">
        <f ca="1">TblConstr[[#This Row],[Barren]]+TblConstr[[#This Row],[Buildings]]+TblConstr[[#This Row],[Incoming]]</f>
        <v>250</v>
      </c>
      <c r="G17" s="195">
        <f ca="1">OFFSET(TblConstr[[#This Row],[Plain]],-1,0)+TblConstr[[#This Row],[Ch_Plain]]</f>
        <v>40</v>
      </c>
      <c r="H17" s="190">
        <f ca="1">OFFSET(TblConstr[[#This Row],[Forest]],-1,0)+TblConstr[[#This Row],[Ch_Forest]]</f>
        <v>20</v>
      </c>
      <c r="I17" s="390">
        <f ca="1">OFFSET(TblConstr[[#This Row],[Mountain]],-1,0)+TblConstr[[#This Row],[Ch_Mountain]]</f>
        <v>20</v>
      </c>
      <c r="J17" s="394">
        <f ca="1">OFFSET(TblConstr[[#This Row],[Hill]],-1,0)+TblConstr[[#This Row],[Ch_Hill]]</f>
        <v>20</v>
      </c>
      <c r="K17" s="398">
        <f ca="1">OFFSET(TblConstr[[#This Row],[Swamp]],-1,0)+TblConstr[[#This Row],[Ch_Swamp]]</f>
        <v>20</v>
      </c>
      <c r="L17" s="193">
        <f ca="1">OFFSET(TblConstr[[#This Row],[Cavern]],-1,0)+TblConstr[[#This Row],[Ch_Cavern]]</f>
        <v>20</v>
      </c>
      <c r="M17" s="194">
        <f ca="1">OFFSET(TblConstr[[#This Row],[Water]],-1,0)+TblConstr[[#This Row],[Ch_Water]]</f>
        <v>20</v>
      </c>
      <c r="N17" s="388">
        <f>TblRezone[[#This Row],[Hour]]</f>
        <v>14</v>
      </c>
      <c r="O17" s="187"/>
      <c r="P17" s="187"/>
      <c r="Q17" s="187"/>
      <c r="R17" s="187"/>
      <c r="S17" s="187"/>
      <c r="T17" s="187"/>
      <c r="U17" s="187"/>
      <c r="V17" s="187"/>
      <c r="W17" s="187"/>
      <c r="X17" s="166"/>
      <c r="Y17" s="187"/>
      <c r="Z17" s="187"/>
      <c r="AA17" s="187"/>
      <c r="AB17" s="187"/>
      <c r="AC17" s="187"/>
      <c r="AD17" s="187"/>
      <c r="AE17" s="187"/>
      <c r="AF17" s="187"/>
      <c r="AG17" s="187"/>
      <c r="AH17" s="53">
        <f ca="1">TblImps[[#This Row],[Time]]</f>
        <v>44811.291666666635</v>
      </c>
      <c r="AI17" s="188">
        <f ca="1">MIN(25%,(TblConstr[[#This Row],[Tot Fac]]+TblConstr[[#This Row],[Dest Fac]])/(TblConstr[[#This Row],[Land]]-TblExplore[[#This Row],[Land Bonus]]*20))</f>
        <v>0</v>
      </c>
      <c r="AJ17" s="188">
        <f ca="1">MIN(25%,(TblConstr[[#This Row],[Tot Fac]]+TblConstr[[#This Row],[Dest Fac]])/TblConstr[[#This Row],[Land]])</f>
        <v>0</v>
      </c>
      <c r="AK17" s="97">
        <f ca="1">TblProd[[#This Row],[Platinum]]</f>
        <v>168831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62"/>
      <c r="AV17" s="97">
        <f ca="1">ROUND((TblConstr[[#This Row],[Land]]-250 - IF(TblExplore[[#This Row],[Land Bonus]]&lt;&gt;0,20,0))*1.25 + 850 + 0,0)</f>
        <v>850</v>
      </c>
      <c r="AW17" s="97">
        <f ca="1">ROUND((TblConstr[[#This Row],[Land]]-250 - IF(TblExplore[[#This Row],[Land Bonus]]&lt;&gt;0,20,0))*0.285 + 87.5 + 0/4.25,0)</f>
        <v>88</v>
      </c>
      <c r="AX17" s="162"/>
      <c r="AY17" s="196" cm="1">
        <f t="array" aca="1" ref="AY17" ca="1">IF(TblConstr[[#This Row],[Hour]:[Hour]]&gt;12,OFFSET(TblConstr[[#This Row],[Hom]],-12,0),0)+OFFSET(TblConstr[[#This Row],[Tot Hom]],-1,0)-TblConstr[[#This Row],[Dest Hom]]</f>
        <v>10</v>
      </c>
      <c r="AZ17" s="197" cm="1">
        <f t="array" aca="1" ref="AZ17" ca="1">IF(TblConstr[[#This Row],[Hour]:[Hour]]&gt;12,OFFSET(TblConstr[[#This Row],[Alc]],-12,0),0)+OFFSET(TblConstr[[#This Row],[Tot Alc]],-1,0)-TblConstr[[#This Row],[Dest Alc]]</f>
        <v>30</v>
      </c>
      <c r="BA17" s="197" cm="1">
        <f t="array" aca="1" ref="BA17" ca="1">IF(TblConstr[[#This Row],[Hour]:[Hour]]&gt;12,OFFSET(TblConstr[[#This Row],[Far]],-12,0),0)+OFFSET(TblConstr[[#This Row],[Tot Farm]],-1,0)-TblConstr[[#This Row],[Dest Farm]]</f>
        <v>30</v>
      </c>
      <c r="BB17" s="197" cm="1">
        <f t="array" aca="1" ref="BB17" ca="1">IF(TblConstr[[#This Row],[Hour]:[Hour]]&gt;12,OFFSET(TblConstr[[#This Row],[Smi]],-12,0),0)+OFFSET(TblConstr[[#This Row],[Tot Smi]],-1,0)-TblConstr[[#This Row],[Dest Smi]]</f>
        <v>0</v>
      </c>
      <c r="BC17" s="197" cm="1">
        <f t="array" aca="1" ref="BC17" ca="1">IF(TblConstr[[#This Row],[Hour]:[Hour]]&gt;12,OFFSET(TblConstr[[#This Row],[Mas]],-12,0),0)+OFFSET(TblConstr[[#This Row],[Tot Mas]],-1,0)-TblConstr[[#This Row],[Dest Mas]]</f>
        <v>0</v>
      </c>
      <c r="BD17" s="198" cm="1">
        <f t="array" aca="1" ref="BD17" ca="1">IF(TblConstr[[#This Row],[Hour]:[Hour]]&gt;12,OFFSET(TblConstr[[#This Row],[Ly]],-12,0),0)+OFFSET(TblConstr[[#This Row],[Tot Ly]],-1,0)-TblConstr[[#This Row],[Dest Ly]]</f>
        <v>20</v>
      </c>
      <c r="BE17" s="198" cm="1">
        <f t="array" aca="1" ref="BE17" ca="1">IF(TblConstr[[#This Row],[Hour]:[Hour]]&gt;12,OFFSET(TblConstr[[#This Row],[Hav]],-12,0),0)+OFFSET(TblConstr[[#This Row],[Tot Hav]],-1,0)-TblConstr[[#This Row],[Dest Hav]]</f>
        <v>0</v>
      </c>
      <c r="BF17" s="392" cm="1">
        <f t="array" aca="1" ref="BF17" ca="1">IF(TblConstr[[#This Row],[Hour]:[Hour]]&gt;12,OFFSET(TblConstr[[#This Row],[OM]],-12,0),0)+OFFSET(TblConstr[[#This Row],[Tot OM]],-1,0)-TblConstr[[#This Row],[Dest OM]]</f>
        <v>0</v>
      </c>
      <c r="BG17" s="392" cm="1">
        <f t="array" aca="1" ref="BG17" ca="1">IF(TblConstr[[#This Row],[Hour]:[Hour]]&gt;12,OFFSET(TblConstr[[#This Row],[GN]],-12,0),0)+OFFSET(TblConstr[[#This Row],[Tot GN]],-1,0)-TblConstr[[#This Row],[Dest GN]]</f>
        <v>0</v>
      </c>
      <c r="BH17" s="396" cm="1">
        <f t="array" aca="1" ref="BH17" ca="1">IF(TblConstr[[#This Row],[Hour]:[Hour]]&gt;12,OFFSET(TblConstr[[#This Row],[Fac]],-12,0),0)+OFFSET(TblConstr[[#This Row],[Tot Fac]],-1,0)-TblConstr[[#This Row],[Dest Fac]]</f>
        <v>0</v>
      </c>
      <c r="BI17" s="396" cm="1">
        <f t="array" aca="1" ref="BI17" ca="1">IF(TblConstr[[#This Row],[Hour]:[Hour]]&gt;12,OFFSET(TblConstr[[#This Row],[GT]],-12,0),0)+OFFSET(TblConstr[[#This Row],[Tot GT]],-1,0)-TblConstr[[#This Row],[Dest GT]]</f>
        <v>0</v>
      </c>
      <c r="BJ17" s="396" cm="1">
        <f t="array" aca="1" ref="BJ17" ca="1">IF(TblConstr[[#This Row],[Hour]:[Hour]]&gt;12,OFFSET(TblConstr[[#This Row],[Bar]],-12,0),0)+OFFSET(TblConstr[[#This Row],[Tot Bar]],-1,0)-TblConstr[[#This Row],[Dest Bar]]</f>
        <v>0</v>
      </c>
      <c r="BK17" s="396" cm="1">
        <f t="array" aca="1" ref="BK17" ca="1">IF(TblConstr[[#This Row],[Hour]:[Hour]]&gt;12,OFFSET(TblConstr[[#This Row],[Shr]],-12,0),0)+OFFSET(TblConstr[[#This Row],[Tot Shr]],-1,0)-TblConstr[[#This Row],[Dest Shr]]</f>
        <v>0</v>
      </c>
      <c r="BL17" s="400" cm="1">
        <f t="array" aca="1" ref="BL17" ca="1">IF(TblConstr[[#This Row],[Hour]:[Hour]]&gt;12,OFFSET(TblConstr[[#This Row],[Tow]],-12,0),0)+OFFSET(TblConstr[[#This Row],[Tot Tow]],-1,0)-TblConstr[[#This Row],[Dest Tow]]</f>
        <v>0</v>
      </c>
      <c r="BM17" s="400" cm="1">
        <f t="array" aca="1" ref="BM17" ca="1">IF(TblConstr[[#This Row],[Hour]:[Hour]]&gt;12,OFFSET(TblConstr[[#This Row],[Tem]],-12,0),0)+OFFSET(TblConstr[[#This Row],[Tot Tem]],-1,0)-TblConstr[[#This Row],[Dest Tem]]</f>
        <v>0</v>
      </c>
      <c r="BN17" s="400" cm="1">
        <f t="array" aca="1" ref="BN17" ca="1">IF(TblConstr[[#This Row],[Hour]:[Hour]]&gt;12,OFFSET(TblConstr[[#This Row],[WG]],-12,0),0)+OFFSET(TblConstr[[#This Row],[Tot WG]],-1,0)-TblConstr[[#This Row],[Dest WG]]</f>
        <v>0</v>
      </c>
      <c r="BO17" s="199" cm="1">
        <f t="array" aca="1" ref="BO17" ca="1">IF(TblConstr[[#This Row],[Hour]:[Hour]]&gt;12,OFFSET(TblConstr[[#This Row],[DM]],-12,0),0)+OFFSET(TblConstr[[#This Row],[Tot DM]],-1,0)-TblConstr[[#This Row],[Dest DM]]</f>
        <v>0</v>
      </c>
      <c r="BP17" s="199" cm="1">
        <f t="array" aca="1" ref="BP17" ca="1">IF(TblConstr[[#This Row],[Hour]:[Hour]]&gt;12,OFFSET(TblConstr[[#This Row],[Sch]],-12,0),0)+OFFSET(TblConstr[[#This Row],[Tot Sch]],-1,0)-TblConstr[[#This Row],[Dest Sch]]</f>
        <v>0</v>
      </c>
      <c r="BQ17" s="200" cm="1">
        <f t="array" aca="1" ref="BQ17" ca="1">IF(TblConstr[[#This Row],[Hour]:[Hour]]&gt;12,OFFSET(TblConstr[[#This Row],[Doc]],-12,0),0)+OFFSET(TblConstr[[#This Row],[Tot Doc]],-1,0)-TblConstr[[#This Row],[Dest Doc]]</f>
        <v>0</v>
      </c>
      <c r="BR17" s="150"/>
      <c r="BS17" s="162"/>
      <c r="BT17" s="97">
        <f ca="1">TblConstr[[#This Row],[Land]]</f>
        <v>250</v>
      </c>
      <c r="BU17" s="167">
        <f ca="1">TblImps[[#This Row],[Time]]</f>
        <v>44811.291666666635</v>
      </c>
      <c r="BV17" s="150"/>
      <c r="BW17" s="187"/>
      <c r="BX17" s="187"/>
      <c r="BY17" s="187"/>
      <c r="BZ17" s="187"/>
      <c r="CA17" s="187"/>
      <c r="CB17" s="187"/>
      <c r="CC17" s="187"/>
      <c r="CD17" s="187"/>
      <c r="CE17" s="187"/>
      <c r="CF17" s="187"/>
      <c r="CG17" s="187"/>
      <c r="CH17" s="187"/>
      <c r="CI17" s="187"/>
      <c r="CJ17" s="187"/>
      <c r="CK17" s="187"/>
      <c r="CL17" s="187"/>
      <c r="CM17" s="187"/>
      <c r="CN17" s="187"/>
      <c r="CO17" s="187"/>
      <c r="CP17" s="150"/>
      <c r="CQ17" s="189">
        <f ca="1">-SUM(TblConstr[[#This Row],[Alc]:[Mas]])+SUM(TblConstr[[#This Row],[Dest Alc]:[Dest Mas]])+Rezone!L17+IF("Ch_"&amp; home_land=TblConstr[[#Headers],[Ch_Plain]],TblConstr[[#This Row],[Home Land]])+IF(TblConstr[[#This Row],[Hour]:[Hour]]&gt;12,OFFSET(TblExplore[[#This Row],[Plains Explore]],-12,0),0)</f>
        <v>0</v>
      </c>
      <c r="CR17" s="190">
        <f ca="1">-SUM(TblConstr[[#This Row],[Ly]:[Hav]])+SUM(TblConstr[[#This Row],[Dest Ly]:[Dest Hav]]) +Rezone!M17 + IF("Ch_"&amp; home_land=TblConstr[[#Headers],[Ch_Forest]],TblConstr[[#This Row],[Home Land]])+IF(TblConstr[[#This Row],[Hour]:[Hour]]&gt;12,OFFSET(TblExplore[[#This Row],[Forest Explore]],-12,0),0)</f>
        <v>0</v>
      </c>
      <c r="CS17" s="390">
        <f ca="1">-SUM(TblConstr[[#This Row],[OM]:[GN]])+SUM(TblConstr[[#This Row],[Dest OM]:[Dest GN]]) +Rezone!N17 + IF("Ch_"&amp; home_land=TblConstr[[#Headers],[Ch_Mountain]],TblConstr[[#This Row],[Home Land]])+IF(TblConstr[[#This Row],[Hour]:[Hour]]&gt;12,OFFSET(TblExplore[[#This Row],[Mountain Explore]],-12,0),0)</f>
        <v>0</v>
      </c>
      <c r="CT17" s="191">
        <f ca="1">-SUM(TblConstr[[#This Row],[Fac]:[Shr]])+SUM(TblConstr[[#This Row],[Dest Fac]:[Dest Shr]]) +Rezone!O17 + IF("Ch_" &amp; home_land=TblConstr[[#Headers],[Ch_Hill]],TblConstr[[#This Row],[Home Land]])+IF(TblConstr[[#This Row],[Hour]:[Hour]]&gt;12,OFFSET(TblExplore[[#This Row],[Hill Explore]],-12,0),0)</f>
        <v>0</v>
      </c>
      <c r="CU17" s="192">
        <f ca="1">-SUM(TblConstr[[#This Row],[Tow]:[WG]])+SUM(TblConstr[[#This Row],[Dest Tow]:[Dest WG]]) +Rezone!P17 + IF("Ch_" &amp; home_land=TblConstr[[#Headers],[Ch_Swamp]],TblConstr[[#This Row],[Home Land]])+IF(TblConstr[[#This Row],[Hour]:[Hour]]&gt;12,OFFSET(TblExplore[[#This Row],[Swamp Explore]],-12,0),0)</f>
        <v>0</v>
      </c>
      <c r="CV17" s="193">
        <f ca="1" xml:space="preserve"> - SUM(TblConstr[[#This Row],[DM]:[Sch]])+SUM(TblConstr[[#This Row],[Dest DM]:[Dest Sch]]) +Rezone!Q17 + IF("Ch_" &amp; home_land=TblConstr[[#Headers],[Ch_Cavern]],TblConstr[[#This Row],[Home Land]])+IF(TblConstr[[#This Row],[Hour]:[Hour]]&gt;12,OFFSET(TblExplore[[#This Row],[Cavern Explore]],-12,0),0)</f>
        <v>0</v>
      </c>
      <c r="CW17" s="194">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50"/>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83">
        <f>TblRezone[[#This Row],[Hour]]</f>
        <v>15</v>
      </c>
      <c r="B18" s="184">
        <f ca="1">SUM(TblConstr[[#This Row],[Plain]:[Water]])</f>
        <v>160</v>
      </c>
      <c r="C18" s="185">
        <f ca="1">SUM(TblConstr[[#This Row],[Tot Hom]:[Tot Doc]])</f>
        <v>90</v>
      </c>
      <c r="D18" s="185">
        <f t="shared" si="2"/>
        <v>0</v>
      </c>
      <c r="E18" s="186"/>
      <c r="F18" s="62">
        <f ca="1">TblConstr[[#This Row],[Barren]]+TblConstr[[#This Row],[Buildings]]+TblConstr[[#This Row],[Incoming]]</f>
        <v>250</v>
      </c>
      <c r="G18" s="195">
        <f ca="1">OFFSET(TblConstr[[#This Row],[Plain]],-1,0)+TblConstr[[#This Row],[Ch_Plain]]</f>
        <v>40</v>
      </c>
      <c r="H18" s="190">
        <f ca="1">OFFSET(TblConstr[[#This Row],[Forest]],-1,0)+TblConstr[[#This Row],[Ch_Forest]]</f>
        <v>20</v>
      </c>
      <c r="I18" s="390">
        <f ca="1">OFFSET(TblConstr[[#This Row],[Mountain]],-1,0)+TblConstr[[#This Row],[Ch_Mountain]]</f>
        <v>20</v>
      </c>
      <c r="J18" s="394">
        <f ca="1">OFFSET(TblConstr[[#This Row],[Hill]],-1,0)+TblConstr[[#This Row],[Ch_Hill]]</f>
        <v>20</v>
      </c>
      <c r="K18" s="398">
        <f ca="1">OFFSET(TblConstr[[#This Row],[Swamp]],-1,0)+TblConstr[[#This Row],[Ch_Swamp]]</f>
        <v>20</v>
      </c>
      <c r="L18" s="193">
        <f ca="1">OFFSET(TblConstr[[#This Row],[Cavern]],-1,0)+TblConstr[[#This Row],[Ch_Cavern]]</f>
        <v>20</v>
      </c>
      <c r="M18" s="194">
        <f ca="1">OFFSET(TblConstr[[#This Row],[Water]],-1,0)+TblConstr[[#This Row],[Ch_Water]]</f>
        <v>20</v>
      </c>
      <c r="N18" s="388">
        <f>TblRezone[[#This Row],[Hour]]</f>
        <v>15</v>
      </c>
      <c r="O18" s="187"/>
      <c r="P18" s="187"/>
      <c r="Q18" s="187"/>
      <c r="R18" s="187"/>
      <c r="S18" s="187"/>
      <c r="T18" s="187"/>
      <c r="U18" s="187"/>
      <c r="V18" s="187"/>
      <c r="W18" s="187"/>
      <c r="X18" s="187"/>
      <c r="Y18" s="187"/>
      <c r="Z18" s="187"/>
      <c r="AA18" s="187"/>
      <c r="AB18" s="187"/>
      <c r="AC18" s="187"/>
      <c r="AD18" s="187"/>
      <c r="AE18" s="187"/>
      <c r="AF18" s="187"/>
      <c r="AG18" s="187"/>
      <c r="AH18" s="53">
        <f ca="1">TblImps[[#This Row],[Time]]</f>
        <v>44811.333333333299</v>
      </c>
      <c r="AI18" s="188">
        <f ca="1">MIN(25%,(TblConstr[[#This Row],[Tot Fac]]+TblConstr[[#This Row],[Dest Fac]])/(TblConstr[[#This Row],[Land]]-TblExplore[[#This Row],[Land Bonus]]*20))</f>
        <v>0</v>
      </c>
      <c r="AJ18" s="188">
        <f ca="1">MIN(25%,(TblConstr[[#This Row],[Tot Fac]]+TblConstr[[#This Row],[Dest Fac]])/TblConstr[[#This Row],[Land]])</f>
        <v>0</v>
      </c>
      <c r="AK18" s="97">
        <f ca="1">TblProd[[#This Row],[Platinum]]</f>
        <v>174501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50"/>
      <c r="AV18" s="97">
        <f ca="1">ROUND((TblConstr[[#This Row],[Land]]-250 - IF(TblExplore[[#This Row],[Land Bonus]]&lt;&gt;0,20,0))*1.25 + 850 + 0,0)</f>
        <v>850</v>
      </c>
      <c r="AW18" s="97">
        <f ca="1">ROUND((TblConstr[[#This Row],[Land]]-250 - IF(TblExplore[[#This Row],[Land Bonus]]&lt;&gt;0,20,0))*0.285 + 87.5 + 0/4.25,0)</f>
        <v>88</v>
      </c>
      <c r="AX18" s="162"/>
      <c r="AY18" s="196" cm="1">
        <f t="array" aca="1" ref="AY18" ca="1">IF(TblConstr[[#This Row],[Hour]:[Hour]]&gt;12,OFFSET(TblConstr[[#This Row],[Hom]],-12,0),0)+OFFSET(TblConstr[[#This Row],[Tot Hom]],-1,0)-TblConstr[[#This Row],[Dest Hom]]</f>
        <v>10</v>
      </c>
      <c r="AZ18" s="197" cm="1">
        <f t="array" aca="1" ref="AZ18" ca="1">IF(TblConstr[[#This Row],[Hour]:[Hour]]&gt;12,OFFSET(TblConstr[[#This Row],[Alc]],-12,0),0)+OFFSET(TblConstr[[#This Row],[Tot Alc]],-1,0)-TblConstr[[#This Row],[Dest Alc]]</f>
        <v>30</v>
      </c>
      <c r="BA18" s="197" cm="1">
        <f t="array" aca="1" ref="BA18" ca="1">IF(TblConstr[[#This Row],[Hour]:[Hour]]&gt;12,OFFSET(TblConstr[[#This Row],[Far]],-12,0),0)+OFFSET(TblConstr[[#This Row],[Tot Farm]],-1,0)-TblConstr[[#This Row],[Dest Farm]]</f>
        <v>30</v>
      </c>
      <c r="BB18" s="197" cm="1">
        <f t="array" aca="1" ref="BB18" ca="1">IF(TblConstr[[#This Row],[Hour]:[Hour]]&gt;12,OFFSET(TblConstr[[#This Row],[Smi]],-12,0),0)+OFFSET(TblConstr[[#This Row],[Tot Smi]],-1,0)-TblConstr[[#This Row],[Dest Smi]]</f>
        <v>0</v>
      </c>
      <c r="BC18" s="197" cm="1">
        <f t="array" aca="1" ref="BC18" ca="1">IF(TblConstr[[#This Row],[Hour]:[Hour]]&gt;12,OFFSET(TblConstr[[#This Row],[Mas]],-12,0),0)+OFFSET(TblConstr[[#This Row],[Tot Mas]],-1,0)-TblConstr[[#This Row],[Dest Mas]]</f>
        <v>0</v>
      </c>
      <c r="BD18" s="198" cm="1">
        <f t="array" aca="1" ref="BD18" ca="1">IF(TblConstr[[#This Row],[Hour]:[Hour]]&gt;12,OFFSET(TblConstr[[#This Row],[Ly]],-12,0),0)+OFFSET(TblConstr[[#This Row],[Tot Ly]],-1,0)-TblConstr[[#This Row],[Dest Ly]]</f>
        <v>20</v>
      </c>
      <c r="BE18" s="198" cm="1">
        <f t="array" aca="1" ref="BE18" ca="1">IF(TblConstr[[#This Row],[Hour]:[Hour]]&gt;12,OFFSET(TblConstr[[#This Row],[Hav]],-12,0),0)+OFFSET(TblConstr[[#This Row],[Tot Hav]],-1,0)-TblConstr[[#This Row],[Dest Hav]]</f>
        <v>0</v>
      </c>
      <c r="BF18" s="392" cm="1">
        <f t="array" aca="1" ref="BF18" ca="1">IF(TblConstr[[#This Row],[Hour]:[Hour]]&gt;12,OFFSET(TblConstr[[#This Row],[OM]],-12,0),0)+OFFSET(TblConstr[[#This Row],[Tot OM]],-1,0)-TblConstr[[#This Row],[Dest OM]]</f>
        <v>0</v>
      </c>
      <c r="BG18" s="392" cm="1">
        <f t="array" aca="1" ref="BG18" ca="1">IF(TblConstr[[#This Row],[Hour]:[Hour]]&gt;12,OFFSET(TblConstr[[#This Row],[GN]],-12,0),0)+OFFSET(TblConstr[[#This Row],[Tot GN]],-1,0)-TblConstr[[#This Row],[Dest GN]]</f>
        <v>0</v>
      </c>
      <c r="BH18" s="396" cm="1">
        <f t="array" aca="1" ref="BH18" ca="1">IF(TblConstr[[#This Row],[Hour]:[Hour]]&gt;12,OFFSET(TblConstr[[#This Row],[Fac]],-12,0),0)+OFFSET(TblConstr[[#This Row],[Tot Fac]],-1,0)-TblConstr[[#This Row],[Dest Fac]]</f>
        <v>0</v>
      </c>
      <c r="BI18" s="396" cm="1">
        <f t="array" aca="1" ref="BI18" ca="1">IF(TblConstr[[#This Row],[Hour]:[Hour]]&gt;12,OFFSET(TblConstr[[#This Row],[GT]],-12,0),0)+OFFSET(TblConstr[[#This Row],[Tot GT]],-1,0)-TblConstr[[#This Row],[Dest GT]]</f>
        <v>0</v>
      </c>
      <c r="BJ18" s="396" cm="1">
        <f t="array" aca="1" ref="BJ18" ca="1">IF(TblConstr[[#This Row],[Hour]:[Hour]]&gt;12,OFFSET(TblConstr[[#This Row],[Bar]],-12,0),0)+OFFSET(TblConstr[[#This Row],[Tot Bar]],-1,0)-TblConstr[[#This Row],[Dest Bar]]</f>
        <v>0</v>
      </c>
      <c r="BK18" s="396" cm="1">
        <f t="array" aca="1" ref="BK18" ca="1">IF(TblConstr[[#This Row],[Hour]:[Hour]]&gt;12,OFFSET(TblConstr[[#This Row],[Shr]],-12,0),0)+OFFSET(TblConstr[[#This Row],[Tot Shr]],-1,0)-TblConstr[[#This Row],[Dest Shr]]</f>
        <v>0</v>
      </c>
      <c r="BL18" s="400" cm="1">
        <f t="array" aca="1" ref="BL18" ca="1">IF(TblConstr[[#This Row],[Hour]:[Hour]]&gt;12,OFFSET(TblConstr[[#This Row],[Tow]],-12,0),0)+OFFSET(TblConstr[[#This Row],[Tot Tow]],-1,0)-TblConstr[[#This Row],[Dest Tow]]</f>
        <v>0</v>
      </c>
      <c r="BM18" s="400" cm="1">
        <f t="array" aca="1" ref="BM18" ca="1">IF(TblConstr[[#This Row],[Hour]:[Hour]]&gt;12,OFFSET(TblConstr[[#This Row],[Tem]],-12,0),0)+OFFSET(TblConstr[[#This Row],[Tot Tem]],-1,0)-TblConstr[[#This Row],[Dest Tem]]</f>
        <v>0</v>
      </c>
      <c r="BN18" s="400" cm="1">
        <f t="array" aca="1" ref="BN18" ca="1">IF(TblConstr[[#This Row],[Hour]:[Hour]]&gt;12,OFFSET(TblConstr[[#This Row],[WG]],-12,0),0)+OFFSET(TblConstr[[#This Row],[Tot WG]],-1,0)-TblConstr[[#This Row],[Dest WG]]</f>
        <v>0</v>
      </c>
      <c r="BO18" s="199" cm="1">
        <f t="array" aca="1" ref="BO18" ca="1">IF(TblConstr[[#This Row],[Hour]:[Hour]]&gt;12,OFFSET(TblConstr[[#This Row],[DM]],-12,0),0)+OFFSET(TblConstr[[#This Row],[Tot DM]],-1,0)-TblConstr[[#This Row],[Dest DM]]</f>
        <v>0</v>
      </c>
      <c r="BP18" s="199" cm="1">
        <f t="array" aca="1" ref="BP18" ca="1">IF(TblConstr[[#This Row],[Hour]:[Hour]]&gt;12,OFFSET(TblConstr[[#This Row],[Sch]],-12,0),0)+OFFSET(TblConstr[[#This Row],[Tot Sch]],-1,0)-TblConstr[[#This Row],[Dest Sch]]</f>
        <v>0</v>
      </c>
      <c r="BQ18" s="200" cm="1">
        <f t="array" aca="1" ref="BQ18" ca="1">IF(TblConstr[[#This Row],[Hour]:[Hour]]&gt;12,OFFSET(TblConstr[[#This Row],[Doc]],-12,0),0)+OFFSET(TblConstr[[#This Row],[Tot Doc]],-1,0)-TblConstr[[#This Row],[Dest Doc]]</f>
        <v>0</v>
      </c>
      <c r="BR18" s="150"/>
      <c r="BS18" s="162"/>
      <c r="BT18" s="97">
        <f ca="1">TblConstr[[#This Row],[Land]]</f>
        <v>250</v>
      </c>
      <c r="BU18" s="167">
        <f ca="1">TblImps[[#This Row],[Time]]</f>
        <v>44811.333333333299</v>
      </c>
      <c r="BV18" s="150"/>
      <c r="BW18" s="187"/>
      <c r="BX18" s="187"/>
      <c r="BY18" s="187"/>
      <c r="BZ18" s="187"/>
      <c r="CA18" s="187"/>
      <c r="CB18" s="187"/>
      <c r="CC18" s="187"/>
      <c r="CD18" s="187"/>
      <c r="CE18" s="187"/>
      <c r="CF18" s="187"/>
      <c r="CG18" s="187"/>
      <c r="CH18" s="187"/>
      <c r="CI18" s="187"/>
      <c r="CJ18" s="187"/>
      <c r="CK18" s="187"/>
      <c r="CL18" s="187"/>
      <c r="CM18" s="187"/>
      <c r="CN18" s="187"/>
      <c r="CO18" s="187"/>
      <c r="CP18" s="150"/>
      <c r="CQ18" s="189">
        <f ca="1">-SUM(TblConstr[[#This Row],[Alc]:[Mas]])+SUM(TblConstr[[#This Row],[Dest Alc]:[Dest Mas]])+Rezone!L18+IF("Ch_"&amp; home_land=TblConstr[[#Headers],[Ch_Plain]],TblConstr[[#This Row],[Home Land]])+IF(TblConstr[[#This Row],[Hour]:[Hour]]&gt;12,OFFSET(TblExplore[[#This Row],[Plains Explore]],-12,0),0)</f>
        <v>0</v>
      </c>
      <c r="CR18" s="190">
        <f ca="1">-SUM(TblConstr[[#This Row],[Ly]:[Hav]])+SUM(TblConstr[[#This Row],[Dest Ly]:[Dest Hav]]) +Rezone!M18 + IF("Ch_"&amp; home_land=TblConstr[[#Headers],[Ch_Forest]],TblConstr[[#This Row],[Home Land]])+IF(TblConstr[[#This Row],[Hour]:[Hour]]&gt;12,OFFSET(TblExplore[[#This Row],[Forest Explore]],-12,0),0)</f>
        <v>0</v>
      </c>
      <c r="CS18" s="390">
        <f ca="1">-SUM(TblConstr[[#This Row],[OM]:[GN]])+SUM(TblConstr[[#This Row],[Dest OM]:[Dest GN]]) +Rezone!N18 + IF("Ch_"&amp; home_land=TblConstr[[#Headers],[Ch_Mountain]],TblConstr[[#This Row],[Home Land]])+IF(TblConstr[[#This Row],[Hour]:[Hour]]&gt;12,OFFSET(TblExplore[[#This Row],[Mountain Explore]],-12,0),0)</f>
        <v>0</v>
      </c>
      <c r="CT18" s="191">
        <f ca="1">-SUM(TblConstr[[#This Row],[Fac]:[Shr]])+SUM(TblConstr[[#This Row],[Dest Fac]:[Dest Shr]]) +Rezone!O18 + IF("Ch_" &amp; home_land=TblConstr[[#Headers],[Ch_Hill]],TblConstr[[#This Row],[Home Land]])+IF(TblConstr[[#This Row],[Hour]:[Hour]]&gt;12,OFFSET(TblExplore[[#This Row],[Hill Explore]],-12,0),0)</f>
        <v>0</v>
      </c>
      <c r="CU18" s="192">
        <f ca="1">-SUM(TblConstr[[#This Row],[Tow]:[WG]])+SUM(TblConstr[[#This Row],[Dest Tow]:[Dest WG]]) +Rezone!P18 + IF("Ch_" &amp; home_land=TblConstr[[#Headers],[Ch_Swamp]],TblConstr[[#This Row],[Home Land]])+IF(TblConstr[[#This Row],[Hour]:[Hour]]&gt;12,OFFSET(TblExplore[[#This Row],[Swamp Explore]],-12,0),0)</f>
        <v>0</v>
      </c>
      <c r="CV18" s="193">
        <f ca="1" xml:space="preserve"> - SUM(TblConstr[[#This Row],[DM]:[Sch]])+SUM(TblConstr[[#This Row],[Dest DM]:[Dest Sch]]) +Rezone!Q18 + IF("Ch_" &amp; home_land=TblConstr[[#Headers],[Ch_Cavern]],TblConstr[[#This Row],[Home Land]])+IF(TblConstr[[#This Row],[Hour]:[Hour]]&gt;12,OFFSET(TblExplore[[#This Row],[Cavern Explore]],-12,0),0)</f>
        <v>0</v>
      </c>
      <c r="CW18" s="194">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50"/>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83">
        <f>TblRezone[[#This Row],[Hour]]</f>
        <v>16</v>
      </c>
      <c r="B19" s="184">
        <f ca="1">SUM(TblConstr[[#This Row],[Plain]:[Water]])</f>
        <v>160</v>
      </c>
      <c r="C19" s="185">
        <f ca="1">SUM(TblConstr[[#This Row],[Tot Hom]:[Tot Doc]])</f>
        <v>90</v>
      </c>
      <c r="D19" s="185">
        <f t="shared" si="2"/>
        <v>0</v>
      </c>
      <c r="E19" s="186"/>
      <c r="F19" s="62">
        <f ca="1">TblConstr[[#This Row],[Barren]]+TblConstr[[#This Row],[Buildings]]+TblConstr[[#This Row],[Incoming]]</f>
        <v>250</v>
      </c>
      <c r="G19" s="195">
        <f ca="1">OFFSET(TblConstr[[#This Row],[Plain]],-1,0)+TblConstr[[#This Row],[Ch_Plain]]</f>
        <v>40</v>
      </c>
      <c r="H19" s="190">
        <f ca="1">OFFSET(TblConstr[[#This Row],[Forest]],-1,0)+TblConstr[[#This Row],[Ch_Forest]]</f>
        <v>20</v>
      </c>
      <c r="I19" s="390">
        <f ca="1">OFFSET(TblConstr[[#This Row],[Mountain]],-1,0)+TblConstr[[#This Row],[Ch_Mountain]]</f>
        <v>20</v>
      </c>
      <c r="J19" s="394">
        <f ca="1">OFFSET(TblConstr[[#This Row],[Hill]],-1,0)+TblConstr[[#This Row],[Ch_Hill]]</f>
        <v>20</v>
      </c>
      <c r="K19" s="398">
        <f ca="1">OFFSET(TblConstr[[#This Row],[Swamp]],-1,0)+TblConstr[[#This Row],[Ch_Swamp]]</f>
        <v>20</v>
      </c>
      <c r="L19" s="193">
        <f ca="1">OFFSET(TblConstr[[#This Row],[Cavern]],-1,0)+TblConstr[[#This Row],[Ch_Cavern]]</f>
        <v>20</v>
      </c>
      <c r="M19" s="194">
        <f ca="1">OFFSET(TblConstr[[#This Row],[Water]],-1,0)+TblConstr[[#This Row],[Ch_Water]]</f>
        <v>20</v>
      </c>
      <c r="N19" s="388">
        <f>TblRezone[[#This Row],[Hour]]</f>
        <v>16</v>
      </c>
      <c r="O19" s="187"/>
      <c r="P19" s="187"/>
      <c r="Q19" s="187"/>
      <c r="R19" s="187"/>
      <c r="S19" s="187"/>
      <c r="T19" s="187"/>
      <c r="U19" s="187"/>
      <c r="V19" s="187"/>
      <c r="W19" s="187"/>
      <c r="X19" s="187"/>
      <c r="Y19" s="187"/>
      <c r="Z19" s="187"/>
      <c r="AA19" s="187"/>
      <c r="AB19" s="187"/>
      <c r="AC19" s="187"/>
      <c r="AD19" s="187"/>
      <c r="AE19" s="187"/>
      <c r="AF19" s="187"/>
      <c r="AG19" s="187"/>
      <c r="AH19" s="53">
        <f ca="1">TblImps[[#This Row],[Time]]</f>
        <v>44811.374999999964</v>
      </c>
      <c r="AI19" s="188">
        <f ca="1">MIN(25%,(TblConstr[[#This Row],[Tot Fac]]+TblConstr[[#This Row],[Dest Fac]])/(TblConstr[[#This Row],[Land]]-TblExplore[[#This Row],[Land Bonus]]*20))</f>
        <v>0</v>
      </c>
      <c r="AJ19" s="188">
        <f ca="1">MIN(25%,(TblConstr[[#This Row],[Tot Fac]]+TblConstr[[#This Row],[Dest Fac]])/TblConstr[[#This Row],[Land]])</f>
        <v>0</v>
      </c>
      <c r="AK19" s="97">
        <f ca="1">TblProd[[#This Row],[Platinum]]</f>
        <v>180171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50"/>
      <c r="AV19" s="97">
        <f ca="1">ROUND((TblConstr[[#This Row],[Land]]-250 - IF(TblExplore[[#This Row],[Land Bonus]]&lt;&gt;0,20,0))*1.25 + 850 + 0,0)</f>
        <v>850</v>
      </c>
      <c r="AW19" s="97">
        <f ca="1">ROUND((TblConstr[[#This Row],[Land]]-250 - IF(TblExplore[[#This Row],[Land Bonus]]&lt;&gt;0,20,0))*0.285 + 87.5 + 0/4.25,0)</f>
        <v>88</v>
      </c>
      <c r="AX19" s="162"/>
      <c r="AY19" s="196" cm="1">
        <f t="array" aca="1" ref="AY19" ca="1">IF(TblConstr[[#This Row],[Hour]:[Hour]]&gt;12,OFFSET(TblConstr[[#This Row],[Hom]],-12,0),0)+OFFSET(TblConstr[[#This Row],[Tot Hom]],-1,0)-TblConstr[[#This Row],[Dest Hom]]</f>
        <v>10</v>
      </c>
      <c r="AZ19" s="197" cm="1">
        <f t="array" aca="1" ref="AZ19" ca="1">IF(TblConstr[[#This Row],[Hour]:[Hour]]&gt;12,OFFSET(TblConstr[[#This Row],[Alc]],-12,0),0)+OFFSET(TblConstr[[#This Row],[Tot Alc]],-1,0)-TblConstr[[#This Row],[Dest Alc]]</f>
        <v>30</v>
      </c>
      <c r="BA19" s="197" cm="1">
        <f t="array" aca="1" ref="BA19" ca="1">IF(TblConstr[[#This Row],[Hour]:[Hour]]&gt;12,OFFSET(TblConstr[[#This Row],[Far]],-12,0),0)+OFFSET(TblConstr[[#This Row],[Tot Farm]],-1,0)-TblConstr[[#This Row],[Dest Farm]]</f>
        <v>30</v>
      </c>
      <c r="BB19" s="197" cm="1">
        <f t="array" aca="1" ref="BB19" ca="1">IF(TblConstr[[#This Row],[Hour]:[Hour]]&gt;12,OFFSET(TblConstr[[#This Row],[Smi]],-12,0),0)+OFFSET(TblConstr[[#This Row],[Tot Smi]],-1,0)-TblConstr[[#This Row],[Dest Smi]]</f>
        <v>0</v>
      </c>
      <c r="BC19" s="197" cm="1">
        <f t="array" aca="1" ref="BC19" ca="1">IF(TblConstr[[#This Row],[Hour]:[Hour]]&gt;12,OFFSET(TblConstr[[#This Row],[Mas]],-12,0),0)+OFFSET(TblConstr[[#This Row],[Tot Mas]],-1,0)-TblConstr[[#This Row],[Dest Mas]]</f>
        <v>0</v>
      </c>
      <c r="BD19" s="198" cm="1">
        <f t="array" aca="1" ref="BD19" ca="1">IF(TblConstr[[#This Row],[Hour]:[Hour]]&gt;12,OFFSET(TblConstr[[#This Row],[Ly]],-12,0),0)+OFFSET(TblConstr[[#This Row],[Tot Ly]],-1,0)-TblConstr[[#This Row],[Dest Ly]]</f>
        <v>20</v>
      </c>
      <c r="BE19" s="198" cm="1">
        <f t="array" aca="1" ref="BE19" ca="1">IF(TblConstr[[#This Row],[Hour]:[Hour]]&gt;12,OFFSET(TblConstr[[#This Row],[Hav]],-12,0),0)+OFFSET(TblConstr[[#This Row],[Tot Hav]],-1,0)-TblConstr[[#This Row],[Dest Hav]]</f>
        <v>0</v>
      </c>
      <c r="BF19" s="392" cm="1">
        <f t="array" aca="1" ref="BF19" ca="1">IF(TblConstr[[#This Row],[Hour]:[Hour]]&gt;12,OFFSET(TblConstr[[#This Row],[OM]],-12,0),0)+OFFSET(TblConstr[[#This Row],[Tot OM]],-1,0)-TblConstr[[#This Row],[Dest OM]]</f>
        <v>0</v>
      </c>
      <c r="BG19" s="392" cm="1">
        <f t="array" aca="1" ref="BG19" ca="1">IF(TblConstr[[#This Row],[Hour]:[Hour]]&gt;12,OFFSET(TblConstr[[#This Row],[GN]],-12,0),0)+OFFSET(TblConstr[[#This Row],[Tot GN]],-1,0)-TblConstr[[#This Row],[Dest GN]]</f>
        <v>0</v>
      </c>
      <c r="BH19" s="396" cm="1">
        <f t="array" aca="1" ref="BH19" ca="1">IF(TblConstr[[#This Row],[Hour]:[Hour]]&gt;12,OFFSET(TblConstr[[#This Row],[Fac]],-12,0),0)+OFFSET(TblConstr[[#This Row],[Tot Fac]],-1,0)-TblConstr[[#This Row],[Dest Fac]]</f>
        <v>0</v>
      </c>
      <c r="BI19" s="396" cm="1">
        <f t="array" aca="1" ref="BI19" ca="1">IF(TblConstr[[#This Row],[Hour]:[Hour]]&gt;12,OFFSET(TblConstr[[#This Row],[GT]],-12,0),0)+OFFSET(TblConstr[[#This Row],[Tot GT]],-1,0)-TblConstr[[#This Row],[Dest GT]]</f>
        <v>0</v>
      </c>
      <c r="BJ19" s="396" cm="1">
        <f t="array" aca="1" ref="BJ19" ca="1">IF(TblConstr[[#This Row],[Hour]:[Hour]]&gt;12,OFFSET(TblConstr[[#This Row],[Bar]],-12,0),0)+OFFSET(TblConstr[[#This Row],[Tot Bar]],-1,0)-TblConstr[[#This Row],[Dest Bar]]</f>
        <v>0</v>
      </c>
      <c r="BK19" s="396" cm="1">
        <f t="array" aca="1" ref="BK19" ca="1">IF(TblConstr[[#This Row],[Hour]:[Hour]]&gt;12,OFFSET(TblConstr[[#This Row],[Shr]],-12,0),0)+OFFSET(TblConstr[[#This Row],[Tot Shr]],-1,0)-TblConstr[[#This Row],[Dest Shr]]</f>
        <v>0</v>
      </c>
      <c r="BL19" s="400" cm="1">
        <f t="array" aca="1" ref="BL19" ca="1">IF(TblConstr[[#This Row],[Hour]:[Hour]]&gt;12,OFFSET(TblConstr[[#This Row],[Tow]],-12,0),0)+OFFSET(TblConstr[[#This Row],[Tot Tow]],-1,0)-TblConstr[[#This Row],[Dest Tow]]</f>
        <v>0</v>
      </c>
      <c r="BM19" s="400" cm="1">
        <f t="array" aca="1" ref="BM19" ca="1">IF(TblConstr[[#This Row],[Hour]:[Hour]]&gt;12,OFFSET(TblConstr[[#This Row],[Tem]],-12,0),0)+OFFSET(TblConstr[[#This Row],[Tot Tem]],-1,0)-TblConstr[[#This Row],[Dest Tem]]</f>
        <v>0</v>
      </c>
      <c r="BN19" s="400" cm="1">
        <f t="array" aca="1" ref="BN19" ca="1">IF(TblConstr[[#This Row],[Hour]:[Hour]]&gt;12,OFFSET(TblConstr[[#This Row],[WG]],-12,0),0)+OFFSET(TblConstr[[#This Row],[Tot WG]],-1,0)-TblConstr[[#This Row],[Dest WG]]</f>
        <v>0</v>
      </c>
      <c r="BO19" s="199" cm="1">
        <f t="array" aca="1" ref="BO19" ca="1">IF(TblConstr[[#This Row],[Hour]:[Hour]]&gt;12,OFFSET(TblConstr[[#This Row],[DM]],-12,0),0)+OFFSET(TblConstr[[#This Row],[Tot DM]],-1,0)-TblConstr[[#This Row],[Dest DM]]</f>
        <v>0</v>
      </c>
      <c r="BP19" s="199" cm="1">
        <f t="array" aca="1" ref="BP19" ca="1">IF(TblConstr[[#This Row],[Hour]:[Hour]]&gt;12,OFFSET(TblConstr[[#This Row],[Sch]],-12,0),0)+OFFSET(TblConstr[[#This Row],[Tot Sch]],-1,0)-TblConstr[[#This Row],[Dest Sch]]</f>
        <v>0</v>
      </c>
      <c r="BQ19" s="200" cm="1">
        <f t="array" aca="1" ref="BQ19" ca="1">IF(TblConstr[[#This Row],[Hour]:[Hour]]&gt;12,OFFSET(TblConstr[[#This Row],[Doc]],-12,0),0)+OFFSET(TblConstr[[#This Row],[Tot Doc]],-1,0)-TblConstr[[#This Row],[Dest Doc]]</f>
        <v>0</v>
      </c>
      <c r="BR19" s="150"/>
      <c r="BS19" s="162"/>
      <c r="BT19" s="97">
        <f ca="1">TblConstr[[#This Row],[Land]]</f>
        <v>250</v>
      </c>
      <c r="BU19" s="167">
        <f ca="1">TblImps[[#This Row],[Time]]</f>
        <v>44811.374999999964</v>
      </c>
      <c r="BV19" s="150"/>
      <c r="BW19" s="187"/>
      <c r="BX19" s="187"/>
      <c r="BY19" s="187"/>
      <c r="BZ19" s="187"/>
      <c r="CA19" s="187"/>
      <c r="CB19" s="187"/>
      <c r="CC19" s="187"/>
      <c r="CD19" s="187"/>
      <c r="CE19" s="187"/>
      <c r="CF19" s="187"/>
      <c r="CG19" s="187"/>
      <c r="CH19" s="187"/>
      <c r="CI19" s="187"/>
      <c r="CJ19" s="187"/>
      <c r="CK19" s="187"/>
      <c r="CL19" s="187"/>
      <c r="CM19" s="187"/>
      <c r="CN19" s="187"/>
      <c r="CO19" s="187"/>
      <c r="CP19" s="150"/>
      <c r="CQ19" s="189">
        <f ca="1">-SUM(TblConstr[[#This Row],[Alc]:[Mas]])+SUM(TblConstr[[#This Row],[Dest Alc]:[Dest Mas]])+Rezone!L19+IF("Ch_"&amp; home_land=TblConstr[[#Headers],[Ch_Plain]],TblConstr[[#This Row],[Home Land]])+IF(TblConstr[[#This Row],[Hour]:[Hour]]&gt;12,OFFSET(TblExplore[[#This Row],[Plains Explore]],-12,0),0)</f>
        <v>0</v>
      </c>
      <c r="CR19" s="190">
        <f ca="1">-SUM(TblConstr[[#This Row],[Ly]:[Hav]])+SUM(TblConstr[[#This Row],[Dest Ly]:[Dest Hav]]) +Rezone!M19 + IF("Ch_"&amp; home_land=TblConstr[[#Headers],[Ch_Forest]],TblConstr[[#This Row],[Home Land]])+IF(TblConstr[[#This Row],[Hour]:[Hour]]&gt;12,OFFSET(TblExplore[[#This Row],[Forest Explore]],-12,0),0)</f>
        <v>0</v>
      </c>
      <c r="CS19" s="390">
        <f ca="1">-SUM(TblConstr[[#This Row],[OM]:[GN]])+SUM(TblConstr[[#This Row],[Dest OM]:[Dest GN]]) +Rezone!N19 + IF("Ch_"&amp; home_land=TblConstr[[#Headers],[Ch_Mountain]],TblConstr[[#This Row],[Home Land]])+IF(TblConstr[[#This Row],[Hour]:[Hour]]&gt;12,OFFSET(TblExplore[[#This Row],[Mountain Explore]],-12,0),0)</f>
        <v>0</v>
      </c>
      <c r="CT19" s="191">
        <f ca="1">-SUM(TblConstr[[#This Row],[Fac]:[Shr]])+SUM(TblConstr[[#This Row],[Dest Fac]:[Dest Shr]]) +Rezone!O19 + IF("Ch_" &amp; home_land=TblConstr[[#Headers],[Ch_Hill]],TblConstr[[#This Row],[Home Land]])+IF(TblConstr[[#This Row],[Hour]:[Hour]]&gt;12,OFFSET(TblExplore[[#This Row],[Hill Explore]],-12,0),0)</f>
        <v>0</v>
      </c>
      <c r="CU19" s="192">
        <f ca="1">-SUM(TblConstr[[#This Row],[Tow]:[WG]])+SUM(TblConstr[[#This Row],[Dest Tow]:[Dest WG]]) +Rezone!P19 + IF("Ch_" &amp; home_land=TblConstr[[#Headers],[Ch_Swamp]],TblConstr[[#This Row],[Home Land]])+IF(TblConstr[[#This Row],[Hour]:[Hour]]&gt;12,OFFSET(TblExplore[[#This Row],[Swamp Explore]],-12,0),0)</f>
        <v>0</v>
      </c>
      <c r="CV19" s="193">
        <f ca="1" xml:space="preserve"> - SUM(TblConstr[[#This Row],[DM]:[Sch]])+SUM(TblConstr[[#This Row],[Dest DM]:[Dest Sch]]) +Rezone!Q19 + IF("Ch_" &amp; home_land=TblConstr[[#Headers],[Ch_Cavern]],TblConstr[[#This Row],[Home Land]])+IF(TblConstr[[#This Row],[Hour]:[Hour]]&gt;12,OFFSET(TblExplore[[#This Row],[Cavern Explore]],-12,0),0)</f>
        <v>0</v>
      </c>
      <c r="CW19" s="194">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50"/>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83">
        <f>TblRezone[[#This Row],[Hour]]</f>
        <v>17</v>
      </c>
      <c r="B20" s="184">
        <f ca="1">SUM(TblConstr[[#This Row],[Plain]:[Water]])</f>
        <v>160</v>
      </c>
      <c r="C20" s="185">
        <f ca="1">SUM(TblConstr[[#This Row],[Tot Hom]:[Tot Doc]])</f>
        <v>90</v>
      </c>
      <c r="D20" s="185">
        <f t="shared" si="2"/>
        <v>0</v>
      </c>
      <c r="E20" s="186"/>
      <c r="F20" s="62">
        <f ca="1">TblConstr[[#This Row],[Barren]]+TblConstr[[#This Row],[Buildings]]+TblConstr[[#This Row],[Incoming]]</f>
        <v>250</v>
      </c>
      <c r="G20" s="195">
        <f ca="1">OFFSET(TblConstr[[#This Row],[Plain]],-1,0)+TblConstr[[#This Row],[Ch_Plain]]</f>
        <v>40</v>
      </c>
      <c r="H20" s="190">
        <f ca="1">OFFSET(TblConstr[[#This Row],[Forest]],-1,0)+TblConstr[[#This Row],[Ch_Forest]]</f>
        <v>20</v>
      </c>
      <c r="I20" s="390">
        <f ca="1">OFFSET(TblConstr[[#This Row],[Mountain]],-1,0)+TblConstr[[#This Row],[Ch_Mountain]]</f>
        <v>20</v>
      </c>
      <c r="J20" s="394">
        <f ca="1">OFFSET(TblConstr[[#This Row],[Hill]],-1,0)+TblConstr[[#This Row],[Ch_Hill]]</f>
        <v>20</v>
      </c>
      <c r="K20" s="398">
        <f ca="1">OFFSET(TblConstr[[#This Row],[Swamp]],-1,0)+TblConstr[[#This Row],[Ch_Swamp]]</f>
        <v>20</v>
      </c>
      <c r="L20" s="193">
        <f ca="1">OFFSET(TblConstr[[#This Row],[Cavern]],-1,0)+TblConstr[[#This Row],[Ch_Cavern]]</f>
        <v>20</v>
      </c>
      <c r="M20" s="194">
        <f ca="1">OFFSET(TblConstr[[#This Row],[Water]],-1,0)+TblConstr[[#This Row],[Ch_Water]]</f>
        <v>20</v>
      </c>
      <c r="N20" s="388">
        <f>TblRezone[[#This Row],[Hour]]</f>
        <v>17</v>
      </c>
      <c r="O20" s="187"/>
      <c r="P20" s="187"/>
      <c r="Q20" s="187"/>
      <c r="R20" s="187"/>
      <c r="S20" s="187"/>
      <c r="T20" s="187"/>
      <c r="U20" s="187"/>
      <c r="V20" s="187"/>
      <c r="W20" s="187"/>
      <c r="X20" s="187"/>
      <c r="Y20" s="187"/>
      <c r="Z20" s="187"/>
      <c r="AA20" s="187"/>
      <c r="AB20" s="187"/>
      <c r="AC20" s="187"/>
      <c r="AD20" s="187"/>
      <c r="AE20" s="187"/>
      <c r="AF20" s="187"/>
      <c r="AG20" s="187"/>
      <c r="AH20" s="53">
        <f ca="1">TblImps[[#This Row],[Time]]</f>
        <v>44811.416666666628</v>
      </c>
      <c r="AI20" s="188">
        <f ca="1">MIN(25%,(TblConstr[[#This Row],[Tot Fac]]+TblConstr[[#This Row],[Dest Fac]])/(TblConstr[[#This Row],[Land]]-TblExplore[[#This Row],[Land Bonus]]*20))</f>
        <v>0</v>
      </c>
      <c r="AJ20" s="188">
        <f ca="1">MIN(25%,(TblConstr[[#This Row],[Tot Fac]]+TblConstr[[#This Row],[Dest Fac]])/TblConstr[[#This Row],[Land]])</f>
        <v>0</v>
      </c>
      <c r="AK20" s="97">
        <f ca="1">TblProd[[#This Row],[Platinum]]</f>
        <v>185841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50"/>
      <c r="AV20" s="97">
        <f ca="1">ROUND((TblConstr[[#This Row],[Land]]-250 - IF(TblExplore[[#This Row],[Land Bonus]]&lt;&gt;0,20,0))*1.25 + 850 + 0,0)</f>
        <v>850</v>
      </c>
      <c r="AW20" s="97">
        <f ca="1">ROUND((TblConstr[[#This Row],[Land]]-250 - IF(TblExplore[[#This Row],[Land Bonus]]&lt;&gt;0,20,0))*0.285 + 87.5 + 0/4.25,0)</f>
        <v>88</v>
      </c>
      <c r="AX20" s="162"/>
      <c r="AY20" s="196" cm="1">
        <f t="array" aca="1" ref="AY20" ca="1">IF(TblConstr[[#This Row],[Hour]:[Hour]]&gt;12,OFFSET(TblConstr[[#This Row],[Hom]],-12,0),0)+OFFSET(TblConstr[[#This Row],[Tot Hom]],-1,0)-TblConstr[[#This Row],[Dest Hom]]</f>
        <v>10</v>
      </c>
      <c r="AZ20" s="197" cm="1">
        <f t="array" aca="1" ref="AZ20" ca="1">IF(TblConstr[[#This Row],[Hour]:[Hour]]&gt;12,OFFSET(TblConstr[[#This Row],[Alc]],-12,0),0)+OFFSET(TblConstr[[#This Row],[Tot Alc]],-1,0)-TblConstr[[#This Row],[Dest Alc]]</f>
        <v>30</v>
      </c>
      <c r="BA20" s="197" cm="1">
        <f t="array" aca="1" ref="BA20" ca="1">IF(TblConstr[[#This Row],[Hour]:[Hour]]&gt;12,OFFSET(TblConstr[[#This Row],[Far]],-12,0),0)+OFFSET(TblConstr[[#This Row],[Tot Farm]],-1,0)-TblConstr[[#This Row],[Dest Farm]]</f>
        <v>30</v>
      </c>
      <c r="BB20" s="197" cm="1">
        <f t="array" aca="1" ref="BB20" ca="1">IF(TblConstr[[#This Row],[Hour]:[Hour]]&gt;12,OFFSET(TblConstr[[#This Row],[Smi]],-12,0),0)+OFFSET(TblConstr[[#This Row],[Tot Smi]],-1,0)-TblConstr[[#This Row],[Dest Smi]]</f>
        <v>0</v>
      </c>
      <c r="BC20" s="197" cm="1">
        <f t="array" aca="1" ref="BC20" ca="1">IF(TblConstr[[#This Row],[Hour]:[Hour]]&gt;12,OFFSET(TblConstr[[#This Row],[Mas]],-12,0),0)+OFFSET(TblConstr[[#This Row],[Tot Mas]],-1,0)-TblConstr[[#This Row],[Dest Mas]]</f>
        <v>0</v>
      </c>
      <c r="BD20" s="198" cm="1">
        <f t="array" aca="1" ref="BD20" ca="1">IF(TblConstr[[#This Row],[Hour]:[Hour]]&gt;12,OFFSET(TblConstr[[#This Row],[Ly]],-12,0),0)+OFFSET(TblConstr[[#This Row],[Tot Ly]],-1,0)-TblConstr[[#This Row],[Dest Ly]]</f>
        <v>20</v>
      </c>
      <c r="BE20" s="198" cm="1">
        <f t="array" aca="1" ref="BE20" ca="1">IF(TblConstr[[#This Row],[Hour]:[Hour]]&gt;12,OFFSET(TblConstr[[#This Row],[Hav]],-12,0),0)+OFFSET(TblConstr[[#This Row],[Tot Hav]],-1,0)-TblConstr[[#This Row],[Dest Hav]]</f>
        <v>0</v>
      </c>
      <c r="BF20" s="392" cm="1">
        <f t="array" aca="1" ref="BF20" ca="1">IF(TblConstr[[#This Row],[Hour]:[Hour]]&gt;12,OFFSET(TblConstr[[#This Row],[OM]],-12,0),0)+OFFSET(TblConstr[[#This Row],[Tot OM]],-1,0)-TblConstr[[#This Row],[Dest OM]]</f>
        <v>0</v>
      </c>
      <c r="BG20" s="392" cm="1">
        <f t="array" aca="1" ref="BG20" ca="1">IF(TblConstr[[#This Row],[Hour]:[Hour]]&gt;12,OFFSET(TblConstr[[#This Row],[GN]],-12,0),0)+OFFSET(TblConstr[[#This Row],[Tot GN]],-1,0)-TblConstr[[#This Row],[Dest GN]]</f>
        <v>0</v>
      </c>
      <c r="BH20" s="396" cm="1">
        <f t="array" aca="1" ref="BH20" ca="1">IF(TblConstr[[#This Row],[Hour]:[Hour]]&gt;12,OFFSET(TblConstr[[#This Row],[Fac]],-12,0),0)+OFFSET(TblConstr[[#This Row],[Tot Fac]],-1,0)-TblConstr[[#This Row],[Dest Fac]]</f>
        <v>0</v>
      </c>
      <c r="BI20" s="396" cm="1">
        <f t="array" aca="1" ref="BI20" ca="1">IF(TblConstr[[#This Row],[Hour]:[Hour]]&gt;12,OFFSET(TblConstr[[#This Row],[GT]],-12,0),0)+OFFSET(TblConstr[[#This Row],[Tot GT]],-1,0)-TblConstr[[#This Row],[Dest GT]]</f>
        <v>0</v>
      </c>
      <c r="BJ20" s="396" cm="1">
        <f t="array" aca="1" ref="BJ20" ca="1">IF(TblConstr[[#This Row],[Hour]:[Hour]]&gt;12,OFFSET(TblConstr[[#This Row],[Bar]],-12,0),0)+OFFSET(TblConstr[[#This Row],[Tot Bar]],-1,0)-TblConstr[[#This Row],[Dest Bar]]</f>
        <v>0</v>
      </c>
      <c r="BK20" s="396" cm="1">
        <f t="array" aca="1" ref="BK20" ca="1">IF(TblConstr[[#This Row],[Hour]:[Hour]]&gt;12,OFFSET(TblConstr[[#This Row],[Shr]],-12,0),0)+OFFSET(TblConstr[[#This Row],[Tot Shr]],-1,0)-TblConstr[[#This Row],[Dest Shr]]</f>
        <v>0</v>
      </c>
      <c r="BL20" s="400" cm="1">
        <f t="array" aca="1" ref="BL20" ca="1">IF(TblConstr[[#This Row],[Hour]:[Hour]]&gt;12,OFFSET(TblConstr[[#This Row],[Tow]],-12,0),0)+OFFSET(TblConstr[[#This Row],[Tot Tow]],-1,0)-TblConstr[[#This Row],[Dest Tow]]</f>
        <v>0</v>
      </c>
      <c r="BM20" s="400" cm="1">
        <f t="array" aca="1" ref="BM20" ca="1">IF(TblConstr[[#This Row],[Hour]:[Hour]]&gt;12,OFFSET(TblConstr[[#This Row],[Tem]],-12,0),0)+OFFSET(TblConstr[[#This Row],[Tot Tem]],-1,0)-TblConstr[[#This Row],[Dest Tem]]</f>
        <v>0</v>
      </c>
      <c r="BN20" s="400" cm="1">
        <f t="array" aca="1" ref="BN20" ca="1">IF(TblConstr[[#This Row],[Hour]:[Hour]]&gt;12,OFFSET(TblConstr[[#This Row],[WG]],-12,0),0)+OFFSET(TblConstr[[#This Row],[Tot WG]],-1,0)-TblConstr[[#This Row],[Dest WG]]</f>
        <v>0</v>
      </c>
      <c r="BO20" s="199" cm="1">
        <f t="array" aca="1" ref="BO20" ca="1">IF(TblConstr[[#This Row],[Hour]:[Hour]]&gt;12,OFFSET(TblConstr[[#This Row],[DM]],-12,0),0)+OFFSET(TblConstr[[#This Row],[Tot DM]],-1,0)-TblConstr[[#This Row],[Dest DM]]</f>
        <v>0</v>
      </c>
      <c r="BP20" s="199" cm="1">
        <f t="array" aca="1" ref="BP20" ca="1">IF(TblConstr[[#This Row],[Hour]:[Hour]]&gt;12,OFFSET(TblConstr[[#This Row],[Sch]],-12,0),0)+OFFSET(TblConstr[[#This Row],[Tot Sch]],-1,0)-TblConstr[[#This Row],[Dest Sch]]</f>
        <v>0</v>
      </c>
      <c r="BQ20" s="200" cm="1">
        <f t="array" aca="1" ref="BQ20" ca="1">IF(TblConstr[[#This Row],[Hour]:[Hour]]&gt;12,OFFSET(TblConstr[[#This Row],[Doc]],-12,0),0)+OFFSET(TblConstr[[#This Row],[Tot Doc]],-1,0)-TblConstr[[#This Row],[Dest Doc]]</f>
        <v>0</v>
      </c>
      <c r="BR20" s="150"/>
      <c r="BS20" s="162"/>
      <c r="BT20" s="97">
        <f ca="1">TblConstr[[#This Row],[Land]]</f>
        <v>250</v>
      </c>
      <c r="BU20" s="167">
        <f ca="1">TblImps[[#This Row],[Time]]</f>
        <v>44811.416666666628</v>
      </c>
      <c r="BV20" s="150"/>
      <c r="BW20" s="187"/>
      <c r="BX20" s="187"/>
      <c r="BY20" s="187"/>
      <c r="BZ20" s="187"/>
      <c r="CA20" s="187"/>
      <c r="CB20" s="187"/>
      <c r="CC20" s="187"/>
      <c r="CD20" s="187"/>
      <c r="CE20" s="187"/>
      <c r="CF20" s="187"/>
      <c r="CG20" s="187"/>
      <c r="CH20" s="187"/>
      <c r="CI20" s="187"/>
      <c r="CJ20" s="187"/>
      <c r="CK20" s="187"/>
      <c r="CL20" s="187"/>
      <c r="CM20" s="187"/>
      <c r="CN20" s="187"/>
      <c r="CO20" s="187"/>
      <c r="CP20" s="150"/>
      <c r="CQ20" s="189">
        <f ca="1">-SUM(TblConstr[[#This Row],[Alc]:[Mas]])+SUM(TblConstr[[#This Row],[Dest Alc]:[Dest Mas]])+Rezone!L20+IF("Ch_"&amp; home_land=TblConstr[[#Headers],[Ch_Plain]],TblConstr[[#This Row],[Home Land]])+IF(TblConstr[[#This Row],[Hour]:[Hour]]&gt;12,OFFSET(TblExplore[[#This Row],[Plains Explore]],-12,0),0)</f>
        <v>0</v>
      </c>
      <c r="CR20" s="190">
        <f ca="1">-SUM(TblConstr[[#This Row],[Ly]:[Hav]])+SUM(TblConstr[[#This Row],[Dest Ly]:[Dest Hav]]) +Rezone!M20 + IF("Ch_"&amp; home_land=TblConstr[[#Headers],[Ch_Forest]],TblConstr[[#This Row],[Home Land]])+IF(TblConstr[[#This Row],[Hour]:[Hour]]&gt;12,OFFSET(TblExplore[[#This Row],[Forest Explore]],-12,0),0)</f>
        <v>0</v>
      </c>
      <c r="CS20" s="390">
        <f ca="1">-SUM(TblConstr[[#This Row],[OM]:[GN]])+SUM(TblConstr[[#This Row],[Dest OM]:[Dest GN]]) +Rezone!N20 + IF("Ch_"&amp; home_land=TblConstr[[#Headers],[Ch_Mountain]],TblConstr[[#This Row],[Home Land]])+IF(TblConstr[[#This Row],[Hour]:[Hour]]&gt;12,OFFSET(TblExplore[[#This Row],[Mountain Explore]],-12,0),0)</f>
        <v>0</v>
      </c>
      <c r="CT20" s="191">
        <f ca="1">-SUM(TblConstr[[#This Row],[Fac]:[Shr]])+SUM(TblConstr[[#This Row],[Dest Fac]:[Dest Shr]]) +Rezone!O20 + IF("Ch_" &amp; home_land=TblConstr[[#Headers],[Ch_Hill]],TblConstr[[#This Row],[Home Land]])+IF(TblConstr[[#This Row],[Hour]:[Hour]]&gt;12,OFFSET(TblExplore[[#This Row],[Hill Explore]],-12,0),0)</f>
        <v>0</v>
      </c>
      <c r="CU20" s="192">
        <f ca="1">-SUM(TblConstr[[#This Row],[Tow]:[WG]])+SUM(TblConstr[[#This Row],[Dest Tow]:[Dest WG]]) +Rezone!P20 + IF("Ch_" &amp; home_land=TblConstr[[#Headers],[Ch_Swamp]],TblConstr[[#This Row],[Home Land]])+IF(TblConstr[[#This Row],[Hour]:[Hour]]&gt;12,OFFSET(TblExplore[[#This Row],[Swamp Explore]],-12,0),0)</f>
        <v>0</v>
      </c>
      <c r="CV20" s="193">
        <f ca="1" xml:space="preserve"> - SUM(TblConstr[[#This Row],[DM]:[Sch]])+SUM(TblConstr[[#This Row],[Dest DM]:[Dest Sch]]) +Rezone!Q20 + IF("Ch_" &amp; home_land=TblConstr[[#Headers],[Ch_Cavern]],TblConstr[[#This Row],[Home Land]])+IF(TblConstr[[#This Row],[Hour]:[Hour]]&gt;12,OFFSET(TblExplore[[#This Row],[Cavern Explore]],-12,0),0)</f>
        <v>0</v>
      </c>
      <c r="CW20" s="194">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50"/>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83">
        <f>TblRezone[[#This Row],[Hour]]</f>
        <v>18</v>
      </c>
      <c r="B21" s="184">
        <f ca="1">SUM(TblConstr[[#This Row],[Plain]:[Water]])</f>
        <v>160</v>
      </c>
      <c r="C21" s="185">
        <f ca="1">SUM(TblConstr[[#This Row],[Tot Hom]:[Tot Doc]])</f>
        <v>90</v>
      </c>
      <c r="D21" s="185">
        <f t="shared" si="2"/>
        <v>0</v>
      </c>
      <c r="E21" s="186"/>
      <c r="F21" s="62">
        <f ca="1">TblConstr[[#This Row],[Barren]]+TblConstr[[#This Row],[Buildings]]+TblConstr[[#This Row],[Incoming]]</f>
        <v>250</v>
      </c>
      <c r="G21" s="195">
        <f ca="1">OFFSET(TblConstr[[#This Row],[Plain]],-1,0)+TblConstr[[#This Row],[Ch_Plain]]</f>
        <v>40</v>
      </c>
      <c r="H21" s="190">
        <f ca="1">OFFSET(TblConstr[[#This Row],[Forest]],-1,0)+TblConstr[[#This Row],[Ch_Forest]]</f>
        <v>20</v>
      </c>
      <c r="I21" s="390">
        <f ca="1">OFFSET(TblConstr[[#This Row],[Mountain]],-1,0)+TblConstr[[#This Row],[Ch_Mountain]]</f>
        <v>20</v>
      </c>
      <c r="J21" s="394">
        <f ca="1">OFFSET(TblConstr[[#This Row],[Hill]],-1,0)+TblConstr[[#This Row],[Ch_Hill]]</f>
        <v>20</v>
      </c>
      <c r="K21" s="398">
        <f ca="1">OFFSET(TblConstr[[#This Row],[Swamp]],-1,0)+TblConstr[[#This Row],[Ch_Swamp]]</f>
        <v>20</v>
      </c>
      <c r="L21" s="193">
        <f ca="1">OFFSET(TblConstr[[#This Row],[Cavern]],-1,0)+TblConstr[[#This Row],[Ch_Cavern]]</f>
        <v>20</v>
      </c>
      <c r="M21" s="194">
        <f ca="1">OFFSET(TblConstr[[#This Row],[Water]],-1,0)+TblConstr[[#This Row],[Ch_Water]]</f>
        <v>20</v>
      </c>
      <c r="N21" s="388">
        <f>TblRezone[[#This Row],[Hour]]</f>
        <v>18</v>
      </c>
      <c r="O21" s="187"/>
      <c r="P21" s="187"/>
      <c r="Q21" s="187"/>
      <c r="R21" s="187"/>
      <c r="S21" s="187"/>
      <c r="T21" s="187"/>
      <c r="U21" s="187"/>
      <c r="V21" s="187"/>
      <c r="W21" s="187"/>
      <c r="X21" s="187"/>
      <c r="Y21" s="187"/>
      <c r="Z21" s="187"/>
      <c r="AA21" s="187"/>
      <c r="AB21" s="187"/>
      <c r="AC21" s="187"/>
      <c r="AD21" s="187"/>
      <c r="AE21" s="187"/>
      <c r="AF21" s="187"/>
      <c r="AG21" s="187"/>
      <c r="AH21" s="53">
        <f ca="1">TblImps[[#This Row],[Time]]</f>
        <v>44811.458333333292</v>
      </c>
      <c r="AI21" s="188">
        <f ca="1">MIN(25%,(TblConstr[[#This Row],[Tot Fac]]+TblConstr[[#This Row],[Dest Fac]])/(TblConstr[[#This Row],[Land]]-TblExplore[[#This Row],[Land Bonus]]*20))</f>
        <v>0</v>
      </c>
      <c r="AJ21" s="188">
        <f ca="1">MIN(25%,(TblConstr[[#This Row],[Tot Fac]]+TblConstr[[#This Row],[Dest Fac]])/TblConstr[[#This Row],[Land]])</f>
        <v>0</v>
      </c>
      <c r="AK21" s="97">
        <f ca="1">TblProd[[#This Row],[Platinum]]</f>
        <v>191511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50"/>
      <c r="AV21" s="97">
        <f ca="1">ROUND((TblConstr[[#This Row],[Land]]-250 - IF(TblExplore[[#This Row],[Land Bonus]]&lt;&gt;0,20,0))*1.25 + 850 + 0,0)</f>
        <v>850</v>
      </c>
      <c r="AW21" s="97">
        <f ca="1">ROUND((TblConstr[[#This Row],[Land]]-250 - IF(TblExplore[[#This Row],[Land Bonus]]&lt;&gt;0,20,0))*0.285 + 87.5 + 0/4.25,0)</f>
        <v>88</v>
      </c>
      <c r="AX21" s="162"/>
      <c r="AY21" s="196" cm="1">
        <f t="array" aca="1" ref="AY21" ca="1">IF(TblConstr[[#This Row],[Hour]:[Hour]]&gt;12,OFFSET(TblConstr[[#This Row],[Hom]],-12,0),0)+OFFSET(TblConstr[[#This Row],[Tot Hom]],-1,0)-TblConstr[[#This Row],[Dest Hom]]</f>
        <v>10</v>
      </c>
      <c r="AZ21" s="197" cm="1">
        <f t="array" aca="1" ref="AZ21" ca="1">IF(TblConstr[[#This Row],[Hour]:[Hour]]&gt;12,OFFSET(TblConstr[[#This Row],[Alc]],-12,0),0)+OFFSET(TblConstr[[#This Row],[Tot Alc]],-1,0)-TblConstr[[#This Row],[Dest Alc]]</f>
        <v>30</v>
      </c>
      <c r="BA21" s="197" cm="1">
        <f t="array" aca="1" ref="BA21" ca="1">IF(TblConstr[[#This Row],[Hour]:[Hour]]&gt;12,OFFSET(TblConstr[[#This Row],[Far]],-12,0),0)+OFFSET(TblConstr[[#This Row],[Tot Farm]],-1,0)-TblConstr[[#This Row],[Dest Farm]]</f>
        <v>30</v>
      </c>
      <c r="BB21" s="197" cm="1">
        <f t="array" aca="1" ref="BB21" ca="1">IF(TblConstr[[#This Row],[Hour]:[Hour]]&gt;12,OFFSET(TblConstr[[#This Row],[Smi]],-12,0),0)+OFFSET(TblConstr[[#This Row],[Tot Smi]],-1,0)-TblConstr[[#This Row],[Dest Smi]]</f>
        <v>0</v>
      </c>
      <c r="BC21" s="197" cm="1">
        <f t="array" aca="1" ref="BC21" ca="1">IF(TblConstr[[#This Row],[Hour]:[Hour]]&gt;12,OFFSET(TblConstr[[#This Row],[Mas]],-12,0),0)+OFFSET(TblConstr[[#This Row],[Tot Mas]],-1,0)-TblConstr[[#This Row],[Dest Mas]]</f>
        <v>0</v>
      </c>
      <c r="BD21" s="198" cm="1">
        <f t="array" aca="1" ref="BD21" ca="1">IF(TblConstr[[#This Row],[Hour]:[Hour]]&gt;12,OFFSET(TblConstr[[#This Row],[Ly]],-12,0),0)+OFFSET(TblConstr[[#This Row],[Tot Ly]],-1,0)-TblConstr[[#This Row],[Dest Ly]]</f>
        <v>20</v>
      </c>
      <c r="BE21" s="198" cm="1">
        <f t="array" aca="1" ref="BE21" ca="1">IF(TblConstr[[#This Row],[Hour]:[Hour]]&gt;12,OFFSET(TblConstr[[#This Row],[Hav]],-12,0),0)+OFFSET(TblConstr[[#This Row],[Tot Hav]],-1,0)-TblConstr[[#This Row],[Dest Hav]]</f>
        <v>0</v>
      </c>
      <c r="BF21" s="392" cm="1">
        <f t="array" aca="1" ref="BF21" ca="1">IF(TblConstr[[#This Row],[Hour]:[Hour]]&gt;12,OFFSET(TblConstr[[#This Row],[OM]],-12,0),0)+OFFSET(TblConstr[[#This Row],[Tot OM]],-1,0)-TblConstr[[#This Row],[Dest OM]]</f>
        <v>0</v>
      </c>
      <c r="BG21" s="392" cm="1">
        <f t="array" aca="1" ref="BG21" ca="1">IF(TblConstr[[#This Row],[Hour]:[Hour]]&gt;12,OFFSET(TblConstr[[#This Row],[GN]],-12,0),0)+OFFSET(TblConstr[[#This Row],[Tot GN]],-1,0)-TblConstr[[#This Row],[Dest GN]]</f>
        <v>0</v>
      </c>
      <c r="BH21" s="396" cm="1">
        <f t="array" aca="1" ref="BH21" ca="1">IF(TblConstr[[#This Row],[Hour]:[Hour]]&gt;12,OFFSET(TblConstr[[#This Row],[Fac]],-12,0),0)+OFFSET(TblConstr[[#This Row],[Tot Fac]],-1,0)-TblConstr[[#This Row],[Dest Fac]]</f>
        <v>0</v>
      </c>
      <c r="BI21" s="396" cm="1">
        <f t="array" aca="1" ref="BI21" ca="1">IF(TblConstr[[#This Row],[Hour]:[Hour]]&gt;12,OFFSET(TblConstr[[#This Row],[GT]],-12,0),0)+OFFSET(TblConstr[[#This Row],[Tot GT]],-1,0)-TblConstr[[#This Row],[Dest GT]]</f>
        <v>0</v>
      </c>
      <c r="BJ21" s="396" cm="1">
        <f t="array" aca="1" ref="BJ21" ca="1">IF(TblConstr[[#This Row],[Hour]:[Hour]]&gt;12,OFFSET(TblConstr[[#This Row],[Bar]],-12,0),0)+OFFSET(TblConstr[[#This Row],[Tot Bar]],-1,0)-TblConstr[[#This Row],[Dest Bar]]</f>
        <v>0</v>
      </c>
      <c r="BK21" s="396" cm="1">
        <f t="array" aca="1" ref="BK21" ca="1">IF(TblConstr[[#This Row],[Hour]:[Hour]]&gt;12,OFFSET(TblConstr[[#This Row],[Shr]],-12,0),0)+OFFSET(TblConstr[[#This Row],[Tot Shr]],-1,0)-TblConstr[[#This Row],[Dest Shr]]</f>
        <v>0</v>
      </c>
      <c r="BL21" s="400" cm="1">
        <f t="array" aca="1" ref="BL21" ca="1">IF(TblConstr[[#This Row],[Hour]:[Hour]]&gt;12,OFFSET(TblConstr[[#This Row],[Tow]],-12,0),0)+OFFSET(TblConstr[[#This Row],[Tot Tow]],-1,0)-TblConstr[[#This Row],[Dest Tow]]</f>
        <v>0</v>
      </c>
      <c r="BM21" s="400" cm="1">
        <f t="array" aca="1" ref="BM21" ca="1">IF(TblConstr[[#This Row],[Hour]:[Hour]]&gt;12,OFFSET(TblConstr[[#This Row],[Tem]],-12,0),0)+OFFSET(TblConstr[[#This Row],[Tot Tem]],-1,0)-TblConstr[[#This Row],[Dest Tem]]</f>
        <v>0</v>
      </c>
      <c r="BN21" s="400" cm="1">
        <f t="array" aca="1" ref="BN21" ca="1">IF(TblConstr[[#This Row],[Hour]:[Hour]]&gt;12,OFFSET(TblConstr[[#This Row],[WG]],-12,0),0)+OFFSET(TblConstr[[#This Row],[Tot WG]],-1,0)-TblConstr[[#This Row],[Dest WG]]</f>
        <v>0</v>
      </c>
      <c r="BO21" s="199" cm="1">
        <f t="array" aca="1" ref="BO21" ca="1">IF(TblConstr[[#This Row],[Hour]:[Hour]]&gt;12,OFFSET(TblConstr[[#This Row],[DM]],-12,0),0)+OFFSET(TblConstr[[#This Row],[Tot DM]],-1,0)-TblConstr[[#This Row],[Dest DM]]</f>
        <v>0</v>
      </c>
      <c r="BP21" s="199" cm="1">
        <f t="array" aca="1" ref="BP21" ca="1">IF(TblConstr[[#This Row],[Hour]:[Hour]]&gt;12,OFFSET(TblConstr[[#This Row],[Sch]],-12,0),0)+OFFSET(TblConstr[[#This Row],[Tot Sch]],-1,0)-TblConstr[[#This Row],[Dest Sch]]</f>
        <v>0</v>
      </c>
      <c r="BQ21" s="200" cm="1">
        <f t="array" aca="1" ref="BQ21" ca="1">IF(TblConstr[[#This Row],[Hour]:[Hour]]&gt;12,OFFSET(TblConstr[[#This Row],[Doc]],-12,0),0)+OFFSET(TblConstr[[#This Row],[Tot Doc]],-1,0)-TblConstr[[#This Row],[Dest Doc]]</f>
        <v>0</v>
      </c>
      <c r="BR21" s="150"/>
      <c r="BS21" s="162"/>
      <c r="BT21" s="97">
        <f ca="1">TblConstr[[#This Row],[Land]]</f>
        <v>250</v>
      </c>
      <c r="BU21" s="167">
        <f ca="1">TblImps[[#This Row],[Time]]</f>
        <v>44811.458333333292</v>
      </c>
      <c r="BV21" s="150"/>
      <c r="BW21" s="187"/>
      <c r="BX21" s="187"/>
      <c r="BY21" s="187"/>
      <c r="BZ21" s="187"/>
      <c r="CA21" s="187"/>
      <c r="CB21" s="187"/>
      <c r="CC21" s="187"/>
      <c r="CD21" s="187"/>
      <c r="CE21" s="187"/>
      <c r="CF21" s="187"/>
      <c r="CG21" s="187"/>
      <c r="CH21" s="187"/>
      <c r="CI21" s="187"/>
      <c r="CJ21" s="187"/>
      <c r="CK21" s="187"/>
      <c r="CL21" s="187"/>
      <c r="CM21" s="187"/>
      <c r="CN21" s="187"/>
      <c r="CO21" s="187"/>
      <c r="CP21" s="150"/>
      <c r="CQ21" s="189">
        <f ca="1">-SUM(TblConstr[[#This Row],[Alc]:[Mas]])+SUM(TblConstr[[#This Row],[Dest Alc]:[Dest Mas]])+Rezone!L21+IF("Ch_"&amp; home_land=TblConstr[[#Headers],[Ch_Plain]],TblConstr[[#This Row],[Home Land]])+IF(TblConstr[[#This Row],[Hour]:[Hour]]&gt;12,OFFSET(TblExplore[[#This Row],[Plains Explore]],-12,0),0)</f>
        <v>0</v>
      </c>
      <c r="CR21" s="190">
        <f ca="1">-SUM(TblConstr[[#This Row],[Ly]:[Hav]])+SUM(TblConstr[[#This Row],[Dest Ly]:[Dest Hav]]) +Rezone!M21 + IF("Ch_"&amp; home_land=TblConstr[[#Headers],[Ch_Forest]],TblConstr[[#This Row],[Home Land]])+IF(TblConstr[[#This Row],[Hour]:[Hour]]&gt;12,OFFSET(TblExplore[[#This Row],[Forest Explore]],-12,0),0)</f>
        <v>0</v>
      </c>
      <c r="CS21" s="390">
        <f ca="1">-SUM(TblConstr[[#This Row],[OM]:[GN]])+SUM(TblConstr[[#This Row],[Dest OM]:[Dest GN]]) +Rezone!N21 + IF("Ch_"&amp; home_land=TblConstr[[#Headers],[Ch_Mountain]],TblConstr[[#This Row],[Home Land]])+IF(TblConstr[[#This Row],[Hour]:[Hour]]&gt;12,OFFSET(TblExplore[[#This Row],[Mountain Explore]],-12,0),0)</f>
        <v>0</v>
      </c>
      <c r="CT21" s="191">
        <f ca="1">-SUM(TblConstr[[#This Row],[Fac]:[Shr]])+SUM(TblConstr[[#This Row],[Dest Fac]:[Dest Shr]]) +Rezone!O21 + IF("Ch_" &amp; home_land=TblConstr[[#Headers],[Ch_Hill]],TblConstr[[#This Row],[Home Land]])+IF(TblConstr[[#This Row],[Hour]:[Hour]]&gt;12,OFFSET(TblExplore[[#This Row],[Hill Explore]],-12,0),0)</f>
        <v>0</v>
      </c>
      <c r="CU21" s="192">
        <f ca="1">-SUM(TblConstr[[#This Row],[Tow]:[WG]])+SUM(TblConstr[[#This Row],[Dest Tow]:[Dest WG]]) +Rezone!P21 + IF("Ch_" &amp; home_land=TblConstr[[#Headers],[Ch_Swamp]],TblConstr[[#This Row],[Home Land]])+IF(TblConstr[[#This Row],[Hour]:[Hour]]&gt;12,OFFSET(TblExplore[[#This Row],[Swamp Explore]],-12,0),0)</f>
        <v>0</v>
      </c>
      <c r="CV21" s="193">
        <f ca="1" xml:space="preserve"> - SUM(TblConstr[[#This Row],[DM]:[Sch]])+SUM(TblConstr[[#This Row],[Dest DM]:[Dest Sch]]) +Rezone!Q21 + IF("Ch_" &amp; home_land=TblConstr[[#Headers],[Ch_Cavern]],TblConstr[[#This Row],[Home Land]])+IF(TblConstr[[#This Row],[Hour]:[Hour]]&gt;12,OFFSET(TblExplore[[#This Row],[Cavern Explore]],-12,0),0)</f>
        <v>0</v>
      </c>
      <c r="CW21" s="194">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50"/>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83">
        <f>TblRezone[[#This Row],[Hour]]</f>
        <v>19</v>
      </c>
      <c r="B22" s="184">
        <f ca="1">SUM(TblConstr[[#This Row],[Plain]:[Water]])</f>
        <v>160</v>
      </c>
      <c r="C22" s="185">
        <f ca="1">SUM(TblConstr[[#This Row],[Tot Hom]:[Tot Doc]])</f>
        <v>90</v>
      </c>
      <c r="D22" s="185">
        <f t="shared" si="2"/>
        <v>0</v>
      </c>
      <c r="E22" s="186"/>
      <c r="F22" s="62">
        <f ca="1">TblConstr[[#This Row],[Barren]]+TblConstr[[#This Row],[Buildings]]+TblConstr[[#This Row],[Incoming]]</f>
        <v>250</v>
      </c>
      <c r="G22" s="195">
        <f ca="1">OFFSET(TblConstr[[#This Row],[Plain]],-1,0)+TblConstr[[#This Row],[Ch_Plain]]</f>
        <v>40</v>
      </c>
      <c r="H22" s="190">
        <f ca="1">OFFSET(TblConstr[[#This Row],[Forest]],-1,0)+TblConstr[[#This Row],[Ch_Forest]]</f>
        <v>20</v>
      </c>
      <c r="I22" s="390">
        <f ca="1">OFFSET(TblConstr[[#This Row],[Mountain]],-1,0)+TblConstr[[#This Row],[Ch_Mountain]]</f>
        <v>20</v>
      </c>
      <c r="J22" s="394">
        <f ca="1">OFFSET(TblConstr[[#This Row],[Hill]],-1,0)+TblConstr[[#This Row],[Ch_Hill]]</f>
        <v>20</v>
      </c>
      <c r="K22" s="398">
        <f ca="1">OFFSET(TblConstr[[#This Row],[Swamp]],-1,0)+TblConstr[[#This Row],[Ch_Swamp]]</f>
        <v>20</v>
      </c>
      <c r="L22" s="193">
        <f ca="1">OFFSET(TblConstr[[#This Row],[Cavern]],-1,0)+TblConstr[[#This Row],[Ch_Cavern]]</f>
        <v>20</v>
      </c>
      <c r="M22" s="194">
        <f ca="1">OFFSET(TblConstr[[#This Row],[Water]],-1,0)+TblConstr[[#This Row],[Ch_Water]]</f>
        <v>20</v>
      </c>
      <c r="N22" s="388">
        <f>TblRezone[[#This Row],[Hour]]</f>
        <v>19</v>
      </c>
      <c r="O22" s="187"/>
      <c r="P22" s="187"/>
      <c r="Q22" s="187"/>
      <c r="R22" s="187"/>
      <c r="S22" s="187"/>
      <c r="T22" s="187"/>
      <c r="U22" s="187"/>
      <c r="V22" s="187"/>
      <c r="W22" s="187"/>
      <c r="X22" s="187"/>
      <c r="Y22" s="187"/>
      <c r="Z22" s="187"/>
      <c r="AA22" s="187"/>
      <c r="AB22" s="187"/>
      <c r="AC22" s="187"/>
      <c r="AD22" s="187"/>
      <c r="AE22" s="187"/>
      <c r="AF22" s="187"/>
      <c r="AG22" s="187"/>
      <c r="AH22" s="53">
        <f ca="1">TblImps[[#This Row],[Time]]</f>
        <v>44811.499999999956</v>
      </c>
      <c r="AI22" s="188">
        <f ca="1">MIN(25%,(TblConstr[[#This Row],[Tot Fac]]+TblConstr[[#This Row],[Dest Fac]])/(TblConstr[[#This Row],[Land]]-TblExplore[[#This Row],[Land Bonus]]*20))</f>
        <v>0</v>
      </c>
      <c r="AJ22" s="188">
        <f ca="1">MIN(25%,(TblConstr[[#This Row],[Tot Fac]]+TblConstr[[#This Row],[Dest Fac]])/TblConstr[[#This Row],[Land]])</f>
        <v>0</v>
      </c>
      <c r="AK22" s="97">
        <f ca="1">TblProd[[#This Row],[Platinum]]</f>
        <v>197181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50"/>
      <c r="AV22" s="97">
        <f ca="1">ROUND((TblConstr[[#This Row],[Land]]-250 - IF(TblExplore[[#This Row],[Land Bonus]]&lt;&gt;0,20,0))*1.25 + 850 + 0,0)</f>
        <v>850</v>
      </c>
      <c r="AW22" s="97">
        <f ca="1">ROUND((TblConstr[[#This Row],[Land]]-250 - IF(TblExplore[[#This Row],[Land Bonus]]&lt;&gt;0,20,0))*0.285 + 87.5 + 0/4.25,0)</f>
        <v>88</v>
      </c>
      <c r="AX22" s="162"/>
      <c r="AY22" s="196" cm="1">
        <f t="array" aca="1" ref="AY22" ca="1">IF(TblConstr[[#This Row],[Hour]:[Hour]]&gt;12,OFFSET(TblConstr[[#This Row],[Hom]],-12,0),0)+OFFSET(TblConstr[[#This Row],[Tot Hom]],-1,0)-TblConstr[[#This Row],[Dest Hom]]</f>
        <v>10</v>
      </c>
      <c r="AZ22" s="197" cm="1">
        <f t="array" aca="1" ref="AZ22" ca="1">IF(TblConstr[[#This Row],[Hour]:[Hour]]&gt;12,OFFSET(TblConstr[[#This Row],[Alc]],-12,0),0)+OFFSET(TblConstr[[#This Row],[Tot Alc]],-1,0)-TblConstr[[#This Row],[Dest Alc]]</f>
        <v>30</v>
      </c>
      <c r="BA22" s="197" cm="1">
        <f t="array" aca="1" ref="BA22" ca="1">IF(TblConstr[[#This Row],[Hour]:[Hour]]&gt;12,OFFSET(TblConstr[[#This Row],[Far]],-12,0),0)+OFFSET(TblConstr[[#This Row],[Tot Farm]],-1,0)-TblConstr[[#This Row],[Dest Farm]]</f>
        <v>30</v>
      </c>
      <c r="BB22" s="197" cm="1">
        <f t="array" aca="1" ref="BB22" ca="1">IF(TblConstr[[#This Row],[Hour]:[Hour]]&gt;12,OFFSET(TblConstr[[#This Row],[Smi]],-12,0),0)+OFFSET(TblConstr[[#This Row],[Tot Smi]],-1,0)-TblConstr[[#This Row],[Dest Smi]]</f>
        <v>0</v>
      </c>
      <c r="BC22" s="197" cm="1">
        <f t="array" aca="1" ref="BC22" ca="1">IF(TblConstr[[#This Row],[Hour]:[Hour]]&gt;12,OFFSET(TblConstr[[#This Row],[Mas]],-12,0),0)+OFFSET(TblConstr[[#This Row],[Tot Mas]],-1,0)-TblConstr[[#This Row],[Dest Mas]]</f>
        <v>0</v>
      </c>
      <c r="BD22" s="198" cm="1">
        <f t="array" aca="1" ref="BD22" ca="1">IF(TblConstr[[#This Row],[Hour]:[Hour]]&gt;12,OFFSET(TblConstr[[#This Row],[Ly]],-12,0),0)+OFFSET(TblConstr[[#This Row],[Tot Ly]],-1,0)-TblConstr[[#This Row],[Dest Ly]]</f>
        <v>20</v>
      </c>
      <c r="BE22" s="198" cm="1">
        <f t="array" aca="1" ref="BE22" ca="1">IF(TblConstr[[#This Row],[Hour]:[Hour]]&gt;12,OFFSET(TblConstr[[#This Row],[Hav]],-12,0),0)+OFFSET(TblConstr[[#This Row],[Tot Hav]],-1,0)-TblConstr[[#This Row],[Dest Hav]]</f>
        <v>0</v>
      </c>
      <c r="BF22" s="392" cm="1">
        <f t="array" aca="1" ref="BF22" ca="1">IF(TblConstr[[#This Row],[Hour]:[Hour]]&gt;12,OFFSET(TblConstr[[#This Row],[OM]],-12,0),0)+OFFSET(TblConstr[[#This Row],[Tot OM]],-1,0)-TblConstr[[#This Row],[Dest OM]]</f>
        <v>0</v>
      </c>
      <c r="BG22" s="392" cm="1">
        <f t="array" aca="1" ref="BG22" ca="1">IF(TblConstr[[#This Row],[Hour]:[Hour]]&gt;12,OFFSET(TblConstr[[#This Row],[GN]],-12,0),0)+OFFSET(TblConstr[[#This Row],[Tot GN]],-1,0)-TblConstr[[#This Row],[Dest GN]]</f>
        <v>0</v>
      </c>
      <c r="BH22" s="396" cm="1">
        <f t="array" aca="1" ref="BH22" ca="1">IF(TblConstr[[#This Row],[Hour]:[Hour]]&gt;12,OFFSET(TblConstr[[#This Row],[Fac]],-12,0),0)+OFFSET(TblConstr[[#This Row],[Tot Fac]],-1,0)-TblConstr[[#This Row],[Dest Fac]]</f>
        <v>0</v>
      </c>
      <c r="BI22" s="396" cm="1">
        <f t="array" aca="1" ref="BI22" ca="1">IF(TblConstr[[#This Row],[Hour]:[Hour]]&gt;12,OFFSET(TblConstr[[#This Row],[GT]],-12,0),0)+OFFSET(TblConstr[[#This Row],[Tot GT]],-1,0)-TblConstr[[#This Row],[Dest GT]]</f>
        <v>0</v>
      </c>
      <c r="BJ22" s="396" cm="1">
        <f t="array" aca="1" ref="BJ22" ca="1">IF(TblConstr[[#This Row],[Hour]:[Hour]]&gt;12,OFFSET(TblConstr[[#This Row],[Bar]],-12,0),0)+OFFSET(TblConstr[[#This Row],[Tot Bar]],-1,0)-TblConstr[[#This Row],[Dest Bar]]</f>
        <v>0</v>
      </c>
      <c r="BK22" s="396" cm="1">
        <f t="array" aca="1" ref="BK22" ca="1">IF(TblConstr[[#This Row],[Hour]:[Hour]]&gt;12,OFFSET(TblConstr[[#This Row],[Shr]],-12,0),0)+OFFSET(TblConstr[[#This Row],[Tot Shr]],-1,0)-TblConstr[[#This Row],[Dest Shr]]</f>
        <v>0</v>
      </c>
      <c r="BL22" s="400" cm="1">
        <f t="array" aca="1" ref="BL22" ca="1">IF(TblConstr[[#This Row],[Hour]:[Hour]]&gt;12,OFFSET(TblConstr[[#This Row],[Tow]],-12,0),0)+OFFSET(TblConstr[[#This Row],[Tot Tow]],-1,0)-TblConstr[[#This Row],[Dest Tow]]</f>
        <v>0</v>
      </c>
      <c r="BM22" s="400" cm="1">
        <f t="array" aca="1" ref="BM22" ca="1">IF(TblConstr[[#This Row],[Hour]:[Hour]]&gt;12,OFFSET(TblConstr[[#This Row],[Tem]],-12,0),0)+OFFSET(TblConstr[[#This Row],[Tot Tem]],-1,0)-TblConstr[[#This Row],[Dest Tem]]</f>
        <v>0</v>
      </c>
      <c r="BN22" s="400" cm="1">
        <f t="array" aca="1" ref="BN22" ca="1">IF(TblConstr[[#This Row],[Hour]:[Hour]]&gt;12,OFFSET(TblConstr[[#This Row],[WG]],-12,0),0)+OFFSET(TblConstr[[#This Row],[Tot WG]],-1,0)-TblConstr[[#This Row],[Dest WG]]</f>
        <v>0</v>
      </c>
      <c r="BO22" s="199" cm="1">
        <f t="array" aca="1" ref="BO22" ca="1">IF(TblConstr[[#This Row],[Hour]:[Hour]]&gt;12,OFFSET(TblConstr[[#This Row],[DM]],-12,0),0)+OFFSET(TblConstr[[#This Row],[Tot DM]],-1,0)-TblConstr[[#This Row],[Dest DM]]</f>
        <v>0</v>
      </c>
      <c r="BP22" s="199" cm="1">
        <f t="array" aca="1" ref="BP22" ca="1">IF(TblConstr[[#This Row],[Hour]:[Hour]]&gt;12,OFFSET(TblConstr[[#This Row],[Sch]],-12,0),0)+OFFSET(TblConstr[[#This Row],[Tot Sch]],-1,0)-TblConstr[[#This Row],[Dest Sch]]</f>
        <v>0</v>
      </c>
      <c r="BQ22" s="200" cm="1">
        <f t="array" aca="1" ref="BQ22" ca="1">IF(TblConstr[[#This Row],[Hour]:[Hour]]&gt;12,OFFSET(TblConstr[[#This Row],[Doc]],-12,0),0)+OFFSET(TblConstr[[#This Row],[Tot Doc]],-1,0)-TblConstr[[#This Row],[Dest Doc]]</f>
        <v>0</v>
      </c>
      <c r="BR22" s="150"/>
      <c r="BS22" s="162"/>
      <c r="BT22" s="97">
        <f ca="1">TblConstr[[#This Row],[Land]]</f>
        <v>250</v>
      </c>
      <c r="BU22" s="167">
        <f ca="1">TblImps[[#This Row],[Time]]</f>
        <v>44811.499999999956</v>
      </c>
      <c r="BV22" s="150"/>
      <c r="BW22" s="187"/>
      <c r="BX22" s="187"/>
      <c r="BY22" s="187"/>
      <c r="BZ22" s="187"/>
      <c r="CA22" s="187"/>
      <c r="CB22" s="187"/>
      <c r="CC22" s="187"/>
      <c r="CD22" s="187"/>
      <c r="CE22" s="187"/>
      <c r="CF22" s="187"/>
      <c r="CG22" s="187"/>
      <c r="CH22" s="187"/>
      <c r="CI22" s="187"/>
      <c r="CJ22" s="187"/>
      <c r="CK22" s="187"/>
      <c r="CL22" s="187"/>
      <c r="CM22" s="187"/>
      <c r="CN22" s="187"/>
      <c r="CO22" s="187"/>
      <c r="CP22" s="150"/>
      <c r="CQ22" s="189">
        <f ca="1">-SUM(TblConstr[[#This Row],[Alc]:[Mas]])+SUM(TblConstr[[#This Row],[Dest Alc]:[Dest Mas]])+Rezone!L22+IF("Ch_"&amp; home_land=TblConstr[[#Headers],[Ch_Plain]],TblConstr[[#This Row],[Home Land]])+IF(TblConstr[[#This Row],[Hour]:[Hour]]&gt;12,OFFSET(TblExplore[[#This Row],[Plains Explore]],-12,0),0)</f>
        <v>0</v>
      </c>
      <c r="CR22" s="190">
        <f ca="1">-SUM(TblConstr[[#This Row],[Ly]:[Hav]])+SUM(TblConstr[[#This Row],[Dest Ly]:[Dest Hav]]) +Rezone!M22 + IF("Ch_"&amp; home_land=TblConstr[[#Headers],[Ch_Forest]],TblConstr[[#This Row],[Home Land]])+IF(TblConstr[[#This Row],[Hour]:[Hour]]&gt;12,OFFSET(TblExplore[[#This Row],[Forest Explore]],-12,0),0)</f>
        <v>0</v>
      </c>
      <c r="CS22" s="390">
        <f ca="1">-SUM(TblConstr[[#This Row],[OM]:[GN]])+SUM(TblConstr[[#This Row],[Dest OM]:[Dest GN]]) +Rezone!N22 + IF("Ch_"&amp; home_land=TblConstr[[#Headers],[Ch_Mountain]],TblConstr[[#This Row],[Home Land]])+IF(TblConstr[[#This Row],[Hour]:[Hour]]&gt;12,OFFSET(TblExplore[[#This Row],[Mountain Explore]],-12,0),0)</f>
        <v>0</v>
      </c>
      <c r="CT22" s="191">
        <f ca="1">-SUM(TblConstr[[#This Row],[Fac]:[Shr]])+SUM(TblConstr[[#This Row],[Dest Fac]:[Dest Shr]]) +Rezone!O22 + IF("Ch_" &amp; home_land=TblConstr[[#Headers],[Ch_Hill]],TblConstr[[#This Row],[Home Land]])+IF(TblConstr[[#This Row],[Hour]:[Hour]]&gt;12,OFFSET(TblExplore[[#This Row],[Hill Explore]],-12,0),0)</f>
        <v>0</v>
      </c>
      <c r="CU22" s="192">
        <f ca="1">-SUM(TblConstr[[#This Row],[Tow]:[WG]])+SUM(TblConstr[[#This Row],[Dest Tow]:[Dest WG]]) +Rezone!P22 + IF("Ch_" &amp; home_land=TblConstr[[#Headers],[Ch_Swamp]],TblConstr[[#This Row],[Home Land]])+IF(TblConstr[[#This Row],[Hour]:[Hour]]&gt;12,OFFSET(TblExplore[[#This Row],[Swamp Explore]],-12,0),0)</f>
        <v>0</v>
      </c>
      <c r="CV22" s="193">
        <f ca="1" xml:space="preserve"> - SUM(TblConstr[[#This Row],[DM]:[Sch]])+SUM(TblConstr[[#This Row],[Dest DM]:[Dest Sch]]) +Rezone!Q22 + IF("Ch_" &amp; home_land=TblConstr[[#Headers],[Ch_Cavern]],TblConstr[[#This Row],[Home Land]])+IF(TblConstr[[#This Row],[Hour]:[Hour]]&gt;12,OFFSET(TblExplore[[#This Row],[Cavern Explore]],-12,0),0)</f>
        <v>0</v>
      </c>
      <c r="CW22" s="194">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50"/>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83">
        <f>TblRezone[[#This Row],[Hour]]</f>
        <v>20</v>
      </c>
      <c r="B23" s="184">
        <f ca="1">SUM(TblConstr[[#This Row],[Plain]:[Water]])</f>
        <v>160</v>
      </c>
      <c r="C23" s="185">
        <f ca="1">SUM(TblConstr[[#This Row],[Tot Hom]:[Tot Doc]])</f>
        <v>90</v>
      </c>
      <c r="D23" s="185">
        <f t="shared" si="2"/>
        <v>0</v>
      </c>
      <c r="E23" s="186"/>
      <c r="F23" s="62">
        <f ca="1">TblConstr[[#This Row],[Barren]]+TblConstr[[#This Row],[Buildings]]+TblConstr[[#This Row],[Incoming]]</f>
        <v>250</v>
      </c>
      <c r="G23" s="195">
        <f ca="1">OFFSET(TblConstr[[#This Row],[Plain]],-1,0)+TblConstr[[#This Row],[Ch_Plain]]</f>
        <v>40</v>
      </c>
      <c r="H23" s="190">
        <f ca="1">OFFSET(TblConstr[[#This Row],[Forest]],-1,0)+TblConstr[[#This Row],[Ch_Forest]]</f>
        <v>20</v>
      </c>
      <c r="I23" s="390">
        <f ca="1">OFFSET(TblConstr[[#This Row],[Mountain]],-1,0)+TblConstr[[#This Row],[Ch_Mountain]]</f>
        <v>20</v>
      </c>
      <c r="J23" s="394">
        <f ca="1">OFFSET(TblConstr[[#This Row],[Hill]],-1,0)+TblConstr[[#This Row],[Ch_Hill]]</f>
        <v>20</v>
      </c>
      <c r="K23" s="398">
        <f ca="1">OFFSET(TblConstr[[#This Row],[Swamp]],-1,0)+TblConstr[[#This Row],[Ch_Swamp]]</f>
        <v>20</v>
      </c>
      <c r="L23" s="193">
        <f ca="1">OFFSET(TblConstr[[#This Row],[Cavern]],-1,0)+TblConstr[[#This Row],[Ch_Cavern]]</f>
        <v>20</v>
      </c>
      <c r="M23" s="194">
        <f ca="1">OFFSET(TblConstr[[#This Row],[Water]],-1,0)+TblConstr[[#This Row],[Ch_Water]]</f>
        <v>20</v>
      </c>
      <c r="N23" s="388">
        <f>TblRezone[[#This Row],[Hour]]</f>
        <v>20</v>
      </c>
      <c r="O23" s="187"/>
      <c r="P23" s="187"/>
      <c r="Q23" s="187"/>
      <c r="R23" s="187"/>
      <c r="S23" s="187"/>
      <c r="T23" s="187"/>
      <c r="U23" s="187"/>
      <c r="V23" s="187"/>
      <c r="W23" s="187"/>
      <c r="X23" s="187"/>
      <c r="Y23" s="187"/>
      <c r="Z23" s="187"/>
      <c r="AA23" s="187"/>
      <c r="AB23" s="187"/>
      <c r="AC23" s="187"/>
      <c r="AD23" s="187"/>
      <c r="AE23" s="187"/>
      <c r="AF23" s="187"/>
      <c r="AG23" s="187"/>
      <c r="AH23" s="53">
        <f ca="1">TblImps[[#This Row],[Time]]</f>
        <v>44811.541666666621</v>
      </c>
      <c r="AI23" s="188">
        <f ca="1">MIN(25%,(TblConstr[[#This Row],[Tot Fac]]+TblConstr[[#This Row],[Dest Fac]])/(TblConstr[[#This Row],[Land]]-TblExplore[[#This Row],[Land Bonus]]*20))</f>
        <v>0</v>
      </c>
      <c r="AJ23" s="188">
        <f ca="1">MIN(25%,(TblConstr[[#This Row],[Tot Fac]]+TblConstr[[#This Row],[Dest Fac]])/TblConstr[[#This Row],[Land]])</f>
        <v>0</v>
      </c>
      <c r="AK23" s="97">
        <f ca="1">TblProd[[#This Row],[Platinum]]</f>
        <v>202851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50"/>
      <c r="AV23" s="97">
        <f ca="1">ROUND((TblConstr[[#This Row],[Land]]-250 - IF(TblExplore[[#This Row],[Land Bonus]]&lt;&gt;0,20,0))*1.25 + 850 + 0,0)</f>
        <v>850</v>
      </c>
      <c r="AW23" s="97">
        <f ca="1">ROUND((TblConstr[[#This Row],[Land]]-250 - IF(TblExplore[[#This Row],[Land Bonus]]&lt;&gt;0,20,0))*0.285 + 87.5 + 0/4.25,0)</f>
        <v>88</v>
      </c>
      <c r="AX23" s="162"/>
      <c r="AY23" s="196" cm="1">
        <f t="array" aca="1" ref="AY23" ca="1">IF(TblConstr[[#This Row],[Hour]:[Hour]]&gt;12,OFFSET(TblConstr[[#This Row],[Hom]],-12,0),0)+OFFSET(TblConstr[[#This Row],[Tot Hom]],-1,0)-TblConstr[[#This Row],[Dest Hom]]</f>
        <v>10</v>
      </c>
      <c r="AZ23" s="197" cm="1">
        <f t="array" aca="1" ref="AZ23" ca="1">IF(TblConstr[[#This Row],[Hour]:[Hour]]&gt;12,OFFSET(TblConstr[[#This Row],[Alc]],-12,0),0)+OFFSET(TblConstr[[#This Row],[Tot Alc]],-1,0)-TblConstr[[#This Row],[Dest Alc]]</f>
        <v>30</v>
      </c>
      <c r="BA23" s="197" cm="1">
        <f t="array" aca="1" ref="BA23" ca="1">IF(TblConstr[[#This Row],[Hour]:[Hour]]&gt;12,OFFSET(TblConstr[[#This Row],[Far]],-12,0),0)+OFFSET(TblConstr[[#This Row],[Tot Farm]],-1,0)-TblConstr[[#This Row],[Dest Farm]]</f>
        <v>30</v>
      </c>
      <c r="BB23" s="197" cm="1">
        <f t="array" aca="1" ref="BB23" ca="1">IF(TblConstr[[#This Row],[Hour]:[Hour]]&gt;12,OFFSET(TblConstr[[#This Row],[Smi]],-12,0),0)+OFFSET(TblConstr[[#This Row],[Tot Smi]],-1,0)-TblConstr[[#This Row],[Dest Smi]]</f>
        <v>0</v>
      </c>
      <c r="BC23" s="197" cm="1">
        <f t="array" aca="1" ref="BC23" ca="1">IF(TblConstr[[#This Row],[Hour]:[Hour]]&gt;12,OFFSET(TblConstr[[#This Row],[Mas]],-12,0),0)+OFFSET(TblConstr[[#This Row],[Tot Mas]],-1,0)-TblConstr[[#This Row],[Dest Mas]]</f>
        <v>0</v>
      </c>
      <c r="BD23" s="198" cm="1">
        <f t="array" aca="1" ref="BD23" ca="1">IF(TblConstr[[#This Row],[Hour]:[Hour]]&gt;12,OFFSET(TblConstr[[#This Row],[Ly]],-12,0),0)+OFFSET(TblConstr[[#This Row],[Tot Ly]],-1,0)-TblConstr[[#This Row],[Dest Ly]]</f>
        <v>20</v>
      </c>
      <c r="BE23" s="198" cm="1">
        <f t="array" aca="1" ref="BE23" ca="1">IF(TblConstr[[#This Row],[Hour]:[Hour]]&gt;12,OFFSET(TblConstr[[#This Row],[Hav]],-12,0),0)+OFFSET(TblConstr[[#This Row],[Tot Hav]],-1,0)-TblConstr[[#This Row],[Dest Hav]]</f>
        <v>0</v>
      </c>
      <c r="BF23" s="392" cm="1">
        <f t="array" aca="1" ref="BF23" ca="1">IF(TblConstr[[#This Row],[Hour]:[Hour]]&gt;12,OFFSET(TblConstr[[#This Row],[OM]],-12,0),0)+OFFSET(TblConstr[[#This Row],[Tot OM]],-1,0)-TblConstr[[#This Row],[Dest OM]]</f>
        <v>0</v>
      </c>
      <c r="BG23" s="392" cm="1">
        <f t="array" aca="1" ref="BG23" ca="1">IF(TblConstr[[#This Row],[Hour]:[Hour]]&gt;12,OFFSET(TblConstr[[#This Row],[GN]],-12,0),0)+OFFSET(TblConstr[[#This Row],[Tot GN]],-1,0)-TblConstr[[#This Row],[Dest GN]]</f>
        <v>0</v>
      </c>
      <c r="BH23" s="396" cm="1">
        <f t="array" aca="1" ref="BH23" ca="1">IF(TblConstr[[#This Row],[Hour]:[Hour]]&gt;12,OFFSET(TblConstr[[#This Row],[Fac]],-12,0),0)+OFFSET(TblConstr[[#This Row],[Tot Fac]],-1,0)-TblConstr[[#This Row],[Dest Fac]]</f>
        <v>0</v>
      </c>
      <c r="BI23" s="396" cm="1">
        <f t="array" aca="1" ref="BI23" ca="1">IF(TblConstr[[#This Row],[Hour]:[Hour]]&gt;12,OFFSET(TblConstr[[#This Row],[GT]],-12,0),0)+OFFSET(TblConstr[[#This Row],[Tot GT]],-1,0)-TblConstr[[#This Row],[Dest GT]]</f>
        <v>0</v>
      </c>
      <c r="BJ23" s="396" cm="1">
        <f t="array" aca="1" ref="BJ23" ca="1">IF(TblConstr[[#This Row],[Hour]:[Hour]]&gt;12,OFFSET(TblConstr[[#This Row],[Bar]],-12,0),0)+OFFSET(TblConstr[[#This Row],[Tot Bar]],-1,0)-TblConstr[[#This Row],[Dest Bar]]</f>
        <v>0</v>
      </c>
      <c r="BK23" s="396" cm="1">
        <f t="array" aca="1" ref="BK23" ca="1">IF(TblConstr[[#This Row],[Hour]:[Hour]]&gt;12,OFFSET(TblConstr[[#This Row],[Shr]],-12,0),0)+OFFSET(TblConstr[[#This Row],[Tot Shr]],-1,0)-TblConstr[[#This Row],[Dest Shr]]</f>
        <v>0</v>
      </c>
      <c r="BL23" s="400" cm="1">
        <f t="array" aca="1" ref="BL23" ca="1">IF(TblConstr[[#This Row],[Hour]:[Hour]]&gt;12,OFFSET(TblConstr[[#This Row],[Tow]],-12,0),0)+OFFSET(TblConstr[[#This Row],[Tot Tow]],-1,0)-TblConstr[[#This Row],[Dest Tow]]</f>
        <v>0</v>
      </c>
      <c r="BM23" s="400" cm="1">
        <f t="array" aca="1" ref="BM23" ca="1">IF(TblConstr[[#This Row],[Hour]:[Hour]]&gt;12,OFFSET(TblConstr[[#This Row],[Tem]],-12,0),0)+OFFSET(TblConstr[[#This Row],[Tot Tem]],-1,0)-TblConstr[[#This Row],[Dest Tem]]</f>
        <v>0</v>
      </c>
      <c r="BN23" s="400" cm="1">
        <f t="array" aca="1" ref="BN23" ca="1">IF(TblConstr[[#This Row],[Hour]:[Hour]]&gt;12,OFFSET(TblConstr[[#This Row],[WG]],-12,0),0)+OFFSET(TblConstr[[#This Row],[Tot WG]],-1,0)-TblConstr[[#This Row],[Dest WG]]</f>
        <v>0</v>
      </c>
      <c r="BO23" s="199" cm="1">
        <f t="array" aca="1" ref="BO23" ca="1">IF(TblConstr[[#This Row],[Hour]:[Hour]]&gt;12,OFFSET(TblConstr[[#This Row],[DM]],-12,0),0)+OFFSET(TblConstr[[#This Row],[Tot DM]],-1,0)-TblConstr[[#This Row],[Dest DM]]</f>
        <v>0</v>
      </c>
      <c r="BP23" s="199" cm="1">
        <f t="array" aca="1" ref="BP23" ca="1">IF(TblConstr[[#This Row],[Hour]:[Hour]]&gt;12,OFFSET(TblConstr[[#This Row],[Sch]],-12,0),0)+OFFSET(TblConstr[[#This Row],[Tot Sch]],-1,0)-TblConstr[[#This Row],[Dest Sch]]</f>
        <v>0</v>
      </c>
      <c r="BQ23" s="200" cm="1">
        <f t="array" aca="1" ref="BQ23" ca="1">IF(TblConstr[[#This Row],[Hour]:[Hour]]&gt;12,OFFSET(TblConstr[[#This Row],[Doc]],-12,0),0)+OFFSET(TblConstr[[#This Row],[Tot Doc]],-1,0)-TblConstr[[#This Row],[Dest Doc]]</f>
        <v>0</v>
      </c>
      <c r="BR23" s="150"/>
      <c r="BS23" s="162"/>
      <c r="BT23" s="97">
        <f ca="1">TblConstr[[#This Row],[Land]]</f>
        <v>250</v>
      </c>
      <c r="BU23" s="167">
        <f ca="1">TblImps[[#This Row],[Time]]</f>
        <v>44811.541666666621</v>
      </c>
      <c r="BV23" s="150"/>
      <c r="BW23" s="187"/>
      <c r="BX23" s="187"/>
      <c r="BY23" s="187"/>
      <c r="BZ23" s="187"/>
      <c r="CA23" s="187"/>
      <c r="CB23" s="187"/>
      <c r="CC23" s="187"/>
      <c r="CD23" s="187"/>
      <c r="CE23" s="187"/>
      <c r="CF23" s="187"/>
      <c r="CG23" s="187"/>
      <c r="CH23" s="187"/>
      <c r="CI23" s="187"/>
      <c r="CJ23" s="187"/>
      <c r="CK23" s="187"/>
      <c r="CL23" s="187"/>
      <c r="CM23" s="187"/>
      <c r="CN23" s="187"/>
      <c r="CO23" s="187"/>
      <c r="CP23" s="150"/>
      <c r="CQ23" s="189">
        <f ca="1">-SUM(TblConstr[[#This Row],[Alc]:[Mas]])+SUM(TblConstr[[#This Row],[Dest Alc]:[Dest Mas]])+Rezone!L23+IF("Ch_"&amp; home_land=TblConstr[[#Headers],[Ch_Plain]],TblConstr[[#This Row],[Home Land]])+IF(TblConstr[[#This Row],[Hour]:[Hour]]&gt;12,OFFSET(TblExplore[[#This Row],[Plains Explore]],-12,0),0)</f>
        <v>0</v>
      </c>
      <c r="CR23" s="190">
        <f ca="1">-SUM(TblConstr[[#This Row],[Ly]:[Hav]])+SUM(TblConstr[[#This Row],[Dest Ly]:[Dest Hav]]) +Rezone!M23 + IF("Ch_"&amp; home_land=TblConstr[[#Headers],[Ch_Forest]],TblConstr[[#This Row],[Home Land]])+IF(TblConstr[[#This Row],[Hour]:[Hour]]&gt;12,OFFSET(TblExplore[[#This Row],[Forest Explore]],-12,0),0)</f>
        <v>0</v>
      </c>
      <c r="CS23" s="390">
        <f ca="1">-SUM(TblConstr[[#This Row],[OM]:[GN]])+SUM(TblConstr[[#This Row],[Dest OM]:[Dest GN]]) +Rezone!N23 + IF("Ch_"&amp; home_land=TblConstr[[#Headers],[Ch_Mountain]],TblConstr[[#This Row],[Home Land]])+IF(TblConstr[[#This Row],[Hour]:[Hour]]&gt;12,OFFSET(TblExplore[[#This Row],[Mountain Explore]],-12,0),0)</f>
        <v>0</v>
      </c>
      <c r="CT23" s="191">
        <f ca="1">-SUM(TblConstr[[#This Row],[Fac]:[Shr]])+SUM(TblConstr[[#This Row],[Dest Fac]:[Dest Shr]]) +Rezone!O23 + IF("Ch_" &amp; home_land=TblConstr[[#Headers],[Ch_Hill]],TblConstr[[#This Row],[Home Land]])+IF(TblConstr[[#This Row],[Hour]:[Hour]]&gt;12,OFFSET(TblExplore[[#This Row],[Hill Explore]],-12,0),0)</f>
        <v>0</v>
      </c>
      <c r="CU23" s="192">
        <f ca="1">-SUM(TblConstr[[#This Row],[Tow]:[WG]])+SUM(TblConstr[[#This Row],[Dest Tow]:[Dest WG]]) +Rezone!P23 + IF("Ch_" &amp; home_land=TblConstr[[#Headers],[Ch_Swamp]],TblConstr[[#This Row],[Home Land]])+IF(TblConstr[[#This Row],[Hour]:[Hour]]&gt;12,OFFSET(TblExplore[[#This Row],[Swamp Explore]],-12,0),0)</f>
        <v>0</v>
      </c>
      <c r="CV23" s="193">
        <f ca="1" xml:space="preserve"> - SUM(TblConstr[[#This Row],[DM]:[Sch]])+SUM(TblConstr[[#This Row],[Dest DM]:[Dest Sch]]) +Rezone!Q23 + IF("Ch_" &amp; home_land=TblConstr[[#Headers],[Ch_Cavern]],TblConstr[[#This Row],[Home Land]])+IF(TblConstr[[#This Row],[Hour]:[Hour]]&gt;12,OFFSET(TblExplore[[#This Row],[Cavern Explore]],-12,0),0)</f>
        <v>0</v>
      </c>
      <c r="CW23" s="194">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50"/>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83">
        <f>TblRezone[[#This Row],[Hour]]</f>
        <v>21</v>
      </c>
      <c r="B24" s="184">
        <f ca="1">SUM(TblConstr[[#This Row],[Plain]:[Water]])</f>
        <v>160</v>
      </c>
      <c r="C24" s="185">
        <f ca="1">SUM(TblConstr[[#This Row],[Tot Hom]:[Tot Doc]])</f>
        <v>90</v>
      </c>
      <c r="D24" s="185">
        <f t="shared" si="2"/>
        <v>0</v>
      </c>
      <c r="E24" s="186"/>
      <c r="F24" s="62">
        <f ca="1">TblConstr[[#This Row],[Barren]]+TblConstr[[#This Row],[Buildings]]+TblConstr[[#This Row],[Incoming]]</f>
        <v>250</v>
      </c>
      <c r="G24" s="195">
        <f ca="1">OFFSET(TblConstr[[#This Row],[Plain]],-1,0)+TblConstr[[#This Row],[Ch_Plain]]</f>
        <v>40</v>
      </c>
      <c r="H24" s="190">
        <f ca="1">OFFSET(TblConstr[[#This Row],[Forest]],-1,0)+TblConstr[[#This Row],[Ch_Forest]]</f>
        <v>20</v>
      </c>
      <c r="I24" s="390">
        <f ca="1">OFFSET(TblConstr[[#This Row],[Mountain]],-1,0)+TblConstr[[#This Row],[Ch_Mountain]]</f>
        <v>20</v>
      </c>
      <c r="J24" s="394">
        <f ca="1">OFFSET(TblConstr[[#This Row],[Hill]],-1,0)+TblConstr[[#This Row],[Ch_Hill]]</f>
        <v>20</v>
      </c>
      <c r="K24" s="398">
        <f ca="1">OFFSET(TblConstr[[#This Row],[Swamp]],-1,0)+TblConstr[[#This Row],[Ch_Swamp]]</f>
        <v>20</v>
      </c>
      <c r="L24" s="193">
        <f ca="1">OFFSET(TblConstr[[#This Row],[Cavern]],-1,0)+TblConstr[[#This Row],[Ch_Cavern]]</f>
        <v>20</v>
      </c>
      <c r="M24" s="194">
        <f ca="1">OFFSET(TblConstr[[#This Row],[Water]],-1,0)+TblConstr[[#This Row],[Ch_Water]]</f>
        <v>20</v>
      </c>
      <c r="N24" s="388">
        <f>TblRezone[[#This Row],[Hour]]</f>
        <v>21</v>
      </c>
      <c r="O24" s="187"/>
      <c r="P24" s="187"/>
      <c r="Q24" s="187"/>
      <c r="R24" s="166"/>
      <c r="S24" s="187"/>
      <c r="T24" s="187"/>
      <c r="U24" s="187"/>
      <c r="V24" s="187"/>
      <c r="W24" s="187"/>
      <c r="X24" s="187"/>
      <c r="Y24" s="187"/>
      <c r="Z24" s="187"/>
      <c r="AA24" s="187"/>
      <c r="AB24" s="187"/>
      <c r="AC24" s="187"/>
      <c r="AD24" s="187"/>
      <c r="AE24" s="187"/>
      <c r="AF24" s="187"/>
      <c r="AG24" s="187"/>
      <c r="AH24" s="53">
        <f ca="1">TblImps[[#This Row],[Time]]</f>
        <v>44811.583333333285</v>
      </c>
      <c r="AI24" s="188">
        <f ca="1">MIN(25%,(TblConstr[[#This Row],[Tot Fac]]+TblConstr[[#This Row],[Dest Fac]])/(TblConstr[[#This Row],[Land]]-TblExplore[[#This Row],[Land Bonus]]*20))</f>
        <v>0</v>
      </c>
      <c r="AJ24" s="188">
        <f ca="1">MIN(25%,(TblConstr[[#This Row],[Tot Fac]]+TblConstr[[#This Row],[Dest Fac]])/TblConstr[[#This Row],[Land]])</f>
        <v>0</v>
      </c>
      <c r="AK24" s="97">
        <f ca="1">TblProd[[#This Row],[Platinum]]</f>
        <v>208521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50"/>
      <c r="AV24" s="97">
        <f ca="1">ROUND((TblConstr[[#This Row],[Land]]-250 - IF(TblExplore[[#This Row],[Land Bonus]]&lt;&gt;0,20,0))*1.25 + 850 + 0,0)</f>
        <v>850</v>
      </c>
      <c r="AW24" s="97">
        <f ca="1">ROUND((TblConstr[[#This Row],[Land]]-250 - IF(TblExplore[[#This Row],[Land Bonus]]&lt;&gt;0,20,0))*0.285 + 87.5 + 0/4.25,0)</f>
        <v>88</v>
      </c>
      <c r="AX24" s="162"/>
      <c r="AY24" s="196" cm="1">
        <f t="array" aca="1" ref="AY24" ca="1">IF(TblConstr[[#This Row],[Hour]:[Hour]]&gt;12,OFFSET(TblConstr[[#This Row],[Hom]],-12,0),0)+OFFSET(TblConstr[[#This Row],[Tot Hom]],-1,0)-TblConstr[[#This Row],[Dest Hom]]</f>
        <v>10</v>
      </c>
      <c r="AZ24" s="197" cm="1">
        <f t="array" aca="1" ref="AZ24" ca="1">IF(TblConstr[[#This Row],[Hour]:[Hour]]&gt;12,OFFSET(TblConstr[[#This Row],[Alc]],-12,0),0)+OFFSET(TblConstr[[#This Row],[Tot Alc]],-1,0)-TblConstr[[#This Row],[Dest Alc]]</f>
        <v>30</v>
      </c>
      <c r="BA24" s="197" cm="1">
        <f t="array" aca="1" ref="BA24" ca="1">IF(TblConstr[[#This Row],[Hour]:[Hour]]&gt;12,OFFSET(TblConstr[[#This Row],[Far]],-12,0),0)+OFFSET(TblConstr[[#This Row],[Tot Farm]],-1,0)-TblConstr[[#This Row],[Dest Farm]]</f>
        <v>30</v>
      </c>
      <c r="BB24" s="197" cm="1">
        <f t="array" aca="1" ref="BB24" ca="1">IF(TblConstr[[#This Row],[Hour]:[Hour]]&gt;12,OFFSET(TblConstr[[#This Row],[Smi]],-12,0),0)+OFFSET(TblConstr[[#This Row],[Tot Smi]],-1,0)-TblConstr[[#This Row],[Dest Smi]]</f>
        <v>0</v>
      </c>
      <c r="BC24" s="197" cm="1">
        <f t="array" aca="1" ref="BC24" ca="1">IF(TblConstr[[#This Row],[Hour]:[Hour]]&gt;12,OFFSET(TblConstr[[#This Row],[Mas]],-12,0),0)+OFFSET(TblConstr[[#This Row],[Tot Mas]],-1,0)-TblConstr[[#This Row],[Dest Mas]]</f>
        <v>0</v>
      </c>
      <c r="BD24" s="198" cm="1">
        <f t="array" aca="1" ref="BD24" ca="1">IF(TblConstr[[#This Row],[Hour]:[Hour]]&gt;12,OFFSET(TblConstr[[#This Row],[Ly]],-12,0),0)+OFFSET(TblConstr[[#This Row],[Tot Ly]],-1,0)-TblConstr[[#This Row],[Dest Ly]]</f>
        <v>20</v>
      </c>
      <c r="BE24" s="198" cm="1">
        <f t="array" aca="1" ref="BE24" ca="1">IF(TblConstr[[#This Row],[Hour]:[Hour]]&gt;12,OFFSET(TblConstr[[#This Row],[Hav]],-12,0),0)+OFFSET(TblConstr[[#This Row],[Tot Hav]],-1,0)-TblConstr[[#This Row],[Dest Hav]]</f>
        <v>0</v>
      </c>
      <c r="BF24" s="392" cm="1">
        <f t="array" aca="1" ref="BF24" ca="1">IF(TblConstr[[#This Row],[Hour]:[Hour]]&gt;12,OFFSET(TblConstr[[#This Row],[OM]],-12,0),0)+OFFSET(TblConstr[[#This Row],[Tot OM]],-1,0)-TblConstr[[#This Row],[Dest OM]]</f>
        <v>0</v>
      </c>
      <c r="BG24" s="392" cm="1">
        <f t="array" aca="1" ref="BG24" ca="1">IF(TblConstr[[#This Row],[Hour]:[Hour]]&gt;12,OFFSET(TblConstr[[#This Row],[GN]],-12,0),0)+OFFSET(TblConstr[[#This Row],[Tot GN]],-1,0)-TblConstr[[#This Row],[Dest GN]]</f>
        <v>0</v>
      </c>
      <c r="BH24" s="396" cm="1">
        <f t="array" aca="1" ref="BH24" ca="1">IF(TblConstr[[#This Row],[Hour]:[Hour]]&gt;12,OFFSET(TblConstr[[#This Row],[Fac]],-12,0),0)+OFFSET(TblConstr[[#This Row],[Tot Fac]],-1,0)-TblConstr[[#This Row],[Dest Fac]]</f>
        <v>0</v>
      </c>
      <c r="BI24" s="396" cm="1">
        <f t="array" aca="1" ref="BI24" ca="1">IF(TblConstr[[#This Row],[Hour]:[Hour]]&gt;12,OFFSET(TblConstr[[#This Row],[GT]],-12,0),0)+OFFSET(TblConstr[[#This Row],[Tot GT]],-1,0)-TblConstr[[#This Row],[Dest GT]]</f>
        <v>0</v>
      </c>
      <c r="BJ24" s="396" cm="1">
        <f t="array" aca="1" ref="BJ24" ca="1">IF(TblConstr[[#This Row],[Hour]:[Hour]]&gt;12,OFFSET(TblConstr[[#This Row],[Bar]],-12,0),0)+OFFSET(TblConstr[[#This Row],[Tot Bar]],-1,0)-TblConstr[[#This Row],[Dest Bar]]</f>
        <v>0</v>
      </c>
      <c r="BK24" s="396" cm="1">
        <f t="array" aca="1" ref="BK24" ca="1">IF(TblConstr[[#This Row],[Hour]:[Hour]]&gt;12,OFFSET(TblConstr[[#This Row],[Shr]],-12,0),0)+OFFSET(TblConstr[[#This Row],[Tot Shr]],-1,0)-TblConstr[[#This Row],[Dest Shr]]</f>
        <v>0</v>
      </c>
      <c r="BL24" s="400" cm="1">
        <f t="array" aca="1" ref="BL24" ca="1">IF(TblConstr[[#This Row],[Hour]:[Hour]]&gt;12,OFFSET(TblConstr[[#This Row],[Tow]],-12,0),0)+OFFSET(TblConstr[[#This Row],[Tot Tow]],-1,0)-TblConstr[[#This Row],[Dest Tow]]</f>
        <v>0</v>
      </c>
      <c r="BM24" s="400" cm="1">
        <f t="array" aca="1" ref="BM24" ca="1">IF(TblConstr[[#This Row],[Hour]:[Hour]]&gt;12,OFFSET(TblConstr[[#This Row],[Tem]],-12,0),0)+OFFSET(TblConstr[[#This Row],[Tot Tem]],-1,0)-TblConstr[[#This Row],[Dest Tem]]</f>
        <v>0</v>
      </c>
      <c r="BN24" s="400" cm="1">
        <f t="array" aca="1" ref="BN24" ca="1">IF(TblConstr[[#This Row],[Hour]:[Hour]]&gt;12,OFFSET(TblConstr[[#This Row],[WG]],-12,0),0)+OFFSET(TblConstr[[#This Row],[Tot WG]],-1,0)-TblConstr[[#This Row],[Dest WG]]</f>
        <v>0</v>
      </c>
      <c r="BO24" s="199" cm="1">
        <f t="array" aca="1" ref="BO24" ca="1">IF(TblConstr[[#This Row],[Hour]:[Hour]]&gt;12,OFFSET(TblConstr[[#This Row],[DM]],-12,0),0)+OFFSET(TblConstr[[#This Row],[Tot DM]],-1,0)-TblConstr[[#This Row],[Dest DM]]</f>
        <v>0</v>
      </c>
      <c r="BP24" s="199" cm="1">
        <f t="array" aca="1" ref="BP24" ca="1">IF(TblConstr[[#This Row],[Hour]:[Hour]]&gt;12,OFFSET(TblConstr[[#This Row],[Sch]],-12,0),0)+OFFSET(TblConstr[[#This Row],[Tot Sch]],-1,0)-TblConstr[[#This Row],[Dest Sch]]</f>
        <v>0</v>
      </c>
      <c r="BQ24" s="200" cm="1">
        <f t="array" aca="1" ref="BQ24" ca="1">IF(TblConstr[[#This Row],[Hour]:[Hour]]&gt;12,OFFSET(TblConstr[[#This Row],[Doc]],-12,0),0)+OFFSET(TblConstr[[#This Row],[Tot Doc]],-1,0)-TblConstr[[#This Row],[Dest Doc]]</f>
        <v>0</v>
      </c>
      <c r="BR24" s="150"/>
      <c r="BS24" s="162"/>
      <c r="BT24" s="97">
        <f ca="1">TblConstr[[#This Row],[Land]]</f>
        <v>250</v>
      </c>
      <c r="BU24" s="167">
        <f ca="1">TblImps[[#This Row],[Time]]</f>
        <v>44811.583333333285</v>
      </c>
      <c r="BV24" s="150"/>
      <c r="BW24" s="187"/>
      <c r="BX24" s="187"/>
      <c r="BY24" s="187"/>
      <c r="BZ24" s="187"/>
      <c r="CA24" s="187"/>
      <c r="CB24" s="187"/>
      <c r="CC24" s="187"/>
      <c r="CD24" s="187"/>
      <c r="CE24" s="187"/>
      <c r="CF24" s="187"/>
      <c r="CG24" s="187"/>
      <c r="CH24" s="187"/>
      <c r="CI24" s="187"/>
      <c r="CJ24" s="187"/>
      <c r="CK24" s="187"/>
      <c r="CL24" s="187"/>
      <c r="CM24" s="187"/>
      <c r="CN24" s="187"/>
      <c r="CO24" s="187"/>
      <c r="CP24" s="150"/>
      <c r="CQ24" s="189">
        <f ca="1">-SUM(TblConstr[[#This Row],[Alc]:[Mas]])+SUM(TblConstr[[#This Row],[Dest Alc]:[Dest Mas]])+Rezone!L24+IF("Ch_"&amp; home_land=TblConstr[[#Headers],[Ch_Plain]],TblConstr[[#This Row],[Home Land]])+IF(TblConstr[[#This Row],[Hour]:[Hour]]&gt;12,OFFSET(TblExplore[[#This Row],[Plains Explore]],-12,0),0)</f>
        <v>0</v>
      </c>
      <c r="CR24" s="190">
        <f ca="1">-SUM(TblConstr[[#This Row],[Ly]:[Hav]])+SUM(TblConstr[[#This Row],[Dest Ly]:[Dest Hav]]) +Rezone!M24 + IF("Ch_"&amp; home_land=TblConstr[[#Headers],[Ch_Forest]],TblConstr[[#This Row],[Home Land]])+IF(TblConstr[[#This Row],[Hour]:[Hour]]&gt;12,OFFSET(TblExplore[[#This Row],[Forest Explore]],-12,0),0)</f>
        <v>0</v>
      </c>
      <c r="CS24" s="390">
        <f ca="1">-SUM(TblConstr[[#This Row],[OM]:[GN]])+SUM(TblConstr[[#This Row],[Dest OM]:[Dest GN]]) +Rezone!N24 + IF("Ch_"&amp; home_land=TblConstr[[#Headers],[Ch_Mountain]],TblConstr[[#This Row],[Home Land]])+IF(TblConstr[[#This Row],[Hour]:[Hour]]&gt;12,OFFSET(TblExplore[[#This Row],[Mountain Explore]],-12,0),0)</f>
        <v>0</v>
      </c>
      <c r="CT24" s="191">
        <f ca="1">-SUM(TblConstr[[#This Row],[Fac]:[Shr]])+SUM(TblConstr[[#This Row],[Dest Fac]:[Dest Shr]]) +Rezone!O24 + IF("Ch_" &amp; home_land=TblConstr[[#Headers],[Ch_Hill]],TblConstr[[#This Row],[Home Land]])+IF(TblConstr[[#This Row],[Hour]:[Hour]]&gt;12,OFFSET(TblExplore[[#This Row],[Hill Explore]],-12,0),0)</f>
        <v>0</v>
      </c>
      <c r="CU24" s="192">
        <f ca="1">-SUM(TblConstr[[#This Row],[Tow]:[WG]])+SUM(TblConstr[[#This Row],[Dest Tow]:[Dest WG]]) +Rezone!P24 + IF("Ch_" &amp; home_land=TblConstr[[#Headers],[Ch_Swamp]],TblConstr[[#This Row],[Home Land]])+IF(TblConstr[[#This Row],[Hour]:[Hour]]&gt;12,OFFSET(TblExplore[[#This Row],[Swamp Explore]],-12,0),0)</f>
        <v>0</v>
      </c>
      <c r="CV24" s="193">
        <f ca="1" xml:space="preserve"> - SUM(TblConstr[[#This Row],[DM]:[Sch]])+SUM(TblConstr[[#This Row],[Dest DM]:[Dest Sch]]) +Rezone!Q24 + IF("Ch_" &amp; home_land=TblConstr[[#Headers],[Ch_Cavern]],TblConstr[[#This Row],[Home Land]])+IF(TblConstr[[#This Row],[Hour]:[Hour]]&gt;12,OFFSET(TblExplore[[#This Row],[Cavern Explore]],-12,0),0)</f>
        <v>0</v>
      </c>
      <c r="CW24" s="194">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50"/>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83">
        <f>TblRezone[[#This Row],[Hour]]</f>
        <v>22</v>
      </c>
      <c r="B25" s="184">
        <f ca="1">SUM(TblConstr[[#This Row],[Plain]:[Water]])</f>
        <v>160</v>
      </c>
      <c r="C25" s="185">
        <f ca="1">SUM(TblConstr[[#This Row],[Tot Hom]:[Tot Doc]])</f>
        <v>90</v>
      </c>
      <c r="D25" s="185">
        <f t="shared" si="2"/>
        <v>0</v>
      </c>
      <c r="E25" s="186"/>
      <c r="F25" s="62">
        <f ca="1">TblConstr[[#This Row],[Barren]]+TblConstr[[#This Row],[Buildings]]+TblConstr[[#This Row],[Incoming]]</f>
        <v>250</v>
      </c>
      <c r="G25" s="195">
        <f ca="1">OFFSET(TblConstr[[#This Row],[Plain]],-1,0)+TblConstr[[#This Row],[Ch_Plain]]</f>
        <v>40</v>
      </c>
      <c r="H25" s="190">
        <f ca="1">OFFSET(TblConstr[[#This Row],[Forest]],-1,0)+TblConstr[[#This Row],[Ch_Forest]]</f>
        <v>20</v>
      </c>
      <c r="I25" s="390">
        <f ca="1">OFFSET(TblConstr[[#This Row],[Mountain]],-1,0)+TblConstr[[#This Row],[Ch_Mountain]]</f>
        <v>20</v>
      </c>
      <c r="J25" s="394">
        <f ca="1">OFFSET(TblConstr[[#This Row],[Hill]],-1,0)+TblConstr[[#This Row],[Ch_Hill]]</f>
        <v>20</v>
      </c>
      <c r="K25" s="398">
        <f ca="1">OFFSET(TblConstr[[#This Row],[Swamp]],-1,0)+TblConstr[[#This Row],[Ch_Swamp]]</f>
        <v>20</v>
      </c>
      <c r="L25" s="193">
        <f ca="1">OFFSET(TblConstr[[#This Row],[Cavern]],-1,0)+TblConstr[[#This Row],[Ch_Cavern]]</f>
        <v>20</v>
      </c>
      <c r="M25" s="194">
        <f ca="1">OFFSET(TblConstr[[#This Row],[Water]],-1,0)+TblConstr[[#This Row],[Ch_Water]]</f>
        <v>20</v>
      </c>
      <c r="N25" s="388">
        <f>TblRezone[[#This Row],[Hour]]</f>
        <v>22</v>
      </c>
      <c r="O25" s="187"/>
      <c r="P25" s="187"/>
      <c r="Q25" s="187"/>
      <c r="R25" s="166"/>
      <c r="S25" s="187"/>
      <c r="T25" s="187"/>
      <c r="U25" s="187"/>
      <c r="V25" s="187"/>
      <c r="W25" s="187"/>
      <c r="X25" s="187"/>
      <c r="Y25" s="187"/>
      <c r="Z25" s="187"/>
      <c r="AA25" s="187"/>
      <c r="AB25" s="187"/>
      <c r="AC25" s="187"/>
      <c r="AD25" s="187"/>
      <c r="AE25" s="187"/>
      <c r="AF25" s="187"/>
      <c r="AG25" s="187"/>
      <c r="AH25" s="53">
        <f ca="1">TblImps[[#This Row],[Time]]</f>
        <v>44811.624999999949</v>
      </c>
      <c r="AI25" s="188">
        <f ca="1">MIN(25%,(TblConstr[[#This Row],[Tot Fac]]+TblConstr[[#This Row],[Dest Fac]])/(TblConstr[[#This Row],[Land]]-TblExplore[[#This Row],[Land Bonus]]*20))</f>
        <v>0</v>
      </c>
      <c r="AJ25" s="188">
        <f ca="1">MIN(25%,(TblConstr[[#This Row],[Tot Fac]]+TblConstr[[#This Row],[Dest Fac]])/TblConstr[[#This Row],[Land]])</f>
        <v>0</v>
      </c>
      <c r="AK25" s="97">
        <f ca="1">TblProd[[#This Row],[Platinum]]</f>
        <v>214191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50"/>
      <c r="AV25" s="97">
        <f ca="1">ROUND((TblConstr[[#This Row],[Land]]-250 - IF(TblExplore[[#This Row],[Land Bonus]]&lt;&gt;0,20,0))*1.25 + 850 + 0,0)</f>
        <v>850</v>
      </c>
      <c r="AW25" s="97">
        <f ca="1">ROUND((TblConstr[[#This Row],[Land]]-250 - IF(TblExplore[[#This Row],[Land Bonus]]&lt;&gt;0,20,0))*0.285 + 87.5 + 0/4.25,0)</f>
        <v>88</v>
      </c>
      <c r="AX25" s="162"/>
      <c r="AY25" s="196" cm="1">
        <f t="array" aca="1" ref="AY25" ca="1">IF(TblConstr[[#This Row],[Hour]:[Hour]]&gt;12,OFFSET(TblConstr[[#This Row],[Hom]],-12,0),0)+OFFSET(TblConstr[[#This Row],[Tot Hom]],-1,0)-TblConstr[[#This Row],[Dest Hom]]</f>
        <v>10</v>
      </c>
      <c r="AZ25" s="197" cm="1">
        <f t="array" aca="1" ref="AZ25" ca="1">IF(TblConstr[[#This Row],[Hour]:[Hour]]&gt;12,OFFSET(TblConstr[[#This Row],[Alc]],-12,0),0)+OFFSET(TblConstr[[#This Row],[Tot Alc]],-1,0)-TblConstr[[#This Row],[Dest Alc]]</f>
        <v>30</v>
      </c>
      <c r="BA25" s="197" cm="1">
        <f t="array" aca="1" ref="BA25" ca="1">IF(TblConstr[[#This Row],[Hour]:[Hour]]&gt;12,OFFSET(TblConstr[[#This Row],[Far]],-12,0),0)+OFFSET(TblConstr[[#This Row],[Tot Farm]],-1,0)-TblConstr[[#This Row],[Dest Farm]]</f>
        <v>30</v>
      </c>
      <c r="BB25" s="197" cm="1">
        <f t="array" aca="1" ref="BB25" ca="1">IF(TblConstr[[#This Row],[Hour]:[Hour]]&gt;12,OFFSET(TblConstr[[#This Row],[Smi]],-12,0),0)+OFFSET(TblConstr[[#This Row],[Tot Smi]],-1,0)-TblConstr[[#This Row],[Dest Smi]]</f>
        <v>0</v>
      </c>
      <c r="BC25" s="197" cm="1">
        <f t="array" aca="1" ref="BC25" ca="1">IF(TblConstr[[#This Row],[Hour]:[Hour]]&gt;12,OFFSET(TblConstr[[#This Row],[Mas]],-12,0),0)+OFFSET(TblConstr[[#This Row],[Tot Mas]],-1,0)-TblConstr[[#This Row],[Dest Mas]]</f>
        <v>0</v>
      </c>
      <c r="BD25" s="198" cm="1">
        <f t="array" aca="1" ref="BD25" ca="1">IF(TblConstr[[#This Row],[Hour]:[Hour]]&gt;12,OFFSET(TblConstr[[#This Row],[Ly]],-12,0),0)+OFFSET(TblConstr[[#This Row],[Tot Ly]],-1,0)-TblConstr[[#This Row],[Dest Ly]]</f>
        <v>20</v>
      </c>
      <c r="BE25" s="198" cm="1">
        <f t="array" aca="1" ref="BE25" ca="1">IF(TblConstr[[#This Row],[Hour]:[Hour]]&gt;12,OFFSET(TblConstr[[#This Row],[Hav]],-12,0),0)+OFFSET(TblConstr[[#This Row],[Tot Hav]],-1,0)-TblConstr[[#This Row],[Dest Hav]]</f>
        <v>0</v>
      </c>
      <c r="BF25" s="392" cm="1">
        <f t="array" aca="1" ref="BF25" ca="1">IF(TblConstr[[#This Row],[Hour]:[Hour]]&gt;12,OFFSET(TblConstr[[#This Row],[OM]],-12,0),0)+OFFSET(TblConstr[[#This Row],[Tot OM]],-1,0)-TblConstr[[#This Row],[Dest OM]]</f>
        <v>0</v>
      </c>
      <c r="BG25" s="392" cm="1">
        <f t="array" aca="1" ref="BG25" ca="1">IF(TblConstr[[#This Row],[Hour]:[Hour]]&gt;12,OFFSET(TblConstr[[#This Row],[GN]],-12,0),0)+OFFSET(TblConstr[[#This Row],[Tot GN]],-1,0)-TblConstr[[#This Row],[Dest GN]]</f>
        <v>0</v>
      </c>
      <c r="BH25" s="396" cm="1">
        <f t="array" aca="1" ref="BH25" ca="1">IF(TblConstr[[#This Row],[Hour]:[Hour]]&gt;12,OFFSET(TblConstr[[#This Row],[Fac]],-12,0),0)+OFFSET(TblConstr[[#This Row],[Tot Fac]],-1,0)-TblConstr[[#This Row],[Dest Fac]]</f>
        <v>0</v>
      </c>
      <c r="BI25" s="396" cm="1">
        <f t="array" aca="1" ref="BI25" ca="1">IF(TblConstr[[#This Row],[Hour]:[Hour]]&gt;12,OFFSET(TblConstr[[#This Row],[GT]],-12,0),0)+OFFSET(TblConstr[[#This Row],[Tot GT]],-1,0)-TblConstr[[#This Row],[Dest GT]]</f>
        <v>0</v>
      </c>
      <c r="BJ25" s="396" cm="1">
        <f t="array" aca="1" ref="BJ25" ca="1">IF(TblConstr[[#This Row],[Hour]:[Hour]]&gt;12,OFFSET(TblConstr[[#This Row],[Bar]],-12,0),0)+OFFSET(TblConstr[[#This Row],[Tot Bar]],-1,0)-TblConstr[[#This Row],[Dest Bar]]</f>
        <v>0</v>
      </c>
      <c r="BK25" s="396" cm="1">
        <f t="array" aca="1" ref="BK25" ca="1">IF(TblConstr[[#This Row],[Hour]:[Hour]]&gt;12,OFFSET(TblConstr[[#This Row],[Shr]],-12,0),0)+OFFSET(TblConstr[[#This Row],[Tot Shr]],-1,0)-TblConstr[[#This Row],[Dest Shr]]</f>
        <v>0</v>
      </c>
      <c r="BL25" s="400" cm="1">
        <f t="array" aca="1" ref="BL25" ca="1">IF(TblConstr[[#This Row],[Hour]:[Hour]]&gt;12,OFFSET(TblConstr[[#This Row],[Tow]],-12,0),0)+OFFSET(TblConstr[[#This Row],[Tot Tow]],-1,0)-TblConstr[[#This Row],[Dest Tow]]</f>
        <v>0</v>
      </c>
      <c r="BM25" s="400" cm="1">
        <f t="array" aca="1" ref="BM25" ca="1">IF(TblConstr[[#This Row],[Hour]:[Hour]]&gt;12,OFFSET(TblConstr[[#This Row],[Tem]],-12,0),0)+OFFSET(TblConstr[[#This Row],[Tot Tem]],-1,0)-TblConstr[[#This Row],[Dest Tem]]</f>
        <v>0</v>
      </c>
      <c r="BN25" s="400" cm="1">
        <f t="array" aca="1" ref="BN25" ca="1">IF(TblConstr[[#This Row],[Hour]:[Hour]]&gt;12,OFFSET(TblConstr[[#This Row],[WG]],-12,0),0)+OFFSET(TblConstr[[#This Row],[Tot WG]],-1,0)-TblConstr[[#This Row],[Dest WG]]</f>
        <v>0</v>
      </c>
      <c r="BO25" s="199" cm="1">
        <f t="array" aca="1" ref="BO25" ca="1">IF(TblConstr[[#This Row],[Hour]:[Hour]]&gt;12,OFFSET(TblConstr[[#This Row],[DM]],-12,0),0)+OFFSET(TblConstr[[#This Row],[Tot DM]],-1,0)-TblConstr[[#This Row],[Dest DM]]</f>
        <v>0</v>
      </c>
      <c r="BP25" s="199" cm="1">
        <f t="array" aca="1" ref="BP25" ca="1">IF(TblConstr[[#This Row],[Hour]:[Hour]]&gt;12,OFFSET(TblConstr[[#This Row],[Sch]],-12,0),0)+OFFSET(TblConstr[[#This Row],[Tot Sch]],-1,0)-TblConstr[[#This Row],[Dest Sch]]</f>
        <v>0</v>
      </c>
      <c r="BQ25" s="200" cm="1">
        <f t="array" aca="1" ref="BQ25" ca="1">IF(TblConstr[[#This Row],[Hour]:[Hour]]&gt;12,OFFSET(TblConstr[[#This Row],[Doc]],-12,0),0)+OFFSET(TblConstr[[#This Row],[Tot Doc]],-1,0)-TblConstr[[#This Row],[Dest Doc]]</f>
        <v>0</v>
      </c>
      <c r="BR25" s="150"/>
      <c r="BS25" s="162"/>
      <c r="BT25" s="97">
        <f ca="1">TblConstr[[#This Row],[Land]]</f>
        <v>250</v>
      </c>
      <c r="BU25" s="167">
        <f ca="1">TblImps[[#This Row],[Time]]</f>
        <v>44811.624999999949</v>
      </c>
      <c r="BV25" s="150"/>
      <c r="BW25" s="187"/>
      <c r="BX25" s="187"/>
      <c r="BY25" s="187"/>
      <c r="BZ25" s="187"/>
      <c r="CA25" s="187"/>
      <c r="CB25" s="187"/>
      <c r="CC25" s="187"/>
      <c r="CD25" s="187"/>
      <c r="CE25" s="187"/>
      <c r="CF25" s="187"/>
      <c r="CG25" s="187"/>
      <c r="CH25" s="187"/>
      <c r="CI25" s="187"/>
      <c r="CJ25" s="187"/>
      <c r="CK25" s="187"/>
      <c r="CL25" s="187"/>
      <c r="CM25" s="187"/>
      <c r="CN25" s="187"/>
      <c r="CO25" s="187"/>
      <c r="CP25" s="150"/>
      <c r="CQ25" s="189">
        <f ca="1">-SUM(TblConstr[[#This Row],[Alc]:[Mas]])+SUM(TblConstr[[#This Row],[Dest Alc]:[Dest Mas]])+Rezone!L25+IF("Ch_"&amp; home_land=TblConstr[[#Headers],[Ch_Plain]],TblConstr[[#This Row],[Home Land]])+IF(TblConstr[[#This Row],[Hour]:[Hour]]&gt;12,OFFSET(TblExplore[[#This Row],[Plains Explore]],-12,0),0)</f>
        <v>0</v>
      </c>
      <c r="CR25" s="190">
        <f ca="1">-SUM(TblConstr[[#This Row],[Ly]:[Hav]])+SUM(TblConstr[[#This Row],[Dest Ly]:[Dest Hav]]) +Rezone!M25 + IF("Ch_"&amp; home_land=TblConstr[[#Headers],[Ch_Forest]],TblConstr[[#This Row],[Home Land]])+IF(TblConstr[[#This Row],[Hour]:[Hour]]&gt;12,OFFSET(TblExplore[[#This Row],[Forest Explore]],-12,0),0)</f>
        <v>0</v>
      </c>
      <c r="CS25" s="390">
        <f ca="1">-SUM(TblConstr[[#This Row],[OM]:[GN]])+SUM(TblConstr[[#This Row],[Dest OM]:[Dest GN]]) +Rezone!N25 + IF("Ch_"&amp; home_land=TblConstr[[#Headers],[Ch_Mountain]],TblConstr[[#This Row],[Home Land]])+IF(TblConstr[[#This Row],[Hour]:[Hour]]&gt;12,OFFSET(TblExplore[[#This Row],[Mountain Explore]],-12,0),0)</f>
        <v>0</v>
      </c>
      <c r="CT25" s="191">
        <f ca="1">-SUM(TblConstr[[#This Row],[Fac]:[Shr]])+SUM(TblConstr[[#This Row],[Dest Fac]:[Dest Shr]]) +Rezone!O25 + IF("Ch_" &amp; home_land=TblConstr[[#Headers],[Ch_Hill]],TblConstr[[#This Row],[Home Land]])+IF(TblConstr[[#This Row],[Hour]:[Hour]]&gt;12,OFFSET(TblExplore[[#This Row],[Hill Explore]],-12,0),0)</f>
        <v>0</v>
      </c>
      <c r="CU25" s="192">
        <f ca="1">-SUM(TblConstr[[#This Row],[Tow]:[WG]])+SUM(TblConstr[[#This Row],[Dest Tow]:[Dest WG]]) +Rezone!P25 + IF("Ch_" &amp; home_land=TblConstr[[#Headers],[Ch_Swamp]],TblConstr[[#This Row],[Home Land]])+IF(TblConstr[[#This Row],[Hour]:[Hour]]&gt;12,OFFSET(TblExplore[[#This Row],[Swamp Explore]],-12,0),0)</f>
        <v>0</v>
      </c>
      <c r="CV25" s="193">
        <f ca="1" xml:space="preserve"> - SUM(TblConstr[[#This Row],[DM]:[Sch]])+SUM(TblConstr[[#This Row],[Dest DM]:[Dest Sch]]) +Rezone!Q25 + IF("Ch_" &amp; home_land=TblConstr[[#Headers],[Ch_Cavern]],TblConstr[[#This Row],[Home Land]])+IF(TblConstr[[#This Row],[Hour]:[Hour]]&gt;12,OFFSET(TblExplore[[#This Row],[Cavern Explore]],-12,0),0)</f>
        <v>0</v>
      </c>
      <c r="CW25" s="194">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50"/>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83">
        <f>TblRezone[[#This Row],[Hour]]</f>
        <v>23</v>
      </c>
      <c r="B26" s="184">
        <f ca="1">SUM(TblConstr[[#This Row],[Plain]:[Water]])</f>
        <v>160</v>
      </c>
      <c r="C26" s="185">
        <f ca="1">SUM(TblConstr[[#This Row],[Tot Hom]:[Tot Doc]])</f>
        <v>90</v>
      </c>
      <c r="D26" s="185">
        <f>SUM(O15:AG26)</f>
        <v>0</v>
      </c>
      <c r="E26" s="186"/>
      <c r="F26" s="62">
        <f ca="1">TblConstr[[#This Row],[Barren]]+TblConstr[[#This Row],[Buildings]]+TblConstr[[#This Row],[Incoming]]</f>
        <v>250</v>
      </c>
      <c r="G26" s="195">
        <f ca="1">OFFSET(TblConstr[[#This Row],[Plain]],-1,0)+TblConstr[[#This Row],[Ch_Plain]]</f>
        <v>40</v>
      </c>
      <c r="H26" s="190">
        <f ca="1">OFFSET(TblConstr[[#This Row],[Forest]],-1,0)+TblConstr[[#This Row],[Ch_Forest]]</f>
        <v>20</v>
      </c>
      <c r="I26" s="390">
        <f ca="1">OFFSET(TblConstr[[#This Row],[Mountain]],-1,0)+TblConstr[[#This Row],[Ch_Mountain]]</f>
        <v>20</v>
      </c>
      <c r="J26" s="394">
        <f ca="1">OFFSET(TblConstr[[#This Row],[Hill]],-1,0)+TblConstr[[#This Row],[Ch_Hill]]</f>
        <v>20</v>
      </c>
      <c r="K26" s="398">
        <f ca="1">OFFSET(TblConstr[[#This Row],[Swamp]],-1,0)+TblConstr[[#This Row],[Ch_Swamp]]</f>
        <v>20</v>
      </c>
      <c r="L26" s="193">
        <f ca="1">OFFSET(TblConstr[[#This Row],[Cavern]],-1,0)+TblConstr[[#This Row],[Ch_Cavern]]</f>
        <v>20</v>
      </c>
      <c r="M26" s="194">
        <f ca="1">OFFSET(TblConstr[[#This Row],[Water]],-1,0)+TblConstr[[#This Row],[Ch_Water]]</f>
        <v>20</v>
      </c>
      <c r="N26" s="388">
        <f>TblRezone[[#This Row],[Hour]]</f>
        <v>23</v>
      </c>
      <c r="O26" s="187"/>
      <c r="P26" s="187"/>
      <c r="Q26" s="187"/>
      <c r="R26" s="166"/>
      <c r="S26" s="187"/>
      <c r="T26" s="187"/>
      <c r="U26" s="187"/>
      <c r="V26" s="187"/>
      <c r="W26" s="187"/>
      <c r="X26" s="187"/>
      <c r="Y26" s="187"/>
      <c r="Z26" s="187"/>
      <c r="AA26" s="187"/>
      <c r="AB26" s="187"/>
      <c r="AC26" s="187"/>
      <c r="AD26" s="187"/>
      <c r="AE26" s="187"/>
      <c r="AF26" s="187"/>
      <c r="AG26" s="187"/>
      <c r="AH26" s="53">
        <f ca="1">TblImps[[#This Row],[Time]]</f>
        <v>44811.666666666613</v>
      </c>
      <c r="AI26" s="188">
        <f ca="1">MIN(25%,(TblConstr[[#This Row],[Tot Fac]]+TblConstr[[#This Row],[Dest Fac]])/(TblConstr[[#This Row],[Land]]-TblExplore[[#This Row],[Land Bonus]]*20))</f>
        <v>0</v>
      </c>
      <c r="AJ26" s="188">
        <f ca="1">MIN(25%,(TblConstr[[#This Row],[Tot Fac]]+TblConstr[[#This Row],[Dest Fac]])/TblConstr[[#This Row],[Land]])</f>
        <v>0</v>
      </c>
      <c r="AK26" s="97">
        <f ca="1">TblProd[[#This Row],[Platinum]]</f>
        <v>219861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50"/>
      <c r="AV26" s="97">
        <f ca="1">ROUND((TblConstr[[#This Row],[Land]]-250 - IF(TblExplore[[#This Row],[Land Bonus]]&lt;&gt;0,20,0))*1.25 + 850 + 0,0)</f>
        <v>850</v>
      </c>
      <c r="AW26" s="97">
        <f ca="1">ROUND((TblConstr[[#This Row],[Land]]-250 - IF(TblExplore[[#This Row],[Land Bonus]]&lt;&gt;0,20,0))*0.285 + 87.5 + 0/4.25,0)</f>
        <v>88</v>
      </c>
      <c r="AX26" s="162"/>
      <c r="AY26" s="196" cm="1">
        <f t="array" aca="1" ref="AY26" ca="1">IF(TblConstr[[#This Row],[Hour]:[Hour]]&gt;12,OFFSET(TblConstr[[#This Row],[Hom]],-12,0),0)+OFFSET(TblConstr[[#This Row],[Tot Hom]],-1,0)-TblConstr[[#This Row],[Dest Hom]]</f>
        <v>10</v>
      </c>
      <c r="AZ26" s="197" cm="1">
        <f t="array" aca="1" ref="AZ26" ca="1">IF(TblConstr[[#This Row],[Hour]:[Hour]]&gt;12,OFFSET(TblConstr[[#This Row],[Alc]],-12,0),0)+OFFSET(TblConstr[[#This Row],[Tot Alc]],-1,0)-TblConstr[[#This Row],[Dest Alc]]</f>
        <v>30</v>
      </c>
      <c r="BA26" s="197" cm="1">
        <f t="array" aca="1" ref="BA26" ca="1">IF(TblConstr[[#This Row],[Hour]:[Hour]]&gt;12,OFFSET(TblConstr[[#This Row],[Far]],-12,0),0)+OFFSET(TblConstr[[#This Row],[Tot Farm]],-1,0)-TblConstr[[#This Row],[Dest Farm]]</f>
        <v>30</v>
      </c>
      <c r="BB26" s="197" cm="1">
        <f t="array" aca="1" ref="BB26" ca="1">IF(TblConstr[[#This Row],[Hour]:[Hour]]&gt;12,OFFSET(TblConstr[[#This Row],[Smi]],-12,0),0)+OFFSET(TblConstr[[#This Row],[Tot Smi]],-1,0)-TblConstr[[#This Row],[Dest Smi]]</f>
        <v>0</v>
      </c>
      <c r="BC26" s="197" cm="1">
        <f t="array" aca="1" ref="BC26" ca="1">IF(TblConstr[[#This Row],[Hour]:[Hour]]&gt;12,OFFSET(TblConstr[[#This Row],[Mas]],-12,0),0)+OFFSET(TblConstr[[#This Row],[Tot Mas]],-1,0)-TblConstr[[#This Row],[Dest Mas]]</f>
        <v>0</v>
      </c>
      <c r="BD26" s="198" cm="1">
        <f t="array" aca="1" ref="BD26" ca="1">IF(TblConstr[[#This Row],[Hour]:[Hour]]&gt;12,OFFSET(TblConstr[[#This Row],[Ly]],-12,0),0)+OFFSET(TblConstr[[#This Row],[Tot Ly]],-1,0)-TblConstr[[#This Row],[Dest Ly]]</f>
        <v>20</v>
      </c>
      <c r="BE26" s="198" cm="1">
        <f t="array" aca="1" ref="BE26" ca="1">IF(TblConstr[[#This Row],[Hour]:[Hour]]&gt;12,OFFSET(TblConstr[[#This Row],[Hav]],-12,0),0)+OFFSET(TblConstr[[#This Row],[Tot Hav]],-1,0)-TblConstr[[#This Row],[Dest Hav]]</f>
        <v>0</v>
      </c>
      <c r="BF26" s="392" cm="1">
        <f t="array" aca="1" ref="BF26" ca="1">IF(TblConstr[[#This Row],[Hour]:[Hour]]&gt;12,OFFSET(TblConstr[[#This Row],[OM]],-12,0),0)+OFFSET(TblConstr[[#This Row],[Tot OM]],-1,0)-TblConstr[[#This Row],[Dest OM]]</f>
        <v>0</v>
      </c>
      <c r="BG26" s="392" cm="1">
        <f t="array" aca="1" ref="BG26" ca="1">IF(TblConstr[[#This Row],[Hour]:[Hour]]&gt;12,OFFSET(TblConstr[[#This Row],[GN]],-12,0),0)+OFFSET(TblConstr[[#This Row],[Tot GN]],-1,0)-TblConstr[[#This Row],[Dest GN]]</f>
        <v>0</v>
      </c>
      <c r="BH26" s="396" cm="1">
        <f t="array" aca="1" ref="BH26" ca="1">IF(TblConstr[[#This Row],[Hour]:[Hour]]&gt;12,OFFSET(TblConstr[[#This Row],[Fac]],-12,0),0)+OFFSET(TblConstr[[#This Row],[Tot Fac]],-1,0)-TblConstr[[#This Row],[Dest Fac]]</f>
        <v>0</v>
      </c>
      <c r="BI26" s="396" cm="1">
        <f t="array" aca="1" ref="BI26" ca="1">IF(TblConstr[[#This Row],[Hour]:[Hour]]&gt;12,OFFSET(TblConstr[[#This Row],[GT]],-12,0),0)+OFFSET(TblConstr[[#This Row],[Tot GT]],-1,0)-TblConstr[[#This Row],[Dest GT]]</f>
        <v>0</v>
      </c>
      <c r="BJ26" s="396" cm="1">
        <f t="array" aca="1" ref="BJ26" ca="1">IF(TblConstr[[#This Row],[Hour]:[Hour]]&gt;12,OFFSET(TblConstr[[#This Row],[Bar]],-12,0),0)+OFFSET(TblConstr[[#This Row],[Tot Bar]],-1,0)-TblConstr[[#This Row],[Dest Bar]]</f>
        <v>0</v>
      </c>
      <c r="BK26" s="396" cm="1">
        <f t="array" aca="1" ref="BK26" ca="1">IF(TblConstr[[#This Row],[Hour]:[Hour]]&gt;12,OFFSET(TblConstr[[#This Row],[Shr]],-12,0),0)+OFFSET(TblConstr[[#This Row],[Tot Shr]],-1,0)-TblConstr[[#This Row],[Dest Shr]]</f>
        <v>0</v>
      </c>
      <c r="BL26" s="400" cm="1">
        <f t="array" aca="1" ref="BL26" ca="1">IF(TblConstr[[#This Row],[Hour]:[Hour]]&gt;12,OFFSET(TblConstr[[#This Row],[Tow]],-12,0),0)+OFFSET(TblConstr[[#This Row],[Tot Tow]],-1,0)-TblConstr[[#This Row],[Dest Tow]]</f>
        <v>0</v>
      </c>
      <c r="BM26" s="400" cm="1">
        <f t="array" aca="1" ref="BM26" ca="1">IF(TblConstr[[#This Row],[Hour]:[Hour]]&gt;12,OFFSET(TblConstr[[#This Row],[Tem]],-12,0),0)+OFFSET(TblConstr[[#This Row],[Tot Tem]],-1,0)-TblConstr[[#This Row],[Dest Tem]]</f>
        <v>0</v>
      </c>
      <c r="BN26" s="400" cm="1">
        <f t="array" aca="1" ref="BN26" ca="1">IF(TblConstr[[#This Row],[Hour]:[Hour]]&gt;12,OFFSET(TblConstr[[#This Row],[WG]],-12,0),0)+OFFSET(TblConstr[[#This Row],[Tot WG]],-1,0)-TblConstr[[#This Row],[Dest WG]]</f>
        <v>0</v>
      </c>
      <c r="BO26" s="199" cm="1">
        <f t="array" aca="1" ref="BO26" ca="1">IF(TblConstr[[#This Row],[Hour]:[Hour]]&gt;12,OFFSET(TblConstr[[#This Row],[DM]],-12,0),0)+OFFSET(TblConstr[[#This Row],[Tot DM]],-1,0)-TblConstr[[#This Row],[Dest DM]]</f>
        <v>0</v>
      </c>
      <c r="BP26" s="199" cm="1">
        <f t="array" aca="1" ref="BP26" ca="1">IF(TblConstr[[#This Row],[Hour]:[Hour]]&gt;12,OFFSET(TblConstr[[#This Row],[Sch]],-12,0),0)+OFFSET(TblConstr[[#This Row],[Tot Sch]],-1,0)-TblConstr[[#This Row],[Dest Sch]]</f>
        <v>0</v>
      </c>
      <c r="BQ26" s="200" cm="1">
        <f t="array" aca="1" ref="BQ26" ca="1">IF(TblConstr[[#This Row],[Hour]:[Hour]]&gt;12,OFFSET(TblConstr[[#This Row],[Doc]],-12,0),0)+OFFSET(TblConstr[[#This Row],[Tot Doc]],-1,0)-TblConstr[[#This Row],[Dest Doc]]</f>
        <v>0</v>
      </c>
      <c r="BR26" s="150"/>
      <c r="BS26" s="162"/>
      <c r="BT26" s="97">
        <f ca="1">TblConstr[[#This Row],[Land]]</f>
        <v>250</v>
      </c>
      <c r="BU26" s="167">
        <f ca="1">TblImps[[#This Row],[Time]]</f>
        <v>44811.666666666613</v>
      </c>
      <c r="BV26" s="150"/>
      <c r="BW26" s="187"/>
      <c r="BX26" s="187"/>
      <c r="BY26" s="187"/>
      <c r="BZ26" s="187"/>
      <c r="CA26" s="187"/>
      <c r="CB26" s="187"/>
      <c r="CC26" s="187"/>
      <c r="CD26" s="187"/>
      <c r="CE26" s="187"/>
      <c r="CF26" s="187"/>
      <c r="CG26" s="187"/>
      <c r="CH26" s="187"/>
      <c r="CI26" s="187"/>
      <c r="CJ26" s="187"/>
      <c r="CK26" s="187"/>
      <c r="CL26" s="187"/>
      <c r="CM26" s="187"/>
      <c r="CN26" s="187"/>
      <c r="CO26" s="187"/>
      <c r="CP26" s="150"/>
      <c r="CQ26" s="189">
        <f ca="1">-SUM(TblConstr[[#This Row],[Alc]:[Mas]])+SUM(TblConstr[[#This Row],[Dest Alc]:[Dest Mas]])+Rezone!L26+IF("Ch_"&amp; home_land=TblConstr[[#Headers],[Ch_Plain]],TblConstr[[#This Row],[Home Land]])+IF(TblConstr[[#This Row],[Hour]:[Hour]]&gt;12,OFFSET(TblExplore[[#This Row],[Plains Explore]],-12,0),0)</f>
        <v>0</v>
      </c>
      <c r="CR26" s="190">
        <f ca="1">-SUM(TblConstr[[#This Row],[Ly]:[Hav]])+SUM(TblConstr[[#This Row],[Dest Ly]:[Dest Hav]]) +Rezone!M26 + IF("Ch_"&amp; home_land=TblConstr[[#Headers],[Ch_Forest]],TblConstr[[#This Row],[Home Land]])+IF(TblConstr[[#This Row],[Hour]:[Hour]]&gt;12,OFFSET(TblExplore[[#This Row],[Forest Explore]],-12,0),0)</f>
        <v>0</v>
      </c>
      <c r="CS26" s="390">
        <f ca="1">-SUM(TblConstr[[#This Row],[OM]:[GN]])+SUM(TblConstr[[#This Row],[Dest OM]:[Dest GN]]) +Rezone!N26 + IF("Ch_"&amp; home_land=TblConstr[[#Headers],[Ch_Mountain]],TblConstr[[#This Row],[Home Land]])+IF(TblConstr[[#This Row],[Hour]:[Hour]]&gt;12,OFFSET(TblExplore[[#This Row],[Mountain Explore]],-12,0),0)</f>
        <v>0</v>
      </c>
      <c r="CT26" s="191">
        <f ca="1">-SUM(TblConstr[[#This Row],[Fac]:[Shr]])+SUM(TblConstr[[#This Row],[Dest Fac]:[Dest Shr]]) +Rezone!O26 + IF("Ch_" &amp; home_land=TblConstr[[#Headers],[Ch_Hill]],TblConstr[[#This Row],[Home Land]])+IF(TblConstr[[#This Row],[Hour]:[Hour]]&gt;12,OFFSET(TblExplore[[#This Row],[Hill Explore]],-12,0),0)</f>
        <v>0</v>
      </c>
      <c r="CU26" s="192">
        <f ca="1">-SUM(TblConstr[[#This Row],[Tow]:[WG]])+SUM(TblConstr[[#This Row],[Dest Tow]:[Dest WG]]) +Rezone!P26 + IF("Ch_" &amp; home_land=TblConstr[[#Headers],[Ch_Swamp]],TblConstr[[#This Row],[Home Land]])+IF(TblConstr[[#This Row],[Hour]:[Hour]]&gt;12,OFFSET(TblExplore[[#This Row],[Swamp Explore]],-12,0),0)</f>
        <v>0</v>
      </c>
      <c r="CV26" s="193">
        <f ca="1" xml:space="preserve"> - SUM(TblConstr[[#This Row],[DM]:[Sch]])+SUM(TblConstr[[#This Row],[Dest DM]:[Dest Sch]]) +Rezone!Q26 + IF("Ch_" &amp; home_land=TblConstr[[#Headers],[Ch_Cavern]],TblConstr[[#This Row],[Home Land]])+IF(TblConstr[[#This Row],[Hour]:[Hour]]&gt;12,OFFSET(TblExplore[[#This Row],[Cavern Explore]],-12,0),0)</f>
        <v>0</v>
      </c>
      <c r="CW26" s="194">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50"/>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83">
        <f>TblRezone[[#This Row],[Hour]]</f>
        <v>24</v>
      </c>
      <c r="B27" s="184">
        <f ca="1">SUM(TblConstr[[#This Row],[Plain]:[Water]])</f>
        <v>160</v>
      </c>
      <c r="C27" s="185">
        <f ca="1">SUM(TblConstr[[#This Row],[Tot Hom]:[Tot Doc]])</f>
        <v>90</v>
      </c>
      <c r="D27" s="185">
        <f t="shared" si="2"/>
        <v>0</v>
      </c>
      <c r="E27" s="186"/>
      <c r="F27" s="62">
        <f ca="1">TblConstr[[#This Row],[Barren]]+TblConstr[[#This Row],[Buildings]]+TblConstr[[#This Row],[Incoming]]</f>
        <v>250</v>
      </c>
      <c r="G27" s="195">
        <f ca="1">OFFSET(TblConstr[[#This Row],[Plain]],-1,0)+TblConstr[[#This Row],[Ch_Plain]]</f>
        <v>40</v>
      </c>
      <c r="H27" s="190">
        <f ca="1">OFFSET(TblConstr[[#This Row],[Forest]],-1,0)+TblConstr[[#This Row],[Ch_Forest]]</f>
        <v>20</v>
      </c>
      <c r="I27" s="390">
        <f ca="1">OFFSET(TblConstr[[#This Row],[Mountain]],-1,0)+TblConstr[[#This Row],[Ch_Mountain]]</f>
        <v>20</v>
      </c>
      <c r="J27" s="394">
        <f ca="1">OFFSET(TblConstr[[#This Row],[Hill]],-1,0)+TblConstr[[#This Row],[Ch_Hill]]</f>
        <v>20</v>
      </c>
      <c r="K27" s="398">
        <f ca="1">OFFSET(TblConstr[[#This Row],[Swamp]],-1,0)+TblConstr[[#This Row],[Ch_Swamp]]</f>
        <v>20</v>
      </c>
      <c r="L27" s="193">
        <f ca="1">OFFSET(TblConstr[[#This Row],[Cavern]],-1,0)+TblConstr[[#This Row],[Ch_Cavern]]</f>
        <v>20</v>
      </c>
      <c r="M27" s="194">
        <f ca="1">OFFSET(TblConstr[[#This Row],[Water]],-1,0)+TblConstr[[#This Row],[Ch_Water]]</f>
        <v>20</v>
      </c>
      <c r="N27" s="388">
        <f>TblRezone[[#This Row],[Hour]]</f>
        <v>24</v>
      </c>
      <c r="O27" s="187"/>
      <c r="P27" s="166"/>
      <c r="Q27" s="187"/>
      <c r="R27" s="187"/>
      <c r="S27" s="187"/>
      <c r="T27" s="187"/>
      <c r="U27" s="187"/>
      <c r="V27" s="187"/>
      <c r="W27" s="187"/>
      <c r="X27" s="187"/>
      <c r="Y27" s="187"/>
      <c r="Z27" s="187"/>
      <c r="AA27" s="187"/>
      <c r="AB27" s="187"/>
      <c r="AC27" s="187"/>
      <c r="AD27" s="187"/>
      <c r="AE27" s="187"/>
      <c r="AF27" s="187"/>
      <c r="AG27" s="187"/>
      <c r="AH27" s="53">
        <f ca="1">TblImps[[#This Row],[Time]]</f>
        <v>44811.708333333278</v>
      </c>
      <c r="AI27" s="188">
        <f ca="1">MIN(25%,(TblConstr[[#This Row],[Tot Fac]]+TblConstr[[#This Row],[Dest Fac]])/(TblConstr[[#This Row],[Land]]-TblExplore[[#This Row],[Land Bonus]]*20))</f>
        <v>0</v>
      </c>
      <c r="AJ27" s="188">
        <f ca="1">MIN(25%,(TblConstr[[#This Row],[Tot Fac]]+TblConstr[[#This Row],[Dest Fac]])/TblConstr[[#This Row],[Land]])</f>
        <v>0</v>
      </c>
      <c r="AK27" s="97">
        <f ca="1">TblProd[[#This Row],[Platinum]]</f>
        <v>225531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50"/>
      <c r="AV27" s="97">
        <f ca="1">ROUND((TblConstr[[#This Row],[Land]]-250 - IF(TblExplore[[#This Row],[Land Bonus]]&lt;&gt;0,20,0))*1.25 + 850 + 0,0)</f>
        <v>850</v>
      </c>
      <c r="AW27" s="97">
        <f ca="1">ROUND((TblConstr[[#This Row],[Land]]-250 - IF(TblExplore[[#This Row],[Land Bonus]]&lt;&gt;0,20,0))*0.285 + 87.5 + 0/4.25,0)</f>
        <v>88</v>
      </c>
      <c r="AX27" s="162"/>
      <c r="AY27" s="196" cm="1">
        <f t="array" aca="1" ref="AY27" ca="1">IF(TblConstr[[#This Row],[Hour]:[Hour]]&gt;12,OFFSET(TblConstr[[#This Row],[Hom]],-12,0),0)+OFFSET(TblConstr[[#This Row],[Tot Hom]],-1,0)-TblConstr[[#This Row],[Dest Hom]]</f>
        <v>10</v>
      </c>
      <c r="AZ27" s="197" cm="1">
        <f t="array" aca="1" ref="AZ27" ca="1">IF(TblConstr[[#This Row],[Hour]:[Hour]]&gt;12,OFFSET(TblConstr[[#This Row],[Alc]],-12,0),0)+OFFSET(TblConstr[[#This Row],[Tot Alc]],-1,0)-TblConstr[[#This Row],[Dest Alc]]</f>
        <v>30</v>
      </c>
      <c r="BA27" s="197" cm="1">
        <f t="array" aca="1" ref="BA27" ca="1">IF(TblConstr[[#This Row],[Hour]:[Hour]]&gt;12,OFFSET(TblConstr[[#This Row],[Far]],-12,0),0)+OFFSET(TblConstr[[#This Row],[Tot Farm]],-1,0)-TblConstr[[#This Row],[Dest Farm]]</f>
        <v>30</v>
      </c>
      <c r="BB27" s="197" cm="1">
        <f t="array" aca="1" ref="BB27" ca="1">IF(TblConstr[[#This Row],[Hour]:[Hour]]&gt;12,OFFSET(TblConstr[[#This Row],[Smi]],-12,0),0)+OFFSET(TblConstr[[#This Row],[Tot Smi]],-1,0)-TblConstr[[#This Row],[Dest Smi]]</f>
        <v>0</v>
      </c>
      <c r="BC27" s="197" cm="1">
        <f t="array" aca="1" ref="BC27" ca="1">IF(TblConstr[[#This Row],[Hour]:[Hour]]&gt;12,OFFSET(TblConstr[[#This Row],[Mas]],-12,0),0)+OFFSET(TblConstr[[#This Row],[Tot Mas]],-1,0)-TblConstr[[#This Row],[Dest Mas]]</f>
        <v>0</v>
      </c>
      <c r="BD27" s="198" cm="1">
        <f t="array" aca="1" ref="BD27" ca="1">IF(TblConstr[[#This Row],[Hour]:[Hour]]&gt;12,OFFSET(TblConstr[[#This Row],[Ly]],-12,0),0)+OFFSET(TblConstr[[#This Row],[Tot Ly]],-1,0)-TblConstr[[#This Row],[Dest Ly]]</f>
        <v>20</v>
      </c>
      <c r="BE27" s="198" cm="1">
        <f t="array" aca="1" ref="BE27" ca="1">IF(TblConstr[[#This Row],[Hour]:[Hour]]&gt;12,OFFSET(TblConstr[[#This Row],[Hav]],-12,0),0)+OFFSET(TblConstr[[#This Row],[Tot Hav]],-1,0)-TblConstr[[#This Row],[Dest Hav]]</f>
        <v>0</v>
      </c>
      <c r="BF27" s="392" cm="1">
        <f t="array" aca="1" ref="BF27" ca="1">IF(TblConstr[[#This Row],[Hour]:[Hour]]&gt;12,OFFSET(TblConstr[[#This Row],[OM]],-12,0),0)+OFFSET(TblConstr[[#This Row],[Tot OM]],-1,0)-TblConstr[[#This Row],[Dest OM]]</f>
        <v>0</v>
      </c>
      <c r="BG27" s="392" cm="1">
        <f t="array" aca="1" ref="BG27" ca="1">IF(TblConstr[[#This Row],[Hour]:[Hour]]&gt;12,OFFSET(TblConstr[[#This Row],[GN]],-12,0),0)+OFFSET(TblConstr[[#This Row],[Tot GN]],-1,0)-TblConstr[[#This Row],[Dest GN]]</f>
        <v>0</v>
      </c>
      <c r="BH27" s="396" cm="1">
        <f t="array" aca="1" ref="BH27" ca="1">IF(TblConstr[[#This Row],[Hour]:[Hour]]&gt;12,OFFSET(TblConstr[[#This Row],[Fac]],-12,0),0)+OFFSET(TblConstr[[#This Row],[Tot Fac]],-1,0)-TblConstr[[#This Row],[Dest Fac]]</f>
        <v>0</v>
      </c>
      <c r="BI27" s="396" cm="1">
        <f t="array" aca="1" ref="BI27" ca="1">IF(TblConstr[[#This Row],[Hour]:[Hour]]&gt;12,OFFSET(TblConstr[[#This Row],[GT]],-12,0),0)+OFFSET(TblConstr[[#This Row],[Tot GT]],-1,0)-TblConstr[[#This Row],[Dest GT]]</f>
        <v>0</v>
      </c>
      <c r="BJ27" s="396" cm="1">
        <f t="array" aca="1" ref="BJ27" ca="1">IF(TblConstr[[#This Row],[Hour]:[Hour]]&gt;12,OFFSET(TblConstr[[#This Row],[Bar]],-12,0),0)+OFFSET(TblConstr[[#This Row],[Tot Bar]],-1,0)-TblConstr[[#This Row],[Dest Bar]]</f>
        <v>0</v>
      </c>
      <c r="BK27" s="396" cm="1">
        <f t="array" aca="1" ref="BK27" ca="1">IF(TblConstr[[#This Row],[Hour]:[Hour]]&gt;12,OFFSET(TblConstr[[#This Row],[Shr]],-12,0),0)+OFFSET(TblConstr[[#This Row],[Tot Shr]],-1,0)-TblConstr[[#This Row],[Dest Shr]]</f>
        <v>0</v>
      </c>
      <c r="BL27" s="400" cm="1">
        <f t="array" aca="1" ref="BL27" ca="1">IF(TblConstr[[#This Row],[Hour]:[Hour]]&gt;12,OFFSET(TblConstr[[#This Row],[Tow]],-12,0),0)+OFFSET(TblConstr[[#This Row],[Tot Tow]],-1,0)-TblConstr[[#This Row],[Dest Tow]]</f>
        <v>0</v>
      </c>
      <c r="BM27" s="400" cm="1">
        <f t="array" aca="1" ref="BM27" ca="1">IF(TblConstr[[#This Row],[Hour]:[Hour]]&gt;12,OFFSET(TblConstr[[#This Row],[Tem]],-12,0),0)+OFFSET(TblConstr[[#This Row],[Tot Tem]],-1,0)-TblConstr[[#This Row],[Dest Tem]]</f>
        <v>0</v>
      </c>
      <c r="BN27" s="400" cm="1">
        <f t="array" aca="1" ref="BN27" ca="1">IF(TblConstr[[#This Row],[Hour]:[Hour]]&gt;12,OFFSET(TblConstr[[#This Row],[WG]],-12,0),0)+OFFSET(TblConstr[[#This Row],[Tot WG]],-1,0)-TblConstr[[#This Row],[Dest WG]]</f>
        <v>0</v>
      </c>
      <c r="BO27" s="199" cm="1">
        <f t="array" aca="1" ref="BO27" ca="1">IF(TblConstr[[#This Row],[Hour]:[Hour]]&gt;12,OFFSET(TblConstr[[#This Row],[DM]],-12,0),0)+OFFSET(TblConstr[[#This Row],[Tot DM]],-1,0)-TblConstr[[#This Row],[Dest DM]]</f>
        <v>0</v>
      </c>
      <c r="BP27" s="199" cm="1">
        <f t="array" aca="1" ref="BP27" ca="1">IF(TblConstr[[#This Row],[Hour]:[Hour]]&gt;12,OFFSET(TblConstr[[#This Row],[Sch]],-12,0),0)+OFFSET(TblConstr[[#This Row],[Tot Sch]],-1,0)-TblConstr[[#This Row],[Dest Sch]]</f>
        <v>0</v>
      </c>
      <c r="BQ27" s="200" cm="1">
        <f t="array" aca="1" ref="BQ27" ca="1">IF(TblConstr[[#This Row],[Hour]:[Hour]]&gt;12,OFFSET(TblConstr[[#This Row],[Doc]],-12,0),0)+OFFSET(TblConstr[[#This Row],[Tot Doc]],-1,0)-TblConstr[[#This Row],[Dest Doc]]</f>
        <v>0</v>
      </c>
      <c r="BR27" s="150"/>
      <c r="BS27" s="162"/>
      <c r="BT27" s="97">
        <f ca="1">TblConstr[[#This Row],[Land]]</f>
        <v>250</v>
      </c>
      <c r="BU27" s="167">
        <f ca="1">TblImps[[#This Row],[Time]]</f>
        <v>44811.708333333278</v>
      </c>
      <c r="BV27" s="150"/>
      <c r="BW27" s="187"/>
      <c r="BX27" s="187"/>
      <c r="BY27" s="187"/>
      <c r="BZ27" s="187"/>
      <c r="CA27" s="187"/>
      <c r="CB27" s="187"/>
      <c r="CC27" s="187"/>
      <c r="CD27" s="187"/>
      <c r="CE27" s="187"/>
      <c r="CF27" s="187"/>
      <c r="CG27" s="187"/>
      <c r="CH27" s="187"/>
      <c r="CI27" s="187"/>
      <c r="CJ27" s="187"/>
      <c r="CK27" s="187"/>
      <c r="CL27" s="187"/>
      <c r="CM27" s="187"/>
      <c r="CN27" s="187"/>
      <c r="CO27" s="187"/>
      <c r="CP27" s="150"/>
      <c r="CQ27" s="189">
        <f ca="1">-SUM(TblConstr[[#This Row],[Alc]:[Mas]])+SUM(TblConstr[[#This Row],[Dest Alc]:[Dest Mas]])+Rezone!L27+IF("Ch_"&amp; home_land=TblConstr[[#Headers],[Ch_Plain]],TblConstr[[#This Row],[Home Land]])+IF(TblConstr[[#This Row],[Hour]:[Hour]]&gt;12,OFFSET(TblExplore[[#This Row],[Plains Explore]],-12,0),0)</f>
        <v>0</v>
      </c>
      <c r="CR27" s="190">
        <f ca="1">-SUM(TblConstr[[#This Row],[Ly]:[Hav]])+SUM(TblConstr[[#This Row],[Dest Ly]:[Dest Hav]]) +Rezone!M27 + IF("Ch_"&amp; home_land=TblConstr[[#Headers],[Ch_Forest]],TblConstr[[#This Row],[Home Land]])+IF(TblConstr[[#This Row],[Hour]:[Hour]]&gt;12,OFFSET(TblExplore[[#This Row],[Forest Explore]],-12,0),0)</f>
        <v>0</v>
      </c>
      <c r="CS27" s="390">
        <f ca="1">-SUM(TblConstr[[#This Row],[OM]:[GN]])+SUM(TblConstr[[#This Row],[Dest OM]:[Dest GN]]) +Rezone!N27 + IF("Ch_"&amp; home_land=TblConstr[[#Headers],[Ch_Mountain]],TblConstr[[#This Row],[Home Land]])+IF(TblConstr[[#This Row],[Hour]:[Hour]]&gt;12,OFFSET(TblExplore[[#This Row],[Mountain Explore]],-12,0),0)</f>
        <v>0</v>
      </c>
      <c r="CT27" s="191">
        <f ca="1">-SUM(TblConstr[[#This Row],[Fac]:[Shr]])+SUM(TblConstr[[#This Row],[Dest Fac]:[Dest Shr]]) +Rezone!O27 + IF("Ch_" &amp; home_land=TblConstr[[#Headers],[Ch_Hill]],TblConstr[[#This Row],[Home Land]])+IF(TblConstr[[#This Row],[Hour]:[Hour]]&gt;12,OFFSET(TblExplore[[#This Row],[Hill Explore]],-12,0),0)</f>
        <v>0</v>
      </c>
      <c r="CU27" s="192">
        <f ca="1">-SUM(TblConstr[[#This Row],[Tow]:[WG]])+SUM(TblConstr[[#This Row],[Dest Tow]:[Dest WG]]) +Rezone!P27 + IF("Ch_" &amp; home_land=TblConstr[[#Headers],[Ch_Swamp]],TblConstr[[#This Row],[Home Land]])+IF(TblConstr[[#This Row],[Hour]:[Hour]]&gt;12,OFFSET(TblExplore[[#This Row],[Swamp Explore]],-12,0),0)</f>
        <v>0</v>
      </c>
      <c r="CV27" s="193">
        <f ca="1" xml:space="preserve"> - SUM(TblConstr[[#This Row],[DM]:[Sch]])+SUM(TblConstr[[#This Row],[Dest DM]:[Dest Sch]]) +Rezone!Q27 + IF("Ch_" &amp; home_land=TblConstr[[#Headers],[Ch_Cavern]],TblConstr[[#This Row],[Home Land]])+IF(TblConstr[[#This Row],[Hour]:[Hour]]&gt;12,OFFSET(TblExplore[[#This Row],[Cavern Explore]],-12,0),0)</f>
        <v>0</v>
      </c>
      <c r="CW27" s="194">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50"/>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83">
        <f>TblRezone[[#This Row],[Hour]]</f>
        <v>25</v>
      </c>
      <c r="B28" s="184">
        <f ca="1">SUM(TblConstr[[#This Row],[Plain]:[Water]])</f>
        <v>160</v>
      </c>
      <c r="C28" s="185">
        <f ca="1">SUM(TblConstr[[#This Row],[Tot Hom]:[Tot Doc]])</f>
        <v>90</v>
      </c>
      <c r="D28" s="185">
        <f t="shared" si="2"/>
        <v>0</v>
      </c>
      <c r="E28" s="186"/>
      <c r="F28" s="62">
        <f ca="1">TblConstr[[#This Row],[Barren]]+TblConstr[[#This Row],[Buildings]]+TblConstr[[#This Row],[Incoming]]</f>
        <v>250</v>
      </c>
      <c r="G28" s="195">
        <f ca="1">OFFSET(TblConstr[[#This Row],[Plain]],-1,0)+TblConstr[[#This Row],[Ch_Plain]]</f>
        <v>40</v>
      </c>
      <c r="H28" s="190">
        <f ca="1">OFFSET(TblConstr[[#This Row],[Forest]],-1,0)+TblConstr[[#This Row],[Ch_Forest]]</f>
        <v>20</v>
      </c>
      <c r="I28" s="390">
        <f ca="1">OFFSET(TblConstr[[#This Row],[Mountain]],-1,0)+TblConstr[[#This Row],[Ch_Mountain]]</f>
        <v>20</v>
      </c>
      <c r="J28" s="394">
        <f ca="1">OFFSET(TblConstr[[#This Row],[Hill]],-1,0)+TblConstr[[#This Row],[Ch_Hill]]</f>
        <v>20</v>
      </c>
      <c r="K28" s="398">
        <f ca="1">OFFSET(TblConstr[[#This Row],[Swamp]],-1,0)+TblConstr[[#This Row],[Ch_Swamp]]</f>
        <v>20</v>
      </c>
      <c r="L28" s="193">
        <f ca="1">OFFSET(TblConstr[[#This Row],[Cavern]],-1,0)+TblConstr[[#This Row],[Ch_Cavern]]</f>
        <v>20</v>
      </c>
      <c r="M28" s="194">
        <f ca="1">OFFSET(TblConstr[[#This Row],[Water]],-1,0)+TblConstr[[#This Row],[Ch_Water]]</f>
        <v>20</v>
      </c>
      <c r="N28" s="388">
        <f>TblRezone[[#This Row],[Hour]]</f>
        <v>25</v>
      </c>
      <c r="O28" s="187"/>
      <c r="P28" s="187"/>
      <c r="Q28" s="187"/>
      <c r="R28" s="187"/>
      <c r="S28" s="187"/>
      <c r="T28" s="187"/>
      <c r="U28" s="187"/>
      <c r="V28" s="187"/>
      <c r="W28" s="187"/>
      <c r="X28" s="187"/>
      <c r="Y28" s="187"/>
      <c r="Z28" s="187"/>
      <c r="AA28" s="187"/>
      <c r="AB28" s="187"/>
      <c r="AC28" s="187"/>
      <c r="AD28" s="187"/>
      <c r="AE28" s="187"/>
      <c r="AF28" s="187"/>
      <c r="AG28" s="187"/>
      <c r="AH28" s="53">
        <f ca="1">TblImps[[#This Row],[Time]]</f>
        <v>44811.749999999942</v>
      </c>
      <c r="AI28" s="188">
        <f ca="1">MIN(25%,(TblConstr[[#This Row],[Tot Fac]]+TblConstr[[#This Row],[Dest Fac]])/(TblConstr[[#This Row],[Land]]-TblExplore[[#This Row],[Land Bonus]]*20))</f>
        <v>0</v>
      </c>
      <c r="AJ28" s="188">
        <f ca="1">MIN(25%,(TblConstr[[#This Row],[Tot Fac]]+TblConstr[[#This Row],[Dest Fac]])/TblConstr[[#This Row],[Land]])</f>
        <v>0</v>
      </c>
      <c r="AK28" s="97">
        <f ca="1">TblProd[[#This Row],[Platinum]]</f>
        <v>231201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50"/>
      <c r="AV28" s="97">
        <f ca="1">ROUND((TblConstr[[#This Row],[Land]]-250 - IF(TblExplore[[#This Row],[Land Bonus]]&lt;&gt;0,20,0))*1.25 + 850 + 0,0)</f>
        <v>850</v>
      </c>
      <c r="AW28" s="97">
        <f ca="1">ROUND((TblConstr[[#This Row],[Land]]-250 - IF(TblExplore[[#This Row],[Land Bonus]]&lt;&gt;0,20,0))*0.285 + 87.5 + 0/4.25,0)</f>
        <v>88</v>
      </c>
      <c r="AX28" s="162"/>
      <c r="AY28" s="196" cm="1">
        <f t="array" aca="1" ref="AY28" ca="1">IF(TblConstr[[#This Row],[Hour]:[Hour]]&gt;12,OFFSET(TblConstr[[#This Row],[Hom]],-12,0),0)+OFFSET(TblConstr[[#This Row],[Tot Hom]],-1,0)-TblConstr[[#This Row],[Dest Hom]]</f>
        <v>10</v>
      </c>
      <c r="AZ28" s="197" cm="1">
        <f t="array" aca="1" ref="AZ28" ca="1">IF(TblConstr[[#This Row],[Hour]:[Hour]]&gt;12,OFFSET(TblConstr[[#This Row],[Alc]],-12,0),0)+OFFSET(TblConstr[[#This Row],[Tot Alc]],-1,0)-TblConstr[[#This Row],[Dest Alc]]</f>
        <v>30</v>
      </c>
      <c r="BA28" s="197" cm="1">
        <f t="array" aca="1" ref="BA28" ca="1">IF(TblConstr[[#This Row],[Hour]:[Hour]]&gt;12,OFFSET(TblConstr[[#This Row],[Far]],-12,0),0)+OFFSET(TblConstr[[#This Row],[Tot Farm]],-1,0)-TblConstr[[#This Row],[Dest Farm]]</f>
        <v>30</v>
      </c>
      <c r="BB28" s="197" cm="1">
        <f t="array" aca="1" ref="BB28" ca="1">IF(TblConstr[[#This Row],[Hour]:[Hour]]&gt;12,OFFSET(TblConstr[[#This Row],[Smi]],-12,0),0)+OFFSET(TblConstr[[#This Row],[Tot Smi]],-1,0)-TblConstr[[#This Row],[Dest Smi]]</f>
        <v>0</v>
      </c>
      <c r="BC28" s="197" cm="1">
        <f t="array" aca="1" ref="BC28" ca="1">IF(TblConstr[[#This Row],[Hour]:[Hour]]&gt;12,OFFSET(TblConstr[[#This Row],[Mas]],-12,0),0)+OFFSET(TblConstr[[#This Row],[Tot Mas]],-1,0)-TblConstr[[#This Row],[Dest Mas]]</f>
        <v>0</v>
      </c>
      <c r="BD28" s="198" cm="1">
        <f t="array" aca="1" ref="BD28" ca="1">IF(TblConstr[[#This Row],[Hour]:[Hour]]&gt;12,OFFSET(TblConstr[[#This Row],[Ly]],-12,0),0)+OFFSET(TblConstr[[#This Row],[Tot Ly]],-1,0)-TblConstr[[#This Row],[Dest Ly]]</f>
        <v>20</v>
      </c>
      <c r="BE28" s="198" cm="1">
        <f t="array" aca="1" ref="BE28" ca="1">IF(TblConstr[[#This Row],[Hour]:[Hour]]&gt;12,OFFSET(TblConstr[[#This Row],[Hav]],-12,0),0)+OFFSET(TblConstr[[#This Row],[Tot Hav]],-1,0)-TblConstr[[#This Row],[Dest Hav]]</f>
        <v>0</v>
      </c>
      <c r="BF28" s="392" cm="1">
        <f t="array" aca="1" ref="BF28" ca="1">IF(TblConstr[[#This Row],[Hour]:[Hour]]&gt;12,OFFSET(TblConstr[[#This Row],[OM]],-12,0),0)+OFFSET(TblConstr[[#This Row],[Tot OM]],-1,0)-TblConstr[[#This Row],[Dest OM]]</f>
        <v>0</v>
      </c>
      <c r="BG28" s="392" cm="1">
        <f t="array" aca="1" ref="BG28" ca="1">IF(TblConstr[[#This Row],[Hour]:[Hour]]&gt;12,OFFSET(TblConstr[[#This Row],[GN]],-12,0),0)+OFFSET(TblConstr[[#This Row],[Tot GN]],-1,0)-TblConstr[[#This Row],[Dest GN]]</f>
        <v>0</v>
      </c>
      <c r="BH28" s="396" cm="1">
        <f t="array" aca="1" ref="BH28" ca="1">IF(TblConstr[[#This Row],[Hour]:[Hour]]&gt;12,OFFSET(TblConstr[[#This Row],[Fac]],-12,0),0)+OFFSET(TblConstr[[#This Row],[Tot Fac]],-1,0)-TblConstr[[#This Row],[Dest Fac]]</f>
        <v>0</v>
      </c>
      <c r="BI28" s="396" cm="1">
        <f t="array" aca="1" ref="BI28" ca="1">IF(TblConstr[[#This Row],[Hour]:[Hour]]&gt;12,OFFSET(TblConstr[[#This Row],[GT]],-12,0),0)+OFFSET(TblConstr[[#This Row],[Tot GT]],-1,0)-TblConstr[[#This Row],[Dest GT]]</f>
        <v>0</v>
      </c>
      <c r="BJ28" s="396" cm="1">
        <f t="array" aca="1" ref="BJ28" ca="1">IF(TblConstr[[#This Row],[Hour]:[Hour]]&gt;12,OFFSET(TblConstr[[#This Row],[Bar]],-12,0),0)+OFFSET(TblConstr[[#This Row],[Tot Bar]],-1,0)-TblConstr[[#This Row],[Dest Bar]]</f>
        <v>0</v>
      </c>
      <c r="BK28" s="396" cm="1">
        <f t="array" aca="1" ref="BK28" ca="1">IF(TblConstr[[#This Row],[Hour]:[Hour]]&gt;12,OFFSET(TblConstr[[#This Row],[Shr]],-12,0),0)+OFFSET(TblConstr[[#This Row],[Tot Shr]],-1,0)-TblConstr[[#This Row],[Dest Shr]]</f>
        <v>0</v>
      </c>
      <c r="BL28" s="400" cm="1">
        <f t="array" aca="1" ref="BL28" ca="1">IF(TblConstr[[#This Row],[Hour]:[Hour]]&gt;12,OFFSET(TblConstr[[#This Row],[Tow]],-12,0),0)+OFFSET(TblConstr[[#This Row],[Tot Tow]],-1,0)-TblConstr[[#This Row],[Dest Tow]]</f>
        <v>0</v>
      </c>
      <c r="BM28" s="400" cm="1">
        <f t="array" aca="1" ref="BM28" ca="1">IF(TblConstr[[#This Row],[Hour]:[Hour]]&gt;12,OFFSET(TblConstr[[#This Row],[Tem]],-12,0),0)+OFFSET(TblConstr[[#This Row],[Tot Tem]],-1,0)-TblConstr[[#This Row],[Dest Tem]]</f>
        <v>0</v>
      </c>
      <c r="BN28" s="400" cm="1">
        <f t="array" aca="1" ref="BN28" ca="1">IF(TblConstr[[#This Row],[Hour]:[Hour]]&gt;12,OFFSET(TblConstr[[#This Row],[WG]],-12,0),0)+OFFSET(TblConstr[[#This Row],[Tot WG]],-1,0)-TblConstr[[#This Row],[Dest WG]]</f>
        <v>0</v>
      </c>
      <c r="BO28" s="199" cm="1">
        <f t="array" aca="1" ref="BO28" ca="1">IF(TblConstr[[#This Row],[Hour]:[Hour]]&gt;12,OFFSET(TblConstr[[#This Row],[DM]],-12,0),0)+OFFSET(TblConstr[[#This Row],[Tot DM]],-1,0)-TblConstr[[#This Row],[Dest DM]]</f>
        <v>0</v>
      </c>
      <c r="BP28" s="199" cm="1">
        <f t="array" aca="1" ref="BP28" ca="1">IF(TblConstr[[#This Row],[Hour]:[Hour]]&gt;12,OFFSET(TblConstr[[#This Row],[Sch]],-12,0),0)+OFFSET(TblConstr[[#This Row],[Tot Sch]],-1,0)-TblConstr[[#This Row],[Dest Sch]]</f>
        <v>0</v>
      </c>
      <c r="BQ28" s="200" cm="1">
        <f t="array" aca="1" ref="BQ28" ca="1">IF(TblConstr[[#This Row],[Hour]:[Hour]]&gt;12,OFFSET(TblConstr[[#This Row],[Doc]],-12,0),0)+OFFSET(TblConstr[[#This Row],[Tot Doc]],-1,0)-TblConstr[[#This Row],[Dest Doc]]</f>
        <v>0</v>
      </c>
      <c r="BR28" s="150"/>
      <c r="BS28" s="162"/>
      <c r="BT28" s="97">
        <f ca="1">TblConstr[[#This Row],[Land]]</f>
        <v>250</v>
      </c>
      <c r="BU28" s="167">
        <f ca="1">TblImps[[#This Row],[Time]]</f>
        <v>44811.749999999942</v>
      </c>
      <c r="BV28" s="150"/>
      <c r="BW28" s="187"/>
      <c r="BX28" s="187"/>
      <c r="BY28" s="187"/>
      <c r="BZ28" s="187"/>
      <c r="CA28" s="187"/>
      <c r="CB28" s="187"/>
      <c r="CC28" s="187"/>
      <c r="CD28" s="187"/>
      <c r="CE28" s="187"/>
      <c r="CF28" s="187"/>
      <c r="CG28" s="187"/>
      <c r="CH28" s="187"/>
      <c r="CI28" s="187"/>
      <c r="CJ28" s="187"/>
      <c r="CK28" s="187"/>
      <c r="CL28" s="187"/>
      <c r="CM28" s="187"/>
      <c r="CN28" s="187"/>
      <c r="CO28" s="187"/>
      <c r="CP28" s="150"/>
      <c r="CQ28" s="189">
        <f ca="1">-SUM(TblConstr[[#This Row],[Alc]:[Mas]])+SUM(TblConstr[[#This Row],[Dest Alc]:[Dest Mas]])+Rezone!L28+IF("Ch_"&amp; home_land=TblConstr[[#Headers],[Ch_Plain]],TblConstr[[#This Row],[Home Land]])+IF(TblConstr[[#This Row],[Hour]:[Hour]]&gt;12,OFFSET(TblExplore[[#This Row],[Plains Explore]],-12,0),0)</f>
        <v>0</v>
      </c>
      <c r="CR28" s="190">
        <f ca="1">-SUM(TblConstr[[#This Row],[Ly]:[Hav]])+SUM(TblConstr[[#This Row],[Dest Ly]:[Dest Hav]]) +Rezone!M28 + IF("Ch_"&amp; home_land=TblConstr[[#Headers],[Ch_Forest]],TblConstr[[#This Row],[Home Land]])+IF(TblConstr[[#This Row],[Hour]:[Hour]]&gt;12,OFFSET(TblExplore[[#This Row],[Forest Explore]],-12,0),0)</f>
        <v>0</v>
      </c>
      <c r="CS28" s="390">
        <f ca="1">-SUM(TblConstr[[#This Row],[OM]:[GN]])+SUM(TblConstr[[#This Row],[Dest OM]:[Dest GN]]) +Rezone!N28 + IF("Ch_"&amp; home_land=TblConstr[[#Headers],[Ch_Mountain]],TblConstr[[#This Row],[Home Land]])+IF(TblConstr[[#This Row],[Hour]:[Hour]]&gt;12,OFFSET(TblExplore[[#This Row],[Mountain Explore]],-12,0),0)</f>
        <v>0</v>
      </c>
      <c r="CT28" s="191">
        <f ca="1">-SUM(TblConstr[[#This Row],[Fac]:[Shr]])+SUM(TblConstr[[#This Row],[Dest Fac]:[Dest Shr]]) +Rezone!O28 + IF("Ch_" &amp; home_land=TblConstr[[#Headers],[Ch_Hill]],TblConstr[[#This Row],[Home Land]])+IF(TblConstr[[#This Row],[Hour]:[Hour]]&gt;12,OFFSET(TblExplore[[#This Row],[Hill Explore]],-12,0),0)</f>
        <v>0</v>
      </c>
      <c r="CU28" s="192">
        <f ca="1">-SUM(TblConstr[[#This Row],[Tow]:[WG]])+SUM(TblConstr[[#This Row],[Dest Tow]:[Dest WG]]) +Rezone!P28 + IF("Ch_" &amp; home_land=TblConstr[[#Headers],[Ch_Swamp]],TblConstr[[#This Row],[Home Land]])+IF(TblConstr[[#This Row],[Hour]:[Hour]]&gt;12,OFFSET(TblExplore[[#This Row],[Swamp Explore]],-12,0),0)</f>
        <v>0</v>
      </c>
      <c r="CV28" s="193">
        <f ca="1" xml:space="preserve"> - SUM(TblConstr[[#This Row],[DM]:[Sch]])+SUM(TblConstr[[#This Row],[Dest DM]:[Dest Sch]]) +Rezone!Q28 + IF("Ch_" &amp; home_land=TblConstr[[#Headers],[Ch_Cavern]],TblConstr[[#This Row],[Home Land]])+IF(TblConstr[[#This Row],[Hour]:[Hour]]&gt;12,OFFSET(TblExplore[[#This Row],[Cavern Explore]],-12,0),0)</f>
        <v>0</v>
      </c>
      <c r="CW28" s="194">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50"/>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83">
        <f>TblRezone[[#This Row],[Hour]]</f>
        <v>26</v>
      </c>
      <c r="B29" s="184">
        <f ca="1">SUM(TblConstr[[#This Row],[Plain]:[Water]])</f>
        <v>160</v>
      </c>
      <c r="C29" s="185">
        <f ca="1">SUM(TblConstr[[#This Row],[Tot Hom]:[Tot Doc]])</f>
        <v>90</v>
      </c>
      <c r="D29" s="185">
        <f t="shared" si="2"/>
        <v>0</v>
      </c>
      <c r="E29" s="186"/>
      <c r="F29" s="62">
        <f ca="1">TblConstr[[#This Row],[Barren]]+TblConstr[[#This Row],[Buildings]]+TblConstr[[#This Row],[Incoming]]</f>
        <v>250</v>
      </c>
      <c r="G29" s="195">
        <f ca="1">OFFSET(TblConstr[[#This Row],[Plain]],-1,0)+TblConstr[[#This Row],[Ch_Plain]]</f>
        <v>40</v>
      </c>
      <c r="H29" s="190">
        <f ca="1">OFFSET(TblConstr[[#This Row],[Forest]],-1,0)+TblConstr[[#This Row],[Ch_Forest]]</f>
        <v>20</v>
      </c>
      <c r="I29" s="390">
        <f ca="1">OFFSET(TblConstr[[#This Row],[Mountain]],-1,0)+TblConstr[[#This Row],[Ch_Mountain]]</f>
        <v>20</v>
      </c>
      <c r="J29" s="394">
        <f ca="1">OFFSET(TblConstr[[#This Row],[Hill]],-1,0)+TblConstr[[#This Row],[Ch_Hill]]</f>
        <v>20</v>
      </c>
      <c r="K29" s="398">
        <f ca="1">OFFSET(TblConstr[[#This Row],[Swamp]],-1,0)+TblConstr[[#This Row],[Ch_Swamp]]</f>
        <v>20</v>
      </c>
      <c r="L29" s="193">
        <f ca="1">OFFSET(TblConstr[[#This Row],[Cavern]],-1,0)+TblConstr[[#This Row],[Ch_Cavern]]</f>
        <v>20</v>
      </c>
      <c r="M29" s="194">
        <f ca="1">OFFSET(TblConstr[[#This Row],[Water]],-1,0)+TblConstr[[#This Row],[Ch_Water]]</f>
        <v>20</v>
      </c>
      <c r="N29" s="388">
        <f>TblRezone[[#This Row],[Hour]]</f>
        <v>26</v>
      </c>
      <c r="O29" s="187"/>
      <c r="P29" s="187"/>
      <c r="Q29" s="187"/>
      <c r="R29" s="187"/>
      <c r="S29" s="187"/>
      <c r="T29" s="187"/>
      <c r="U29" s="187"/>
      <c r="V29" s="187"/>
      <c r="W29" s="187"/>
      <c r="X29" s="187"/>
      <c r="Y29" s="187"/>
      <c r="Z29" s="187"/>
      <c r="AA29" s="187"/>
      <c r="AB29" s="187"/>
      <c r="AC29" s="187"/>
      <c r="AD29" s="187"/>
      <c r="AE29" s="187"/>
      <c r="AF29" s="187"/>
      <c r="AG29" s="187"/>
      <c r="AH29" s="53">
        <f ca="1">TblImps[[#This Row],[Time]]</f>
        <v>44811.791666666606</v>
      </c>
      <c r="AI29" s="188">
        <f ca="1">MIN(25%,(TblConstr[[#This Row],[Tot Fac]]+TblConstr[[#This Row],[Dest Fac]])/(TblConstr[[#This Row],[Land]]-TblExplore[[#This Row],[Land Bonus]]*20))</f>
        <v>0</v>
      </c>
      <c r="AJ29" s="188">
        <f ca="1">MIN(25%,(TblConstr[[#This Row],[Tot Fac]]+TblConstr[[#This Row],[Dest Fac]])/TblConstr[[#This Row],[Land]])</f>
        <v>0</v>
      </c>
      <c r="AK29" s="97">
        <f ca="1">TblProd[[#This Row],[Platinum]]</f>
        <v>236871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50"/>
      <c r="AV29" s="97">
        <f ca="1">ROUND((TblConstr[[#This Row],[Land]]-250 - IF(TblExplore[[#This Row],[Land Bonus]]&lt;&gt;0,20,0))*1.25 + 850 + 0,0)</f>
        <v>850</v>
      </c>
      <c r="AW29" s="97">
        <f ca="1">ROUND((TblConstr[[#This Row],[Land]]-250 - IF(TblExplore[[#This Row],[Land Bonus]]&lt;&gt;0,20,0))*0.285 + 87.5 + 0/4.25,0)</f>
        <v>88</v>
      </c>
      <c r="AX29" s="162"/>
      <c r="AY29" s="196" cm="1">
        <f t="array" aca="1" ref="AY29" ca="1">IF(TblConstr[[#This Row],[Hour]:[Hour]]&gt;12,OFFSET(TblConstr[[#This Row],[Hom]],-12,0),0)+OFFSET(TblConstr[[#This Row],[Tot Hom]],-1,0)-TblConstr[[#This Row],[Dest Hom]]</f>
        <v>10</v>
      </c>
      <c r="AZ29" s="197" cm="1">
        <f t="array" aca="1" ref="AZ29" ca="1">IF(TblConstr[[#This Row],[Hour]:[Hour]]&gt;12,OFFSET(TblConstr[[#This Row],[Alc]],-12,0),0)+OFFSET(TblConstr[[#This Row],[Tot Alc]],-1,0)-TblConstr[[#This Row],[Dest Alc]]</f>
        <v>30</v>
      </c>
      <c r="BA29" s="197" cm="1">
        <f t="array" aca="1" ref="BA29" ca="1">IF(TblConstr[[#This Row],[Hour]:[Hour]]&gt;12,OFFSET(TblConstr[[#This Row],[Far]],-12,0),0)+OFFSET(TblConstr[[#This Row],[Tot Farm]],-1,0)-TblConstr[[#This Row],[Dest Farm]]</f>
        <v>30</v>
      </c>
      <c r="BB29" s="197" cm="1">
        <f t="array" aca="1" ref="BB29" ca="1">IF(TblConstr[[#This Row],[Hour]:[Hour]]&gt;12,OFFSET(TblConstr[[#This Row],[Smi]],-12,0),0)+OFFSET(TblConstr[[#This Row],[Tot Smi]],-1,0)-TblConstr[[#This Row],[Dest Smi]]</f>
        <v>0</v>
      </c>
      <c r="BC29" s="197" cm="1">
        <f t="array" aca="1" ref="BC29" ca="1">IF(TblConstr[[#This Row],[Hour]:[Hour]]&gt;12,OFFSET(TblConstr[[#This Row],[Mas]],-12,0),0)+OFFSET(TblConstr[[#This Row],[Tot Mas]],-1,0)-TblConstr[[#This Row],[Dest Mas]]</f>
        <v>0</v>
      </c>
      <c r="BD29" s="198" cm="1">
        <f t="array" aca="1" ref="BD29" ca="1">IF(TblConstr[[#This Row],[Hour]:[Hour]]&gt;12,OFFSET(TblConstr[[#This Row],[Ly]],-12,0),0)+OFFSET(TblConstr[[#This Row],[Tot Ly]],-1,0)-TblConstr[[#This Row],[Dest Ly]]</f>
        <v>20</v>
      </c>
      <c r="BE29" s="198" cm="1">
        <f t="array" aca="1" ref="BE29" ca="1">IF(TblConstr[[#This Row],[Hour]:[Hour]]&gt;12,OFFSET(TblConstr[[#This Row],[Hav]],-12,0),0)+OFFSET(TblConstr[[#This Row],[Tot Hav]],-1,0)-TblConstr[[#This Row],[Dest Hav]]</f>
        <v>0</v>
      </c>
      <c r="BF29" s="392" cm="1">
        <f t="array" aca="1" ref="BF29" ca="1">IF(TblConstr[[#This Row],[Hour]:[Hour]]&gt;12,OFFSET(TblConstr[[#This Row],[OM]],-12,0),0)+OFFSET(TblConstr[[#This Row],[Tot OM]],-1,0)-TblConstr[[#This Row],[Dest OM]]</f>
        <v>0</v>
      </c>
      <c r="BG29" s="392" cm="1">
        <f t="array" aca="1" ref="BG29" ca="1">IF(TblConstr[[#This Row],[Hour]:[Hour]]&gt;12,OFFSET(TblConstr[[#This Row],[GN]],-12,0),0)+OFFSET(TblConstr[[#This Row],[Tot GN]],-1,0)-TblConstr[[#This Row],[Dest GN]]</f>
        <v>0</v>
      </c>
      <c r="BH29" s="396" cm="1">
        <f t="array" aca="1" ref="BH29" ca="1">IF(TblConstr[[#This Row],[Hour]:[Hour]]&gt;12,OFFSET(TblConstr[[#This Row],[Fac]],-12,0),0)+OFFSET(TblConstr[[#This Row],[Tot Fac]],-1,0)-TblConstr[[#This Row],[Dest Fac]]</f>
        <v>0</v>
      </c>
      <c r="BI29" s="396" cm="1">
        <f t="array" aca="1" ref="BI29" ca="1">IF(TblConstr[[#This Row],[Hour]:[Hour]]&gt;12,OFFSET(TblConstr[[#This Row],[GT]],-12,0),0)+OFFSET(TblConstr[[#This Row],[Tot GT]],-1,0)-TblConstr[[#This Row],[Dest GT]]</f>
        <v>0</v>
      </c>
      <c r="BJ29" s="396" cm="1">
        <f t="array" aca="1" ref="BJ29" ca="1">IF(TblConstr[[#This Row],[Hour]:[Hour]]&gt;12,OFFSET(TblConstr[[#This Row],[Bar]],-12,0),0)+OFFSET(TblConstr[[#This Row],[Tot Bar]],-1,0)-TblConstr[[#This Row],[Dest Bar]]</f>
        <v>0</v>
      </c>
      <c r="BK29" s="396" cm="1">
        <f t="array" aca="1" ref="BK29" ca="1">IF(TblConstr[[#This Row],[Hour]:[Hour]]&gt;12,OFFSET(TblConstr[[#This Row],[Shr]],-12,0),0)+OFFSET(TblConstr[[#This Row],[Tot Shr]],-1,0)-TblConstr[[#This Row],[Dest Shr]]</f>
        <v>0</v>
      </c>
      <c r="BL29" s="400" cm="1">
        <f t="array" aca="1" ref="BL29" ca="1">IF(TblConstr[[#This Row],[Hour]:[Hour]]&gt;12,OFFSET(TblConstr[[#This Row],[Tow]],-12,0),0)+OFFSET(TblConstr[[#This Row],[Tot Tow]],-1,0)-TblConstr[[#This Row],[Dest Tow]]</f>
        <v>0</v>
      </c>
      <c r="BM29" s="400" cm="1">
        <f t="array" aca="1" ref="BM29" ca="1">IF(TblConstr[[#This Row],[Hour]:[Hour]]&gt;12,OFFSET(TblConstr[[#This Row],[Tem]],-12,0),0)+OFFSET(TblConstr[[#This Row],[Tot Tem]],-1,0)-TblConstr[[#This Row],[Dest Tem]]</f>
        <v>0</v>
      </c>
      <c r="BN29" s="400" cm="1">
        <f t="array" aca="1" ref="BN29" ca="1">IF(TblConstr[[#This Row],[Hour]:[Hour]]&gt;12,OFFSET(TblConstr[[#This Row],[WG]],-12,0),0)+OFFSET(TblConstr[[#This Row],[Tot WG]],-1,0)-TblConstr[[#This Row],[Dest WG]]</f>
        <v>0</v>
      </c>
      <c r="BO29" s="199" cm="1">
        <f t="array" aca="1" ref="BO29" ca="1">IF(TblConstr[[#This Row],[Hour]:[Hour]]&gt;12,OFFSET(TblConstr[[#This Row],[DM]],-12,0),0)+OFFSET(TblConstr[[#This Row],[Tot DM]],-1,0)-TblConstr[[#This Row],[Dest DM]]</f>
        <v>0</v>
      </c>
      <c r="BP29" s="199" cm="1">
        <f t="array" aca="1" ref="BP29" ca="1">IF(TblConstr[[#This Row],[Hour]:[Hour]]&gt;12,OFFSET(TblConstr[[#This Row],[Sch]],-12,0),0)+OFFSET(TblConstr[[#This Row],[Tot Sch]],-1,0)-TblConstr[[#This Row],[Dest Sch]]</f>
        <v>0</v>
      </c>
      <c r="BQ29" s="200" cm="1">
        <f t="array" aca="1" ref="BQ29" ca="1">IF(TblConstr[[#This Row],[Hour]:[Hour]]&gt;12,OFFSET(TblConstr[[#This Row],[Doc]],-12,0),0)+OFFSET(TblConstr[[#This Row],[Tot Doc]],-1,0)-TblConstr[[#This Row],[Dest Doc]]</f>
        <v>0</v>
      </c>
      <c r="BR29" s="150"/>
      <c r="BS29" s="162"/>
      <c r="BT29" s="97">
        <f ca="1">TblConstr[[#This Row],[Land]]</f>
        <v>250</v>
      </c>
      <c r="BU29" s="167">
        <f ca="1">TblImps[[#This Row],[Time]]</f>
        <v>44811.791666666606</v>
      </c>
      <c r="BV29" s="150"/>
      <c r="BW29" s="187"/>
      <c r="BX29" s="187"/>
      <c r="BY29" s="187"/>
      <c r="BZ29" s="187"/>
      <c r="CA29" s="187"/>
      <c r="CB29" s="187"/>
      <c r="CC29" s="187"/>
      <c r="CD29" s="187"/>
      <c r="CE29" s="187"/>
      <c r="CF29" s="187"/>
      <c r="CG29" s="187"/>
      <c r="CH29" s="187"/>
      <c r="CI29" s="187"/>
      <c r="CJ29" s="187"/>
      <c r="CK29" s="187"/>
      <c r="CL29" s="187"/>
      <c r="CM29" s="187"/>
      <c r="CN29" s="187"/>
      <c r="CO29" s="187"/>
      <c r="CP29" s="150"/>
      <c r="CQ29" s="189">
        <f ca="1">-SUM(TblConstr[[#This Row],[Alc]:[Mas]])+SUM(TblConstr[[#This Row],[Dest Alc]:[Dest Mas]])+Rezone!L29+IF("Ch_"&amp; home_land=TblConstr[[#Headers],[Ch_Plain]],TblConstr[[#This Row],[Home Land]])+IF(TblConstr[[#This Row],[Hour]:[Hour]]&gt;12,OFFSET(TblExplore[[#This Row],[Plains Explore]],-12,0),0)</f>
        <v>0</v>
      </c>
      <c r="CR29" s="190">
        <f ca="1">-SUM(TblConstr[[#This Row],[Ly]:[Hav]])+SUM(TblConstr[[#This Row],[Dest Ly]:[Dest Hav]]) +Rezone!M29 + IF("Ch_"&amp; home_land=TblConstr[[#Headers],[Ch_Forest]],TblConstr[[#This Row],[Home Land]])+IF(TblConstr[[#This Row],[Hour]:[Hour]]&gt;12,OFFSET(TblExplore[[#This Row],[Forest Explore]],-12,0),0)</f>
        <v>0</v>
      </c>
      <c r="CS29" s="390">
        <f ca="1">-SUM(TblConstr[[#This Row],[OM]:[GN]])+SUM(TblConstr[[#This Row],[Dest OM]:[Dest GN]]) +Rezone!N29 + IF("Ch_"&amp; home_land=TblConstr[[#Headers],[Ch_Mountain]],TblConstr[[#This Row],[Home Land]])+IF(TblConstr[[#This Row],[Hour]:[Hour]]&gt;12,OFFSET(TblExplore[[#This Row],[Mountain Explore]],-12,0),0)</f>
        <v>0</v>
      </c>
      <c r="CT29" s="191">
        <f ca="1">-SUM(TblConstr[[#This Row],[Fac]:[Shr]])+SUM(TblConstr[[#This Row],[Dest Fac]:[Dest Shr]]) +Rezone!O29 + IF("Ch_" &amp; home_land=TblConstr[[#Headers],[Ch_Hill]],TblConstr[[#This Row],[Home Land]])+IF(TblConstr[[#This Row],[Hour]:[Hour]]&gt;12,OFFSET(TblExplore[[#This Row],[Hill Explore]],-12,0),0)</f>
        <v>0</v>
      </c>
      <c r="CU29" s="192">
        <f ca="1">-SUM(TblConstr[[#This Row],[Tow]:[WG]])+SUM(TblConstr[[#This Row],[Dest Tow]:[Dest WG]]) +Rezone!P29 + IF("Ch_" &amp; home_land=TblConstr[[#Headers],[Ch_Swamp]],TblConstr[[#This Row],[Home Land]])+IF(TblConstr[[#This Row],[Hour]:[Hour]]&gt;12,OFFSET(TblExplore[[#This Row],[Swamp Explore]],-12,0),0)</f>
        <v>0</v>
      </c>
      <c r="CV29" s="193">
        <f ca="1" xml:space="preserve"> - SUM(TblConstr[[#This Row],[DM]:[Sch]])+SUM(TblConstr[[#This Row],[Dest DM]:[Dest Sch]]) +Rezone!Q29 + IF("Ch_" &amp; home_land=TblConstr[[#Headers],[Ch_Cavern]],TblConstr[[#This Row],[Home Land]])+IF(TblConstr[[#This Row],[Hour]:[Hour]]&gt;12,OFFSET(TblExplore[[#This Row],[Cavern Explore]],-12,0),0)</f>
        <v>0</v>
      </c>
      <c r="CW29" s="194">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50"/>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83">
        <f>TblRezone[[#This Row],[Hour]]</f>
        <v>27</v>
      </c>
      <c r="B30" s="184">
        <f ca="1">SUM(TblConstr[[#This Row],[Plain]:[Water]])</f>
        <v>160</v>
      </c>
      <c r="C30" s="185">
        <f ca="1">SUM(TblConstr[[#This Row],[Tot Hom]:[Tot Doc]])</f>
        <v>90</v>
      </c>
      <c r="D30" s="185">
        <f t="shared" si="2"/>
        <v>0</v>
      </c>
      <c r="E30" s="186"/>
      <c r="F30" s="62">
        <f ca="1">TblConstr[[#This Row],[Barren]]+TblConstr[[#This Row],[Buildings]]+TblConstr[[#This Row],[Incoming]]</f>
        <v>250</v>
      </c>
      <c r="G30" s="195">
        <f ca="1">OFFSET(TblConstr[[#This Row],[Plain]],-1,0)+TblConstr[[#This Row],[Ch_Plain]]</f>
        <v>40</v>
      </c>
      <c r="H30" s="190">
        <f ca="1">OFFSET(TblConstr[[#This Row],[Forest]],-1,0)+TblConstr[[#This Row],[Ch_Forest]]</f>
        <v>20</v>
      </c>
      <c r="I30" s="390">
        <f ca="1">OFFSET(TblConstr[[#This Row],[Mountain]],-1,0)+TblConstr[[#This Row],[Ch_Mountain]]</f>
        <v>20</v>
      </c>
      <c r="J30" s="394">
        <f ca="1">OFFSET(TblConstr[[#This Row],[Hill]],-1,0)+TblConstr[[#This Row],[Ch_Hill]]</f>
        <v>20</v>
      </c>
      <c r="K30" s="398">
        <f ca="1">OFFSET(TblConstr[[#This Row],[Swamp]],-1,0)+TblConstr[[#This Row],[Ch_Swamp]]</f>
        <v>20</v>
      </c>
      <c r="L30" s="193">
        <f ca="1">OFFSET(TblConstr[[#This Row],[Cavern]],-1,0)+TblConstr[[#This Row],[Ch_Cavern]]</f>
        <v>20</v>
      </c>
      <c r="M30" s="194">
        <f ca="1">OFFSET(TblConstr[[#This Row],[Water]],-1,0)+TblConstr[[#This Row],[Ch_Water]]</f>
        <v>20</v>
      </c>
      <c r="N30" s="388">
        <f>TblRezone[[#This Row],[Hour]]</f>
        <v>27</v>
      </c>
      <c r="O30" s="187"/>
      <c r="P30" s="187"/>
      <c r="Q30" s="187"/>
      <c r="R30" s="187"/>
      <c r="S30" s="187"/>
      <c r="T30" s="187"/>
      <c r="U30" s="187"/>
      <c r="V30" s="187"/>
      <c r="W30" s="187"/>
      <c r="X30" s="187"/>
      <c r="Y30" s="187"/>
      <c r="Z30" s="187"/>
      <c r="AA30" s="187"/>
      <c r="AB30" s="187"/>
      <c r="AC30" s="187"/>
      <c r="AD30" s="187"/>
      <c r="AE30" s="187"/>
      <c r="AF30" s="187"/>
      <c r="AG30" s="187"/>
      <c r="AH30" s="53">
        <f ca="1">TblImps[[#This Row],[Time]]</f>
        <v>44811.83333333327</v>
      </c>
      <c r="AI30" s="188">
        <f ca="1">MIN(25%,(TblConstr[[#This Row],[Tot Fac]]+TblConstr[[#This Row],[Dest Fac]])/(TblConstr[[#This Row],[Land]]-TblExplore[[#This Row],[Land Bonus]]*20))</f>
        <v>0</v>
      </c>
      <c r="AJ30" s="188">
        <f ca="1">MIN(25%,(TblConstr[[#This Row],[Tot Fac]]+TblConstr[[#This Row],[Dest Fac]])/TblConstr[[#This Row],[Land]])</f>
        <v>0</v>
      </c>
      <c r="AK30" s="97">
        <f ca="1">TblProd[[#This Row],[Platinum]]</f>
        <v>242541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50"/>
      <c r="AV30" s="97">
        <f ca="1">ROUND((TblConstr[[#This Row],[Land]]-250 - IF(TblExplore[[#This Row],[Land Bonus]]&lt;&gt;0,20,0))*1.25 + 850 + 0,0)</f>
        <v>850</v>
      </c>
      <c r="AW30" s="97">
        <f ca="1">ROUND((TblConstr[[#This Row],[Land]]-250 - IF(TblExplore[[#This Row],[Land Bonus]]&lt;&gt;0,20,0))*0.285 + 87.5 + 0/4.25,0)</f>
        <v>88</v>
      </c>
      <c r="AX30" s="162"/>
      <c r="AY30" s="196" cm="1">
        <f t="array" aca="1" ref="AY30" ca="1">IF(TblConstr[[#This Row],[Hour]:[Hour]]&gt;12,OFFSET(TblConstr[[#This Row],[Hom]],-12,0),0)+OFFSET(TblConstr[[#This Row],[Tot Hom]],-1,0)-TblConstr[[#This Row],[Dest Hom]]</f>
        <v>10</v>
      </c>
      <c r="AZ30" s="197" cm="1">
        <f t="array" aca="1" ref="AZ30" ca="1">IF(TblConstr[[#This Row],[Hour]:[Hour]]&gt;12,OFFSET(TblConstr[[#This Row],[Alc]],-12,0),0)+OFFSET(TblConstr[[#This Row],[Tot Alc]],-1,0)-TblConstr[[#This Row],[Dest Alc]]</f>
        <v>30</v>
      </c>
      <c r="BA30" s="197" cm="1">
        <f t="array" aca="1" ref="BA30" ca="1">IF(TblConstr[[#This Row],[Hour]:[Hour]]&gt;12,OFFSET(TblConstr[[#This Row],[Far]],-12,0),0)+OFFSET(TblConstr[[#This Row],[Tot Farm]],-1,0)-TblConstr[[#This Row],[Dest Farm]]</f>
        <v>30</v>
      </c>
      <c r="BB30" s="197" cm="1">
        <f t="array" aca="1" ref="BB30" ca="1">IF(TblConstr[[#This Row],[Hour]:[Hour]]&gt;12,OFFSET(TblConstr[[#This Row],[Smi]],-12,0),0)+OFFSET(TblConstr[[#This Row],[Tot Smi]],-1,0)-TblConstr[[#This Row],[Dest Smi]]</f>
        <v>0</v>
      </c>
      <c r="BC30" s="197" cm="1">
        <f t="array" aca="1" ref="BC30" ca="1">IF(TblConstr[[#This Row],[Hour]:[Hour]]&gt;12,OFFSET(TblConstr[[#This Row],[Mas]],-12,0),0)+OFFSET(TblConstr[[#This Row],[Tot Mas]],-1,0)-TblConstr[[#This Row],[Dest Mas]]</f>
        <v>0</v>
      </c>
      <c r="BD30" s="198" cm="1">
        <f t="array" aca="1" ref="BD30" ca="1">IF(TblConstr[[#This Row],[Hour]:[Hour]]&gt;12,OFFSET(TblConstr[[#This Row],[Ly]],-12,0),0)+OFFSET(TblConstr[[#This Row],[Tot Ly]],-1,0)-TblConstr[[#This Row],[Dest Ly]]</f>
        <v>20</v>
      </c>
      <c r="BE30" s="198" cm="1">
        <f t="array" aca="1" ref="BE30" ca="1">IF(TblConstr[[#This Row],[Hour]:[Hour]]&gt;12,OFFSET(TblConstr[[#This Row],[Hav]],-12,0),0)+OFFSET(TblConstr[[#This Row],[Tot Hav]],-1,0)-TblConstr[[#This Row],[Dest Hav]]</f>
        <v>0</v>
      </c>
      <c r="BF30" s="392" cm="1">
        <f t="array" aca="1" ref="BF30" ca="1">IF(TblConstr[[#This Row],[Hour]:[Hour]]&gt;12,OFFSET(TblConstr[[#This Row],[OM]],-12,0),0)+OFFSET(TblConstr[[#This Row],[Tot OM]],-1,0)-TblConstr[[#This Row],[Dest OM]]</f>
        <v>0</v>
      </c>
      <c r="BG30" s="392" cm="1">
        <f t="array" aca="1" ref="BG30" ca="1">IF(TblConstr[[#This Row],[Hour]:[Hour]]&gt;12,OFFSET(TblConstr[[#This Row],[GN]],-12,0),0)+OFFSET(TblConstr[[#This Row],[Tot GN]],-1,0)-TblConstr[[#This Row],[Dest GN]]</f>
        <v>0</v>
      </c>
      <c r="BH30" s="396" cm="1">
        <f t="array" aca="1" ref="BH30" ca="1">IF(TblConstr[[#This Row],[Hour]:[Hour]]&gt;12,OFFSET(TblConstr[[#This Row],[Fac]],-12,0),0)+OFFSET(TblConstr[[#This Row],[Tot Fac]],-1,0)-TblConstr[[#This Row],[Dest Fac]]</f>
        <v>0</v>
      </c>
      <c r="BI30" s="396" cm="1">
        <f t="array" aca="1" ref="BI30" ca="1">IF(TblConstr[[#This Row],[Hour]:[Hour]]&gt;12,OFFSET(TblConstr[[#This Row],[GT]],-12,0),0)+OFFSET(TblConstr[[#This Row],[Tot GT]],-1,0)-TblConstr[[#This Row],[Dest GT]]</f>
        <v>0</v>
      </c>
      <c r="BJ30" s="396" cm="1">
        <f t="array" aca="1" ref="BJ30" ca="1">IF(TblConstr[[#This Row],[Hour]:[Hour]]&gt;12,OFFSET(TblConstr[[#This Row],[Bar]],-12,0),0)+OFFSET(TblConstr[[#This Row],[Tot Bar]],-1,0)-TblConstr[[#This Row],[Dest Bar]]</f>
        <v>0</v>
      </c>
      <c r="BK30" s="396" cm="1">
        <f t="array" aca="1" ref="BK30" ca="1">IF(TblConstr[[#This Row],[Hour]:[Hour]]&gt;12,OFFSET(TblConstr[[#This Row],[Shr]],-12,0),0)+OFFSET(TblConstr[[#This Row],[Tot Shr]],-1,0)-TblConstr[[#This Row],[Dest Shr]]</f>
        <v>0</v>
      </c>
      <c r="BL30" s="400" cm="1">
        <f t="array" aca="1" ref="BL30" ca="1">IF(TblConstr[[#This Row],[Hour]:[Hour]]&gt;12,OFFSET(TblConstr[[#This Row],[Tow]],-12,0),0)+OFFSET(TblConstr[[#This Row],[Tot Tow]],-1,0)-TblConstr[[#This Row],[Dest Tow]]</f>
        <v>0</v>
      </c>
      <c r="BM30" s="400" cm="1">
        <f t="array" aca="1" ref="BM30" ca="1">IF(TblConstr[[#This Row],[Hour]:[Hour]]&gt;12,OFFSET(TblConstr[[#This Row],[Tem]],-12,0),0)+OFFSET(TblConstr[[#This Row],[Tot Tem]],-1,0)-TblConstr[[#This Row],[Dest Tem]]</f>
        <v>0</v>
      </c>
      <c r="BN30" s="400" cm="1">
        <f t="array" aca="1" ref="BN30" ca="1">IF(TblConstr[[#This Row],[Hour]:[Hour]]&gt;12,OFFSET(TblConstr[[#This Row],[WG]],-12,0),0)+OFFSET(TblConstr[[#This Row],[Tot WG]],-1,0)-TblConstr[[#This Row],[Dest WG]]</f>
        <v>0</v>
      </c>
      <c r="BO30" s="199" cm="1">
        <f t="array" aca="1" ref="BO30" ca="1">IF(TblConstr[[#This Row],[Hour]:[Hour]]&gt;12,OFFSET(TblConstr[[#This Row],[DM]],-12,0),0)+OFFSET(TblConstr[[#This Row],[Tot DM]],-1,0)-TblConstr[[#This Row],[Dest DM]]</f>
        <v>0</v>
      </c>
      <c r="BP30" s="199" cm="1">
        <f t="array" aca="1" ref="BP30" ca="1">IF(TblConstr[[#This Row],[Hour]:[Hour]]&gt;12,OFFSET(TblConstr[[#This Row],[Sch]],-12,0),0)+OFFSET(TblConstr[[#This Row],[Tot Sch]],-1,0)-TblConstr[[#This Row],[Dest Sch]]</f>
        <v>0</v>
      </c>
      <c r="BQ30" s="200" cm="1">
        <f t="array" aca="1" ref="BQ30" ca="1">IF(TblConstr[[#This Row],[Hour]:[Hour]]&gt;12,OFFSET(TblConstr[[#This Row],[Doc]],-12,0),0)+OFFSET(TblConstr[[#This Row],[Tot Doc]],-1,0)-TblConstr[[#This Row],[Dest Doc]]</f>
        <v>0</v>
      </c>
      <c r="BR30" s="150"/>
      <c r="BS30" s="162"/>
      <c r="BT30" s="97">
        <f ca="1">TblConstr[[#This Row],[Land]]</f>
        <v>250</v>
      </c>
      <c r="BU30" s="167">
        <f ca="1">TblImps[[#This Row],[Time]]</f>
        <v>44811.83333333327</v>
      </c>
      <c r="BV30" s="150"/>
      <c r="BW30" s="187"/>
      <c r="BX30" s="187"/>
      <c r="BY30" s="187"/>
      <c r="BZ30" s="187"/>
      <c r="CA30" s="187"/>
      <c r="CB30" s="187"/>
      <c r="CC30" s="187"/>
      <c r="CD30" s="187"/>
      <c r="CE30" s="187"/>
      <c r="CF30" s="187"/>
      <c r="CG30" s="187"/>
      <c r="CH30" s="187"/>
      <c r="CI30" s="187"/>
      <c r="CJ30" s="187"/>
      <c r="CK30" s="187"/>
      <c r="CL30" s="187"/>
      <c r="CM30" s="187"/>
      <c r="CN30" s="187"/>
      <c r="CO30" s="187"/>
      <c r="CP30" s="150"/>
      <c r="CQ30" s="189">
        <f ca="1">-SUM(TblConstr[[#This Row],[Alc]:[Mas]])+SUM(TblConstr[[#This Row],[Dest Alc]:[Dest Mas]])+Rezone!L30+IF("Ch_"&amp; home_land=TblConstr[[#Headers],[Ch_Plain]],TblConstr[[#This Row],[Home Land]])+IF(TblConstr[[#This Row],[Hour]:[Hour]]&gt;12,OFFSET(TblExplore[[#This Row],[Plains Explore]],-12,0),0)</f>
        <v>0</v>
      </c>
      <c r="CR30" s="190">
        <f ca="1">-SUM(TblConstr[[#This Row],[Ly]:[Hav]])+SUM(TblConstr[[#This Row],[Dest Ly]:[Dest Hav]]) +Rezone!M30 + IF("Ch_"&amp; home_land=TblConstr[[#Headers],[Ch_Forest]],TblConstr[[#This Row],[Home Land]])+IF(TblConstr[[#This Row],[Hour]:[Hour]]&gt;12,OFFSET(TblExplore[[#This Row],[Forest Explore]],-12,0),0)</f>
        <v>0</v>
      </c>
      <c r="CS30" s="390">
        <f ca="1">-SUM(TblConstr[[#This Row],[OM]:[GN]])+SUM(TblConstr[[#This Row],[Dest OM]:[Dest GN]]) +Rezone!N30 + IF("Ch_"&amp; home_land=TblConstr[[#Headers],[Ch_Mountain]],TblConstr[[#This Row],[Home Land]])+IF(TblConstr[[#This Row],[Hour]:[Hour]]&gt;12,OFFSET(TblExplore[[#This Row],[Mountain Explore]],-12,0),0)</f>
        <v>0</v>
      </c>
      <c r="CT30" s="191">
        <f ca="1">-SUM(TblConstr[[#This Row],[Fac]:[Shr]])+SUM(TblConstr[[#This Row],[Dest Fac]:[Dest Shr]]) +Rezone!O30 + IF("Ch_" &amp; home_land=TblConstr[[#Headers],[Ch_Hill]],TblConstr[[#This Row],[Home Land]])+IF(TblConstr[[#This Row],[Hour]:[Hour]]&gt;12,OFFSET(TblExplore[[#This Row],[Hill Explore]],-12,0),0)</f>
        <v>0</v>
      </c>
      <c r="CU30" s="192">
        <f ca="1">-SUM(TblConstr[[#This Row],[Tow]:[WG]])+SUM(TblConstr[[#This Row],[Dest Tow]:[Dest WG]]) +Rezone!P30 + IF("Ch_" &amp; home_land=TblConstr[[#Headers],[Ch_Swamp]],TblConstr[[#This Row],[Home Land]])+IF(TblConstr[[#This Row],[Hour]:[Hour]]&gt;12,OFFSET(TblExplore[[#This Row],[Swamp Explore]],-12,0),0)</f>
        <v>0</v>
      </c>
      <c r="CV30" s="193">
        <f ca="1" xml:space="preserve"> - SUM(TblConstr[[#This Row],[DM]:[Sch]])+SUM(TblConstr[[#This Row],[Dest DM]:[Dest Sch]]) +Rezone!Q30 + IF("Ch_" &amp; home_land=TblConstr[[#Headers],[Ch_Cavern]],TblConstr[[#This Row],[Home Land]])+IF(TblConstr[[#This Row],[Hour]:[Hour]]&gt;12,OFFSET(TblExplore[[#This Row],[Cavern Explore]],-12,0),0)</f>
        <v>0</v>
      </c>
      <c r="CW30" s="194">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50"/>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83">
        <f>TblRezone[[#This Row],[Hour]]</f>
        <v>28</v>
      </c>
      <c r="B31" s="184">
        <f ca="1">SUM(TblConstr[[#This Row],[Plain]:[Water]])</f>
        <v>160</v>
      </c>
      <c r="C31" s="185">
        <f ca="1">SUM(TblConstr[[#This Row],[Tot Hom]:[Tot Doc]])</f>
        <v>90</v>
      </c>
      <c r="D31" s="185">
        <f t="shared" si="2"/>
        <v>0</v>
      </c>
      <c r="E31" s="186"/>
      <c r="F31" s="62">
        <f ca="1">TblConstr[[#This Row],[Barren]]+TblConstr[[#This Row],[Buildings]]+TblConstr[[#This Row],[Incoming]]</f>
        <v>250</v>
      </c>
      <c r="G31" s="195">
        <f ca="1">OFFSET(TblConstr[[#This Row],[Plain]],-1,0)+TblConstr[[#This Row],[Ch_Plain]]</f>
        <v>40</v>
      </c>
      <c r="H31" s="190">
        <f ca="1">OFFSET(TblConstr[[#This Row],[Forest]],-1,0)+TblConstr[[#This Row],[Ch_Forest]]</f>
        <v>20</v>
      </c>
      <c r="I31" s="390">
        <f ca="1">OFFSET(TblConstr[[#This Row],[Mountain]],-1,0)+TblConstr[[#This Row],[Ch_Mountain]]</f>
        <v>20</v>
      </c>
      <c r="J31" s="394">
        <f ca="1">OFFSET(TblConstr[[#This Row],[Hill]],-1,0)+TblConstr[[#This Row],[Ch_Hill]]</f>
        <v>20</v>
      </c>
      <c r="K31" s="398">
        <f ca="1">OFFSET(TblConstr[[#This Row],[Swamp]],-1,0)+TblConstr[[#This Row],[Ch_Swamp]]</f>
        <v>20</v>
      </c>
      <c r="L31" s="193">
        <f ca="1">OFFSET(TblConstr[[#This Row],[Cavern]],-1,0)+TblConstr[[#This Row],[Ch_Cavern]]</f>
        <v>20</v>
      </c>
      <c r="M31" s="194">
        <f ca="1">OFFSET(TblConstr[[#This Row],[Water]],-1,0)+TblConstr[[#This Row],[Ch_Water]]</f>
        <v>20</v>
      </c>
      <c r="N31" s="388">
        <f>TblRezone[[#This Row],[Hour]]</f>
        <v>28</v>
      </c>
      <c r="O31" s="187"/>
      <c r="P31" s="166"/>
      <c r="Q31" s="187"/>
      <c r="R31" s="187"/>
      <c r="S31" s="187"/>
      <c r="T31" s="187"/>
      <c r="U31" s="187"/>
      <c r="V31" s="187"/>
      <c r="W31" s="187"/>
      <c r="X31" s="187"/>
      <c r="Y31" s="187"/>
      <c r="Z31" s="187"/>
      <c r="AA31" s="187"/>
      <c r="AB31" s="187"/>
      <c r="AC31" s="187"/>
      <c r="AD31" s="187"/>
      <c r="AE31" s="187"/>
      <c r="AF31" s="187"/>
      <c r="AG31" s="187"/>
      <c r="AH31" s="53">
        <f ca="1">TblImps[[#This Row],[Time]]</f>
        <v>44811.874999999935</v>
      </c>
      <c r="AI31" s="188">
        <f ca="1">MIN(25%,(TblConstr[[#This Row],[Tot Fac]]+TblConstr[[#This Row],[Dest Fac]])/(TblConstr[[#This Row],[Land]]-TblExplore[[#This Row],[Land Bonus]]*20))</f>
        <v>0</v>
      </c>
      <c r="AJ31" s="188">
        <f ca="1">MIN(25%,(TblConstr[[#This Row],[Tot Fac]]+TblConstr[[#This Row],[Dest Fac]])/TblConstr[[#This Row],[Land]])</f>
        <v>0</v>
      </c>
      <c r="AK31" s="97">
        <f ca="1">TblProd[[#This Row],[Platinum]]</f>
        <v>248211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50"/>
      <c r="AV31" s="97">
        <f ca="1">ROUND((TblConstr[[#This Row],[Land]]-250 - IF(TblExplore[[#This Row],[Land Bonus]]&lt;&gt;0,20,0))*1.25 + 850 + 0,0)</f>
        <v>850</v>
      </c>
      <c r="AW31" s="97">
        <f ca="1">ROUND((TblConstr[[#This Row],[Land]]-250 - IF(TblExplore[[#This Row],[Land Bonus]]&lt;&gt;0,20,0))*0.285 + 87.5 + 0/4.25,0)</f>
        <v>88</v>
      </c>
      <c r="AX31" s="162"/>
      <c r="AY31" s="196" cm="1">
        <f t="array" aca="1" ref="AY31" ca="1">IF(TblConstr[[#This Row],[Hour]:[Hour]]&gt;12,OFFSET(TblConstr[[#This Row],[Hom]],-12,0),0)+OFFSET(TblConstr[[#This Row],[Tot Hom]],-1,0)-TblConstr[[#This Row],[Dest Hom]]</f>
        <v>10</v>
      </c>
      <c r="AZ31" s="197" cm="1">
        <f t="array" aca="1" ref="AZ31" ca="1">IF(TblConstr[[#This Row],[Hour]:[Hour]]&gt;12,OFFSET(TblConstr[[#This Row],[Alc]],-12,0),0)+OFFSET(TblConstr[[#This Row],[Tot Alc]],-1,0)-TblConstr[[#This Row],[Dest Alc]]</f>
        <v>30</v>
      </c>
      <c r="BA31" s="197" cm="1">
        <f t="array" aca="1" ref="BA31" ca="1">IF(TblConstr[[#This Row],[Hour]:[Hour]]&gt;12,OFFSET(TblConstr[[#This Row],[Far]],-12,0),0)+OFFSET(TblConstr[[#This Row],[Tot Farm]],-1,0)-TblConstr[[#This Row],[Dest Farm]]</f>
        <v>30</v>
      </c>
      <c r="BB31" s="197" cm="1">
        <f t="array" aca="1" ref="BB31" ca="1">IF(TblConstr[[#This Row],[Hour]:[Hour]]&gt;12,OFFSET(TblConstr[[#This Row],[Smi]],-12,0),0)+OFFSET(TblConstr[[#This Row],[Tot Smi]],-1,0)-TblConstr[[#This Row],[Dest Smi]]</f>
        <v>0</v>
      </c>
      <c r="BC31" s="197" cm="1">
        <f t="array" aca="1" ref="BC31" ca="1">IF(TblConstr[[#This Row],[Hour]:[Hour]]&gt;12,OFFSET(TblConstr[[#This Row],[Mas]],-12,0),0)+OFFSET(TblConstr[[#This Row],[Tot Mas]],-1,0)-TblConstr[[#This Row],[Dest Mas]]</f>
        <v>0</v>
      </c>
      <c r="BD31" s="198" cm="1">
        <f t="array" aca="1" ref="BD31" ca="1">IF(TblConstr[[#This Row],[Hour]:[Hour]]&gt;12,OFFSET(TblConstr[[#This Row],[Ly]],-12,0),0)+OFFSET(TblConstr[[#This Row],[Tot Ly]],-1,0)-TblConstr[[#This Row],[Dest Ly]]</f>
        <v>20</v>
      </c>
      <c r="BE31" s="198" cm="1">
        <f t="array" aca="1" ref="BE31" ca="1">IF(TblConstr[[#This Row],[Hour]:[Hour]]&gt;12,OFFSET(TblConstr[[#This Row],[Hav]],-12,0),0)+OFFSET(TblConstr[[#This Row],[Tot Hav]],-1,0)-TblConstr[[#This Row],[Dest Hav]]</f>
        <v>0</v>
      </c>
      <c r="BF31" s="392" cm="1">
        <f t="array" aca="1" ref="BF31" ca="1">IF(TblConstr[[#This Row],[Hour]:[Hour]]&gt;12,OFFSET(TblConstr[[#This Row],[OM]],-12,0),0)+OFFSET(TblConstr[[#This Row],[Tot OM]],-1,0)-TblConstr[[#This Row],[Dest OM]]</f>
        <v>0</v>
      </c>
      <c r="BG31" s="392" cm="1">
        <f t="array" aca="1" ref="BG31" ca="1">IF(TblConstr[[#This Row],[Hour]:[Hour]]&gt;12,OFFSET(TblConstr[[#This Row],[GN]],-12,0),0)+OFFSET(TblConstr[[#This Row],[Tot GN]],-1,0)-TblConstr[[#This Row],[Dest GN]]</f>
        <v>0</v>
      </c>
      <c r="BH31" s="396" cm="1">
        <f t="array" aca="1" ref="BH31" ca="1">IF(TblConstr[[#This Row],[Hour]:[Hour]]&gt;12,OFFSET(TblConstr[[#This Row],[Fac]],-12,0),0)+OFFSET(TblConstr[[#This Row],[Tot Fac]],-1,0)-TblConstr[[#This Row],[Dest Fac]]</f>
        <v>0</v>
      </c>
      <c r="BI31" s="396" cm="1">
        <f t="array" aca="1" ref="BI31" ca="1">IF(TblConstr[[#This Row],[Hour]:[Hour]]&gt;12,OFFSET(TblConstr[[#This Row],[GT]],-12,0),0)+OFFSET(TblConstr[[#This Row],[Tot GT]],-1,0)-TblConstr[[#This Row],[Dest GT]]</f>
        <v>0</v>
      </c>
      <c r="BJ31" s="396" cm="1">
        <f t="array" aca="1" ref="BJ31" ca="1">IF(TblConstr[[#This Row],[Hour]:[Hour]]&gt;12,OFFSET(TblConstr[[#This Row],[Bar]],-12,0),0)+OFFSET(TblConstr[[#This Row],[Tot Bar]],-1,0)-TblConstr[[#This Row],[Dest Bar]]</f>
        <v>0</v>
      </c>
      <c r="BK31" s="396" cm="1">
        <f t="array" aca="1" ref="BK31" ca="1">IF(TblConstr[[#This Row],[Hour]:[Hour]]&gt;12,OFFSET(TblConstr[[#This Row],[Shr]],-12,0),0)+OFFSET(TblConstr[[#This Row],[Tot Shr]],-1,0)-TblConstr[[#This Row],[Dest Shr]]</f>
        <v>0</v>
      </c>
      <c r="BL31" s="400" cm="1">
        <f t="array" aca="1" ref="BL31" ca="1">IF(TblConstr[[#This Row],[Hour]:[Hour]]&gt;12,OFFSET(TblConstr[[#This Row],[Tow]],-12,0),0)+OFFSET(TblConstr[[#This Row],[Tot Tow]],-1,0)-TblConstr[[#This Row],[Dest Tow]]</f>
        <v>0</v>
      </c>
      <c r="BM31" s="400" cm="1">
        <f t="array" aca="1" ref="BM31" ca="1">IF(TblConstr[[#This Row],[Hour]:[Hour]]&gt;12,OFFSET(TblConstr[[#This Row],[Tem]],-12,0),0)+OFFSET(TblConstr[[#This Row],[Tot Tem]],-1,0)-TblConstr[[#This Row],[Dest Tem]]</f>
        <v>0</v>
      </c>
      <c r="BN31" s="400" cm="1">
        <f t="array" aca="1" ref="BN31" ca="1">IF(TblConstr[[#This Row],[Hour]:[Hour]]&gt;12,OFFSET(TblConstr[[#This Row],[WG]],-12,0),0)+OFFSET(TblConstr[[#This Row],[Tot WG]],-1,0)-TblConstr[[#This Row],[Dest WG]]</f>
        <v>0</v>
      </c>
      <c r="BO31" s="199" cm="1">
        <f t="array" aca="1" ref="BO31" ca="1">IF(TblConstr[[#This Row],[Hour]:[Hour]]&gt;12,OFFSET(TblConstr[[#This Row],[DM]],-12,0),0)+OFFSET(TblConstr[[#This Row],[Tot DM]],-1,0)-TblConstr[[#This Row],[Dest DM]]</f>
        <v>0</v>
      </c>
      <c r="BP31" s="199" cm="1">
        <f t="array" aca="1" ref="BP31" ca="1">IF(TblConstr[[#This Row],[Hour]:[Hour]]&gt;12,OFFSET(TblConstr[[#This Row],[Sch]],-12,0),0)+OFFSET(TblConstr[[#This Row],[Tot Sch]],-1,0)-TblConstr[[#This Row],[Dest Sch]]</f>
        <v>0</v>
      </c>
      <c r="BQ31" s="200" cm="1">
        <f t="array" aca="1" ref="BQ31" ca="1">IF(TblConstr[[#This Row],[Hour]:[Hour]]&gt;12,OFFSET(TblConstr[[#This Row],[Doc]],-12,0),0)+OFFSET(TblConstr[[#This Row],[Tot Doc]],-1,0)-TblConstr[[#This Row],[Dest Doc]]</f>
        <v>0</v>
      </c>
      <c r="BR31" s="150"/>
      <c r="BS31" s="162"/>
      <c r="BT31" s="97">
        <f ca="1">TblConstr[[#This Row],[Land]]</f>
        <v>250</v>
      </c>
      <c r="BU31" s="167">
        <f ca="1">TblImps[[#This Row],[Time]]</f>
        <v>44811.874999999935</v>
      </c>
      <c r="BV31" s="150"/>
      <c r="BW31" s="187"/>
      <c r="BX31" s="187"/>
      <c r="BY31" s="187"/>
      <c r="BZ31" s="187"/>
      <c r="CA31" s="187"/>
      <c r="CB31" s="187"/>
      <c r="CC31" s="187"/>
      <c r="CD31" s="187"/>
      <c r="CE31" s="187"/>
      <c r="CF31" s="187"/>
      <c r="CG31" s="187"/>
      <c r="CH31" s="187"/>
      <c r="CI31" s="187"/>
      <c r="CJ31" s="187"/>
      <c r="CK31" s="187"/>
      <c r="CL31" s="187"/>
      <c r="CM31" s="187"/>
      <c r="CN31" s="187"/>
      <c r="CO31" s="187"/>
      <c r="CP31" s="150"/>
      <c r="CQ31" s="189">
        <f ca="1">-SUM(TblConstr[[#This Row],[Alc]:[Mas]])+SUM(TblConstr[[#This Row],[Dest Alc]:[Dest Mas]])+Rezone!L31+IF("Ch_"&amp; home_land=TblConstr[[#Headers],[Ch_Plain]],TblConstr[[#This Row],[Home Land]])+IF(TblConstr[[#This Row],[Hour]:[Hour]]&gt;12,OFFSET(TblExplore[[#This Row],[Plains Explore]],-12,0),0)</f>
        <v>0</v>
      </c>
      <c r="CR31" s="190">
        <f ca="1">-SUM(TblConstr[[#This Row],[Ly]:[Hav]])+SUM(TblConstr[[#This Row],[Dest Ly]:[Dest Hav]]) +Rezone!M31 + IF("Ch_"&amp; home_land=TblConstr[[#Headers],[Ch_Forest]],TblConstr[[#This Row],[Home Land]])+IF(TblConstr[[#This Row],[Hour]:[Hour]]&gt;12,OFFSET(TblExplore[[#This Row],[Forest Explore]],-12,0),0)</f>
        <v>0</v>
      </c>
      <c r="CS31" s="390">
        <f ca="1">-SUM(TblConstr[[#This Row],[OM]:[GN]])+SUM(TblConstr[[#This Row],[Dest OM]:[Dest GN]]) +Rezone!N31 + IF("Ch_"&amp; home_land=TblConstr[[#Headers],[Ch_Mountain]],TblConstr[[#This Row],[Home Land]])+IF(TblConstr[[#This Row],[Hour]:[Hour]]&gt;12,OFFSET(TblExplore[[#This Row],[Mountain Explore]],-12,0),0)</f>
        <v>0</v>
      </c>
      <c r="CT31" s="191">
        <f ca="1">-SUM(TblConstr[[#This Row],[Fac]:[Shr]])+SUM(TblConstr[[#This Row],[Dest Fac]:[Dest Shr]]) +Rezone!O31 + IF("Ch_" &amp; home_land=TblConstr[[#Headers],[Ch_Hill]],TblConstr[[#This Row],[Home Land]])+IF(TblConstr[[#This Row],[Hour]:[Hour]]&gt;12,OFFSET(TblExplore[[#This Row],[Hill Explore]],-12,0),0)</f>
        <v>0</v>
      </c>
      <c r="CU31" s="192">
        <f ca="1">-SUM(TblConstr[[#This Row],[Tow]:[WG]])+SUM(TblConstr[[#This Row],[Dest Tow]:[Dest WG]]) +Rezone!P31 + IF("Ch_" &amp; home_land=TblConstr[[#Headers],[Ch_Swamp]],TblConstr[[#This Row],[Home Land]])+IF(TblConstr[[#This Row],[Hour]:[Hour]]&gt;12,OFFSET(TblExplore[[#This Row],[Swamp Explore]],-12,0),0)</f>
        <v>0</v>
      </c>
      <c r="CV31" s="193">
        <f ca="1" xml:space="preserve"> - SUM(TblConstr[[#This Row],[DM]:[Sch]])+SUM(TblConstr[[#This Row],[Dest DM]:[Dest Sch]]) +Rezone!Q31 + IF("Ch_" &amp; home_land=TblConstr[[#Headers],[Ch_Cavern]],TblConstr[[#This Row],[Home Land]])+IF(TblConstr[[#This Row],[Hour]:[Hour]]&gt;12,OFFSET(TblExplore[[#This Row],[Cavern Explore]],-12,0),0)</f>
        <v>0</v>
      </c>
      <c r="CW31" s="194">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50"/>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83">
        <f>TblRezone[[#This Row],[Hour]]</f>
        <v>29</v>
      </c>
      <c r="B32" s="184">
        <f ca="1">SUM(TblConstr[[#This Row],[Plain]:[Water]])</f>
        <v>160</v>
      </c>
      <c r="C32" s="185">
        <f ca="1">SUM(TblConstr[[#This Row],[Tot Hom]:[Tot Doc]])</f>
        <v>90</v>
      </c>
      <c r="D32" s="185">
        <f t="shared" si="2"/>
        <v>0</v>
      </c>
      <c r="E32" s="186"/>
      <c r="F32" s="62">
        <f ca="1">TblConstr[[#This Row],[Barren]]+TblConstr[[#This Row],[Buildings]]+TblConstr[[#This Row],[Incoming]]</f>
        <v>250</v>
      </c>
      <c r="G32" s="195">
        <f ca="1">OFFSET(TblConstr[[#This Row],[Plain]],-1,0)+TblConstr[[#This Row],[Ch_Plain]]</f>
        <v>40</v>
      </c>
      <c r="H32" s="190">
        <f ca="1">OFFSET(TblConstr[[#This Row],[Forest]],-1,0)+TblConstr[[#This Row],[Ch_Forest]]</f>
        <v>20</v>
      </c>
      <c r="I32" s="390">
        <f ca="1">OFFSET(TblConstr[[#This Row],[Mountain]],-1,0)+TblConstr[[#This Row],[Ch_Mountain]]</f>
        <v>20</v>
      </c>
      <c r="J32" s="394">
        <f ca="1">OFFSET(TblConstr[[#This Row],[Hill]],-1,0)+TblConstr[[#This Row],[Ch_Hill]]</f>
        <v>20</v>
      </c>
      <c r="K32" s="398">
        <f ca="1">OFFSET(TblConstr[[#This Row],[Swamp]],-1,0)+TblConstr[[#This Row],[Ch_Swamp]]</f>
        <v>20</v>
      </c>
      <c r="L32" s="193">
        <f ca="1">OFFSET(TblConstr[[#This Row],[Cavern]],-1,0)+TblConstr[[#This Row],[Ch_Cavern]]</f>
        <v>20</v>
      </c>
      <c r="M32" s="194">
        <f ca="1">OFFSET(TblConstr[[#This Row],[Water]],-1,0)+TblConstr[[#This Row],[Ch_Water]]</f>
        <v>20</v>
      </c>
      <c r="N32" s="388">
        <f>TblRezone[[#This Row],[Hour]]</f>
        <v>29</v>
      </c>
      <c r="O32" s="187"/>
      <c r="P32" s="166"/>
      <c r="Q32" s="187"/>
      <c r="R32" s="187"/>
      <c r="S32" s="187"/>
      <c r="T32" s="187"/>
      <c r="U32" s="187"/>
      <c r="V32" s="187"/>
      <c r="W32" s="187"/>
      <c r="X32" s="187"/>
      <c r="Y32" s="187"/>
      <c r="Z32" s="187"/>
      <c r="AA32" s="187"/>
      <c r="AB32" s="187"/>
      <c r="AC32" s="187"/>
      <c r="AD32" s="187"/>
      <c r="AE32" s="187"/>
      <c r="AF32" s="187"/>
      <c r="AG32" s="187"/>
      <c r="AH32" s="53">
        <f ca="1">TblImps[[#This Row],[Time]]</f>
        <v>44811.916666666599</v>
      </c>
      <c r="AI32" s="188">
        <f ca="1">MIN(25%,(TblConstr[[#This Row],[Tot Fac]]+TblConstr[[#This Row],[Dest Fac]])/(TblConstr[[#This Row],[Land]]-TblExplore[[#This Row],[Land Bonus]]*20))</f>
        <v>0</v>
      </c>
      <c r="AJ32" s="188">
        <f ca="1">MIN(25%,(TblConstr[[#This Row],[Tot Fac]]+TblConstr[[#This Row],[Dest Fac]])/TblConstr[[#This Row],[Land]])</f>
        <v>0</v>
      </c>
      <c r="AK32" s="97">
        <f ca="1">TblProd[[#This Row],[Platinum]]</f>
        <v>253881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50"/>
      <c r="AV32" s="97">
        <f ca="1">ROUND((TblConstr[[#This Row],[Land]]-250 - IF(TblExplore[[#This Row],[Land Bonus]]&lt;&gt;0,20,0))*1.25 + 850 + 0,0)</f>
        <v>850</v>
      </c>
      <c r="AW32" s="97">
        <f ca="1">ROUND((TblConstr[[#This Row],[Land]]-250 - IF(TblExplore[[#This Row],[Land Bonus]]&lt;&gt;0,20,0))*0.285 + 87.5 + 0/4.25,0)</f>
        <v>88</v>
      </c>
      <c r="AX32" s="162"/>
      <c r="AY32" s="196" cm="1">
        <f t="array" aca="1" ref="AY32" ca="1">IF(TblConstr[[#This Row],[Hour]:[Hour]]&gt;12,OFFSET(TblConstr[[#This Row],[Hom]],-12,0),0)+OFFSET(TblConstr[[#This Row],[Tot Hom]],-1,0)-TblConstr[[#This Row],[Dest Hom]]</f>
        <v>10</v>
      </c>
      <c r="AZ32" s="197" cm="1">
        <f t="array" aca="1" ref="AZ32" ca="1">IF(TblConstr[[#This Row],[Hour]:[Hour]]&gt;12,OFFSET(TblConstr[[#This Row],[Alc]],-12,0),0)+OFFSET(TblConstr[[#This Row],[Tot Alc]],-1,0)-TblConstr[[#This Row],[Dest Alc]]</f>
        <v>30</v>
      </c>
      <c r="BA32" s="197" cm="1">
        <f t="array" aca="1" ref="BA32" ca="1">IF(TblConstr[[#This Row],[Hour]:[Hour]]&gt;12,OFFSET(TblConstr[[#This Row],[Far]],-12,0),0)+OFFSET(TblConstr[[#This Row],[Tot Farm]],-1,0)-TblConstr[[#This Row],[Dest Farm]]</f>
        <v>30</v>
      </c>
      <c r="BB32" s="197" cm="1">
        <f t="array" aca="1" ref="BB32" ca="1">IF(TblConstr[[#This Row],[Hour]:[Hour]]&gt;12,OFFSET(TblConstr[[#This Row],[Smi]],-12,0),0)+OFFSET(TblConstr[[#This Row],[Tot Smi]],-1,0)-TblConstr[[#This Row],[Dest Smi]]</f>
        <v>0</v>
      </c>
      <c r="BC32" s="197" cm="1">
        <f t="array" aca="1" ref="BC32" ca="1">IF(TblConstr[[#This Row],[Hour]:[Hour]]&gt;12,OFFSET(TblConstr[[#This Row],[Mas]],-12,0),0)+OFFSET(TblConstr[[#This Row],[Tot Mas]],-1,0)-TblConstr[[#This Row],[Dest Mas]]</f>
        <v>0</v>
      </c>
      <c r="BD32" s="198" cm="1">
        <f t="array" aca="1" ref="BD32" ca="1">IF(TblConstr[[#This Row],[Hour]:[Hour]]&gt;12,OFFSET(TblConstr[[#This Row],[Ly]],-12,0),0)+OFFSET(TblConstr[[#This Row],[Tot Ly]],-1,0)-TblConstr[[#This Row],[Dest Ly]]</f>
        <v>20</v>
      </c>
      <c r="BE32" s="198" cm="1">
        <f t="array" aca="1" ref="BE32" ca="1">IF(TblConstr[[#This Row],[Hour]:[Hour]]&gt;12,OFFSET(TblConstr[[#This Row],[Hav]],-12,0),0)+OFFSET(TblConstr[[#This Row],[Tot Hav]],-1,0)-TblConstr[[#This Row],[Dest Hav]]</f>
        <v>0</v>
      </c>
      <c r="BF32" s="392" cm="1">
        <f t="array" aca="1" ref="BF32" ca="1">IF(TblConstr[[#This Row],[Hour]:[Hour]]&gt;12,OFFSET(TblConstr[[#This Row],[OM]],-12,0),0)+OFFSET(TblConstr[[#This Row],[Tot OM]],-1,0)-TblConstr[[#This Row],[Dest OM]]</f>
        <v>0</v>
      </c>
      <c r="BG32" s="392" cm="1">
        <f t="array" aca="1" ref="BG32" ca="1">IF(TblConstr[[#This Row],[Hour]:[Hour]]&gt;12,OFFSET(TblConstr[[#This Row],[GN]],-12,0),0)+OFFSET(TblConstr[[#This Row],[Tot GN]],-1,0)-TblConstr[[#This Row],[Dest GN]]</f>
        <v>0</v>
      </c>
      <c r="BH32" s="396" cm="1">
        <f t="array" aca="1" ref="BH32" ca="1">IF(TblConstr[[#This Row],[Hour]:[Hour]]&gt;12,OFFSET(TblConstr[[#This Row],[Fac]],-12,0),0)+OFFSET(TblConstr[[#This Row],[Tot Fac]],-1,0)-TblConstr[[#This Row],[Dest Fac]]</f>
        <v>0</v>
      </c>
      <c r="BI32" s="396" cm="1">
        <f t="array" aca="1" ref="BI32" ca="1">IF(TblConstr[[#This Row],[Hour]:[Hour]]&gt;12,OFFSET(TblConstr[[#This Row],[GT]],-12,0),0)+OFFSET(TblConstr[[#This Row],[Tot GT]],-1,0)-TblConstr[[#This Row],[Dest GT]]</f>
        <v>0</v>
      </c>
      <c r="BJ32" s="396" cm="1">
        <f t="array" aca="1" ref="BJ32" ca="1">IF(TblConstr[[#This Row],[Hour]:[Hour]]&gt;12,OFFSET(TblConstr[[#This Row],[Bar]],-12,0),0)+OFFSET(TblConstr[[#This Row],[Tot Bar]],-1,0)-TblConstr[[#This Row],[Dest Bar]]</f>
        <v>0</v>
      </c>
      <c r="BK32" s="396" cm="1">
        <f t="array" aca="1" ref="BK32" ca="1">IF(TblConstr[[#This Row],[Hour]:[Hour]]&gt;12,OFFSET(TblConstr[[#This Row],[Shr]],-12,0),0)+OFFSET(TblConstr[[#This Row],[Tot Shr]],-1,0)-TblConstr[[#This Row],[Dest Shr]]</f>
        <v>0</v>
      </c>
      <c r="BL32" s="400" cm="1">
        <f t="array" aca="1" ref="BL32" ca="1">IF(TblConstr[[#This Row],[Hour]:[Hour]]&gt;12,OFFSET(TblConstr[[#This Row],[Tow]],-12,0),0)+OFFSET(TblConstr[[#This Row],[Tot Tow]],-1,0)-TblConstr[[#This Row],[Dest Tow]]</f>
        <v>0</v>
      </c>
      <c r="BM32" s="400" cm="1">
        <f t="array" aca="1" ref="BM32" ca="1">IF(TblConstr[[#This Row],[Hour]:[Hour]]&gt;12,OFFSET(TblConstr[[#This Row],[Tem]],-12,0),0)+OFFSET(TblConstr[[#This Row],[Tot Tem]],-1,0)-TblConstr[[#This Row],[Dest Tem]]</f>
        <v>0</v>
      </c>
      <c r="BN32" s="400" cm="1">
        <f t="array" aca="1" ref="BN32" ca="1">IF(TblConstr[[#This Row],[Hour]:[Hour]]&gt;12,OFFSET(TblConstr[[#This Row],[WG]],-12,0),0)+OFFSET(TblConstr[[#This Row],[Tot WG]],-1,0)-TblConstr[[#This Row],[Dest WG]]</f>
        <v>0</v>
      </c>
      <c r="BO32" s="199" cm="1">
        <f t="array" aca="1" ref="BO32" ca="1">IF(TblConstr[[#This Row],[Hour]:[Hour]]&gt;12,OFFSET(TblConstr[[#This Row],[DM]],-12,0),0)+OFFSET(TblConstr[[#This Row],[Tot DM]],-1,0)-TblConstr[[#This Row],[Dest DM]]</f>
        <v>0</v>
      </c>
      <c r="BP32" s="199" cm="1">
        <f t="array" aca="1" ref="BP32" ca="1">IF(TblConstr[[#This Row],[Hour]:[Hour]]&gt;12,OFFSET(TblConstr[[#This Row],[Sch]],-12,0),0)+OFFSET(TblConstr[[#This Row],[Tot Sch]],-1,0)-TblConstr[[#This Row],[Dest Sch]]</f>
        <v>0</v>
      </c>
      <c r="BQ32" s="200" cm="1">
        <f t="array" aca="1" ref="BQ32" ca="1">IF(TblConstr[[#This Row],[Hour]:[Hour]]&gt;12,OFFSET(TblConstr[[#This Row],[Doc]],-12,0),0)+OFFSET(TblConstr[[#This Row],[Tot Doc]],-1,0)-TblConstr[[#This Row],[Dest Doc]]</f>
        <v>0</v>
      </c>
      <c r="BR32" s="150"/>
      <c r="BS32" s="162"/>
      <c r="BT32" s="97">
        <f ca="1">TblConstr[[#This Row],[Land]]</f>
        <v>250</v>
      </c>
      <c r="BU32" s="167">
        <f ca="1">TblImps[[#This Row],[Time]]</f>
        <v>44811.916666666599</v>
      </c>
      <c r="BV32" s="150"/>
      <c r="BW32" s="187"/>
      <c r="BX32" s="187"/>
      <c r="BY32" s="187"/>
      <c r="BZ32" s="187"/>
      <c r="CA32" s="187"/>
      <c r="CB32" s="187"/>
      <c r="CC32" s="187"/>
      <c r="CD32" s="187"/>
      <c r="CE32" s="187"/>
      <c r="CF32" s="187"/>
      <c r="CG32" s="187"/>
      <c r="CH32" s="187"/>
      <c r="CI32" s="187"/>
      <c r="CJ32" s="187"/>
      <c r="CK32" s="187"/>
      <c r="CL32" s="187"/>
      <c r="CM32" s="187"/>
      <c r="CN32" s="187"/>
      <c r="CO32" s="187"/>
      <c r="CP32" s="150"/>
      <c r="CQ32" s="189">
        <f ca="1">-SUM(TblConstr[[#This Row],[Alc]:[Mas]])+SUM(TblConstr[[#This Row],[Dest Alc]:[Dest Mas]])+Rezone!L32+IF("Ch_"&amp; home_land=TblConstr[[#Headers],[Ch_Plain]],TblConstr[[#This Row],[Home Land]])+IF(TblConstr[[#This Row],[Hour]:[Hour]]&gt;12,OFFSET(TblExplore[[#This Row],[Plains Explore]],-12,0),0)</f>
        <v>0</v>
      </c>
      <c r="CR32" s="190">
        <f ca="1">-SUM(TblConstr[[#This Row],[Ly]:[Hav]])+SUM(TblConstr[[#This Row],[Dest Ly]:[Dest Hav]]) +Rezone!M32 + IF("Ch_"&amp; home_land=TblConstr[[#Headers],[Ch_Forest]],TblConstr[[#This Row],[Home Land]])+IF(TblConstr[[#This Row],[Hour]:[Hour]]&gt;12,OFFSET(TblExplore[[#This Row],[Forest Explore]],-12,0),0)</f>
        <v>0</v>
      </c>
      <c r="CS32" s="390">
        <f ca="1">-SUM(TblConstr[[#This Row],[OM]:[GN]])+SUM(TblConstr[[#This Row],[Dest OM]:[Dest GN]]) +Rezone!N32 + IF("Ch_"&amp; home_land=TblConstr[[#Headers],[Ch_Mountain]],TblConstr[[#This Row],[Home Land]])+IF(TblConstr[[#This Row],[Hour]:[Hour]]&gt;12,OFFSET(TblExplore[[#This Row],[Mountain Explore]],-12,0),0)</f>
        <v>0</v>
      </c>
      <c r="CT32" s="191">
        <f ca="1">-SUM(TblConstr[[#This Row],[Fac]:[Shr]])+SUM(TblConstr[[#This Row],[Dest Fac]:[Dest Shr]]) +Rezone!O32 + IF("Ch_" &amp; home_land=TblConstr[[#Headers],[Ch_Hill]],TblConstr[[#This Row],[Home Land]])+IF(TblConstr[[#This Row],[Hour]:[Hour]]&gt;12,OFFSET(TblExplore[[#This Row],[Hill Explore]],-12,0),0)</f>
        <v>0</v>
      </c>
      <c r="CU32" s="192">
        <f ca="1">-SUM(TblConstr[[#This Row],[Tow]:[WG]])+SUM(TblConstr[[#This Row],[Dest Tow]:[Dest WG]]) +Rezone!P32 + IF("Ch_" &amp; home_land=TblConstr[[#Headers],[Ch_Swamp]],TblConstr[[#This Row],[Home Land]])+IF(TblConstr[[#This Row],[Hour]:[Hour]]&gt;12,OFFSET(TblExplore[[#This Row],[Swamp Explore]],-12,0),0)</f>
        <v>0</v>
      </c>
      <c r="CV32" s="193">
        <f ca="1" xml:space="preserve"> - SUM(TblConstr[[#This Row],[DM]:[Sch]])+SUM(TblConstr[[#This Row],[Dest DM]:[Dest Sch]]) +Rezone!Q32 + IF("Ch_" &amp; home_land=TblConstr[[#Headers],[Ch_Cavern]],TblConstr[[#This Row],[Home Land]])+IF(TblConstr[[#This Row],[Hour]:[Hour]]&gt;12,OFFSET(TblExplore[[#This Row],[Cavern Explore]],-12,0),0)</f>
        <v>0</v>
      </c>
      <c r="CW32" s="194">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50"/>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83">
        <f>TblRezone[[#This Row],[Hour]]</f>
        <v>30</v>
      </c>
      <c r="B33" s="184">
        <f ca="1">SUM(TblConstr[[#This Row],[Plain]:[Water]])</f>
        <v>160</v>
      </c>
      <c r="C33" s="185">
        <f ca="1">SUM(TblConstr[[#This Row],[Tot Hom]:[Tot Doc]])</f>
        <v>90</v>
      </c>
      <c r="D33" s="185">
        <f t="shared" si="2"/>
        <v>0</v>
      </c>
      <c r="E33" s="186"/>
      <c r="F33" s="62">
        <f ca="1">TblConstr[[#This Row],[Barren]]+TblConstr[[#This Row],[Buildings]]+TblConstr[[#This Row],[Incoming]]</f>
        <v>250</v>
      </c>
      <c r="G33" s="195">
        <f ca="1">OFFSET(TblConstr[[#This Row],[Plain]],-1,0)+TblConstr[[#This Row],[Ch_Plain]]</f>
        <v>40</v>
      </c>
      <c r="H33" s="190">
        <f ca="1">OFFSET(TblConstr[[#This Row],[Forest]],-1,0)+TblConstr[[#This Row],[Ch_Forest]]</f>
        <v>20</v>
      </c>
      <c r="I33" s="390">
        <f ca="1">OFFSET(TblConstr[[#This Row],[Mountain]],-1,0)+TblConstr[[#This Row],[Ch_Mountain]]</f>
        <v>20</v>
      </c>
      <c r="J33" s="394">
        <f ca="1">OFFSET(TblConstr[[#This Row],[Hill]],-1,0)+TblConstr[[#This Row],[Ch_Hill]]</f>
        <v>20</v>
      </c>
      <c r="K33" s="398">
        <f ca="1">OFFSET(TblConstr[[#This Row],[Swamp]],-1,0)+TblConstr[[#This Row],[Ch_Swamp]]</f>
        <v>20</v>
      </c>
      <c r="L33" s="193">
        <f ca="1">OFFSET(TblConstr[[#This Row],[Cavern]],-1,0)+TblConstr[[#This Row],[Ch_Cavern]]</f>
        <v>20</v>
      </c>
      <c r="M33" s="194">
        <f ca="1">OFFSET(TblConstr[[#This Row],[Water]],-1,0)+TblConstr[[#This Row],[Ch_Water]]</f>
        <v>20</v>
      </c>
      <c r="N33" s="388">
        <f>TblRezone[[#This Row],[Hour]]</f>
        <v>30</v>
      </c>
      <c r="O33" s="187"/>
      <c r="P33" s="166"/>
      <c r="Q33" s="187"/>
      <c r="R33" s="187"/>
      <c r="S33" s="187"/>
      <c r="T33" s="187"/>
      <c r="U33" s="187"/>
      <c r="V33" s="187"/>
      <c r="W33" s="187"/>
      <c r="X33" s="187"/>
      <c r="Y33" s="187"/>
      <c r="Z33" s="187"/>
      <c r="AA33" s="187"/>
      <c r="AB33" s="187"/>
      <c r="AC33" s="187"/>
      <c r="AD33" s="187"/>
      <c r="AE33" s="187"/>
      <c r="AF33" s="187"/>
      <c r="AG33" s="187"/>
      <c r="AH33" s="53">
        <f ca="1">TblImps[[#This Row],[Time]]</f>
        <v>44811.958333333263</v>
      </c>
      <c r="AI33" s="188">
        <f ca="1">MIN(25%,(TblConstr[[#This Row],[Tot Fac]]+TblConstr[[#This Row],[Dest Fac]])/(TblConstr[[#This Row],[Land]]-TblExplore[[#This Row],[Land Bonus]]*20))</f>
        <v>0</v>
      </c>
      <c r="AJ33" s="188">
        <f ca="1">MIN(25%,(TblConstr[[#This Row],[Tot Fac]]+TblConstr[[#This Row],[Dest Fac]])/TblConstr[[#This Row],[Land]])</f>
        <v>0</v>
      </c>
      <c r="AK33" s="97">
        <f ca="1">TblProd[[#This Row],[Platinum]]</f>
        <v>259551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50"/>
      <c r="AV33" s="97">
        <f ca="1">ROUND((TblConstr[[#This Row],[Land]]-250 - IF(TblExplore[[#This Row],[Land Bonus]]&lt;&gt;0,20,0))*1.25 + 850 + 0,0)</f>
        <v>850</v>
      </c>
      <c r="AW33" s="97">
        <f ca="1">ROUND((TblConstr[[#This Row],[Land]]-250 - IF(TblExplore[[#This Row],[Land Bonus]]&lt;&gt;0,20,0))*0.285 + 87.5 + 0/4.25,0)</f>
        <v>88</v>
      </c>
      <c r="AX33" s="162"/>
      <c r="AY33" s="196" cm="1">
        <f t="array" aca="1" ref="AY33" ca="1">IF(TblConstr[[#This Row],[Hour]:[Hour]]&gt;12,OFFSET(TblConstr[[#This Row],[Hom]],-12,0),0)+OFFSET(TblConstr[[#This Row],[Tot Hom]],-1,0)-TblConstr[[#This Row],[Dest Hom]]</f>
        <v>10</v>
      </c>
      <c r="AZ33" s="197" cm="1">
        <f t="array" aca="1" ref="AZ33" ca="1">IF(TblConstr[[#This Row],[Hour]:[Hour]]&gt;12,OFFSET(TblConstr[[#This Row],[Alc]],-12,0),0)+OFFSET(TblConstr[[#This Row],[Tot Alc]],-1,0)-TblConstr[[#This Row],[Dest Alc]]</f>
        <v>30</v>
      </c>
      <c r="BA33" s="197" cm="1">
        <f t="array" aca="1" ref="BA33" ca="1">IF(TblConstr[[#This Row],[Hour]:[Hour]]&gt;12,OFFSET(TblConstr[[#This Row],[Far]],-12,0),0)+OFFSET(TblConstr[[#This Row],[Tot Farm]],-1,0)-TblConstr[[#This Row],[Dest Farm]]</f>
        <v>30</v>
      </c>
      <c r="BB33" s="197" cm="1">
        <f t="array" aca="1" ref="BB33" ca="1">IF(TblConstr[[#This Row],[Hour]:[Hour]]&gt;12,OFFSET(TblConstr[[#This Row],[Smi]],-12,0),0)+OFFSET(TblConstr[[#This Row],[Tot Smi]],-1,0)-TblConstr[[#This Row],[Dest Smi]]</f>
        <v>0</v>
      </c>
      <c r="BC33" s="197" cm="1">
        <f t="array" aca="1" ref="BC33" ca="1">IF(TblConstr[[#This Row],[Hour]:[Hour]]&gt;12,OFFSET(TblConstr[[#This Row],[Mas]],-12,0),0)+OFFSET(TblConstr[[#This Row],[Tot Mas]],-1,0)-TblConstr[[#This Row],[Dest Mas]]</f>
        <v>0</v>
      </c>
      <c r="BD33" s="198" cm="1">
        <f t="array" aca="1" ref="BD33" ca="1">IF(TblConstr[[#This Row],[Hour]:[Hour]]&gt;12,OFFSET(TblConstr[[#This Row],[Ly]],-12,0),0)+OFFSET(TblConstr[[#This Row],[Tot Ly]],-1,0)-TblConstr[[#This Row],[Dest Ly]]</f>
        <v>20</v>
      </c>
      <c r="BE33" s="198" cm="1">
        <f t="array" aca="1" ref="BE33" ca="1">IF(TblConstr[[#This Row],[Hour]:[Hour]]&gt;12,OFFSET(TblConstr[[#This Row],[Hav]],-12,0),0)+OFFSET(TblConstr[[#This Row],[Tot Hav]],-1,0)-TblConstr[[#This Row],[Dest Hav]]</f>
        <v>0</v>
      </c>
      <c r="BF33" s="392" cm="1">
        <f t="array" aca="1" ref="BF33" ca="1">IF(TblConstr[[#This Row],[Hour]:[Hour]]&gt;12,OFFSET(TblConstr[[#This Row],[OM]],-12,0),0)+OFFSET(TblConstr[[#This Row],[Tot OM]],-1,0)-TblConstr[[#This Row],[Dest OM]]</f>
        <v>0</v>
      </c>
      <c r="BG33" s="392" cm="1">
        <f t="array" aca="1" ref="BG33" ca="1">IF(TblConstr[[#This Row],[Hour]:[Hour]]&gt;12,OFFSET(TblConstr[[#This Row],[GN]],-12,0),0)+OFFSET(TblConstr[[#This Row],[Tot GN]],-1,0)-TblConstr[[#This Row],[Dest GN]]</f>
        <v>0</v>
      </c>
      <c r="BH33" s="396" cm="1">
        <f t="array" aca="1" ref="BH33" ca="1">IF(TblConstr[[#This Row],[Hour]:[Hour]]&gt;12,OFFSET(TblConstr[[#This Row],[Fac]],-12,0),0)+OFFSET(TblConstr[[#This Row],[Tot Fac]],-1,0)-TblConstr[[#This Row],[Dest Fac]]</f>
        <v>0</v>
      </c>
      <c r="BI33" s="396" cm="1">
        <f t="array" aca="1" ref="BI33" ca="1">IF(TblConstr[[#This Row],[Hour]:[Hour]]&gt;12,OFFSET(TblConstr[[#This Row],[GT]],-12,0),0)+OFFSET(TblConstr[[#This Row],[Tot GT]],-1,0)-TblConstr[[#This Row],[Dest GT]]</f>
        <v>0</v>
      </c>
      <c r="BJ33" s="396" cm="1">
        <f t="array" aca="1" ref="BJ33" ca="1">IF(TblConstr[[#This Row],[Hour]:[Hour]]&gt;12,OFFSET(TblConstr[[#This Row],[Bar]],-12,0),0)+OFFSET(TblConstr[[#This Row],[Tot Bar]],-1,0)-TblConstr[[#This Row],[Dest Bar]]</f>
        <v>0</v>
      </c>
      <c r="BK33" s="396" cm="1">
        <f t="array" aca="1" ref="BK33" ca="1">IF(TblConstr[[#This Row],[Hour]:[Hour]]&gt;12,OFFSET(TblConstr[[#This Row],[Shr]],-12,0),0)+OFFSET(TblConstr[[#This Row],[Tot Shr]],-1,0)-TblConstr[[#This Row],[Dest Shr]]</f>
        <v>0</v>
      </c>
      <c r="BL33" s="400" cm="1">
        <f t="array" aca="1" ref="BL33" ca="1">IF(TblConstr[[#This Row],[Hour]:[Hour]]&gt;12,OFFSET(TblConstr[[#This Row],[Tow]],-12,0),0)+OFFSET(TblConstr[[#This Row],[Tot Tow]],-1,0)-TblConstr[[#This Row],[Dest Tow]]</f>
        <v>0</v>
      </c>
      <c r="BM33" s="400" cm="1">
        <f t="array" aca="1" ref="BM33" ca="1">IF(TblConstr[[#This Row],[Hour]:[Hour]]&gt;12,OFFSET(TblConstr[[#This Row],[Tem]],-12,0),0)+OFFSET(TblConstr[[#This Row],[Tot Tem]],-1,0)-TblConstr[[#This Row],[Dest Tem]]</f>
        <v>0</v>
      </c>
      <c r="BN33" s="400" cm="1">
        <f t="array" aca="1" ref="BN33" ca="1">IF(TblConstr[[#This Row],[Hour]:[Hour]]&gt;12,OFFSET(TblConstr[[#This Row],[WG]],-12,0),0)+OFFSET(TblConstr[[#This Row],[Tot WG]],-1,0)-TblConstr[[#This Row],[Dest WG]]</f>
        <v>0</v>
      </c>
      <c r="BO33" s="199" cm="1">
        <f t="array" aca="1" ref="BO33" ca="1">IF(TblConstr[[#This Row],[Hour]:[Hour]]&gt;12,OFFSET(TblConstr[[#This Row],[DM]],-12,0),0)+OFFSET(TblConstr[[#This Row],[Tot DM]],-1,0)-TblConstr[[#This Row],[Dest DM]]</f>
        <v>0</v>
      </c>
      <c r="BP33" s="199" cm="1">
        <f t="array" aca="1" ref="BP33" ca="1">IF(TblConstr[[#This Row],[Hour]:[Hour]]&gt;12,OFFSET(TblConstr[[#This Row],[Sch]],-12,0),0)+OFFSET(TblConstr[[#This Row],[Tot Sch]],-1,0)-TblConstr[[#This Row],[Dest Sch]]</f>
        <v>0</v>
      </c>
      <c r="BQ33" s="200" cm="1">
        <f t="array" aca="1" ref="BQ33" ca="1">IF(TblConstr[[#This Row],[Hour]:[Hour]]&gt;12,OFFSET(TblConstr[[#This Row],[Doc]],-12,0),0)+OFFSET(TblConstr[[#This Row],[Tot Doc]],-1,0)-TblConstr[[#This Row],[Dest Doc]]</f>
        <v>0</v>
      </c>
      <c r="BR33" s="150"/>
      <c r="BS33" s="162"/>
      <c r="BT33" s="97">
        <f ca="1">TblConstr[[#This Row],[Land]]</f>
        <v>250</v>
      </c>
      <c r="BU33" s="167">
        <f ca="1">TblImps[[#This Row],[Time]]</f>
        <v>44811.958333333263</v>
      </c>
      <c r="BV33" s="150"/>
      <c r="BW33" s="187"/>
      <c r="BX33" s="187"/>
      <c r="BY33" s="187"/>
      <c r="BZ33" s="187"/>
      <c r="CA33" s="187"/>
      <c r="CB33" s="187"/>
      <c r="CC33" s="187"/>
      <c r="CD33" s="187"/>
      <c r="CE33" s="187"/>
      <c r="CF33" s="187"/>
      <c r="CG33" s="187"/>
      <c r="CH33" s="187"/>
      <c r="CI33" s="187"/>
      <c r="CJ33" s="187"/>
      <c r="CK33" s="187"/>
      <c r="CL33" s="187"/>
      <c r="CM33" s="187"/>
      <c r="CN33" s="187"/>
      <c r="CO33" s="187"/>
      <c r="CP33" s="150"/>
      <c r="CQ33" s="189">
        <f ca="1">-SUM(TblConstr[[#This Row],[Alc]:[Mas]])+SUM(TblConstr[[#This Row],[Dest Alc]:[Dest Mas]])+Rezone!L33+IF("Ch_"&amp; home_land=TblConstr[[#Headers],[Ch_Plain]],TblConstr[[#This Row],[Home Land]])+IF(TblConstr[[#This Row],[Hour]:[Hour]]&gt;12,OFFSET(TblExplore[[#This Row],[Plains Explore]],-12,0),0)</f>
        <v>0</v>
      </c>
      <c r="CR33" s="190">
        <f ca="1">-SUM(TblConstr[[#This Row],[Ly]:[Hav]])+SUM(TblConstr[[#This Row],[Dest Ly]:[Dest Hav]]) +Rezone!M33 + IF("Ch_"&amp; home_land=TblConstr[[#Headers],[Ch_Forest]],TblConstr[[#This Row],[Home Land]])+IF(TblConstr[[#This Row],[Hour]:[Hour]]&gt;12,OFFSET(TblExplore[[#This Row],[Forest Explore]],-12,0),0)</f>
        <v>0</v>
      </c>
      <c r="CS33" s="390">
        <f ca="1">-SUM(TblConstr[[#This Row],[OM]:[GN]])+SUM(TblConstr[[#This Row],[Dest OM]:[Dest GN]]) +Rezone!N33 + IF("Ch_"&amp; home_land=TblConstr[[#Headers],[Ch_Mountain]],TblConstr[[#This Row],[Home Land]])+IF(TblConstr[[#This Row],[Hour]:[Hour]]&gt;12,OFFSET(TblExplore[[#This Row],[Mountain Explore]],-12,0),0)</f>
        <v>0</v>
      </c>
      <c r="CT33" s="191">
        <f ca="1">-SUM(TblConstr[[#This Row],[Fac]:[Shr]])+SUM(TblConstr[[#This Row],[Dest Fac]:[Dest Shr]]) +Rezone!O33 + IF("Ch_" &amp; home_land=TblConstr[[#Headers],[Ch_Hill]],TblConstr[[#This Row],[Home Land]])+IF(TblConstr[[#This Row],[Hour]:[Hour]]&gt;12,OFFSET(TblExplore[[#This Row],[Hill Explore]],-12,0),0)</f>
        <v>0</v>
      </c>
      <c r="CU33" s="192">
        <f ca="1">-SUM(TblConstr[[#This Row],[Tow]:[WG]])+SUM(TblConstr[[#This Row],[Dest Tow]:[Dest WG]]) +Rezone!P33 + IF("Ch_" &amp; home_land=TblConstr[[#Headers],[Ch_Swamp]],TblConstr[[#This Row],[Home Land]])+IF(TblConstr[[#This Row],[Hour]:[Hour]]&gt;12,OFFSET(TblExplore[[#This Row],[Swamp Explore]],-12,0),0)</f>
        <v>0</v>
      </c>
      <c r="CV33" s="193">
        <f ca="1" xml:space="preserve"> - SUM(TblConstr[[#This Row],[DM]:[Sch]])+SUM(TblConstr[[#This Row],[Dest DM]:[Dest Sch]]) +Rezone!Q33 + IF("Ch_" &amp; home_land=TblConstr[[#Headers],[Ch_Cavern]],TblConstr[[#This Row],[Home Land]])+IF(TblConstr[[#This Row],[Hour]:[Hour]]&gt;12,OFFSET(TblExplore[[#This Row],[Cavern Explore]],-12,0),0)</f>
        <v>0</v>
      </c>
      <c r="CW33" s="194">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50"/>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83">
        <f>TblRezone[[#This Row],[Hour]]</f>
        <v>31</v>
      </c>
      <c r="B34" s="184">
        <f ca="1">SUM(TblConstr[[#This Row],[Plain]:[Water]])</f>
        <v>160</v>
      </c>
      <c r="C34" s="185">
        <f ca="1">SUM(TblConstr[[#This Row],[Tot Hom]:[Tot Doc]])</f>
        <v>90</v>
      </c>
      <c r="D34" s="185">
        <f t="shared" si="2"/>
        <v>0</v>
      </c>
      <c r="E34" s="186"/>
      <c r="F34" s="62">
        <f ca="1">TblConstr[[#This Row],[Barren]]+TblConstr[[#This Row],[Buildings]]+TblConstr[[#This Row],[Incoming]]</f>
        <v>250</v>
      </c>
      <c r="G34" s="195">
        <f ca="1">OFFSET(TblConstr[[#This Row],[Plain]],-1,0)+TblConstr[[#This Row],[Ch_Plain]]</f>
        <v>40</v>
      </c>
      <c r="H34" s="190">
        <f ca="1">OFFSET(TblConstr[[#This Row],[Forest]],-1,0)+TblConstr[[#This Row],[Ch_Forest]]</f>
        <v>20</v>
      </c>
      <c r="I34" s="390">
        <f ca="1">OFFSET(TblConstr[[#This Row],[Mountain]],-1,0)+TblConstr[[#This Row],[Ch_Mountain]]</f>
        <v>20</v>
      </c>
      <c r="J34" s="394">
        <f ca="1">OFFSET(TblConstr[[#This Row],[Hill]],-1,0)+TblConstr[[#This Row],[Ch_Hill]]</f>
        <v>20</v>
      </c>
      <c r="K34" s="398">
        <f ca="1">OFFSET(TblConstr[[#This Row],[Swamp]],-1,0)+TblConstr[[#This Row],[Ch_Swamp]]</f>
        <v>20</v>
      </c>
      <c r="L34" s="193">
        <f ca="1">OFFSET(TblConstr[[#This Row],[Cavern]],-1,0)+TblConstr[[#This Row],[Ch_Cavern]]</f>
        <v>20</v>
      </c>
      <c r="M34" s="194">
        <f ca="1">OFFSET(TblConstr[[#This Row],[Water]],-1,0)+TblConstr[[#This Row],[Ch_Water]]</f>
        <v>20</v>
      </c>
      <c r="N34" s="388">
        <f>TblRezone[[#This Row],[Hour]]</f>
        <v>31</v>
      </c>
      <c r="O34" s="187"/>
      <c r="P34" s="166"/>
      <c r="Q34" s="187"/>
      <c r="R34" s="187"/>
      <c r="S34" s="187"/>
      <c r="T34" s="187"/>
      <c r="U34" s="187"/>
      <c r="V34" s="187"/>
      <c r="W34" s="187"/>
      <c r="X34" s="187"/>
      <c r="Y34" s="187"/>
      <c r="Z34" s="187"/>
      <c r="AA34" s="187"/>
      <c r="AB34" s="187"/>
      <c r="AC34" s="187"/>
      <c r="AD34" s="187"/>
      <c r="AE34" s="187"/>
      <c r="AF34" s="187"/>
      <c r="AG34" s="187"/>
      <c r="AH34" s="53">
        <f ca="1">TblImps[[#This Row],[Time]]</f>
        <v>44811.999999999927</v>
      </c>
      <c r="AI34" s="188">
        <f ca="1">MIN(25%,(TblConstr[[#This Row],[Tot Fac]]+TblConstr[[#This Row],[Dest Fac]])/(TblConstr[[#This Row],[Land]]-TblExplore[[#This Row],[Land Bonus]]*20))</f>
        <v>0</v>
      </c>
      <c r="AJ34" s="188">
        <f ca="1">MIN(25%,(TblConstr[[#This Row],[Tot Fac]]+TblConstr[[#This Row],[Dest Fac]])/TblConstr[[#This Row],[Land]])</f>
        <v>0</v>
      </c>
      <c r="AK34" s="97">
        <f ca="1">TblProd[[#This Row],[Platinum]]</f>
        <v>265207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50"/>
      <c r="AV34" s="97">
        <f ca="1">ROUND((TblConstr[[#This Row],[Land]]-250 - IF(TblExplore[[#This Row],[Land Bonus]]&lt;&gt;0,20,0))*1.25 + 850 + 0,0)</f>
        <v>850</v>
      </c>
      <c r="AW34" s="97">
        <f ca="1">ROUND((TblConstr[[#This Row],[Land]]-250 - IF(TblExplore[[#This Row],[Land Bonus]]&lt;&gt;0,20,0))*0.285 + 87.5 + 0/4.25,0)</f>
        <v>88</v>
      </c>
      <c r="AX34" s="162"/>
      <c r="AY34" s="196" cm="1">
        <f t="array" aca="1" ref="AY34" ca="1">IF(TblConstr[[#This Row],[Hour]:[Hour]]&gt;12,OFFSET(TblConstr[[#This Row],[Hom]],-12,0),0)+OFFSET(TblConstr[[#This Row],[Tot Hom]],-1,0)-TblConstr[[#This Row],[Dest Hom]]</f>
        <v>10</v>
      </c>
      <c r="AZ34" s="197" cm="1">
        <f t="array" aca="1" ref="AZ34" ca="1">IF(TblConstr[[#This Row],[Hour]:[Hour]]&gt;12,OFFSET(TblConstr[[#This Row],[Alc]],-12,0),0)+OFFSET(TblConstr[[#This Row],[Tot Alc]],-1,0)-TblConstr[[#This Row],[Dest Alc]]</f>
        <v>30</v>
      </c>
      <c r="BA34" s="197" cm="1">
        <f t="array" aca="1" ref="BA34" ca="1">IF(TblConstr[[#This Row],[Hour]:[Hour]]&gt;12,OFFSET(TblConstr[[#This Row],[Far]],-12,0),0)+OFFSET(TblConstr[[#This Row],[Tot Farm]],-1,0)-TblConstr[[#This Row],[Dest Farm]]</f>
        <v>30</v>
      </c>
      <c r="BB34" s="197" cm="1">
        <f t="array" aca="1" ref="BB34" ca="1">IF(TblConstr[[#This Row],[Hour]:[Hour]]&gt;12,OFFSET(TblConstr[[#This Row],[Smi]],-12,0),0)+OFFSET(TblConstr[[#This Row],[Tot Smi]],-1,0)-TblConstr[[#This Row],[Dest Smi]]</f>
        <v>0</v>
      </c>
      <c r="BC34" s="197" cm="1">
        <f t="array" aca="1" ref="BC34" ca="1">IF(TblConstr[[#This Row],[Hour]:[Hour]]&gt;12,OFFSET(TblConstr[[#This Row],[Mas]],-12,0),0)+OFFSET(TblConstr[[#This Row],[Tot Mas]],-1,0)-TblConstr[[#This Row],[Dest Mas]]</f>
        <v>0</v>
      </c>
      <c r="BD34" s="198" cm="1">
        <f t="array" aca="1" ref="BD34" ca="1">IF(TblConstr[[#This Row],[Hour]:[Hour]]&gt;12,OFFSET(TblConstr[[#This Row],[Ly]],-12,0),0)+OFFSET(TblConstr[[#This Row],[Tot Ly]],-1,0)-TblConstr[[#This Row],[Dest Ly]]</f>
        <v>20</v>
      </c>
      <c r="BE34" s="198" cm="1">
        <f t="array" aca="1" ref="BE34" ca="1">IF(TblConstr[[#This Row],[Hour]:[Hour]]&gt;12,OFFSET(TblConstr[[#This Row],[Hav]],-12,0),0)+OFFSET(TblConstr[[#This Row],[Tot Hav]],-1,0)-TblConstr[[#This Row],[Dest Hav]]</f>
        <v>0</v>
      </c>
      <c r="BF34" s="392" cm="1">
        <f t="array" aca="1" ref="BF34" ca="1">IF(TblConstr[[#This Row],[Hour]:[Hour]]&gt;12,OFFSET(TblConstr[[#This Row],[OM]],-12,0),0)+OFFSET(TblConstr[[#This Row],[Tot OM]],-1,0)-TblConstr[[#This Row],[Dest OM]]</f>
        <v>0</v>
      </c>
      <c r="BG34" s="392" cm="1">
        <f t="array" aca="1" ref="BG34" ca="1">IF(TblConstr[[#This Row],[Hour]:[Hour]]&gt;12,OFFSET(TblConstr[[#This Row],[GN]],-12,0),0)+OFFSET(TblConstr[[#This Row],[Tot GN]],-1,0)-TblConstr[[#This Row],[Dest GN]]</f>
        <v>0</v>
      </c>
      <c r="BH34" s="396" cm="1">
        <f t="array" aca="1" ref="BH34" ca="1">IF(TblConstr[[#This Row],[Hour]:[Hour]]&gt;12,OFFSET(TblConstr[[#This Row],[Fac]],-12,0),0)+OFFSET(TblConstr[[#This Row],[Tot Fac]],-1,0)-TblConstr[[#This Row],[Dest Fac]]</f>
        <v>0</v>
      </c>
      <c r="BI34" s="396" cm="1">
        <f t="array" aca="1" ref="BI34" ca="1">IF(TblConstr[[#This Row],[Hour]:[Hour]]&gt;12,OFFSET(TblConstr[[#This Row],[GT]],-12,0),0)+OFFSET(TblConstr[[#This Row],[Tot GT]],-1,0)-TblConstr[[#This Row],[Dest GT]]</f>
        <v>0</v>
      </c>
      <c r="BJ34" s="396" cm="1">
        <f t="array" aca="1" ref="BJ34" ca="1">IF(TblConstr[[#This Row],[Hour]:[Hour]]&gt;12,OFFSET(TblConstr[[#This Row],[Bar]],-12,0),0)+OFFSET(TblConstr[[#This Row],[Tot Bar]],-1,0)-TblConstr[[#This Row],[Dest Bar]]</f>
        <v>0</v>
      </c>
      <c r="BK34" s="396" cm="1">
        <f t="array" aca="1" ref="BK34" ca="1">IF(TblConstr[[#This Row],[Hour]:[Hour]]&gt;12,OFFSET(TblConstr[[#This Row],[Shr]],-12,0),0)+OFFSET(TblConstr[[#This Row],[Tot Shr]],-1,0)-TblConstr[[#This Row],[Dest Shr]]</f>
        <v>0</v>
      </c>
      <c r="BL34" s="400" cm="1">
        <f t="array" aca="1" ref="BL34" ca="1">IF(TblConstr[[#This Row],[Hour]:[Hour]]&gt;12,OFFSET(TblConstr[[#This Row],[Tow]],-12,0),0)+OFFSET(TblConstr[[#This Row],[Tot Tow]],-1,0)-TblConstr[[#This Row],[Dest Tow]]</f>
        <v>0</v>
      </c>
      <c r="BM34" s="400" cm="1">
        <f t="array" aca="1" ref="BM34" ca="1">IF(TblConstr[[#This Row],[Hour]:[Hour]]&gt;12,OFFSET(TblConstr[[#This Row],[Tem]],-12,0),0)+OFFSET(TblConstr[[#This Row],[Tot Tem]],-1,0)-TblConstr[[#This Row],[Dest Tem]]</f>
        <v>0</v>
      </c>
      <c r="BN34" s="400" cm="1">
        <f t="array" aca="1" ref="BN34" ca="1">IF(TblConstr[[#This Row],[Hour]:[Hour]]&gt;12,OFFSET(TblConstr[[#This Row],[WG]],-12,0),0)+OFFSET(TblConstr[[#This Row],[Tot WG]],-1,0)-TblConstr[[#This Row],[Dest WG]]</f>
        <v>0</v>
      </c>
      <c r="BO34" s="199" cm="1">
        <f t="array" aca="1" ref="BO34" ca="1">IF(TblConstr[[#This Row],[Hour]:[Hour]]&gt;12,OFFSET(TblConstr[[#This Row],[DM]],-12,0),0)+OFFSET(TblConstr[[#This Row],[Tot DM]],-1,0)-TblConstr[[#This Row],[Dest DM]]</f>
        <v>0</v>
      </c>
      <c r="BP34" s="199" cm="1">
        <f t="array" aca="1" ref="BP34" ca="1">IF(TblConstr[[#This Row],[Hour]:[Hour]]&gt;12,OFFSET(TblConstr[[#This Row],[Sch]],-12,0),0)+OFFSET(TblConstr[[#This Row],[Tot Sch]],-1,0)-TblConstr[[#This Row],[Dest Sch]]</f>
        <v>0</v>
      </c>
      <c r="BQ34" s="200" cm="1">
        <f t="array" aca="1" ref="BQ34" ca="1">IF(TblConstr[[#This Row],[Hour]:[Hour]]&gt;12,OFFSET(TblConstr[[#This Row],[Doc]],-12,0),0)+OFFSET(TblConstr[[#This Row],[Tot Doc]],-1,0)-TblConstr[[#This Row],[Dest Doc]]</f>
        <v>0</v>
      </c>
      <c r="BR34" s="150"/>
      <c r="BS34" s="162"/>
      <c r="BT34" s="97">
        <f ca="1">TblConstr[[#This Row],[Land]]</f>
        <v>250</v>
      </c>
      <c r="BU34" s="167">
        <f ca="1">TblImps[[#This Row],[Time]]</f>
        <v>44811.999999999927</v>
      </c>
      <c r="BV34" s="150"/>
      <c r="BW34" s="187"/>
      <c r="BX34" s="187"/>
      <c r="BY34" s="187"/>
      <c r="BZ34" s="187"/>
      <c r="CA34" s="187"/>
      <c r="CB34" s="187"/>
      <c r="CC34" s="187"/>
      <c r="CD34" s="187"/>
      <c r="CE34" s="187"/>
      <c r="CF34" s="187"/>
      <c r="CG34" s="187"/>
      <c r="CH34" s="187"/>
      <c r="CI34" s="187"/>
      <c r="CJ34" s="187"/>
      <c r="CK34" s="187"/>
      <c r="CL34" s="187"/>
      <c r="CM34" s="187"/>
      <c r="CN34" s="187"/>
      <c r="CO34" s="187"/>
      <c r="CP34" s="150"/>
      <c r="CQ34" s="189">
        <f ca="1">-SUM(TblConstr[[#This Row],[Alc]:[Mas]])+SUM(TblConstr[[#This Row],[Dest Alc]:[Dest Mas]])+Rezone!L34+IF("Ch_"&amp; home_land=TblConstr[[#Headers],[Ch_Plain]],TblConstr[[#This Row],[Home Land]])+IF(TblConstr[[#This Row],[Hour]:[Hour]]&gt;12,OFFSET(TblExplore[[#This Row],[Plains Explore]],-12,0),0)</f>
        <v>0</v>
      </c>
      <c r="CR34" s="190">
        <f ca="1">-SUM(TblConstr[[#This Row],[Ly]:[Hav]])+SUM(TblConstr[[#This Row],[Dest Ly]:[Dest Hav]]) +Rezone!M34 + IF("Ch_"&amp; home_land=TblConstr[[#Headers],[Ch_Forest]],TblConstr[[#This Row],[Home Land]])+IF(TblConstr[[#This Row],[Hour]:[Hour]]&gt;12,OFFSET(TblExplore[[#This Row],[Forest Explore]],-12,0),0)</f>
        <v>0</v>
      </c>
      <c r="CS34" s="390">
        <f ca="1">-SUM(TblConstr[[#This Row],[OM]:[GN]])+SUM(TblConstr[[#This Row],[Dest OM]:[Dest GN]]) +Rezone!N34 + IF("Ch_"&amp; home_land=TblConstr[[#Headers],[Ch_Mountain]],TblConstr[[#This Row],[Home Land]])+IF(TblConstr[[#This Row],[Hour]:[Hour]]&gt;12,OFFSET(TblExplore[[#This Row],[Mountain Explore]],-12,0),0)</f>
        <v>0</v>
      </c>
      <c r="CT34" s="191">
        <f ca="1">-SUM(TblConstr[[#This Row],[Fac]:[Shr]])+SUM(TblConstr[[#This Row],[Dest Fac]:[Dest Shr]]) +Rezone!O34 + IF("Ch_" &amp; home_land=TblConstr[[#Headers],[Ch_Hill]],TblConstr[[#This Row],[Home Land]])+IF(TblConstr[[#This Row],[Hour]:[Hour]]&gt;12,OFFSET(TblExplore[[#This Row],[Hill Explore]],-12,0),0)</f>
        <v>0</v>
      </c>
      <c r="CU34" s="192">
        <f ca="1">-SUM(TblConstr[[#This Row],[Tow]:[WG]])+SUM(TblConstr[[#This Row],[Dest Tow]:[Dest WG]]) +Rezone!P34 + IF("Ch_" &amp; home_land=TblConstr[[#Headers],[Ch_Swamp]],TblConstr[[#This Row],[Home Land]])+IF(TblConstr[[#This Row],[Hour]:[Hour]]&gt;12,OFFSET(TblExplore[[#This Row],[Swamp Explore]],-12,0),0)</f>
        <v>0</v>
      </c>
      <c r="CV34" s="193">
        <f ca="1" xml:space="preserve"> - SUM(TblConstr[[#This Row],[DM]:[Sch]])+SUM(TblConstr[[#This Row],[Dest DM]:[Dest Sch]]) +Rezone!Q34 + IF("Ch_" &amp; home_land=TblConstr[[#Headers],[Ch_Cavern]],TblConstr[[#This Row],[Home Land]])+IF(TblConstr[[#This Row],[Hour]:[Hour]]&gt;12,OFFSET(TblExplore[[#This Row],[Cavern Explore]],-12,0),0)</f>
        <v>0</v>
      </c>
      <c r="CW34" s="194">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50"/>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83">
        <f>TblRezone[[#This Row],[Hour]]</f>
        <v>32</v>
      </c>
      <c r="B35" s="184">
        <f ca="1">SUM(TblConstr[[#This Row],[Plain]:[Water]])</f>
        <v>160</v>
      </c>
      <c r="C35" s="185">
        <f ca="1">SUM(TblConstr[[#This Row],[Tot Hom]:[Tot Doc]])</f>
        <v>90</v>
      </c>
      <c r="D35" s="185">
        <f t="shared" si="2"/>
        <v>0</v>
      </c>
      <c r="E35" s="186"/>
      <c r="F35" s="62">
        <f ca="1">TblConstr[[#This Row],[Barren]]+TblConstr[[#This Row],[Buildings]]+TblConstr[[#This Row],[Incoming]]</f>
        <v>250</v>
      </c>
      <c r="G35" s="195">
        <f ca="1">OFFSET(TblConstr[[#This Row],[Plain]],-1,0)+TblConstr[[#This Row],[Ch_Plain]]</f>
        <v>40</v>
      </c>
      <c r="H35" s="190">
        <f ca="1">OFFSET(TblConstr[[#This Row],[Forest]],-1,0)+TblConstr[[#This Row],[Ch_Forest]]</f>
        <v>20</v>
      </c>
      <c r="I35" s="390">
        <f ca="1">OFFSET(TblConstr[[#This Row],[Mountain]],-1,0)+TblConstr[[#This Row],[Ch_Mountain]]</f>
        <v>20</v>
      </c>
      <c r="J35" s="394">
        <f ca="1">OFFSET(TblConstr[[#This Row],[Hill]],-1,0)+TblConstr[[#This Row],[Ch_Hill]]</f>
        <v>20</v>
      </c>
      <c r="K35" s="398">
        <f ca="1">OFFSET(TblConstr[[#This Row],[Swamp]],-1,0)+TblConstr[[#This Row],[Ch_Swamp]]</f>
        <v>20</v>
      </c>
      <c r="L35" s="193">
        <f ca="1">OFFSET(TblConstr[[#This Row],[Cavern]],-1,0)+TblConstr[[#This Row],[Ch_Cavern]]</f>
        <v>20</v>
      </c>
      <c r="M35" s="194">
        <f ca="1">OFFSET(TblConstr[[#This Row],[Water]],-1,0)+TblConstr[[#This Row],[Ch_Water]]</f>
        <v>20</v>
      </c>
      <c r="N35" s="388">
        <f>TblRezone[[#This Row],[Hour]]</f>
        <v>32</v>
      </c>
      <c r="O35" s="187"/>
      <c r="P35" s="166"/>
      <c r="Q35" s="187"/>
      <c r="R35" s="187"/>
      <c r="S35" s="187"/>
      <c r="T35" s="187"/>
      <c r="U35" s="187"/>
      <c r="V35" s="187"/>
      <c r="W35" s="187"/>
      <c r="X35" s="166"/>
      <c r="Y35" s="187"/>
      <c r="Z35" s="187"/>
      <c r="AA35" s="187"/>
      <c r="AB35" s="187"/>
      <c r="AC35" s="187"/>
      <c r="AD35" s="187"/>
      <c r="AE35" s="187"/>
      <c r="AF35" s="187"/>
      <c r="AG35" s="187"/>
      <c r="AH35" s="53">
        <f ca="1">TblImps[[#This Row],[Time]]</f>
        <v>44812.041666666591</v>
      </c>
      <c r="AI35" s="188">
        <f ca="1">MIN(25%,(TblConstr[[#This Row],[Tot Fac]]+TblConstr[[#This Row],[Dest Fac]])/(TblConstr[[#This Row],[Land]]-TblExplore[[#This Row],[Land Bonus]]*20))</f>
        <v>0</v>
      </c>
      <c r="AJ35" s="188">
        <f ca="1">MIN(25%,(TblConstr[[#This Row],[Tot Fac]]+TblConstr[[#This Row],[Dest Fac]])/TblConstr[[#This Row],[Land]])</f>
        <v>0</v>
      </c>
      <c r="AK35" s="97">
        <f ca="1">TblProd[[#This Row],[Platinum]]</f>
        <v>270820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50"/>
      <c r="AV35" s="97">
        <f ca="1">ROUND((TblConstr[[#This Row],[Land]]-250 - IF(TblExplore[[#This Row],[Land Bonus]]&lt;&gt;0,20,0))*1.25 + 850 + 0,0)</f>
        <v>850</v>
      </c>
      <c r="AW35" s="97">
        <f ca="1">ROUND((TblConstr[[#This Row],[Land]]-250 - IF(TblExplore[[#This Row],[Land Bonus]]&lt;&gt;0,20,0))*0.285 + 87.5 + 0/4.25,0)</f>
        <v>88</v>
      </c>
      <c r="AX35" s="162"/>
      <c r="AY35" s="196" cm="1">
        <f t="array" aca="1" ref="AY35" ca="1">IF(TblConstr[[#This Row],[Hour]:[Hour]]&gt;12,OFFSET(TblConstr[[#This Row],[Hom]],-12,0),0)+OFFSET(TblConstr[[#This Row],[Tot Hom]],-1,0)-TblConstr[[#This Row],[Dest Hom]]</f>
        <v>10</v>
      </c>
      <c r="AZ35" s="197" cm="1">
        <f t="array" aca="1" ref="AZ35" ca="1">IF(TblConstr[[#This Row],[Hour]:[Hour]]&gt;12,OFFSET(TblConstr[[#This Row],[Alc]],-12,0),0)+OFFSET(TblConstr[[#This Row],[Tot Alc]],-1,0)-TblConstr[[#This Row],[Dest Alc]]</f>
        <v>30</v>
      </c>
      <c r="BA35" s="197" cm="1">
        <f t="array" aca="1" ref="BA35" ca="1">IF(TblConstr[[#This Row],[Hour]:[Hour]]&gt;12,OFFSET(TblConstr[[#This Row],[Far]],-12,0),0)+OFFSET(TblConstr[[#This Row],[Tot Farm]],-1,0)-TblConstr[[#This Row],[Dest Farm]]</f>
        <v>30</v>
      </c>
      <c r="BB35" s="197" cm="1">
        <f t="array" aca="1" ref="BB35" ca="1">IF(TblConstr[[#This Row],[Hour]:[Hour]]&gt;12,OFFSET(TblConstr[[#This Row],[Smi]],-12,0),0)+OFFSET(TblConstr[[#This Row],[Tot Smi]],-1,0)-TblConstr[[#This Row],[Dest Smi]]</f>
        <v>0</v>
      </c>
      <c r="BC35" s="197" cm="1">
        <f t="array" aca="1" ref="BC35" ca="1">IF(TblConstr[[#This Row],[Hour]:[Hour]]&gt;12,OFFSET(TblConstr[[#This Row],[Mas]],-12,0),0)+OFFSET(TblConstr[[#This Row],[Tot Mas]],-1,0)-TblConstr[[#This Row],[Dest Mas]]</f>
        <v>0</v>
      </c>
      <c r="BD35" s="198" cm="1">
        <f t="array" aca="1" ref="BD35" ca="1">IF(TblConstr[[#This Row],[Hour]:[Hour]]&gt;12,OFFSET(TblConstr[[#This Row],[Ly]],-12,0),0)+OFFSET(TblConstr[[#This Row],[Tot Ly]],-1,0)-TblConstr[[#This Row],[Dest Ly]]</f>
        <v>20</v>
      </c>
      <c r="BE35" s="198" cm="1">
        <f t="array" aca="1" ref="BE35" ca="1">IF(TblConstr[[#This Row],[Hour]:[Hour]]&gt;12,OFFSET(TblConstr[[#This Row],[Hav]],-12,0),0)+OFFSET(TblConstr[[#This Row],[Tot Hav]],-1,0)-TblConstr[[#This Row],[Dest Hav]]</f>
        <v>0</v>
      </c>
      <c r="BF35" s="392" cm="1">
        <f t="array" aca="1" ref="BF35" ca="1">IF(TblConstr[[#This Row],[Hour]:[Hour]]&gt;12,OFFSET(TblConstr[[#This Row],[OM]],-12,0),0)+OFFSET(TblConstr[[#This Row],[Tot OM]],-1,0)-TblConstr[[#This Row],[Dest OM]]</f>
        <v>0</v>
      </c>
      <c r="BG35" s="392" cm="1">
        <f t="array" aca="1" ref="BG35" ca="1">IF(TblConstr[[#This Row],[Hour]:[Hour]]&gt;12,OFFSET(TblConstr[[#This Row],[GN]],-12,0),0)+OFFSET(TblConstr[[#This Row],[Tot GN]],-1,0)-TblConstr[[#This Row],[Dest GN]]</f>
        <v>0</v>
      </c>
      <c r="BH35" s="396" cm="1">
        <f t="array" aca="1" ref="BH35" ca="1">IF(TblConstr[[#This Row],[Hour]:[Hour]]&gt;12,OFFSET(TblConstr[[#This Row],[Fac]],-12,0),0)+OFFSET(TblConstr[[#This Row],[Tot Fac]],-1,0)-TblConstr[[#This Row],[Dest Fac]]</f>
        <v>0</v>
      </c>
      <c r="BI35" s="396" cm="1">
        <f t="array" aca="1" ref="BI35" ca="1">IF(TblConstr[[#This Row],[Hour]:[Hour]]&gt;12,OFFSET(TblConstr[[#This Row],[GT]],-12,0),0)+OFFSET(TblConstr[[#This Row],[Tot GT]],-1,0)-TblConstr[[#This Row],[Dest GT]]</f>
        <v>0</v>
      </c>
      <c r="BJ35" s="396" cm="1">
        <f t="array" aca="1" ref="BJ35" ca="1">IF(TblConstr[[#This Row],[Hour]:[Hour]]&gt;12,OFFSET(TblConstr[[#This Row],[Bar]],-12,0),0)+OFFSET(TblConstr[[#This Row],[Tot Bar]],-1,0)-TblConstr[[#This Row],[Dest Bar]]</f>
        <v>0</v>
      </c>
      <c r="BK35" s="396" cm="1">
        <f t="array" aca="1" ref="BK35" ca="1">IF(TblConstr[[#This Row],[Hour]:[Hour]]&gt;12,OFFSET(TblConstr[[#This Row],[Shr]],-12,0),0)+OFFSET(TblConstr[[#This Row],[Tot Shr]],-1,0)-TblConstr[[#This Row],[Dest Shr]]</f>
        <v>0</v>
      </c>
      <c r="BL35" s="400" cm="1">
        <f t="array" aca="1" ref="BL35" ca="1">IF(TblConstr[[#This Row],[Hour]:[Hour]]&gt;12,OFFSET(TblConstr[[#This Row],[Tow]],-12,0),0)+OFFSET(TblConstr[[#This Row],[Tot Tow]],-1,0)-TblConstr[[#This Row],[Dest Tow]]</f>
        <v>0</v>
      </c>
      <c r="BM35" s="400" cm="1">
        <f t="array" aca="1" ref="BM35" ca="1">IF(TblConstr[[#This Row],[Hour]:[Hour]]&gt;12,OFFSET(TblConstr[[#This Row],[Tem]],-12,0),0)+OFFSET(TblConstr[[#This Row],[Tot Tem]],-1,0)-TblConstr[[#This Row],[Dest Tem]]</f>
        <v>0</v>
      </c>
      <c r="BN35" s="400" cm="1">
        <f t="array" aca="1" ref="BN35" ca="1">IF(TblConstr[[#This Row],[Hour]:[Hour]]&gt;12,OFFSET(TblConstr[[#This Row],[WG]],-12,0),0)+OFFSET(TblConstr[[#This Row],[Tot WG]],-1,0)-TblConstr[[#This Row],[Dest WG]]</f>
        <v>0</v>
      </c>
      <c r="BO35" s="199" cm="1">
        <f t="array" aca="1" ref="BO35" ca="1">IF(TblConstr[[#This Row],[Hour]:[Hour]]&gt;12,OFFSET(TblConstr[[#This Row],[DM]],-12,0),0)+OFFSET(TblConstr[[#This Row],[Tot DM]],-1,0)-TblConstr[[#This Row],[Dest DM]]</f>
        <v>0</v>
      </c>
      <c r="BP35" s="199" cm="1">
        <f t="array" aca="1" ref="BP35" ca="1">IF(TblConstr[[#This Row],[Hour]:[Hour]]&gt;12,OFFSET(TblConstr[[#This Row],[Sch]],-12,0),0)+OFFSET(TblConstr[[#This Row],[Tot Sch]],-1,0)-TblConstr[[#This Row],[Dest Sch]]</f>
        <v>0</v>
      </c>
      <c r="BQ35" s="200" cm="1">
        <f t="array" aca="1" ref="BQ35" ca="1">IF(TblConstr[[#This Row],[Hour]:[Hour]]&gt;12,OFFSET(TblConstr[[#This Row],[Doc]],-12,0),0)+OFFSET(TblConstr[[#This Row],[Tot Doc]],-1,0)-TblConstr[[#This Row],[Dest Doc]]</f>
        <v>0</v>
      </c>
      <c r="BR35" s="150"/>
      <c r="BS35" s="162"/>
      <c r="BT35" s="97">
        <f ca="1">TblConstr[[#This Row],[Land]]</f>
        <v>250</v>
      </c>
      <c r="BU35" s="167">
        <f ca="1">TblImps[[#This Row],[Time]]</f>
        <v>44812.041666666591</v>
      </c>
      <c r="BV35" s="150"/>
      <c r="BW35" s="187"/>
      <c r="BX35" s="187"/>
      <c r="BY35" s="187"/>
      <c r="BZ35" s="187"/>
      <c r="CA35" s="187"/>
      <c r="CB35" s="187"/>
      <c r="CC35" s="187"/>
      <c r="CD35" s="187"/>
      <c r="CE35" s="187"/>
      <c r="CF35" s="187"/>
      <c r="CG35" s="187"/>
      <c r="CH35" s="187"/>
      <c r="CI35" s="187"/>
      <c r="CJ35" s="187"/>
      <c r="CK35" s="187"/>
      <c r="CL35" s="187"/>
      <c r="CM35" s="187"/>
      <c r="CN35" s="187"/>
      <c r="CO35" s="187"/>
      <c r="CP35" s="150"/>
      <c r="CQ35" s="189">
        <f ca="1">-SUM(TblConstr[[#This Row],[Alc]:[Mas]])+SUM(TblConstr[[#This Row],[Dest Alc]:[Dest Mas]])+Rezone!L35+IF("Ch_"&amp; home_land=TblConstr[[#Headers],[Ch_Plain]],TblConstr[[#This Row],[Home Land]])+IF(TblConstr[[#This Row],[Hour]:[Hour]]&gt;12,OFFSET(TblExplore[[#This Row],[Plains Explore]],-12,0),0)</f>
        <v>0</v>
      </c>
      <c r="CR35" s="190">
        <f ca="1">-SUM(TblConstr[[#This Row],[Ly]:[Hav]])+SUM(TblConstr[[#This Row],[Dest Ly]:[Dest Hav]]) +Rezone!M35 + IF("Ch_"&amp; home_land=TblConstr[[#Headers],[Ch_Forest]],TblConstr[[#This Row],[Home Land]])+IF(TblConstr[[#This Row],[Hour]:[Hour]]&gt;12,OFFSET(TblExplore[[#This Row],[Forest Explore]],-12,0),0)</f>
        <v>0</v>
      </c>
      <c r="CS35" s="390">
        <f ca="1">-SUM(TblConstr[[#This Row],[OM]:[GN]])+SUM(TblConstr[[#This Row],[Dest OM]:[Dest GN]]) +Rezone!N35 + IF("Ch_"&amp; home_land=TblConstr[[#Headers],[Ch_Mountain]],TblConstr[[#This Row],[Home Land]])+IF(TblConstr[[#This Row],[Hour]:[Hour]]&gt;12,OFFSET(TblExplore[[#This Row],[Mountain Explore]],-12,0),0)</f>
        <v>0</v>
      </c>
      <c r="CT35" s="191">
        <f ca="1">-SUM(TblConstr[[#This Row],[Fac]:[Shr]])+SUM(TblConstr[[#This Row],[Dest Fac]:[Dest Shr]]) +Rezone!O35 + IF("Ch_" &amp; home_land=TblConstr[[#Headers],[Ch_Hill]],TblConstr[[#This Row],[Home Land]])+IF(TblConstr[[#This Row],[Hour]:[Hour]]&gt;12,OFFSET(TblExplore[[#This Row],[Hill Explore]],-12,0),0)</f>
        <v>0</v>
      </c>
      <c r="CU35" s="192">
        <f ca="1">-SUM(TblConstr[[#This Row],[Tow]:[WG]])+SUM(TblConstr[[#This Row],[Dest Tow]:[Dest WG]]) +Rezone!P35 + IF("Ch_" &amp; home_land=TblConstr[[#Headers],[Ch_Swamp]],TblConstr[[#This Row],[Home Land]])+IF(TblConstr[[#This Row],[Hour]:[Hour]]&gt;12,OFFSET(TblExplore[[#This Row],[Swamp Explore]],-12,0),0)</f>
        <v>0</v>
      </c>
      <c r="CV35" s="193">
        <f ca="1" xml:space="preserve"> - SUM(TblConstr[[#This Row],[DM]:[Sch]])+SUM(TblConstr[[#This Row],[Dest DM]:[Dest Sch]]) +Rezone!Q35 + IF("Ch_" &amp; home_land=TblConstr[[#Headers],[Ch_Cavern]],TblConstr[[#This Row],[Home Land]])+IF(TblConstr[[#This Row],[Hour]:[Hour]]&gt;12,OFFSET(TblExplore[[#This Row],[Cavern Explore]],-12,0),0)</f>
        <v>0</v>
      </c>
      <c r="CW35" s="194">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50"/>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83">
        <f>TblRezone[[#This Row],[Hour]]</f>
        <v>33</v>
      </c>
      <c r="B36" s="184">
        <f ca="1">SUM(TblConstr[[#This Row],[Plain]:[Water]])</f>
        <v>160</v>
      </c>
      <c r="C36" s="185">
        <f ca="1">SUM(TblConstr[[#This Row],[Tot Hom]:[Tot Doc]])</f>
        <v>90</v>
      </c>
      <c r="D36" s="185">
        <f t="shared" si="2"/>
        <v>0</v>
      </c>
      <c r="E36" s="186"/>
      <c r="F36" s="62">
        <f ca="1">TblConstr[[#This Row],[Barren]]+TblConstr[[#This Row],[Buildings]]+TblConstr[[#This Row],[Incoming]]</f>
        <v>250</v>
      </c>
      <c r="G36" s="195">
        <f ca="1">OFFSET(TblConstr[[#This Row],[Plain]],-1,0)+TblConstr[[#This Row],[Ch_Plain]]</f>
        <v>40</v>
      </c>
      <c r="H36" s="190">
        <f ca="1">OFFSET(TblConstr[[#This Row],[Forest]],-1,0)+TblConstr[[#This Row],[Ch_Forest]]</f>
        <v>20</v>
      </c>
      <c r="I36" s="390">
        <f ca="1">OFFSET(TblConstr[[#This Row],[Mountain]],-1,0)+TblConstr[[#This Row],[Ch_Mountain]]</f>
        <v>20</v>
      </c>
      <c r="J36" s="394">
        <f ca="1">OFFSET(TblConstr[[#This Row],[Hill]],-1,0)+TblConstr[[#This Row],[Ch_Hill]]</f>
        <v>20</v>
      </c>
      <c r="K36" s="398">
        <f ca="1">OFFSET(TblConstr[[#This Row],[Swamp]],-1,0)+TblConstr[[#This Row],[Ch_Swamp]]</f>
        <v>20</v>
      </c>
      <c r="L36" s="193">
        <f ca="1">OFFSET(TblConstr[[#This Row],[Cavern]],-1,0)+TblConstr[[#This Row],[Ch_Cavern]]</f>
        <v>20</v>
      </c>
      <c r="M36" s="194">
        <f ca="1">OFFSET(TblConstr[[#This Row],[Water]],-1,0)+TblConstr[[#This Row],[Ch_Water]]</f>
        <v>20</v>
      </c>
      <c r="N36" s="388">
        <f>TblRezone[[#This Row],[Hour]]</f>
        <v>33</v>
      </c>
      <c r="O36" s="187"/>
      <c r="P36" s="166"/>
      <c r="Q36" s="187"/>
      <c r="R36" s="187"/>
      <c r="S36" s="187"/>
      <c r="T36" s="187"/>
      <c r="U36" s="187"/>
      <c r="V36" s="187"/>
      <c r="W36" s="187"/>
      <c r="X36" s="187"/>
      <c r="Y36" s="187"/>
      <c r="Z36" s="187"/>
      <c r="AA36" s="187"/>
      <c r="AB36" s="187"/>
      <c r="AC36" s="187"/>
      <c r="AD36" s="187"/>
      <c r="AE36" s="187"/>
      <c r="AF36" s="187"/>
      <c r="AG36" s="187"/>
      <c r="AH36" s="53">
        <f ca="1">TblImps[[#This Row],[Time]]</f>
        <v>44812.083333333256</v>
      </c>
      <c r="AI36" s="188">
        <f ca="1">MIN(25%,(TblConstr[[#This Row],[Tot Fac]]+TblConstr[[#This Row],[Dest Fac]])/(TblConstr[[#This Row],[Land]]-TblExplore[[#This Row],[Land Bonus]]*20))</f>
        <v>0</v>
      </c>
      <c r="AJ36" s="188">
        <f ca="1">MIN(25%,(TblConstr[[#This Row],[Tot Fac]]+TblConstr[[#This Row],[Dest Fac]])/TblConstr[[#This Row],[Land]])</f>
        <v>0</v>
      </c>
      <c r="AK36" s="97">
        <f ca="1">TblProd[[#This Row],[Platinum]]</f>
        <v>276390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50"/>
      <c r="AV36" s="97">
        <f ca="1">ROUND((TblConstr[[#This Row],[Land]]-250 - IF(TblExplore[[#This Row],[Land Bonus]]&lt;&gt;0,20,0))*1.25 + 850 + 0,0)</f>
        <v>850</v>
      </c>
      <c r="AW36" s="97">
        <f ca="1">ROUND((TblConstr[[#This Row],[Land]]-250 - IF(TblExplore[[#This Row],[Land Bonus]]&lt;&gt;0,20,0))*0.285 + 87.5 + 0/4.25,0)</f>
        <v>88</v>
      </c>
      <c r="AX36" s="162"/>
      <c r="AY36" s="196" cm="1">
        <f t="array" aca="1" ref="AY36" ca="1">IF(TblConstr[[#This Row],[Hour]:[Hour]]&gt;12,OFFSET(TblConstr[[#This Row],[Hom]],-12,0),0)+OFFSET(TblConstr[[#This Row],[Tot Hom]],-1,0)-TblConstr[[#This Row],[Dest Hom]]</f>
        <v>10</v>
      </c>
      <c r="AZ36" s="197" cm="1">
        <f t="array" aca="1" ref="AZ36" ca="1">IF(TblConstr[[#This Row],[Hour]:[Hour]]&gt;12,OFFSET(TblConstr[[#This Row],[Alc]],-12,0),0)+OFFSET(TblConstr[[#This Row],[Tot Alc]],-1,0)-TblConstr[[#This Row],[Dest Alc]]</f>
        <v>30</v>
      </c>
      <c r="BA36" s="197" cm="1">
        <f t="array" aca="1" ref="BA36" ca="1">IF(TblConstr[[#This Row],[Hour]:[Hour]]&gt;12,OFFSET(TblConstr[[#This Row],[Far]],-12,0),0)+OFFSET(TblConstr[[#This Row],[Tot Farm]],-1,0)-TblConstr[[#This Row],[Dest Farm]]</f>
        <v>30</v>
      </c>
      <c r="BB36" s="197" cm="1">
        <f t="array" aca="1" ref="BB36" ca="1">IF(TblConstr[[#This Row],[Hour]:[Hour]]&gt;12,OFFSET(TblConstr[[#This Row],[Smi]],-12,0),0)+OFFSET(TblConstr[[#This Row],[Tot Smi]],-1,0)-TblConstr[[#This Row],[Dest Smi]]</f>
        <v>0</v>
      </c>
      <c r="BC36" s="197" cm="1">
        <f t="array" aca="1" ref="BC36" ca="1">IF(TblConstr[[#This Row],[Hour]:[Hour]]&gt;12,OFFSET(TblConstr[[#This Row],[Mas]],-12,0),0)+OFFSET(TblConstr[[#This Row],[Tot Mas]],-1,0)-TblConstr[[#This Row],[Dest Mas]]</f>
        <v>0</v>
      </c>
      <c r="BD36" s="198" cm="1">
        <f t="array" aca="1" ref="BD36" ca="1">IF(TblConstr[[#This Row],[Hour]:[Hour]]&gt;12,OFFSET(TblConstr[[#This Row],[Ly]],-12,0),0)+OFFSET(TblConstr[[#This Row],[Tot Ly]],-1,0)-TblConstr[[#This Row],[Dest Ly]]</f>
        <v>20</v>
      </c>
      <c r="BE36" s="198" cm="1">
        <f t="array" aca="1" ref="BE36" ca="1">IF(TblConstr[[#This Row],[Hour]:[Hour]]&gt;12,OFFSET(TblConstr[[#This Row],[Hav]],-12,0),0)+OFFSET(TblConstr[[#This Row],[Tot Hav]],-1,0)-TblConstr[[#This Row],[Dest Hav]]</f>
        <v>0</v>
      </c>
      <c r="BF36" s="392" cm="1">
        <f t="array" aca="1" ref="BF36" ca="1">IF(TblConstr[[#This Row],[Hour]:[Hour]]&gt;12,OFFSET(TblConstr[[#This Row],[OM]],-12,0),0)+OFFSET(TblConstr[[#This Row],[Tot OM]],-1,0)-TblConstr[[#This Row],[Dest OM]]</f>
        <v>0</v>
      </c>
      <c r="BG36" s="392" cm="1">
        <f t="array" aca="1" ref="BG36" ca="1">IF(TblConstr[[#This Row],[Hour]:[Hour]]&gt;12,OFFSET(TblConstr[[#This Row],[GN]],-12,0),0)+OFFSET(TblConstr[[#This Row],[Tot GN]],-1,0)-TblConstr[[#This Row],[Dest GN]]</f>
        <v>0</v>
      </c>
      <c r="BH36" s="396" cm="1">
        <f t="array" aca="1" ref="BH36" ca="1">IF(TblConstr[[#This Row],[Hour]:[Hour]]&gt;12,OFFSET(TblConstr[[#This Row],[Fac]],-12,0),0)+OFFSET(TblConstr[[#This Row],[Tot Fac]],-1,0)-TblConstr[[#This Row],[Dest Fac]]</f>
        <v>0</v>
      </c>
      <c r="BI36" s="396" cm="1">
        <f t="array" aca="1" ref="BI36" ca="1">IF(TblConstr[[#This Row],[Hour]:[Hour]]&gt;12,OFFSET(TblConstr[[#This Row],[GT]],-12,0),0)+OFFSET(TblConstr[[#This Row],[Tot GT]],-1,0)-TblConstr[[#This Row],[Dest GT]]</f>
        <v>0</v>
      </c>
      <c r="BJ36" s="396" cm="1">
        <f t="array" aca="1" ref="BJ36" ca="1">IF(TblConstr[[#This Row],[Hour]:[Hour]]&gt;12,OFFSET(TblConstr[[#This Row],[Bar]],-12,0),0)+OFFSET(TblConstr[[#This Row],[Tot Bar]],-1,0)-TblConstr[[#This Row],[Dest Bar]]</f>
        <v>0</v>
      </c>
      <c r="BK36" s="396" cm="1">
        <f t="array" aca="1" ref="BK36" ca="1">IF(TblConstr[[#This Row],[Hour]:[Hour]]&gt;12,OFFSET(TblConstr[[#This Row],[Shr]],-12,0),0)+OFFSET(TblConstr[[#This Row],[Tot Shr]],-1,0)-TblConstr[[#This Row],[Dest Shr]]</f>
        <v>0</v>
      </c>
      <c r="BL36" s="400" cm="1">
        <f t="array" aca="1" ref="BL36" ca="1">IF(TblConstr[[#This Row],[Hour]:[Hour]]&gt;12,OFFSET(TblConstr[[#This Row],[Tow]],-12,0),0)+OFFSET(TblConstr[[#This Row],[Tot Tow]],-1,0)-TblConstr[[#This Row],[Dest Tow]]</f>
        <v>0</v>
      </c>
      <c r="BM36" s="400" cm="1">
        <f t="array" aca="1" ref="BM36" ca="1">IF(TblConstr[[#This Row],[Hour]:[Hour]]&gt;12,OFFSET(TblConstr[[#This Row],[Tem]],-12,0),0)+OFFSET(TblConstr[[#This Row],[Tot Tem]],-1,0)-TblConstr[[#This Row],[Dest Tem]]</f>
        <v>0</v>
      </c>
      <c r="BN36" s="400" cm="1">
        <f t="array" aca="1" ref="BN36" ca="1">IF(TblConstr[[#This Row],[Hour]:[Hour]]&gt;12,OFFSET(TblConstr[[#This Row],[WG]],-12,0),0)+OFFSET(TblConstr[[#This Row],[Tot WG]],-1,0)-TblConstr[[#This Row],[Dest WG]]</f>
        <v>0</v>
      </c>
      <c r="BO36" s="199" cm="1">
        <f t="array" aca="1" ref="BO36" ca="1">IF(TblConstr[[#This Row],[Hour]:[Hour]]&gt;12,OFFSET(TblConstr[[#This Row],[DM]],-12,0),0)+OFFSET(TblConstr[[#This Row],[Tot DM]],-1,0)-TblConstr[[#This Row],[Dest DM]]</f>
        <v>0</v>
      </c>
      <c r="BP36" s="199" cm="1">
        <f t="array" aca="1" ref="BP36" ca="1">IF(TblConstr[[#This Row],[Hour]:[Hour]]&gt;12,OFFSET(TblConstr[[#This Row],[Sch]],-12,0),0)+OFFSET(TblConstr[[#This Row],[Tot Sch]],-1,0)-TblConstr[[#This Row],[Dest Sch]]</f>
        <v>0</v>
      </c>
      <c r="BQ36" s="200" cm="1">
        <f t="array" aca="1" ref="BQ36" ca="1">IF(TblConstr[[#This Row],[Hour]:[Hour]]&gt;12,OFFSET(TblConstr[[#This Row],[Doc]],-12,0),0)+OFFSET(TblConstr[[#This Row],[Tot Doc]],-1,0)-TblConstr[[#This Row],[Dest Doc]]</f>
        <v>0</v>
      </c>
      <c r="BR36" s="150"/>
      <c r="BS36" s="162"/>
      <c r="BT36" s="97">
        <f ca="1">TblConstr[[#This Row],[Land]]</f>
        <v>250</v>
      </c>
      <c r="BU36" s="167">
        <f ca="1">TblImps[[#This Row],[Time]]</f>
        <v>44812.083333333256</v>
      </c>
      <c r="BV36" s="150"/>
      <c r="BW36" s="187"/>
      <c r="BX36" s="187"/>
      <c r="BY36" s="187"/>
      <c r="BZ36" s="187"/>
      <c r="CA36" s="187"/>
      <c r="CB36" s="187"/>
      <c r="CC36" s="187"/>
      <c r="CD36" s="187"/>
      <c r="CE36" s="187"/>
      <c r="CF36" s="187"/>
      <c r="CG36" s="187"/>
      <c r="CH36" s="187"/>
      <c r="CI36" s="187"/>
      <c r="CJ36" s="187"/>
      <c r="CK36" s="187"/>
      <c r="CL36" s="187"/>
      <c r="CM36" s="187"/>
      <c r="CN36" s="187"/>
      <c r="CO36" s="187"/>
      <c r="CP36" s="150"/>
      <c r="CQ36" s="189">
        <f ca="1">-SUM(TblConstr[[#This Row],[Alc]:[Mas]])+SUM(TblConstr[[#This Row],[Dest Alc]:[Dest Mas]])+Rezone!L36+IF("Ch_"&amp; home_land=TblConstr[[#Headers],[Ch_Plain]],TblConstr[[#This Row],[Home Land]])+IF(TblConstr[[#This Row],[Hour]:[Hour]]&gt;12,OFFSET(TblExplore[[#This Row],[Plains Explore]],-12,0),0)</f>
        <v>0</v>
      </c>
      <c r="CR36" s="190">
        <f ca="1">-SUM(TblConstr[[#This Row],[Ly]:[Hav]])+SUM(TblConstr[[#This Row],[Dest Ly]:[Dest Hav]]) +Rezone!M36 + IF("Ch_"&amp; home_land=TblConstr[[#Headers],[Ch_Forest]],TblConstr[[#This Row],[Home Land]])+IF(TblConstr[[#This Row],[Hour]:[Hour]]&gt;12,OFFSET(TblExplore[[#This Row],[Forest Explore]],-12,0),0)</f>
        <v>0</v>
      </c>
      <c r="CS36" s="390">
        <f ca="1">-SUM(TblConstr[[#This Row],[OM]:[GN]])+SUM(TblConstr[[#This Row],[Dest OM]:[Dest GN]]) +Rezone!N36 + IF("Ch_"&amp; home_land=TblConstr[[#Headers],[Ch_Mountain]],TblConstr[[#This Row],[Home Land]])+IF(TblConstr[[#This Row],[Hour]:[Hour]]&gt;12,OFFSET(TblExplore[[#This Row],[Mountain Explore]],-12,0),0)</f>
        <v>0</v>
      </c>
      <c r="CT36" s="191">
        <f ca="1">-SUM(TblConstr[[#This Row],[Fac]:[Shr]])+SUM(TblConstr[[#This Row],[Dest Fac]:[Dest Shr]]) +Rezone!O36 + IF("Ch_" &amp; home_land=TblConstr[[#Headers],[Ch_Hill]],TblConstr[[#This Row],[Home Land]])+IF(TblConstr[[#This Row],[Hour]:[Hour]]&gt;12,OFFSET(TblExplore[[#This Row],[Hill Explore]],-12,0),0)</f>
        <v>0</v>
      </c>
      <c r="CU36" s="192">
        <f ca="1">-SUM(TblConstr[[#This Row],[Tow]:[WG]])+SUM(TblConstr[[#This Row],[Dest Tow]:[Dest WG]]) +Rezone!P36 + IF("Ch_" &amp; home_land=TblConstr[[#Headers],[Ch_Swamp]],TblConstr[[#This Row],[Home Land]])+IF(TblConstr[[#This Row],[Hour]:[Hour]]&gt;12,OFFSET(TblExplore[[#This Row],[Swamp Explore]],-12,0),0)</f>
        <v>0</v>
      </c>
      <c r="CV36" s="193">
        <f ca="1" xml:space="preserve"> - SUM(TblConstr[[#This Row],[DM]:[Sch]])+SUM(TblConstr[[#This Row],[Dest DM]:[Dest Sch]]) +Rezone!Q36 + IF("Ch_" &amp; home_land=TblConstr[[#Headers],[Ch_Cavern]],TblConstr[[#This Row],[Home Land]])+IF(TblConstr[[#This Row],[Hour]:[Hour]]&gt;12,OFFSET(TblExplore[[#This Row],[Cavern Explore]],-12,0),0)</f>
        <v>0</v>
      </c>
      <c r="CW36" s="194">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50"/>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83">
        <f>TblRezone[[#This Row],[Hour]]</f>
        <v>34</v>
      </c>
      <c r="B37" s="184">
        <f ca="1">SUM(TblConstr[[#This Row],[Plain]:[Water]])</f>
        <v>160</v>
      </c>
      <c r="C37" s="185">
        <f ca="1">SUM(TblConstr[[#This Row],[Tot Hom]:[Tot Doc]])</f>
        <v>90</v>
      </c>
      <c r="D37" s="185">
        <f t="shared" si="2"/>
        <v>0</v>
      </c>
      <c r="E37" s="186"/>
      <c r="F37" s="62">
        <f ca="1">TblConstr[[#This Row],[Barren]]+TblConstr[[#This Row],[Buildings]]+TblConstr[[#This Row],[Incoming]]</f>
        <v>250</v>
      </c>
      <c r="G37" s="195">
        <f ca="1">OFFSET(TblConstr[[#This Row],[Plain]],-1,0)+TblConstr[[#This Row],[Ch_Plain]]</f>
        <v>40</v>
      </c>
      <c r="H37" s="190">
        <f ca="1">OFFSET(TblConstr[[#This Row],[Forest]],-1,0)+TblConstr[[#This Row],[Ch_Forest]]</f>
        <v>20</v>
      </c>
      <c r="I37" s="390">
        <f ca="1">OFFSET(TblConstr[[#This Row],[Mountain]],-1,0)+TblConstr[[#This Row],[Ch_Mountain]]</f>
        <v>20</v>
      </c>
      <c r="J37" s="394">
        <f ca="1">OFFSET(TblConstr[[#This Row],[Hill]],-1,0)+TblConstr[[#This Row],[Ch_Hill]]</f>
        <v>20</v>
      </c>
      <c r="K37" s="398">
        <f ca="1">OFFSET(TblConstr[[#This Row],[Swamp]],-1,0)+TblConstr[[#This Row],[Ch_Swamp]]</f>
        <v>20</v>
      </c>
      <c r="L37" s="193">
        <f ca="1">OFFSET(TblConstr[[#This Row],[Cavern]],-1,0)+TblConstr[[#This Row],[Ch_Cavern]]</f>
        <v>20</v>
      </c>
      <c r="M37" s="194">
        <f ca="1">OFFSET(TblConstr[[#This Row],[Water]],-1,0)+TblConstr[[#This Row],[Ch_Water]]</f>
        <v>20</v>
      </c>
      <c r="N37" s="388">
        <f>TblRezone[[#This Row],[Hour]]</f>
        <v>34</v>
      </c>
      <c r="O37" s="187"/>
      <c r="P37" s="166"/>
      <c r="Q37" s="187"/>
      <c r="R37" s="187"/>
      <c r="S37" s="187"/>
      <c r="T37" s="187"/>
      <c r="U37" s="187"/>
      <c r="V37" s="187"/>
      <c r="W37" s="187"/>
      <c r="X37" s="187"/>
      <c r="Y37" s="187"/>
      <c r="Z37" s="187"/>
      <c r="AA37" s="187"/>
      <c r="AB37" s="187"/>
      <c r="AC37" s="187"/>
      <c r="AD37" s="187"/>
      <c r="AE37" s="187"/>
      <c r="AF37" s="187"/>
      <c r="AG37" s="187"/>
      <c r="AH37" s="53">
        <f ca="1">TblImps[[#This Row],[Time]]</f>
        <v>44812.12499999992</v>
      </c>
      <c r="AI37" s="188">
        <f ca="1">MIN(25%,(TblConstr[[#This Row],[Tot Fac]]+TblConstr[[#This Row],[Dest Fac]])/(TblConstr[[#This Row],[Land]]-TblExplore[[#This Row],[Land Bonus]]*20))</f>
        <v>0</v>
      </c>
      <c r="AJ37" s="188">
        <f ca="1">MIN(25%,(TblConstr[[#This Row],[Tot Fac]]+TblConstr[[#This Row],[Dest Fac]])/TblConstr[[#This Row],[Land]])</f>
        <v>0</v>
      </c>
      <c r="AK37" s="97">
        <f ca="1">TblProd[[#This Row],[Platinum]]</f>
        <v>281916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50"/>
      <c r="AV37" s="97">
        <f ca="1">ROUND((TblConstr[[#This Row],[Land]]-250 - IF(TblExplore[[#This Row],[Land Bonus]]&lt;&gt;0,20,0))*1.25 + 850 + 0,0)</f>
        <v>850</v>
      </c>
      <c r="AW37" s="97">
        <f ca="1">ROUND((TblConstr[[#This Row],[Land]]-250 - IF(TblExplore[[#This Row],[Land Bonus]]&lt;&gt;0,20,0))*0.285 + 87.5 + 0/4.25,0)</f>
        <v>88</v>
      </c>
      <c r="AX37" s="162"/>
      <c r="AY37" s="196" cm="1">
        <f t="array" aca="1" ref="AY37" ca="1">IF(TblConstr[[#This Row],[Hour]:[Hour]]&gt;12,OFFSET(TblConstr[[#This Row],[Hom]],-12,0),0)+OFFSET(TblConstr[[#This Row],[Tot Hom]],-1,0)-TblConstr[[#This Row],[Dest Hom]]</f>
        <v>10</v>
      </c>
      <c r="AZ37" s="197" cm="1">
        <f t="array" aca="1" ref="AZ37" ca="1">IF(TblConstr[[#This Row],[Hour]:[Hour]]&gt;12,OFFSET(TblConstr[[#This Row],[Alc]],-12,0),0)+OFFSET(TblConstr[[#This Row],[Tot Alc]],-1,0)-TblConstr[[#This Row],[Dest Alc]]</f>
        <v>30</v>
      </c>
      <c r="BA37" s="197" cm="1">
        <f t="array" aca="1" ref="BA37" ca="1">IF(TblConstr[[#This Row],[Hour]:[Hour]]&gt;12,OFFSET(TblConstr[[#This Row],[Far]],-12,0),0)+OFFSET(TblConstr[[#This Row],[Tot Farm]],-1,0)-TblConstr[[#This Row],[Dest Farm]]</f>
        <v>30</v>
      </c>
      <c r="BB37" s="197" cm="1">
        <f t="array" aca="1" ref="BB37" ca="1">IF(TblConstr[[#This Row],[Hour]:[Hour]]&gt;12,OFFSET(TblConstr[[#This Row],[Smi]],-12,0),0)+OFFSET(TblConstr[[#This Row],[Tot Smi]],-1,0)-TblConstr[[#This Row],[Dest Smi]]</f>
        <v>0</v>
      </c>
      <c r="BC37" s="197" cm="1">
        <f t="array" aca="1" ref="BC37" ca="1">IF(TblConstr[[#This Row],[Hour]:[Hour]]&gt;12,OFFSET(TblConstr[[#This Row],[Mas]],-12,0),0)+OFFSET(TblConstr[[#This Row],[Tot Mas]],-1,0)-TblConstr[[#This Row],[Dest Mas]]</f>
        <v>0</v>
      </c>
      <c r="BD37" s="198" cm="1">
        <f t="array" aca="1" ref="BD37" ca="1">IF(TblConstr[[#This Row],[Hour]:[Hour]]&gt;12,OFFSET(TblConstr[[#This Row],[Ly]],-12,0),0)+OFFSET(TblConstr[[#This Row],[Tot Ly]],-1,0)-TblConstr[[#This Row],[Dest Ly]]</f>
        <v>20</v>
      </c>
      <c r="BE37" s="198" cm="1">
        <f t="array" aca="1" ref="BE37" ca="1">IF(TblConstr[[#This Row],[Hour]:[Hour]]&gt;12,OFFSET(TblConstr[[#This Row],[Hav]],-12,0),0)+OFFSET(TblConstr[[#This Row],[Tot Hav]],-1,0)-TblConstr[[#This Row],[Dest Hav]]</f>
        <v>0</v>
      </c>
      <c r="BF37" s="392" cm="1">
        <f t="array" aca="1" ref="BF37" ca="1">IF(TblConstr[[#This Row],[Hour]:[Hour]]&gt;12,OFFSET(TblConstr[[#This Row],[OM]],-12,0),0)+OFFSET(TblConstr[[#This Row],[Tot OM]],-1,0)-TblConstr[[#This Row],[Dest OM]]</f>
        <v>0</v>
      </c>
      <c r="BG37" s="392" cm="1">
        <f t="array" aca="1" ref="BG37" ca="1">IF(TblConstr[[#This Row],[Hour]:[Hour]]&gt;12,OFFSET(TblConstr[[#This Row],[GN]],-12,0),0)+OFFSET(TblConstr[[#This Row],[Tot GN]],-1,0)-TblConstr[[#This Row],[Dest GN]]</f>
        <v>0</v>
      </c>
      <c r="BH37" s="396" cm="1">
        <f t="array" aca="1" ref="BH37" ca="1">IF(TblConstr[[#This Row],[Hour]:[Hour]]&gt;12,OFFSET(TblConstr[[#This Row],[Fac]],-12,0),0)+OFFSET(TblConstr[[#This Row],[Tot Fac]],-1,0)-TblConstr[[#This Row],[Dest Fac]]</f>
        <v>0</v>
      </c>
      <c r="BI37" s="396" cm="1">
        <f t="array" aca="1" ref="BI37" ca="1">IF(TblConstr[[#This Row],[Hour]:[Hour]]&gt;12,OFFSET(TblConstr[[#This Row],[GT]],-12,0),0)+OFFSET(TblConstr[[#This Row],[Tot GT]],-1,0)-TblConstr[[#This Row],[Dest GT]]</f>
        <v>0</v>
      </c>
      <c r="BJ37" s="396" cm="1">
        <f t="array" aca="1" ref="BJ37" ca="1">IF(TblConstr[[#This Row],[Hour]:[Hour]]&gt;12,OFFSET(TblConstr[[#This Row],[Bar]],-12,0),0)+OFFSET(TblConstr[[#This Row],[Tot Bar]],-1,0)-TblConstr[[#This Row],[Dest Bar]]</f>
        <v>0</v>
      </c>
      <c r="BK37" s="396" cm="1">
        <f t="array" aca="1" ref="BK37" ca="1">IF(TblConstr[[#This Row],[Hour]:[Hour]]&gt;12,OFFSET(TblConstr[[#This Row],[Shr]],-12,0),0)+OFFSET(TblConstr[[#This Row],[Tot Shr]],-1,0)-TblConstr[[#This Row],[Dest Shr]]</f>
        <v>0</v>
      </c>
      <c r="BL37" s="400" cm="1">
        <f t="array" aca="1" ref="BL37" ca="1">IF(TblConstr[[#This Row],[Hour]:[Hour]]&gt;12,OFFSET(TblConstr[[#This Row],[Tow]],-12,0),0)+OFFSET(TblConstr[[#This Row],[Tot Tow]],-1,0)-TblConstr[[#This Row],[Dest Tow]]</f>
        <v>0</v>
      </c>
      <c r="BM37" s="400" cm="1">
        <f t="array" aca="1" ref="BM37" ca="1">IF(TblConstr[[#This Row],[Hour]:[Hour]]&gt;12,OFFSET(TblConstr[[#This Row],[Tem]],-12,0),0)+OFFSET(TblConstr[[#This Row],[Tot Tem]],-1,0)-TblConstr[[#This Row],[Dest Tem]]</f>
        <v>0</v>
      </c>
      <c r="BN37" s="400" cm="1">
        <f t="array" aca="1" ref="BN37" ca="1">IF(TblConstr[[#This Row],[Hour]:[Hour]]&gt;12,OFFSET(TblConstr[[#This Row],[WG]],-12,0),0)+OFFSET(TblConstr[[#This Row],[Tot WG]],-1,0)-TblConstr[[#This Row],[Dest WG]]</f>
        <v>0</v>
      </c>
      <c r="BO37" s="199" cm="1">
        <f t="array" aca="1" ref="BO37" ca="1">IF(TblConstr[[#This Row],[Hour]:[Hour]]&gt;12,OFFSET(TblConstr[[#This Row],[DM]],-12,0),0)+OFFSET(TblConstr[[#This Row],[Tot DM]],-1,0)-TblConstr[[#This Row],[Dest DM]]</f>
        <v>0</v>
      </c>
      <c r="BP37" s="199" cm="1">
        <f t="array" aca="1" ref="BP37" ca="1">IF(TblConstr[[#This Row],[Hour]:[Hour]]&gt;12,OFFSET(TblConstr[[#This Row],[Sch]],-12,0),0)+OFFSET(TblConstr[[#This Row],[Tot Sch]],-1,0)-TblConstr[[#This Row],[Dest Sch]]</f>
        <v>0</v>
      </c>
      <c r="BQ37" s="200" cm="1">
        <f t="array" aca="1" ref="BQ37" ca="1">IF(TblConstr[[#This Row],[Hour]:[Hour]]&gt;12,OFFSET(TblConstr[[#This Row],[Doc]],-12,0),0)+OFFSET(TblConstr[[#This Row],[Tot Doc]],-1,0)-TblConstr[[#This Row],[Dest Doc]]</f>
        <v>0</v>
      </c>
      <c r="BR37" s="150"/>
      <c r="BS37" s="162"/>
      <c r="BT37" s="97">
        <f ca="1">TblConstr[[#This Row],[Land]]</f>
        <v>250</v>
      </c>
      <c r="BU37" s="167">
        <f ca="1">TblImps[[#This Row],[Time]]</f>
        <v>44812.12499999992</v>
      </c>
      <c r="BV37" s="150"/>
      <c r="BW37" s="187"/>
      <c r="BX37" s="187"/>
      <c r="BY37" s="187"/>
      <c r="BZ37" s="187"/>
      <c r="CA37" s="187"/>
      <c r="CB37" s="187"/>
      <c r="CC37" s="187"/>
      <c r="CD37" s="187"/>
      <c r="CE37" s="187"/>
      <c r="CF37" s="187"/>
      <c r="CG37" s="187"/>
      <c r="CH37" s="187"/>
      <c r="CI37" s="187"/>
      <c r="CJ37" s="187"/>
      <c r="CK37" s="187"/>
      <c r="CL37" s="187"/>
      <c r="CM37" s="187"/>
      <c r="CN37" s="187"/>
      <c r="CO37" s="187"/>
      <c r="CP37" s="150"/>
      <c r="CQ37" s="189">
        <f ca="1">-SUM(TblConstr[[#This Row],[Alc]:[Mas]])+SUM(TblConstr[[#This Row],[Dest Alc]:[Dest Mas]])+Rezone!L37+IF("Ch_"&amp; home_land=TblConstr[[#Headers],[Ch_Plain]],TblConstr[[#This Row],[Home Land]])+IF(TblConstr[[#This Row],[Hour]:[Hour]]&gt;12,OFFSET(TblExplore[[#This Row],[Plains Explore]],-12,0),0)</f>
        <v>0</v>
      </c>
      <c r="CR37" s="190">
        <f ca="1">-SUM(TblConstr[[#This Row],[Ly]:[Hav]])+SUM(TblConstr[[#This Row],[Dest Ly]:[Dest Hav]]) +Rezone!M37 + IF("Ch_"&amp; home_land=TblConstr[[#Headers],[Ch_Forest]],TblConstr[[#This Row],[Home Land]])+IF(TblConstr[[#This Row],[Hour]:[Hour]]&gt;12,OFFSET(TblExplore[[#This Row],[Forest Explore]],-12,0),0)</f>
        <v>0</v>
      </c>
      <c r="CS37" s="390">
        <f ca="1">-SUM(TblConstr[[#This Row],[OM]:[GN]])+SUM(TblConstr[[#This Row],[Dest OM]:[Dest GN]]) +Rezone!N37 + IF("Ch_"&amp; home_land=TblConstr[[#Headers],[Ch_Mountain]],TblConstr[[#This Row],[Home Land]])+IF(TblConstr[[#This Row],[Hour]:[Hour]]&gt;12,OFFSET(TblExplore[[#This Row],[Mountain Explore]],-12,0),0)</f>
        <v>0</v>
      </c>
      <c r="CT37" s="191">
        <f ca="1">-SUM(TblConstr[[#This Row],[Fac]:[Shr]])+SUM(TblConstr[[#This Row],[Dest Fac]:[Dest Shr]]) +Rezone!O37 + IF("Ch_" &amp; home_land=TblConstr[[#Headers],[Ch_Hill]],TblConstr[[#This Row],[Home Land]])+IF(TblConstr[[#This Row],[Hour]:[Hour]]&gt;12,OFFSET(TblExplore[[#This Row],[Hill Explore]],-12,0),0)</f>
        <v>0</v>
      </c>
      <c r="CU37" s="192">
        <f ca="1">-SUM(TblConstr[[#This Row],[Tow]:[WG]])+SUM(TblConstr[[#This Row],[Dest Tow]:[Dest WG]]) +Rezone!P37 + IF("Ch_" &amp; home_land=TblConstr[[#Headers],[Ch_Swamp]],TblConstr[[#This Row],[Home Land]])+IF(TblConstr[[#This Row],[Hour]:[Hour]]&gt;12,OFFSET(TblExplore[[#This Row],[Swamp Explore]],-12,0),0)</f>
        <v>0</v>
      </c>
      <c r="CV37" s="193">
        <f ca="1" xml:space="preserve"> - SUM(TblConstr[[#This Row],[DM]:[Sch]])+SUM(TblConstr[[#This Row],[Dest DM]:[Dest Sch]]) +Rezone!Q37 + IF("Ch_" &amp; home_land=TblConstr[[#Headers],[Ch_Cavern]],TblConstr[[#This Row],[Home Land]])+IF(TblConstr[[#This Row],[Hour]:[Hour]]&gt;12,OFFSET(TblExplore[[#This Row],[Cavern Explore]],-12,0),0)</f>
        <v>0</v>
      </c>
      <c r="CW37" s="194">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50"/>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83">
        <f>TblRezone[[#This Row],[Hour]]</f>
        <v>35</v>
      </c>
      <c r="B38" s="184">
        <f ca="1">SUM(TblConstr[[#This Row],[Plain]:[Water]])</f>
        <v>160</v>
      </c>
      <c r="C38" s="185">
        <f ca="1">SUM(TblConstr[[#This Row],[Tot Hom]:[Tot Doc]])</f>
        <v>90</v>
      </c>
      <c r="D38" s="185">
        <f t="shared" si="2"/>
        <v>0</v>
      </c>
      <c r="E38" s="186"/>
      <c r="F38" s="62">
        <f ca="1">TblConstr[[#This Row],[Barren]]+TblConstr[[#This Row],[Buildings]]+TblConstr[[#This Row],[Incoming]]</f>
        <v>250</v>
      </c>
      <c r="G38" s="195">
        <f ca="1">OFFSET(TblConstr[[#This Row],[Plain]],-1,0)+TblConstr[[#This Row],[Ch_Plain]]</f>
        <v>40</v>
      </c>
      <c r="H38" s="190">
        <f ca="1">OFFSET(TblConstr[[#This Row],[Forest]],-1,0)+TblConstr[[#This Row],[Ch_Forest]]</f>
        <v>20</v>
      </c>
      <c r="I38" s="390">
        <f ca="1">OFFSET(TblConstr[[#This Row],[Mountain]],-1,0)+TblConstr[[#This Row],[Ch_Mountain]]</f>
        <v>20</v>
      </c>
      <c r="J38" s="394">
        <f ca="1">OFFSET(TblConstr[[#This Row],[Hill]],-1,0)+TblConstr[[#This Row],[Ch_Hill]]</f>
        <v>20</v>
      </c>
      <c r="K38" s="398">
        <f ca="1">OFFSET(TblConstr[[#This Row],[Swamp]],-1,0)+TblConstr[[#This Row],[Ch_Swamp]]</f>
        <v>20</v>
      </c>
      <c r="L38" s="193">
        <f ca="1">OFFSET(TblConstr[[#This Row],[Cavern]],-1,0)+TblConstr[[#This Row],[Ch_Cavern]]</f>
        <v>20</v>
      </c>
      <c r="M38" s="194">
        <f ca="1">OFFSET(TblConstr[[#This Row],[Water]],-1,0)+TblConstr[[#This Row],[Ch_Water]]</f>
        <v>20</v>
      </c>
      <c r="N38" s="388">
        <f>TblRezone[[#This Row],[Hour]]</f>
        <v>35</v>
      </c>
      <c r="O38" s="187"/>
      <c r="P38" s="166"/>
      <c r="Q38" s="187"/>
      <c r="R38" s="187"/>
      <c r="S38" s="187"/>
      <c r="T38" s="187"/>
      <c r="U38" s="187"/>
      <c r="V38" s="187"/>
      <c r="W38" s="187"/>
      <c r="X38" s="187"/>
      <c r="Y38" s="187"/>
      <c r="Z38" s="187"/>
      <c r="AA38" s="187"/>
      <c r="AB38" s="187"/>
      <c r="AC38" s="187"/>
      <c r="AD38" s="187"/>
      <c r="AE38" s="187"/>
      <c r="AF38" s="166"/>
      <c r="AG38" s="187"/>
      <c r="AH38" s="53">
        <f ca="1">TblImps[[#This Row],[Time]]</f>
        <v>44812.166666666584</v>
      </c>
      <c r="AI38" s="188">
        <f ca="1">MIN(25%,(TblConstr[[#This Row],[Tot Fac]]+TblConstr[[#This Row],[Dest Fac]])/(TblConstr[[#This Row],[Land]]-TblExplore[[#This Row],[Land Bonus]]*20))</f>
        <v>0</v>
      </c>
      <c r="AJ38" s="188">
        <f ca="1">MIN(25%,(TblConstr[[#This Row],[Tot Fac]]+TblConstr[[#This Row],[Dest Fac]])/TblConstr[[#This Row],[Land]])</f>
        <v>0</v>
      </c>
      <c r="AK38" s="97">
        <f ca="1">TblProd[[#This Row],[Platinum]]</f>
        <v>287402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50"/>
      <c r="AV38" s="97">
        <f ca="1">ROUND((TblConstr[[#This Row],[Land]]-250 - IF(TblExplore[[#This Row],[Land Bonus]]&lt;&gt;0,20,0))*1.25 + 850 + 0,0)</f>
        <v>850</v>
      </c>
      <c r="AW38" s="97">
        <f ca="1">ROUND((TblConstr[[#This Row],[Land]]-250 - IF(TblExplore[[#This Row],[Land Bonus]]&lt;&gt;0,20,0))*0.285 + 87.5 + 0/4.25,0)</f>
        <v>88</v>
      </c>
      <c r="AX38" s="162"/>
      <c r="AY38" s="196" cm="1">
        <f t="array" aca="1" ref="AY38" ca="1">IF(TblConstr[[#This Row],[Hour]:[Hour]]&gt;12,OFFSET(TblConstr[[#This Row],[Hom]],-12,0),0)+OFFSET(TblConstr[[#This Row],[Tot Hom]],-1,0)-TblConstr[[#This Row],[Dest Hom]]</f>
        <v>10</v>
      </c>
      <c r="AZ38" s="197" cm="1">
        <f t="array" aca="1" ref="AZ38" ca="1">IF(TblConstr[[#This Row],[Hour]:[Hour]]&gt;12,OFFSET(TblConstr[[#This Row],[Alc]],-12,0),0)+OFFSET(TblConstr[[#This Row],[Tot Alc]],-1,0)-TblConstr[[#This Row],[Dest Alc]]</f>
        <v>30</v>
      </c>
      <c r="BA38" s="197" cm="1">
        <f t="array" aca="1" ref="BA38" ca="1">IF(TblConstr[[#This Row],[Hour]:[Hour]]&gt;12,OFFSET(TblConstr[[#This Row],[Far]],-12,0),0)+OFFSET(TblConstr[[#This Row],[Tot Farm]],-1,0)-TblConstr[[#This Row],[Dest Farm]]</f>
        <v>30</v>
      </c>
      <c r="BB38" s="197" cm="1">
        <f t="array" aca="1" ref="BB38" ca="1">IF(TblConstr[[#This Row],[Hour]:[Hour]]&gt;12,OFFSET(TblConstr[[#This Row],[Smi]],-12,0),0)+OFFSET(TblConstr[[#This Row],[Tot Smi]],-1,0)-TblConstr[[#This Row],[Dest Smi]]</f>
        <v>0</v>
      </c>
      <c r="BC38" s="197" cm="1">
        <f t="array" aca="1" ref="BC38" ca="1">IF(TblConstr[[#This Row],[Hour]:[Hour]]&gt;12,OFFSET(TblConstr[[#This Row],[Mas]],-12,0),0)+OFFSET(TblConstr[[#This Row],[Tot Mas]],-1,0)-TblConstr[[#This Row],[Dest Mas]]</f>
        <v>0</v>
      </c>
      <c r="BD38" s="198" cm="1">
        <f t="array" aca="1" ref="BD38" ca="1">IF(TblConstr[[#This Row],[Hour]:[Hour]]&gt;12,OFFSET(TblConstr[[#This Row],[Ly]],-12,0),0)+OFFSET(TblConstr[[#This Row],[Tot Ly]],-1,0)-TblConstr[[#This Row],[Dest Ly]]</f>
        <v>20</v>
      </c>
      <c r="BE38" s="198" cm="1">
        <f t="array" aca="1" ref="BE38" ca="1">IF(TblConstr[[#This Row],[Hour]:[Hour]]&gt;12,OFFSET(TblConstr[[#This Row],[Hav]],-12,0),0)+OFFSET(TblConstr[[#This Row],[Tot Hav]],-1,0)-TblConstr[[#This Row],[Dest Hav]]</f>
        <v>0</v>
      </c>
      <c r="BF38" s="392" cm="1">
        <f t="array" aca="1" ref="BF38" ca="1">IF(TblConstr[[#This Row],[Hour]:[Hour]]&gt;12,OFFSET(TblConstr[[#This Row],[OM]],-12,0),0)+OFFSET(TblConstr[[#This Row],[Tot OM]],-1,0)-TblConstr[[#This Row],[Dest OM]]</f>
        <v>0</v>
      </c>
      <c r="BG38" s="392" cm="1">
        <f t="array" aca="1" ref="BG38" ca="1">IF(TblConstr[[#This Row],[Hour]:[Hour]]&gt;12,OFFSET(TblConstr[[#This Row],[GN]],-12,0),0)+OFFSET(TblConstr[[#This Row],[Tot GN]],-1,0)-TblConstr[[#This Row],[Dest GN]]</f>
        <v>0</v>
      </c>
      <c r="BH38" s="396" cm="1">
        <f t="array" aca="1" ref="BH38" ca="1">IF(TblConstr[[#This Row],[Hour]:[Hour]]&gt;12,OFFSET(TblConstr[[#This Row],[Fac]],-12,0),0)+OFFSET(TblConstr[[#This Row],[Tot Fac]],-1,0)-TblConstr[[#This Row],[Dest Fac]]</f>
        <v>0</v>
      </c>
      <c r="BI38" s="396" cm="1">
        <f t="array" aca="1" ref="BI38" ca="1">IF(TblConstr[[#This Row],[Hour]:[Hour]]&gt;12,OFFSET(TblConstr[[#This Row],[GT]],-12,0),0)+OFFSET(TblConstr[[#This Row],[Tot GT]],-1,0)-TblConstr[[#This Row],[Dest GT]]</f>
        <v>0</v>
      </c>
      <c r="BJ38" s="396" cm="1">
        <f t="array" aca="1" ref="BJ38" ca="1">IF(TblConstr[[#This Row],[Hour]:[Hour]]&gt;12,OFFSET(TblConstr[[#This Row],[Bar]],-12,0),0)+OFFSET(TblConstr[[#This Row],[Tot Bar]],-1,0)-TblConstr[[#This Row],[Dest Bar]]</f>
        <v>0</v>
      </c>
      <c r="BK38" s="396" cm="1">
        <f t="array" aca="1" ref="BK38" ca="1">IF(TblConstr[[#This Row],[Hour]:[Hour]]&gt;12,OFFSET(TblConstr[[#This Row],[Shr]],-12,0),0)+OFFSET(TblConstr[[#This Row],[Tot Shr]],-1,0)-TblConstr[[#This Row],[Dest Shr]]</f>
        <v>0</v>
      </c>
      <c r="BL38" s="400" cm="1">
        <f t="array" aca="1" ref="BL38" ca="1">IF(TblConstr[[#This Row],[Hour]:[Hour]]&gt;12,OFFSET(TblConstr[[#This Row],[Tow]],-12,0),0)+OFFSET(TblConstr[[#This Row],[Tot Tow]],-1,0)-TblConstr[[#This Row],[Dest Tow]]</f>
        <v>0</v>
      </c>
      <c r="BM38" s="400" cm="1">
        <f t="array" aca="1" ref="BM38" ca="1">IF(TblConstr[[#This Row],[Hour]:[Hour]]&gt;12,OFFSET(TblConstr[[#This Row],[Tem]],-12,0),0)+OFFSET(TblConstr[[#This Row],[Tot Tem]],-1,0)-TblConstr[[#This Row],[Dest Tem]]</f>
        <v>0</v>
      </c>
      <c r="BN38" s="400" cm="1">
        <f t="array" aca="1" ref="BN38" ca="1">IF(TblConstr[[#This Row],[Hour]:[Hour]]&gt;12,OFFSET(TblConstr[[#This Row],[WG]],-12,0),0)+OFFSET(TblConstr[[#This Row],[Tot WG]],-1,0)-TblConstr[[#This Row],[Dest WG]]</f>
        <v>0</v>
      </c>
      <c r="BO38" s="199" cm="1">
        <f t="array" aca="1" ref="BO38" ca="1">IF(TblConstr[[#This Row],[Hour]:[Hour]]&gt;12,OFFSET(TblConstr[[#This Row],[DM]],-12,0),0)+OFFSET(TblConstr[[#This Row],[Tot DM]],-1,0)-TblConstr[[#This Row],[Dest DM]]</f>
        <v>0</v>
      </c>
      <c r="BP38" s="199" cm="1">
        <f t="array" aca="1" ref="BP38" ca="1">IF(TblConstr[[#This Row],[Hour]:[Hour]]&gt;12,OFFSET(TblConstr[[#This Row],[Sch]],-12,0),0)+OFFSET(TblConstr[[#This Row],[Tot Sch]],-1,0)-TblConstr[[#This Row],[Dest Sch]]</f>
        <v>0</v>
      </c>
      <c r="BQ38" s="200" cm="1">
        <f t="array" aca="1" ref="BQ38" ca="1">IF(TblConstr[[#This Row],[Hour]:[Hour]]&gt;12,OFFSET(TblConstr[[#This Row],[Doc]],-12,0),0)+OFFSET(TblConstr[[#This Row],[Tot Doc]],-1,0)-TblConstr[[#This Row],[Dest Doc]]</f>
        <v>0</v>
      </c>
      <c r="BR38" s="150"/>
      <c r="BS38" s="162"/>
      <c r="BT38" s="97">
        <f ca="1">TblConstr[[#This Row],[Land]]</f>
        <v>250</v>
      </c>
      <c r="BU38" s="167">
        <f ca="1">TblImps[[#This Row],[Time]]</f>
        <v>44812.166666666584</v>
      </c>
      <c r="BV38" s="150"/>
      <c r="BW38" s="187"/>
      <c r="BX38" s="187"/>
      <c r="BY38" s="187"/>
      <c r="BZ38" s="187"/>
      <c r="CA38" s="187"/>
      <c r="CB38" s="187"/>
      <c r="CC38" s="187"/>
      <c r="CD38" s="187"/>
      <c r="CE38" s="187"/>
      <c r="CF38" s="187"/>
      <c r="CG38" s="187"/>
      <c r="CH38" s="187"/>
      <c r="CI38" s="187"/>
      <c r="CJ38" s="187"/>
      <c r="CK38" s="187"/>
      <c r="CL38" s="187"/>
      <c r="CM38" s="187"/>
      <c r="CN38" s="187"/>
      <c r="CO38" s="187"/>
      <c r="CP38" s="150"/>
      <c r="CQ38" s="189">
        <f ca="1">-SUM(TblConstr[[#This Row],[Alc]:[Mas]])+SUM(TblConstr[[#This Row],[Dest Alc]:[Dest Mas]])+Rezone!L38+IF("Ch_"&amp; home_land=TblConstr[[#Headers],[Ch_Plain]],TblConstr[[#This Row],[Home Land]])+IF(TblConstr[[#This Row],[Hour]:[Hour]]&gt;12,OFFSET(TblExplore[[#This Row],[Plains Explore]],-12,0),0)</f>
        <v>0</v>
      </c>
      <c r="CR38" s="190">
        <f ca="1">-SUM(TblConstr[[#This Row],[Ly]:[Hav]])+SUM(TblConstr[[#This Row],[Dest Ly]:[Dest Hav]]) +Rezone!M38 + IF("Ch_"&amp; home_land=TblConstr[[#Headers],[Ch_Forest]],TblConstr[[#This Row],[Home Land]])+IF(TblConstr[[#This Row],[Hour]:[Hour]]&gt;12,OFFSET(TblExplore[[#This Row],[Forest Explore]],-12,0),0)</f>
        <v>0</v>
      </c>
      <c r="CS38" s="390">
        <f ca="1">-SUM(TblConstr[[#This Row],[OM]:[GN]])+SUM(TblConstr[[#This Row],[Dest OM]:[Dest GN]]) +Rezone!N38 + IF("Ch_"&amp; home_land=TblConstr[[#Headers],[Ch_Mountain]],TblConstr[[#This Row],[Home Land]])+IF(TblConstr[[#This Row],[Hour]:[Hour]]&gt;12,OFFSET(TblExplore[[#This Row],[Mountain Explore]],-12,0),0)</f>
        <v>0</v>
      </c>
      <c r="CT38" s="191">
        <f ca="1">-SUM(TblConstr[[#This Row],[Fac]:[Shr]])+SUM(TblConstr[[#This Row],[Dest Fac]:[Dest Shr]]) +Rezone!O38 + IF("Ch_" &amp; home_land=TblConstr[[#Headers],[Ch_Hill]],TblConstr[[#This Row],[Home Land]])+IF(TblConstr[[#This Row],[Hour]:[Hour]]&gt;12,OFFSET(TblExplore[[#This Row],[Hill Explore]],-12,0),0)</f>
        <v>0</v>
      </c>
      <c r="CU38" s="192">
        <f ca="1">-SUM(TblConstr[[#This Row],[Tow]:[WG]])+SUM(TblConstr[[#This Row],[Dest Tow]:[Dest WG]]) +Rezone!P38 + IF("Ch_" &amp; home_land=TblConstr[[#Headers],[Ch_Swamp]],TblConstr[[#This Row],[Home Land]])+IF(TblConstr[[#This Row],[Hour]:[Hour]]&gt;12,OFFSET(TblExplore[[#This Row],[Swamp Explore]],-12,0),0)</f>
        <v>0</v>
      </c>
      <c r="CV38" s="193">
        <f ca="1" xml:space="preserve"> - SUM(TblConstr[[#This Row],[DM]:[Sch]])+SUM(TblConstr[[#This Row],[Dest DM]:[Dest Sch]]) +Rezone!Q38 + IF("Ch_" &amp; home_land=TblConstr[[#Headers],[Ch_Cavern]],TblConstr[[#This Row],[Home Land]])+IF(TblConstr[[#This Row],[Hour]:[Hour]]&gt;12,OFFSET(TblExplore[[#This Row],[Cavern Explore]],-12,0),0)</f>
        <v>0</v>
      </c>
      <c r="CW38" s="194">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50"/>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83">
        <f>TblRezone[[#This Row],[Hour]]</f>
        <v>36</v>
      </c>
      <c r="B39" s="184">
        <f ca="1">SUM(TblConstr[[#This Row],[Plain]:[Water]])</f>
        <v>160</v>
      </c>
      <c r="C39" s="185">
        <f ca="1">SUM(TblConstr[[#This Row],[Tot Hom]:[Tot Doc]])</f>
        <v>90</v>
      </c>
      <c r="D39" s="185">
        <f t="shared" si="2"/>
        <v>0</v>
      </c>
      <c r="E39" s="186"/>
      <c r="F39" s="62">
        <f ca="1">TblConstr[[#This Row],[Barren]]+TblConstr[[#This Row],[Buildings]]+TblConstr[[#This Row],[Incoming]]</f>
        <v>250</v>
      </c>
      <c r="G39" s="195">
        <f ca="1">OFFSET(TblConstr[[#This Row],[Plain]],-1,0)+TblConstr[[#This Row],[Ch_Plain]]</f>
        <v>40</v>
      </c>
      <c r="H39" s="190">
        <f ca="1">OFFSET(TblConstr[[#This Row],[Forest]],-1,0)+TblConstr[[#This Row],[Ch_Forest]]</f>
        <v>20</v>
      </c>
      <c r="I39" s="390">
        <f ca="1">OFFSET(TblConstr[[#This Row],[Mountain]],-1,0)+TblConstr[[#This Row],[Ch_Mountain]]</f>
        <v>20</v>
      </c>
      <c r="J39" s="394">
        <f ca="1">OFFSET(TblConstr[[#This Row],[Hill]],-1,0)+TblConstr[[#This Row],[Ch_Hill]]</f>
        <v>20</v>
      </c>
      <c r="K39" s="398">
        <f ca="1">OFFSET(TblConstr[[#This Row],[Swamp]],-1,0)+TblConstr[[#This Row],[Ch_Swamp]]</f>
        <v>20</v>
      </c>
      <c r="L39" s="193">
        <f ca="1">OFFSET(TblConstr[[#This Row],[Cavern]],-1,0)+TblConstr[[#This Row],[Ch_Cavern]]</f>
        <v>20</v>
      </c>
      <c r="M39" s="194">
        <f ca="1">OFFSET(TblConstr[[#This Row],[Water]],-1,0)+TblConstr[[#This Row],[Ch_Water]]</f>
        <v>20</v>
      </c>
      <c r="N39" s="388">
        <f>TblRezone[[#This Row],[Hour]]</f>
        <v>36</v>
      </c>
      <c r="O39" s="187"/>
      <c r="P39" s="166"/>
      <c r="Q39" s="187"/>
      <c r="R39" s="187"/>
      <c r="S39" s="187"/>
      <c r="T39" s="187"/>
      <c r="U39" s="187"/>
      <c r="V39" s="187"/>
      <c r="W39" s="187"/>
      <c r="X39" s="187"/>
      <c r="Y39" s="187"/>
      <c r="Z39" s="187"/>
      <c r="AA39" s="187"/>
      <c r="AB39" s="187"/>
      <c r="AC39" s="187"/>
      <c r="AD39" s="187"/>
      <c r="AE39" s="187"/>
      <c r="AF39" s="187"/>
      <c r="AG39" s="187"/>
      <c r="AH39" s="53">
        <f ca="1">TblImps[[#This Row],[Time]]</f>
        <v>44812.208333333248</v>
      </c>
      <c r="AI39" s="188">
        <f ca="1">MIN(25%,(TblConstr[[#This Row],[Tot Fac]]+TblConstr[[#This Row],[Dest Fac]])/(TblConstr[[#This Row],[Land]]-TblExplore[[#This Row],[Land Bonus]]*20))</f>
        <v>0</v>
      </c>
      <c r="AJ39" s="188">
        <f ca="1">MIN(25%,(TblConstr[[#This Row],[Tot Fac]]+TblConstr[[#This Row],[Dest Fac]])/TblConstr[[#This Row],[Land]])</f>
        <v>0</v>
      </c>
      <c r="AK39" s="97">
        <f ca="1">TblProd[[#This Row],[Platinum]]</f>
        <v>292888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50"/>
      <c r="AV39" s="97">
        <f ca="1">ROUND((TblConstr[[#This Row],[Land]]-250 - IF(TblExplore[[#This Row],[Land Bonus]]&lt;&gt;0,20,0))*1.25 + 850 + 0,0)</f>
        <v>850</v>
      </c>
      <c r="AW39" s="97">
        <f ca="1">ROUND((TblConstr[[#This Row],[Land]]-250 - IF(TblExplore[[#This Row],[Land Bonus]]&lt;&gt;0,20,0))*0.285 + 87.5 + 0/4.25,0)</f>
        <v>88</v>
      </c>
      <c r="AX39" s="162"/>
      <c r="AY39" s="196" cm="1">
        <f t="array" aca="1" ref="AY39" ca="1">IF(TblConstr[[#This Row],[Hour]:[Hour]]&gt;12,OFFSET(TblConstr[[#This Row],[Hom]],-12,0),0)+OFFSET(TblConstr[[#This Row],[Tot Hom]],-1,0)-TblConstr[[#This Row],[Dest Hom]]</f>
        <v>10</v>
      </c>
      <c r="AZ39" s="197" cm="1">
        <f t="array" aca="1" ref="AZ39" ca="1">IF(TblConstr[[#This Row],[Hour]:[Hour]]&gt;12,OFFSET(TblConstr[[#This Row],[Alc]],-12,0),0)+OFFSET(TblConstr[[#This Row],[Tot Alc]],-1,0)-TblConstr[[#This Row],[Dest Alc]]</f>
        <v>30</v>
      </c>
      <c r="BA39" s="197" cm="1">
        <f t="array" aca="1" ref="BA39" ca="1">IF(TblConstr[[#This Row],[Hour]:[Hour]]&gt;12,OFFSET(TblConstr[[#This Row],[Far]],-12,0),0)+OFFSET(TblConstr[[#This Row],[Tot Farm]],-1,0)-TblConstr[[#This Row],[Dest Farm]]</f>
        <v>30</v>
      </c>
      <c r="BB39" s="197" cm="1">
        <f t="array" aca="1" ref="BB39" ca="1">IF(TblConstr[[#This Row],[Hour]:[Hour]]&gt;12,OFFSET(TblConstr[[#This Row],[Smi]],-12,0),0)+OFFSET(TblConstr[[#This Row],[Tot Smi]],-1,0)-TblConstr[[#This Row],[Dest Smi]]</f>
        <v>0</v>
      </c>
      <c r="BC39" s="197" cm="1">
        <f t="array" aca="1" ref="BC39" ca="1">IF(TblConstr[[#This Row],[Hour]:[Hour]]&gt;12,OFFSET(TblConstr[[#This Row],[Mas]],-12,0),0)+OFFSET(TblConstr[[#This Row],[Tot Mas]],-1,0)-TblConstr[[#This Row],[Dest Mas]]</f>
        <v>0</v>
      </c>
      <c r="BD39" s="198" cm="1">
        <f t="array" aca="1" ref="BD39" ca="1">IF(TblConstr[[#This Row],[Hour]:[Hour]]&gt;12,OFFSET(TblConstr[[#This Row],[Ly]],-12,0),0)+OFFSET(TblConstr[[#This Row],[Tot Ly]],-1,0)-TblConstr[[#This Row],[Dest Ly]]</f>
        <v>20</v>
      </c>
      <c r="BE39" s="198" cm="1">
        <f t="array" aca="1" ref="BE39" ca="1">IF(TblConstr[[#This Row],[Hour]:[Hour]]&gt;12,OFFSET(TblConstr[[#This Row],[Hav]],-12,0),0)+OFFSET(TblConstr[[#This Row],[Tot Hav]],-1,0)-TblConstr[[#This Row],[Dest Hav]]</f>
        <v>0</v>
      </c>
      <c r="BF39" s="392" cm="1">
        <f t="array" aca="1" ref="BF39" ca="1">IF(TblConstr[[#This Row],[Hour]:[Hour]]&gt;12,OFFSET(TblConstr[[#This Row],[OM]],-12,0),0)+OFFSET(TblConstr[[#This Row],[Tot OM]],-1,0)-TblConstr[[#This Row],[Dest OM]]</f>
        <v>0</v>
      </c>
      <c r="BG39" s="392" cm="1">
        <f t="array" aca="1" ref="BG39" ca="1">IF(TblConstr[[#This Row],[Hour]:[Hour]]&gt;12,OFFSET(TblConstr[[#This Row],[GN]],-12,0),0)+OFFSET(TblConstr[[#This Row],[Tot GN]],-1,0)-TblConstr[[#This Row],[Dest GN]]</f>
        <v>0</v>
      </c>
      <c r="BH39" s="396" cm="1">
        <f t="array" aca="1" ref="BH39" ca="1">IF(TblConstr[[#This Row],[Hour]:[Hour]]&gt;12,OFFSET(TblConstr[[#This Row],[Fac]],-12,0),0)+OFFSET(TblConstr[[#This Row],[Tot Fac]],-1,0)-TblConstr[[#This Row],[Dest Fac]]</f>
        <v>0</v>
      </c>
      <c r="BI39" s="396" cm="1">
        <f t="array" aca="1" ref="BI39" ca="1">IF(TblConstr[[#This Row],[Hour]:[Hour]]&gt;12,OFFSET(TblConstr[[#This Row],[GT]],-12,0),0)+OFFSET(TblConstr[[#This Row],[Tot GT]],-1,0)-TblConstr[[#This Row],[Dest GT]]</f>
        <v>0</v>
      </c>
      <c r="BJ39" s="396" cm="1">
        <f t="array" aca="1" ref="BJ39" ca="1">IF(TblConstr[[#This Row],[Hour]:[Hour]]&gt;12,OFFSET(TblConstr[[#This Row],[Bar]],-12,0),0)+OFFSET(TblConstr[[#This Row],[Tot Bar]],-1,0)-TblConstr[[#This Row],[Dest Bar]]</f>
        <v>0</v>
      </c>
      <c r="BK39" s="396" cm="1">
        <f t="array" aca="1" ref="BK39" ca="1">IF(TblConstr[[#This Row],[Hour]:[Hour]]&gt;12,OFFSET(TblConstr[[#This Row],[Shr]],-12,0),0)+OFFSET(TblConstr[[#This Row],[Tot Shr]],-1,0)-TblConstr[[#This Row],[Dest Shr]]</f>
        <v>0</v>
      </c>
      <c r="BL39" s="400" cm="1">
        <f t="array" aca="1" ref="BL39" ca="1">IF(TblConstr[[#This Row],[Hour]:[Hour]]&gt;12,OFFSET(TblConstr[[#This Row],[Tow]],-12,0),0)+OFFSET(TblConstr[[#This Row],[Tot Tow]],-1,0)-TblConstr[[#This Row],[Dest Tow]]</f>
        <v>0</v>
      </c>
      <c r="BM39" s="400" cm="1">
        <f t="array" aca="1" ref="BM39" ca="1">IF(TblConstr[[#This Row],[Hour]:[Hour]]&gt;12,OFFSET(TblConstr[[#This Row],[Tem]],-12,0),0)+OFFSET(TblConstr[[#This Row],[Tot Tem]],-1,0)-TblConstr[[#This Row],[Dest Tem]]</f>
        <v>0</v>
      </c>
      <c r="BN39" s="400" cm="1">
        <f t="array" aca="1" ref="BN39" ca="1">IF(TblConstr[[#This Row],[Hour]:[Hour]]&gt;12,OFFSET(TblConstr[[#This Row],[WG]],-12,0),0)+OFFSET(TblConstr[[#This Row],[Tot WG]],-1,0)-TblConstr[[#This Row],[Dest WG]]</f>
        <v>0</v>
      </c>
      <c r="BO39" s="199" cm="1">
        <f t="array" aca="1" ref="BO39" ca="1">IF(TblConstr[[#This Row],[Hour]:[Hour]]&gt;12,OFFSET(TblConstr[[#This Row],[DM]],-12,0),0)+OFFSET(TblConstr[[#This Row],[Tot DM]],-1,0)-TblConstr[[#This Row],[Dest DM]]</f>
        <v>0</v>
      </c>
      <c r="BP39" s="199" cm="1">
        <f t="array" aca="1" ref="BP39" ca="1">IF(TblConstr[[#This Row],[Hour]:[Hour]]&gt;12,OFFSET(TblConstr[[#This Row],[Sch]],-12,0),0)+OFFSET(TblConstr[[#This Row],[Tot Sch]],-1,0)-TblConstr[[#This Row],[Dest Sch]]</f>
        <v>0</v>
      </c>
      <c r="BQ39" s="200" cm="1">
        <f t="array" aca="1" ref="BQ39" ca="1">IF(TblConstr[[#This Row],[Hour]:[Hour]]&gt;12,OFFSET(TblConstr[[#This Row],[Doc]],-12,0),0)+OFFSET(TblConstr[[#This Row],[Tot Doc]],-1,0)-TblConstr[[#This Row],[Dest Doc]]</f>
        <v>0</v>
      </c>
      <c r="BR39" s="150"/>
      <c r="BS39" s="162"/>
      <c r="BT39" s="97">
        <f ca="1">TblConstr[[#This Row],[Land]]</f>
        <v>250</v>
      </c>
      <c r="BU39" s="167">
        <f ca="1">TblImps[[#This Row],[Time]]</f>
        <v>44812.208333333248</v>
      </c>
      <c r="BV39" s="150"/>
      <c r="BW39" s="187"/>
      <c r="BX39" s="187"/>
      <c r="BY39" s="187"/>
      <c r="BZ39" s="187"/>
      <c r="CA39" s="187"/>
      <c r="CB39" s="187"/>
      <c r="CC39" s="187"/>
      <c r="CD39" s="187"/>
      <c r="CE39" s="187"/>
      <c r="CF39" s="187"/>
      <c r="CG39" s="187"/>
      <c r="CH39" s="187"/>
      <c r="CI39" s="187"/>
      <c r="CJ39" s="187"/>
      <c r="CK39" s="187"/>
      <c r="CL39" s="187"/>
      <c r="CM39" s="187"/>
      <c r="CN39" s="187"/>
      <c r="CO39" s="187"/>
      <c r="CP39" s="150"/>
      <c r="CQ39" s="189">
        <f ca="1">-SUM(TblConstr[[#This Row],[Alc]:[Mas]])+SUM(TblConstr[[#This Row],[Dest Alc]:[Dest Mas]])+Rezone!L39+IF("Ch_"&amp; home_land=TblConstr[[#Headers],[Ch_Plain]],TblConstr[[#This Row],[Home Land]])+IF(TblConstr[[#This Row],[Hour]:[Hour]]&gt;12,OFFSET(TblExplore[[#This Row],[Plains Explore]],-12,0),0)</f>
        <v>0</v>
      </c>
      <c r="CR39" s="190">
        <f ca="1">-SUM(TblConstr[[#This Row],[Ly]:[Hav]])+SUM(TblConstr[[#This Row],[Dest Ly]:[Dest Hav]]) +Rezone!M39 + IF("Ch_"&amp; home_land=TblConstr[[#Headers],[Ch_Forest]],TblConstr[[#This Row],[Home Land]])+IF(TblConstr[[#This Row],[Hour]:[Hour]]&gt;12,OFFSET(TblExplore[[#This Row],[Forest Explore]],-12,0),0)</f>
        <v>0</v>
      </c>
      <c r="CS39" s="390">
        <f ca="1">-SUM(TblConstr[[#This Row],[OM]:[GN]])+SUM(TblConstr[[#This Row],[Dest OM]:[Dest GN]]) +Rezone!N39 + IF("Ch_"&amp; home_land=TblConstr[[#Headers],[Ch_Mountain]],TblConstr[[#This Row],[Home Land]])+IF(TblConstr[[#This Row],[Hour]:[Hour]]&gt;12,OFFSET(TblExplore[[#This Row],[Mountain Explore]],-12,0),0)</f>
        <v>0</v>
      </c>
      <c r="CT39" s="191">
        <f ca="1">-SUM(TblConstr[[#This Row],[Fac]:[Shr]])+SUM(TblConstr[[#This Row],[Dest Fac]:[Dest Shr]]) +Rezone!O39 + IF("Ch_" &amp; home_land=TblConstr[[#Headers],[Ch_Hill]],TblConstr[[#This Row],[Home Land]])+IF(TblConstr[[#This Row],[Hour]:[Hour]]&gt;12,OFFSET(TblExplore[[#This Row],[Hill Explore]],-12,0),0)</f>
        <v>0</v>
      </c>
      <c r="CU39" s="192">
        <f ca="1">-SUM(TblConstr[[#This Row],[Tow]:[WG]])+SUM(TblConstr[[#This Row],[Dest Tow]:[Dest WG]]) +Rezone!P39 + IF("Ch_" &amp; home_land=TblConstr[[#Headers],[Ch_Swamp]],TblConstr[[#This Row],[Home Land]])+IF(TblConstr[[#This Row],[Hour]:[Hour]]&gt;12,OFFSET(TblExplore[[#This Row],[Swamp Explore]],-12,0),0)</f>
        <v>0</v>
      </c>
      <c r="CV39" s="193">
        <f ca="1" xml:space="preserve"> - SUM(TblConstr[[#This Row],[DM]:[Sch]])+SUM(TblConstr[[#This Row],[Dest DM]:[Dest Sch]]) +Rezone!Q39 + IF("Ch_" &amp; home_land=TblConstr[[#Headers],[Ch_Cavern]],TblConstr[[#This Row],[Home Land]])+IF(TblConstr[[#This Row],[Hour]:[Hour]]&gt;12,OFFSET(TblExplore[[#This Row],[Cavern Explore]],-12,0),0)</f>
        <v>0</v>
      </c>
      <c r="CW39" s="194">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50"/>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83">
        <f>TblRezone[[#This Row],[Hour]]</f>
        <v>37</v>
      </c>
      <c r="B40" s="184">
        <f ca="1">SUM(TblConstr[[#This Row],[Plain]:[Water]])</f>
        <v>160</v>
      </c>
      <c r="C40" s="185">
        <f ca="1">SUM(TblConstr[[#This Row],[Tot Hom]:[Tot Doc]])</f>
        <v>90</v>
      </c>
      <c r="D40" s="185">
        <f t="shared" si="2"/>
        <v>0</v>
      </c>
      <c r="E40" s="186"/>
      <c r="F40" s="62">
        <f ca="1">TblConstr[[#This Row],[Barren]]+TblConstr[[#This Row],[Buildings]]+TblConstr[[#This Row],[Incoming]]</f>
        <v>250</v>
      </c>
      <c r="G40" s="195">
        <f ca="1">OFFSET(TblConstr[[#This Row],[Plain]],-1,0)+TblConstr[[#This Row],[Ch_Plain]]</f>
        <v>40</v>
      </c>
      <c r="H40" s="190">
        <f ca="1">OFFSET(TblConstr[[#This Row],[Forest]],-1,0)+TblConstr[[#This Row],[Ch_Forest]]</f>
        <v>20</v>
      </c>
      <c r="I40" s="390">
        <f ca="1">OFFSET(TblConstr[[#This Row],[Mountain]],-1,0)+TblConstr[[#This Row],[Ch_Mountain]]</f>
        <v>20</v>
      </c>
      <c r="J40" s="394">
        <f ca="1">OFFSET(TblConstr[[#This Row],[Hill]],-1,0)+TblConstr[[#This Row],[Ch_Hill]]</f>
        <v>20</v>
      </c>
      <c r="K40" s="398">
        <f ca="1">OFFSET(TblConstr[[#This Row],[Swamp]],-1,0)+TblConstr[[#This Row],[Ch_Swamp]]</f>
        <v>20</v>
      </c>
      <c r="L40" s="193">
        <f ca="1">OFFSET(TblConstr[[#This Row],[Cavern]],-1,0)+TblConstr[[#This Row],[Ch_Cavern]]</f>
        <v>20</v>
      </c>
      <c r="M40" s="194">
        <f ca="1">OFFSET(TblConstr[[#This Row],[Water]],-1,0)+TblConstr[[#This Row],[Ch_Water]]</f>
        <v>20</v>
      </c>
      <c r="N40" s="388">
        <f>TblRezone[[#This Row],[Hour]]</f>
        <v>37</v>
      </c>
      <c r="O40" s="187"/>
      <c r="P40" s="187"/>
      <c r="Q40" s="187"/>
      <c r="R40" s="187"/>
      <c r="S40" s="187"/>
      <c r="T40" s="187"/>
      <c r="U40" s="187"/>
      <c r="V40" s="187"/>
      <c r="W40" s="187"/>
      <c r="X40" s="187"/>
      <c r="Y40" s="187"/>
      <c r="Z40" s="187"/>
      <c r="AA40" s="187"/>
      <c r="AB40" s="187"/>
      <c r="AC40" s="187"/>
      <c r="AD40" s="187"/>
      <c r="AE40" s="187"/>
      <c r="AF40" s="187"/>
      <c r="AG40" s="187"/>
      <c r="AH40" s="53">
        <f ca="1">TblImps[[#This Row],[Time]]</f>
        <v>44812.249999999913</v>
      </c>
      <c r="AI40" s="188">
        <f ca="1">MIN(25%,(TblConstr[[#This Row],[Tot Fac]]+TblConstr[[#This Row],[Dest Fac]])/(TblConstr[[#This Row],[Land]]-TblExplore[[#This Row],[Land Bonus]]*20))</f>
        <v>0</v>
      </c>
      <c r="AJ40" s="188">
        <f ca="1">MIN(25%,(TblConstr[[#This Row],[Tot Fac]]+TblConstr[[#This Row],[Dest Fac]])/TblConstr[[#This Row],[Land]])</f>
        <v>0</v>
      </c>
      <c r="AK40" s="97">
        <f ca="1">TblProd[[#This Row],[Platinum]]</f>
        <v>298374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50"/>
      <c r="AV40" s="97">
        <f ca="1">ROUND((TblConstr[[#This Row],[Land]]-250 - IF(TblExplore[[#This Row],[Land Bonus]]&lt;&gt;0,20,0))*1.25 + 850 + 0,0)</f>
        <v>850</v>
      </c>
      <c r="AW40" s="97">
        <f ca="1">ROUND((TblConstr[[#This Row],[Land]]-250 - IF(TblExplore[[#This Row],[Land Bonus]]&lt;&gt;0,20,0))*0.285 + 87.5 + 0/4.25,0)</f>
        <v>88</v>
      </c>
      <c r="AX40" s="162"/>
      <c r="AY40" s="196" cm="1">
        <f t="array" aca="1" ref="AY40" ca="1">IF(TblConstr[[#This Row],[Hour]:[Hour]]&gt;12,OFFSET(TblConstr[[#This Row],[Hom]],-12,0),0)+OFFSET(TblConstr[[#This Row],[Tot Hom]],-1,0)-TblConstr[[#This Row],[Dest Hom]]</f>
        <v>10</v>
      </c>
      <c r="AZ40" s="197" cm="1">
        <f t="array" aca="1" ref="AZ40" ca="1">IF(TblConstr[[#This Row],[Hour]:[Hour]]&gt;12,OFFSET(TblConstr[[#This Row],[Alc]],-12,0),0)+OFFSET(TblConstr[[#This Row],[Tot Alc]],-1,0)-TblConstr[[#This Row],[Dest Alc]]</f>
        <v>30</v>
      </c>
      <c r="BA40" s="197" cm="1">
        <f t="array" aca="1" ref="BA40" ca="1">IF(TblConstr[[#This Row],[Hour]:[Hour]]&gt;12,OFFSET(TblConstr[[#This Row],[Far]],-12,0),0)+OFFSET(TblConstr[[#This Row],[Tot Farm]],-1,0)-TblConstr[[#This Row],[Dest Farm]]</f>
        <v>30</v>
      </c>
      <c r="BB40" s="197" cm="1">
        <f t="array" aca="1" ref="BB40" ca="1">IF(TblConstr[[#This Row],[Hour]:[Hour]]&gt;12,OFFSET(TblConstr[[#This Row],[Smi]],-12,0),0)+OFFSET(TblConstr[[#This Row],[Tot Smi]],-1,0)-TblConstr[[#This Row],[Dest Smi]]</f>
        <v>0</v>
      </c>
      <c r="BC40" s="197" cm="1">
        <f t="array" aca="1" ref="BC40" ca="1">IF(TblConstr[[#This Row],[Hour]:[Hour]]&gt;12,OFFSET(TblConstr[[#This Row],[Mas]],-12,0),0)+OFFSET(TblConstr[[#This Row],[Tot Mas]],-1,0)-TblConstr[[#This Row],[Dest Mas]]</f>
        <v>0</v>
      </c>
      <c r="BD40" s="198" cm="1">
        <f t="array" aca="1" ref="BD40" ca="1">IF(TblConstr[[#This Row],[Hour]:[Hour]]&gt;12,OFFSET(TblConstr[[#This Row],[Ly]],-12,0),0)+OFFSET(TblConstr[[#This Row],[Tot Ly]],-1,0)-TblConstr[[#This Row],[Dest Ly]]</f>
        <v>20</v>
      </c>
      <c r="BE40" s="198" cm="1">
        <f t="array" aca="1" ref="BE40" ca="1">IF(TblConstr[[#This Row],[Hour]:[Hour]]&gt;12,OFFSET(TblConstr[[#This Row],[Hav]],-12,0),0)+OFFSET(TblConstr[[#This Row],[Tot Hav]],-1,0)-TblConstr[[#This Row],[Dest Hav]]</f>
        <v>0</v>
      </c>
      <c r="BF40" s="392" cm="1">
        <f t="array" aca="1" ref="BF40" ca="1">IF(TblConstr[[#This Row],[Hour]:[Hour]]&gt;12,OFFSET(TblConstr[[#This Row],[OM]],-12,0),0)+OFFSET(TblConstr[[#This Row],[Tot OM]],-1,0)-TblConstr[[#This Row],[Dest OM]]</f>
        <v>0</v>
      </c>
      <c r="BG40" s="392" cm="1">
        <f t="array" aca="1" ref="BG40" ca="1">IF(TblConstr[[#This Row],[Hour]:[Hour]]&gt;12,OFFSET(TblConstr[[#This Row],[GN]],-12,0),0)+OFFSET(TblConstr[[#This Row],[Tot GN]],-1,0)-TblConstr[[#This Row],[Dest GN]]</f>
        <v>0</v>
      </c>
      <c r="BH40" s="396" cm="1">
        <f t="array" aca="1" ref="BH40" ca="1">IF(TblConstr[[#This Row],[Hour]:[Hour]]&gt;12,OFFSET(TblConstr[[#This Row],[Fac]],-12,0),0)+OFFSET(TblConstr[[#This Row],[Tot Fac]],-1,0)-TblConstr[[#This Row],[Dest Fac]]</f>
        <v>0</v>
      </c>
      <c r="BI40" s="396" cm="1">
        <f t="array" aca="1" ref="BI40" ca="1">IF(TblConstr[[#This Row],[Hour]:[Hour]]&gt;12,OFFSET(TblConstr[[#This Row],[GT]],-12,0),0)+OFFSET(TblConstr[[#This Row],[Tot GT]],-1,0)-TblConstr[[#This Row],[Dest GT]]</f>
        <v>0</v>
      </c>
      <c r="BJ40" s="396" cm="1">
        <f t="array" aca="1" ref="BJ40" ca="1">IF(TblConstr[[#This Row],[Hour]:[Hour]]&gt;12,OFFSET(TblConstr[[#This Row],[Bar]],-12,0),0)+OFFSET(TblConstr[[#This Row],[Tot Bar]],-1,0)-TblConstr[[#This Row],[Dest Bar]]</f>
        <v>0</v>
      </c>
      <c r="BK40" s="396" cm="1">
        <f t="array" aca="1" ref="BK40" ca="1">IF(TblConstr[[#This Row],[Hour]:[Hour]]&gt;12,OFFSET(TblConstr[[#This Row],[Shr]],-12,0),0)+OFFSET(TblConstr[[#This Row],[Tot Shr]],-1,0)-TblConstr[[#This Row],[Dest Shr]]</f>
        <v>0</v>
      </c>
      <c r="BL40" s="400" cm="1">
        <f t="array" aca="1" ref="BL40" ca="1">IF(TblConstr[[#This Row],[Hour]:[Hour]]&gt;12,OFFSET(TblConstr[[#This Row],[Tow]],-12,0),0)+OFFSET(TblConstr[[#This Row],[Tot Tow]],-1,0)-TblConstr[[#This Row],[Dest Tow]]</f>
        <v>0</v>
      </c>
      <c r="BM40" s="400" cm="1">
        <f t="array" aca="1" ref="BM40" ca="1">IF(TblConstr[[#This Row],[Hour]:[Hour]]&gt;12,OFFSET(TblConstr[[#This Row],[Tem]],-12,0),0)+OFFSET(TblConstr[[#This Row],[Tot Tem]],-1,0)-TblConstr[[#This Row],[Dest Tem]]</f>
        <v>0</v>
      </c>
      <c r="BN40" s="400" cm="1">
        <f t="array" aca="1" ref="BN40" ca="1">IF(TblConstr[[#This Row],[Hour]:[Hour]]&gt;12,OFFSET(TblConstr[[#This Row],[WG]],-12,0),0)+OFFSET(TblConstr[[#This Row],[Tot WG]],-1,0)-TblConstr[[#This Row],[Dest WG]]</f>
        <v>0</v>
      </c>
      <c r="BO40" s="199" cm="1">
        <f t="array" aca="1" ref="BO40" ca="1">IF(TblConstr[[#This Row],[Hour]:[Hour]]&gt;12,OFFSET(TblConstr[[#This Row],[DM]],-12,0),0)+OFFSET(TblConstr[[#This Row],[Tot DM]],-1,0)-TblConstr[[#This Row],[Dest DM]]</f>
        <v>0</v>
      </c>
      <c r="BP40" s="199" cm="1">
        <f t="array" aca="1" ref="BP40" ca="1">IF(TblConstr[[#This Row],[Hour]:[Hour]]&gt;12,OFFSET(TblConstr[[#This Row],[Sch]],-12,0),0)+OFFSET(TblConstr[[#This Row],[Tot Sch]],-1,0)-TblConstr[[#This Row],[Dest Sch]]</f>
        <v>0</v>
      </c>
      <c r="BQ40" s="200" cm="1">
        <f t="array" aca="1" ref="BQ40" ca="1">IF(TblConstr[[#This Row],[Hour]:[Hour]]&gt;12,OFFSET(TblConstr[[#This Row],[Doc]],-12,0),0)+OFFSET(TblConstr[[#This Row],[Tot Doc]],-1,0)-TblConstr[[#This Row],[Dest Doc]]</f>
        <v>0</v>
      </c>
      <c r="BR40" s="150"/>
      <c r="BS40" s="162"/>
      <c r="BT40" s="97">
        <f ca="1">TblConstr[[#This Row],[Land]]</f>
        <v>250</v>
      </c>
      <c r="BU40" s="167">
        <f ca="1">TblImps[[#This Row],[Time]]</f>
        <v>44812.249999999913</v>
      </c>
      <c r="BV40" s="150"/>
      <c r="BW40" s="187"/>
      <c r="BX40" s="187"/>
      <c r="BY40" s="187"/>
      <c r="BZ40" s="187"/>
      <c r="CA40" s="187"/>
      <c r="CB40" s="187"/>
      <c r="CC40" s="187"/>
      <c r="CD40" s="187"/>
      <c r="CE40" s="187"/>
      <c r="CF40" s="187"/>
      <c r="CG40" s="187"/>
      <c r="CH40" s="187"/>
      <c r="CI40" s="187"/>
      <c r="CJ40" s="187"/>
      <c r="CK40" s="187"/>
      <c r="CL40" s="187"/>
      <c r="CM40" s="187"/>
      <c r="CN40" s="187"/>
      <c r="CO40" s="187"/>
      <c r="CP40" s="150"/>
      <c r="CQ40" s="189">
        <f ca="1">-SUM(TblConstr[[#This Row],[Alc]:[Mas]])+SUM(TblConstr[[#This Row],[Dest Alc]:[Dest Mas]])+Rezone!L40+IF("Ch_"&amp; home_land=TblConstr[[#Headers],[Ch_Plain]],TblConstr[[#This Row],[Home Land]])+IF(TblConstr[[#This Row],[Hour]:[Hour]]&gt;12,OFFSET(TblExplore[[#This Row],[Plains Explore]],-12,0),0)</f>
        <v>0</v>
      </c>
      <c r="CR40" s="190">
        <f ca="1">-SUM(TblConstr[[#This Row],[Ly]:[Hav]])+SUM(TblConstr[[#This Row],[Dest Ly]:[Dest Hav]]) +Rezone!M40 + IF("Ch_"&amp; home_land=TblConstr[[#Headers],[Ch_Forest]],TblConstr[[#This Row],[Home Land]])+IF(TblConstr[[#This Row],[Hour]:[Hour]]&gt;12,OFFSET(TblExplore[[#This Row],[Forest Explore]],-12,0),0)</f>
        <v>0</v>
      </c>
      <c r="CS40" s="390">
        <f ca="1">-SUM(TblConstr[[#This Row],[OM]:[GN]])+SUM(TblConstr[[#This Row],[Dest OM]:[Dest GN]]) +Rezone!N40 + IF("Ch_"&amp; home_land=TblConstr[[#Headers],[Ch_Mountain]],TblConstr[[#This Row],[Home Land]])+IF(TblConstr[[#This Row],[Hour]:[Hour]]&gt;12,OFFSET(TblExplore[[#This Row],[Mountain Explore]],-12,0),0)</f>
        <v>0</v>
      </c>
      <c r="CT40" s="191">
        <f ca="1">-SUM(TblConstr[[#This Row],[Fac]:[Shr]])+SUM(TblConstr[[#This Row],[Dest Fac]:[Dest Shr]]) +Rezone!O40 + IF("Ch_" &amp; home_land=TblConstr[[#Headers],[Ch_Hill]],TblConstr[[#This Row],[Home Land]])+IF(TblConstr[[#This Row],[Hour]:[Hour]]&gt;12,OFFSET(TblExplore[[#This Row],[Hill Explore]],-12,0),0)</f>
        <v>0</v>
      </c>
      <c r="CU40" s="192">
        <f ca="1">-SUM(TblConstr[[#This Row],[Tow]:[WG]])+SUM(TblConstr[[#This Row],[Dest Tow]:[Dest WG]]) +Rezone!P40 + IF("Ch_" &amp; home_land=TblConstr[[#Headers],[Ch_Swamp]],TblConstr[[#This Row],[Home Land]])+IF(TblConstr[[#This Row],[Hour]:[Hour]]&gt;12,OFFSET(TblExplore[[#This Row],[Swamp Explore]],-12,0),0)</f>
        <v>0</v>
      </c>
      <c r="CV40" s="193">
        <f ca="1" xml:space="preserve"> - SUM(TblConstr[[#This Row],[DM]:[Sch]])+SUM(TblConstr[[#This Row],[Dest DM]:[Dest Sch]]) +Rezone!Q40 + IF("Ch_" &amp; home_land=TblConstr[[#Headers],[Ch_Cavern]],TblConstr[[#This Row],[Home Land]])+IF(TblConstr[[#This Row],[Hour]:[Hour]]&gt;12,OFFSET(TblExplore[[#This Row],[Cavern Explore]],-12,0),0)</f>
        <v>0</v>
      </c>
      <c r="CW40" s="194">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50"/>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83">
        <f>TblRezone[[#This Row],[Hour]]</f>
        <v>38</v>
      </c>
      <c r="B41" s="184">
        <f ca="1">SUM(TblConstr[[#This Row],[Plain]:[Water]])</f>
        <v>160</v>
      </c>
      <c r="C41" s="185">
        <f ca="1">SUM(TblConstr[[#This Row],[Tot Hom]:[Tot Doc]])</f>
        <v>90</v>
      </c>
      <c r="D41" s="185">
        <f t="shared" si="2"/>
        <v>0</v>
      </c>
      <c r="E41" s="186"/>
      <c r="F41" s="62">
        <f ca="1">TblConstr[[#This Row],[Barren]]+TblConstr[[#This Row],[Buildings]]+TblConstr[[#This Row],[Incoming]]</f>
        <v>250</v>
      </c>
      <c r="G41" s="195">
        <f ca="1">OFFSET(TblConstr[[#This Row],[Plain]],-1,0)+TblConstr[[#This Row],[Ch_Plain]]</f>
        <v>40</v>
      </c>
      <c r="H41" s="190">
        <f ca="1">OFFSET(TblConstr[[#This Row],[Forest]],-1,0)+TblConstr[[#This Row],[Ch_Forest]]</f>
        <v>20</v>
      </c>
      <c r="I41" s="390">
        <f ca="1">OFFSET(TblConstr[[#This Row],[Mountain]],-1,0)+TblConstr[[#This Row],[Ch_Mountain]]</f>
        <v>20</v>
      </c>
      <c r="J41" s="394">
        <f ca="1">OFFSET(TblConstr[[#This Row],[Hill]],-1,0)+TblConstr[[#This Row],[Ch_Hill]]</f>
        <v>20</v>
      </c>
      <c r="K41" s="398">
        <f ca="1">OFFSET(TblConstr[[#This Row],[Swamp]],-1,0)+TblConstr[[#This Row],[Ch_Swamp]]</f>
        <v>20</v>
      </c>
      <c r="L41" s="193">
        <f ca="1">OFFSET(TblConstr[[#This Row],[Cavern]],-1,0)+TblConstr[[#This Row],[Ch_Cavern]]</f>
        <v>20</v>
      </c>
      <c r="M41" s="194">
        <f ca="1">OFFSET(TblConstr[[#This Row],[Water]],-1,0)+TblConstr[[#This Row],[Ch_Water]]</f>
        <v>20</v>
      </c>
      <c r="N41" s="388">
        <f>TblRezone[[#This Row],[Hour]]</f>
        <v>38</v>
      </c>
      <c r="O41" s="187"/>
      <c r="P41" s="187"/>
      <c r="Q41" s="187"/>
      <c r="R41" s="166"/>
      <c r="S41" s="187"/>
      <c r="T41" s="187"/>
      <c r="U41" s="187"/>
      <c r="V41" s="187"/>
      <c r="W41" s="187"/>
      <c r="X41" s="187"/>
      <c r="Y41" s="187"/>
      <c r="Z41" s="187"/>
      <c r="AA41" s="187"/>
      <c r="AB41" s="187"/>
      <c r="AC41" s="187"/>
      <c r="AD41" s="187"/>
      <c r="AE41" s="187"/>
      <c r="AF41" s="187"/>
      <c r="AG41" s="187"/>
      <c r="AH41" s="53">
        <f ca="1">TblImps[[#This Row],[Time]]</f>
        <v>44812.291666666577</v>
      </c>
      <c r="AI41" s="188">
        <f ca="1">MIN(25%,(TblConstr[[#This Row],[Tot Fac]]+TblConstr[[#This Row],[Dest Fac]])/(TblConstr[[#This Row],[Land]]-TblExplore[[#This Row],[Land Bonus]]*20))</f>
        <v>0</v>
      </c>
      <c r="AJ41" s="188">
        <f ca="1">MIN(25%,(TblConstr[[#This Row],[Tot Fac]]+TblConstr[[#This Row],[Dest Fac]])/TblConstr[[#This Row],[Land]])</f>
        <v>0</v>
      </c>
      <c r="AK41" s="97">
        <f ca="1">TblProd[[#This Row],[Platinum]]</f>
        <v>303860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50"/>
      <c r="AV41" s="97">
        <f ca="1">ROUND((TblConstr[[#This Row],[Land]]-250 - IF(TblExplore[[#This Row],[Land Bonus]]&lt;&gt;0,20,0))*1.25 + 850 + 0,0)</f>
        <v>850</v>
      </c>
      <c r="AW41" s="97">
        <f ca="1">ROUND((TblConstr[[#This Row],[Land]]-250 - IF(TblExplore[[#This Row],[Land Bonus]]&lt;&gt;0,20,0))*0.285 + 87.5 + 0/4.25,0)</f>
        <v>88</v>
      </c>
      <c r="AX41" s="162"/>
      <c r="AY41" s="196" cm="1">
        <f t="array" aca="1" ref="AY41" ca="1">IF(TblConstr[[#This Row],[Hour]:[Hour]]&gt;12,OFFSET(TblConstr[[#This Row],[Hom]],-12,0),0)+OFFSET(TblConstr[[#This Row],[Tot Hom]],-1,0)-TblConstr[[#This Row],[Dest Hom]]</f>
        <v>10</v>
      </c>
      <c r="AZ41" s="197" cm="1">
        <f t="array" aca="1" ref="AZ41" ca="1">IF(TblConstr[[#This Row],[Hour]:[Hour]]&gt;12,OFFSET(TblConstr[[#This Row],[Alc]],-12,0),0)+OFFSET(TblConstr[[#This Row],[Tot Alc]],-1,0)-TblConstr[[#This Row],[Dest Alc]]</f>
        <v>30</v>
      </c>
      <c r="BA41" s="197" cm="1">
        <f t="array" aca="1" ref="BA41" ca="1">IF(TblConstr[[#This Row],[Hour]:[Hour]]&gt;12,OFFSET(TblConstr[[#This Row],[Far]],-12,0),0)+OFFSET(TblConstr[[#This Row],[Tot Farm]],-1,0)-TblConstr[[#This Row],[Dest Farm]]</f>
        <v>30</v>
      </c>
      <c r="BB41" s="197" cm="1">
        <f t="array" aca="1" ref="BB41" ca="1">IF(TblConstr[[#This Row],[Hour]:[Hour]]&gt;12,OFFSET(TblConstr[[#This Row],[Smi]],-12,0),0)+OFFSET(TblConstr[[#This Row],[Tot Smi]],-1,0)-TblConstr[[#This Row],[Dest Smi]]</f>
        <v>0</v>
      </c>
      <c r="BC41" s="197" cm="1">
        <f t="array" aca="1" ref="BC41" ca="1">IF(TblConstr[[#This Row],[Hour]:[Hour]]&gt;12,OFFSET(TblConstr[[#This Row],[Mas]],-12,0),0)+OFFSET(TblConstr[[#This Row],[Tot Mas]],-1,0)-TblConstr[[#This Row],[Dest Mas]]</f>
        <v>0</v>
      </c>
      <c r="BD41" s="198" cm="1">
        <f t="array" aca="1" ref="BD41" ca="1">IF(TblConstr[[#This Row],[Hour]:[Hour]]&gt;12,OFFSET(TblConstr[[#This Row],[Ly]],-12,0),0)+OFFSET(TblConstr[[#This Row],[Tot Ly]],-1,0)-TblConstr[[#This Row],[Dest Ly]]</f>
        <v>20</v>
      </c>
      <c r="BE41" s="198" cm="1">
        <f t="array" aca="1" ref="BE41" ca="1">IF(TblConstr[[#This Row],[Hour]:[Hour]]&gt;12,OFFSET(TblConstr[[#This Row],[Hav]],-12,0),0)+OFFSET(TblConstr[[#This Row],[Tot Hav]],-1,0)-TblConstr[[#This Row],[Dest Hav]]</f>
        <v>0</v>
      </c>
      <c r="BF41" s="392" cm="1">
        <f t="array" aca="1" ref="BF41" ca="1">IF(TblConstr[[#This Row],[Hour]:[Hour]]&gt;12,OFFSET(TblConstr[[#This Row],[OM]],-12,0),0)+OFFSET(TblConstr[[#This Row],[Tot OM]],-1,0)-TblConstr[[#This Row],[Dest OM]]</f>
        <v>0</v>
      </c>
      <c r="BG41" s="392" cm="1">
        <f t="array" aca="1" ref="BG41" ca="1">IF(TblConstr[[#This Row],[Hour]:[Hour]]&gt;12,OFFSET(TblConstr[[#This Row],[GN]],-12,0),0)+OFFSET(TblConstr[[#This Row],[Tot GN]],-1,0)-TblConstr[[#This Row],[Dest GN]]</f>
        <v>0</v>
      </c>
      <c r="BH41" s="396" cm="1">
        <f t="array" aca="1" ref="BH41" ca="1">IF(TblConstr[[#This Row],[Hour]:[Hour]]&gt;12,OFFSET(TblConstr[[#This Row],[Fac]],-12,0),0)+OFFSET(TblConstr[[#This Row],[Tot Fac]],-1,0)-TblConstr[[#This Row],[Dest Fac]]</f>
        <v>0</v>
      </c>
      <c r="BI41" s="396" cm="1">
        <f t="array" aca="1" ref="BI41" ca="1">IF(TblConstr[[#This Row],[Hour]:[Hour]]&gt;12,OFFSET(TblConstr[[#This Row],[GT]],-12,0),0)+OFFSET(TblConstr[[#This Row],[Tot GT]],-1,0)-TblConstr[[#This Row],[Dest GT]]</f>
        <v>0</v>
      </c>
      <c r="BJ41" s="396" cm="1">
        <f t="array" aca="1" ref="BJ41" ca="1">IF(TblConstr[[#This Row],[Hour]:[Hour]]&gt;12,OFFSET(TblConstr[[#This Row],[Bar]],-12,0),0)+OFFSET(TblConstr[[#This Row],[Tot Bar]],-1,0)-TblConstr[[#This Row],[Dest Bar]]</f>
        <v>0</v>
      </c>
      <c r="BK41" s="396" cm="1">
        <f t="array" aca="1" ref="BK41" ca="1">IF(TblConstr[[#This Row],[Hour]:[Hour]]&gt;12,OFFSET(TblConstr[[#This Row],[Shr]],-12,0),0)+OFFSET(TblConstr[[#This Row],[Tot Shr]],-1,0)-TblConstr[[#This Row],[Dest Shr]]</f>
        <v>0</v>
      </c>
      <c r="BL41" s="400" cm="1">
        <f t="array" aca="1" ref="BL41" ca="1">IF(TblConstr[[#This Row],[Hour]:[Hour]]&gt;12,OFFSET(TblConstr[[#This Row],[Tow]],-12,0),0)+OFFSET(TblConstr[[#This Row],[Tot Tow]],-1,0)-TblConstr[[#This Row],[Dest Tow]]</f>
        <v>0</v>
      </c>
      <c r="BM41" s="400" cm="1">
        <f t="array" aca="1" ref="BM41" ca="1">IF(TblConstr[[#This Row],[Hour]:[Hour]]&gt;12,OFFSET(TblConstr[[#This Row],[Tem]],-12,0),0)+OFFSET(TblConstr[[#This Row],[Tot Tem]],-1,0)-TblConstr[[#This Row],[Dest Tem]]</f>
        <v>0</v>
      </c>
      <c r="BN41" s="400" cm="1">
        <f t="array" aca="1" ref="BN41" ca="1">IF(TblConstr[[#This Row],[Hour]:[Hour]]&gt;12,OFFSET(TblConstr[[#This Row],[WG]],-12,0),0)+OFFSET(TblConstr[[#This Row],[Tot WG]],-1,0)-TblConstr[[#This Row],[Dest WG]]</f>
        <v>0</v>
      </c>
      <c r="BO41" s="199" cm="1">
        <f t="array" aca="1" ref="BO41" ca="1">IF(TblConstr[[#This Row],[Hour]:[Hour]]&gt;12,OFFSET(TblConstr[[#This Row],[DM]],-12,0),0)+OFFSET(TblConstr[[#This Row],[Tot DM]],-1,0)-TblConstr[[#This Row],[Dest DM]]</f>
        <v>0</v>
      </c>
      <c r="BP41" s="199" cm="1">
        <f t="array" aca="1" ref="BP41" ca="1">IF(TblConstr[[#This Row],[Hour]:[Hour]]&gt;12,OFFSET(TblConstr[[#This Row],[Sch]],-12,0),0)+OFFSET(TblConstr[[#This Row],[Tot Sch]],-1,0)-TblConstr[[#This Row],[Dest Sch]]</f>
        <v>0</v>
      </c>
      <c r="BQ41" s="200" cm="1">
        <f t="array" aca="1" ref="BQ41" ca="1">IF(TblConstr[[#This Row],[Hour]:[Hour]]&gt;12,OFFSET(TblConstr[[#This Row],[Doc]],-12,0),0)+OFFSET(TblConstr[[#This Row],[Tot Doc]],-1,0)-TblConstr[[#This Row],[Dest Doc]]</f>
        <v>0</v>
      </c>
      <c r="BR41" s="150"/>
      <c r="BS41" s="162"/>
      <c r="BT41" s="97">
        <f ca="1">TblConstr[[#This Row],[Land]]</f>
        <v>250</v>
      </c>
      <c r="BU41" s="167">
        <f ca="1">TblImps[[#This Row],[Time]]</f>
        <v>44812.291666666577</v>
      </c>
      <c r="BV41" s="150"/>
      <c r="BW41" s="187"/>
      <c r="BX41" s="187"/>
      <c r="BY41" s="187"/>
      <c r="BZ41" s="187"/>
      <c r="CA41" s="187"/>
      <c r="CB41" s="187"/>
      <c r="CC41" s="187"/>
      <c r="CD41" s="187"/>
      <c r="CE41" s="187"/>
      <c r="CF41" s="187"/>
      <c r="CG41" s="187"/>
      <c r="CH41" s="187"/>
      <c r="CI41" s="187"/>
      <c r="CJ41" s="187"/>
      <c r="CK41" s="187"/>
      <c r="CL41" s="187"/>
      <c r="CM41" s="187"/>
      <c r="CN41" s="187"/>
      <c r="CO41" s="187"/>
      <c r="CP41" s="150"/>
      <c r="CQ41" s="189">
        <f ca="1">-SUM(TblConstr[[#This Row],[Alc]:[Mas]])+SUM(TblConstr[[#This Row],[Dest Alc]:[Dest Mas]])+Rezone!L41+IF("Ch_"&amp; home_land=TblConstr[[#Headers],[Ch_Plain]],TblConstr[[#This Row],[Home Land]])+IF(TblConstr[[#This Row],[Hour]:[Hour]]&gt;12,OFFSET(TblExplore[[#This Row],[Plains Explore]],-12,0),0)</f>
        <v>0</v>
      </c>
      <c r="CR41" s="190">
        <f ca="1">-SUM(TblConstr[[#This Row],[Ly]:[Hav]])+SUM(TblConstr[[#This Row],[Dest Ly]:[Dest Hav]]) +Rezone!M41 + IF("Ch_"&amp; home_land=TblConstr[[#Headers],[Ch_Forest]],TblConstr[[#This Row],[Home Land]])+IF(TblConstr[[#This Row],[Hour]:[Hour]]&gt;12,OFFSET(TblExplore[[#This Row],[Forest Explore]],-12,0),0)</f>
        <v>0</v>
      </c>
      <c r="CS41" s="390">
        <f ca="1">-SUM(TblConstr[[#This Row],[OM]:[GN]])+SUM(TblConstr[[#This Row],[Dest OM]:[Dest GN]]) +Rezone!N41 + IF("Ch_"&amp; home_land=TblConstr[[#Headers],[Ch_Mountain]],TblConstr[[#This Row],[Home Land]])+IF(TblConstr[[#This Row],[Hour]:[Hour]]&gt;12,OFFSET(TblExplore[[#This Row],[Mountain Explore]],-12,0),0)</f>
        <v>0</v>
      </c>
      <c r="CT41" s="191">
        <f ca="1">-SUM(TblConstr[[#This Row],[Fac]:[Shr]])+SUM(TblConstr[[#This Row],[Dest Fac]:[Dest Shr]]) +Rezone!O41 + IF("Ch_" &amp; home_land=TblConstr[[#Headers],[Ch_Hill]],TblConstr[[#This Row],[Home Land]])+IF(TblConstr[[#This Row],[Hour]:[Hour]]&gt;12,OFFSET(TblExplore[[#This Row],[Hill Explore]],-12,0),0)</f>
        <v>0</v>
      </c>
      <c r="CU41" s="192">
        <f ca="1">-SUM(TblConstr[[#This Row],[Tow]:[WG]])+SUM(TblConstr[[#This Row],[Dest Tow]:[Dest WG]]) +Rezone!P41 + IF("Ch_" &amp; home_land=TblConstr[[#Headers],[Ch_Swamp]],TblConstr[[#This Row],[Home Land]])+IF(TblConstr[[#This Row],[Hour]:[Hour]]&gt;12,OFFSET(TblExplore[[#This Row],[Swamp Explore]],-12,0),0)</f>
        <v>0</v>
      </c>
      <c r="CV41" s="193">
        <f ca="1" xml:space="preserve"> - SUM(TblConstr[[#This Row],[DM]:[Sch]])+SUM(TblConstr[[#This Row],[Dest DM]:[Dest Sch]]) +Rezone!Q41 + IF("Ch_" &amp; home_land=TblConstr[[#Headers],[Ch_Cavern]],TblConstr[[#This Row],[Home Land]])+IF(TblConstr[[#This Row],[Hour]:[Hour]]&gt;12,OFFSET(TblExplore[[#This Row],[Cavern Explore]],-12,0),0)</f>
        <v>0</v>
      </c>
      <c r="CW41" s="194">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50"/>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83">
        <f>TblRezone[[#This Row],[Hour]]</f>
        <v>39</v>
      </c>
      <c r="B42" s="184">
        <f ca="1">SUM(TblConstr[[#This Row],[Plain]:[Water]])</f>
        <v>160</v>
      </c>
      <c r="C42" s="185">
        <f ca="1">SUM(TblConstr[[#This Row],[Tot Hom]:[Tot Doc]])</f>
        <v>90</v>
      </c>
      <c r="D42" s="185">
        <f t="shared" si="2"/>
        <v>0</v>
      </c>
      <c r="E42" s="186"/>
      <c r="F42" s="62">
        <f ca="1">TblConstr[[#This Row],[Barren]]+TblConstr[[#This Row],[Buildings]]+TblConstr[[#This Row],[Incoming]]</f>
        <v>250</v>
      </c>
      <c r="G42" s="195">
        <f ca="1">OFFSET(TblConstr[[#This Row],[Plain]],-1,0)+TblConstr[[#This Row],[Ch_Plain]]</f>
        <v>40</v>
      </c>
      <c r="H42" s="190">
        <f ca="1">OFFSET(TblConstr[[#This Row],[Forest]],-1,0)+TblConstr[[#This Row],[Ch_Forest]]</f>
        <v>20</v>
      </c>
      <c r="I42" s="390">
        <f ca="1">OFFSET(TblConstr[[#This Row],[Mountain]],-1,0)+TblConstr[[#This Row],[Ch_Mountain]]</f>
        <v>20</v>
      </c>
      <c r="J42" s="394">
        <f ca="1">OFFSET(TblConstr[[#This Row],[Hill]],-1,0)+TblConstr[[#This Row],[Ch_Hill]]</f>
        <v>20</v>
      </c>
      <c r="K42" s="398">
        <f ca="1">OFFSET(TblConstr[[#This Row],[Swamp]],-1,0)+TblConstr[[#This Row],[Ch_Swamp]]</f>
        <v>20</v>
      </c>
      <c r="L42" s="193">
        <f ca="1">OFFSET(TblConstr[[#This Row],[Cavern]],-1,0)+TblConstr[[#This Row],[Ch_Cavern]]</f>
        <v>20</v>
      </c>
      <c r="M42" s="194">
        <f ca="1">OFFSET(TblConstr[[#This Row],[Water]],-1,0)+TblConstr[[#This Row],[Ch_Water]]</f>
        <v>20</v>
      </c>
      <c r="N42" s="388">
        <f>TblRezone[[#This Row],[Hour]]</f>
        <v>39</v>
      </c>
      <c r="O42" s="187"/>
      <c r="P42" s="187"/>
      <c r="Q42" s="187"/>
      <c r="R42" s="166"/>
      <c r="S42" s="187"/>
      <c r="T42" s="187"/>
      <c r="U42" s="187"/>
      <c r="V42" s="187"/>
      <c r="W42" s="187"/>
      <c r="X42" s="187"/>
      <c r="Y42" s="187"/>
      <c r="Z42" s="187"/>
      <c r="AA42" s="187"/>
      <c r="AB42" s="187"/>
      <c r="AC42" s="187"/>
      <c r="AD42" s="187"/>
      <c r="AE42" s="187"/>
      <c r="AF42" s="187"/>
      <c r="AG42" s="187"/>
      <c r="AH42" s="53">
        <f ca="1">TblImps[[#This Row],[Time]]</f>
        <v>44812.333333333241</v>
      </c>
      <c r="AI42" s="188">
        <f ca="1">MIN(25%,(TblConstr[[#This Row],[Tot Fac]]+TblConstr[[#This Row],[Dest Fac]])/(TblConstr[[#This Row],[Land]]-TblExplore[[#This Row],[Land Bonus]]*20))</f>
        <v>0</v>
      </c>
      <c r="AJ42" s="188">
        <f ca="1">MIN(25%,(TblConstr[[#This Row],[Tot Fac]]+TblConstr[[#This Row],[Dest Fac]])/TblConstr[[#This Row],[Land]])</f>
        <v>0</v>
      </c>
      <c r="AK42" s="97">
        <f ca="1">TblProd[[#This Row],[Platinum]]</f>
        <v>309346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50"/>
      <c r="AV42" s="97">
        <f ca="1">ROUND((TblConstr[[#This Row],[Land]]-250 - IF(TblExplore[[#This Row],[Land Bonus]]&lt;&gt;0,20,0))*1.25 + 850 + 0,0)</f>
        <v>850</v>
      </c>
      <c r="AW42" s="97">
        <f ca="1">ROUND((TblConstr[[#This Row],[Land]]-250 - IF(TblExplore[[#This Row],[Land Bonus]]&lt;&gt;0,20,0))*0.285 + 87.5 + 0/4.25,0)</f>
        <v>88</v>
      </c>
      <c r="AX42" s="162"/>
      <c r="AY42" s="196" cm="1">
        <f t="array" aca="1" ref="AY42" ca="1">IF(TblConstr[[#This Row],[Hour]:[Hour]]&gt;12,OFFSET(TblConstr[[#This Row],[Hom]],-12,0),0)+OFFSET(TblConstr[[#This Row],[Tot Hom]],-1,0)-TblConstr[[#This Row],[Dest Hom]]</f>
        <v>10</v>
      </c>
      <c r="AZ42" s="197" cm="1">
        <f t="array" aca="1" ref="AZ42" ca="1">IF(TblConstr[[#This Row],[Hour]:[Hour]]&gt;12,OFFSET(TblConstr[[#This Row],[Alc]],-12,0),0)+OFFSET(TblConstr[[#This Row],[Tot Alc]],-1,0)-TblConstr[[#This Row],[Dest Alc]]</f>
        <v>30</v>
      </c>
      <c r="BA42" s="197" cm="1">
        <f t="array" aca="1" ref="BA42" ca="1">IF(TblConstr[[#This Row],[Hour]:[Hour]]&gt;12,OFFSET(TblConstr[[#This Row],[Far]],-12,0),0)+OFFSET(TblConstr[[#This Row],[Tot Farm]],-1,0)-TblConstr[[#This Row],[Dest Farm]]</f>
        <v>30</v>
      </c>
      <c r="BB42" s="197" cm="1">
        <f t="array" aca="1" ref="BB42" ca="1">IF(TblConstr[[#This Row],[Hour]:[Hour]]&gt;12,OFFSET(TblConstr[[#This Row],[Smi]],-12,0),0)+OFFSET(TblConstr[[#This Row],[Tot Smi]],-1,0)-TblConstr[[#This Row],[Dest Smi]]</f>
        <v>0</v>
      </c>
      <c r="BC42" s="197" cm="1">
        <f t="array" aca="1" ref="BC42" ca="1">IF(TblConstr[[#This Row],[Hour]:[Hour]]&gt;12,OFFSET(TblConstr[[#This Row],[Mas]],-12,0),0)+OFFSET(TblConstr[[#This Row],[Tot Mas]],-1,0)-TblConstr[[#This Row],[Dest Mas]]</f>
        <v>0</v>
      </c>
      <c r="BD42" s="198" cm="1">
        <f t="array" aca="1" ref="BD42" ca="1">IF(TblConstr[[#This Row],[Hour]:[Hour]]&gt;12,OFFSET(TblConstr[[#This Row],[Ly]],-12,0),0)+OFFSET(TblConstr[[#This Row],[Tot Ly]],-1,0)-TblConstr[[#This Row],[Dest Ly]]</f>
        <v>20</v>
      </c>
      <c r="BE42" s="198" cm="1">
        <f t="array" aca="1" ref="BE42" ca="1">IF(TblConstr[[#This Row],[Hour]:[Hour]]&gt;12,OFFSET(TblConstr[[#This Row],[Hav]],-12,0),0)+OFFSET(TblConstr[[#This Row],[Tot Hav]],-1,0)-TblConstr[[#This Row],[Dest Hav]]</f>
        <v>0</v>
      </c>
      <c r="BF42" s="392" cm="1">
        <f t="array" aca="1" ref="BF42" ca="1">IF(TblConstr[[#This Row],[Hour]:[Hour]]&gt;12,OFFSET(TblConstr[[#This Row],[OM]],-12,0),0)+OFFSET(TblConstr[[#This Row],[Tot OM]],-1,0)-TblConstr[[#This Row],[Dest OM]]</f>
        <v>0</v>
      </c>
      <c r="BG42" s="392" cm="1">
        <f t="array" aca="1" ref="BG42" ca="1">IF(TblConstr[[#This Row],[Hour]:[Hour]]&gt;12,OFFSET(TblConstr[[#This Row],[GN]],-12,0),0)+OFFSET(TblConstr[[#This Row],[Tot GN]],-1,0)-TblConstr[[#This Row],[Dest GN]]</f>
        <v>0</v>
      </c>
      <c r="BH42" s="396" cm="1">
        <f t="array" aca="1" ref="BH42" ca="1">IF(TblConstr[[#This Row],[Hour]:[Hour]]&gt;12,OFFSET(TblConstr[[#This Row],[Fac]],-12,0),0)+OFFSET(TblConstr[[#This Row],[Tot Fac]],-1,0)-TblConstr[[#This Row],[Dest Fac]]</f>
        <v>0</v>
      </c>
      <c r="BI42" s="396" cm="1">
        <f t="array" aca="1" ref="BI42" ca="1">IF(TblConstr[[#This Row],[Hour]:[Hour]]&gt;12,OFFSET(TblConstr[[#This Row],[GT]],-12,0),0)+OFFSET(TblConstr[[#This Row],[Tot GT]],-1,0)-TblConstr[[#This Row],[Dest GT]]</f>
        <v>0</v>
      </c>
      <c r="BJ42" s="396" cm="1">
        <f t="array" aca="1" ref="BJ42" ca="1">IF(TblConstr[[#This Row],[Hour]:[Hour]]&gt;12,OFFSET(TblConstr[[#This Row],[Bar]],-12,0),0)+OFFSET(TblConstr[[#This Row],[Tot Bar]],-1,0)-TblConstr[[#This Row],[Dest Bar]]</f>
        <v>0</v>
      </c>
      <c r="BK42" s="396" cm="1">
        <f t="array" aca="1" ref="BK42" ca="1">IF(TblConstr[[#This Row],[Hour]:[Hour]]&gt;12,OFFSET(TblConstr[[#This Row],[Shr]],-12,0),0)+OFFSET(TblConstr[[#This Row],[Tot Shr]],-1,0)-TblConstr[[#This Row],[Dest Shr]]</f>
        <v>0</v>
      </c>
      <c r="BL42" s="400" cm="1">
        <f t="array" aca="1" ref="BL42" ca="1">IF(TblConstr[[#This Row],[Hour]:[Hour]]&gt;12,OFFSET(TblConstr[[#This Row],[Tow]],-12,0),0)+OFFSET(TblConstr[[#This Row],[Tot Tow]],-1,0)-TblConstr[[#This Row],[Dest Tow]]</f>
        <v>0</v>
      </c>
      <c r="BM42" s="400" cm="1">
        <f t="array" aca="1" ref="BM42" ca="1">IF(TblConstr[[#This Row],[Hour]:[Hour]]&gt;12,OFFSET(TblConstr[[#This Row],[Tem]],-12,0),0)+OFFSET(TblConstr[[#This Row],[Tot Tem]],-1,0)-TblConstr[[#This Row],[Dest Tem]]</f>
        <v>0</v>
      </c>
      <c r="BN42" s="400" cm="1">
        <f t="array" aca="1" ref="BN42" ca="1">IF(TblConstr[[#This Row],[Hour]:[Hour]]&gt;12,OFFSET(TblConstr[[#This Row],[WG]],-12,0),0)+OFFSET(TblConstr[[#This Row],[Tot WG]],-1,0)-TblConstr[[#This Row],[Dest WG]]</f>
        <v>0</v>
      </c>
      <c r="BO42" s="199" cm="1">
        <f t="array" aca="1" ref="BO42" ca="1">IF(TblConstr[[#This Row],[Hour]:[Hour]]&gt;12,OFFSET(TblConstr[[#This Row],[DM]],-12,0),0)+OFFSET(TblConstr[[#This Row],[Tot DM]],-1,0)-TblConstr[[#This Row],[Dest DM]]</f>
        <v>0</v>
      </c>
      <c r="BP42" s="199" cm="1">
        <f t="array" aca="1" ref="BP42" ca="1">IF(TblConstr[[#This Row],[Hour]:[Hour]]&gt;12,OFFSET(TblConstr[[#This Row],[Sch]],-12,0),0)+OFFSET(TblConstr[[#This Row],[Tot Sch]],-1,0)-TblConstr[[#This Row],[Dest Sch]]</f>
        <v>0</v>
      </c>
      <c r="BQ42" s="200" cm="1">
        <f t="array" aca="1" ref="BQ42" ca="1">IF(TblConstr[[#This Row],[Hour]:[Hour]]&gt;12,OFFSET(TblConstr[[#This Row],[Doc]],-12,0),0)+OFFSET(TblConstr[[#This Row],[Tot Doc]],-1,0)-TblConstr[[#This Row],[Dest Doc]]</f>
        <v>0</v>
      </c>
      <c r="BR42" s="150"/>
      <c r="BS42" s="162"/>
      <c r="BT42" s="97">
        <f ca="1">TblConstr[[#This Row],[Land]]</f>
        <v>250</v>
      </c>
      <c r="BU42" s="167">
        <f ca="1">TblImps[[#This Row],[Time]]</f>
        <v>44812.333333333241</v>
      </c>
      <c r="BV42" s="150"/>
      <c r="BW42" s="187"/>
      <c r="BX42" s="166"/>
      <c r="BY42" s="187"/>
      <c r="BZ42" s="187"/>
      <c r="CA42" s="187"/>
      <c r="CB42" s="187"/>
      <c r="CC42" s="187"/>
      <c r="CD42" s="187"/>
      <c r="CE42" s="187"/>
      <c r="CF42" s="187"/>
      <c r="CG42" s="187"/>
      <c r="CH42" s="187"/>
      <c r="CI42" s="187"/>
      <c r="CJ42" s="187"/>
      <c r="CK42" s="187"/>
      <c r="CL42" s="187"/>
      <c r="CM42" s="187"/>
      <c r="CN42" s="187"/>
      <c r="CO42" s="187"/>
      <c r="CP42" s="150"/>
      <c r="CQ42" s="189">
        <f ca="1">-SUM(TblConstr[[#This Row],[Alc]:[Mas]])+SUM(TblConstr[[#This Row],[Dest Alc]:[Dest Mas]])+Rezone!L42+IF("Ch_"&amp; home_land=TblConstr[[#Headers],[Ch_Plain]],TblConstr[[#This Row],[Home Land]])+IF(TblConstr[[#This Row],[Hour]:[Hour]]&gt;12,OFFSET(TblExplore[[#This Row],[Plains Explore]],-12,0),0)</f>
        <v>0</v>
      </c>
      <c r="CR42" s="190">
        <f ca="1">-SUM(TblConstr[[#This Row],[Ly]:[Hav]])+SUM(TblConstr[[#This Row],[Dest Ly]:[Dest Hav]]) +Rezone!M42 + IF("Ch_"&amp; home_land=TblConstr[[#Headers],[Ch_Forest]],TblConstr[[#This Row],[Home Land]])+IF(TblConstr[[#This Row],[Hour]:[Hour]]&gt;12,OFFSET(TblExplore[[#This Row],[Forest Explore]],-12,0),0)</f>
        <v>0</v>
      </c>
      <c r="CS42" s="390">
        <f ca="1">-SUM(TblConstr[[#This Row],[OM]:[GN]])+SUM(TblConstr[[#This Row],[Dest OM]:[Dest GN]]) +Rezone!N42 + IF("Ch_"&amp; home_land=TblConstr[[#Headers],[Ch_Mountain]],TblConstr[[#This Row],[Home Land]])+IF(TblConstr[[#This Row],[Hour]:[Hour]]&gt;12,OFFSET(TblExplore[[#This Row],[Mountain Explore]],-12,0),0)</f>
        <v>0</v>
      </c>
      <c r="CT42" s="191">
        <f ca="1">-SUM(TblConstr[[#This Row],[Fac]:[Shr]])+SUM(TblConstr[[#This Row],[Dest Fac]:[Dest Shr]]) +Rezone!O42 + IF("Ch_" &amp; home_land=TblConstr[[#Headers],[Ch_Hill]],TblConstr[[#This Row],[Home Land]])+IF(TblConstr[[#This Row],[Hour]:[Hour]]&gt;12,OFFSET(TblExplore[[#This Row],[Hill Explore]],-12,0),0)</f>
        <v>0</v>
      </c>
      <c r="CU42" s="192">
        <f ca="1">-SUM(TblConstr[[#This Row],[Tow]:[WG]])+SUM(TblConstr[[#This Row],[Dest Tow]:[Dest WG]]) +Rezone!P42 + IF("Ch_" &amp; home_land=TblConstr[[#Headers],[Ch_Swamp]],TblConstr[[#This Row],[Home Land]])+IF(TblConstr[[#This Row],[Hour]:[Hour]]&gt;12,OFFSET(TblExplore[[#This Row],[Swamp Explore]],-12,0),0)</f>
        <v>0</v>
      </c>
      <c r="CV42" s="193">
        <f ca="1" xml:space="preserve"> - SUM(TblConstr[[#This Row],[DM]:[Sch]])+SUM(TblConstr[[#This Row],[Dest DM]:[Dest Sch]]) +Rezone!Q42 + IF("Ch_" &amp; home_land=TblConstr[[#Headers],[Ch_Cavern]],TblConstr[[#This Row],[Home Land]])+IF(TblConstr[[#This Row],[Hour]:[Hour]]&gt;12,OFFSET(TblExplore[[#This Row],[Cavern Explore]],-12,0),0)</f>
        <v>0</v>
      </c>
      <c r="CW42" s="194">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50"/>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83">
        <f>TblRezone[[#This Row],[Hour]]</f>
        <v>40</v>
      </c>
      <c r="B43" s="184">
        <f ca="1">SUM(TblConstr[[#This Row],[Plain]:[Water]])</f>
        <v>160</v>
      </c>
      <c r="C43" s="185">
        <f ca="1">SUM(TblConstr[[#This Row],[Tot Hom]:[Tot Doc]])</f>
        <v>90</v>
      </c>
      <c r="D43" s="185">
        <f t="shared" si="2"/>
        <v>0</v>
      </c>
      <c r="E43" s="186"/>
      <c r="F43" s="62">
        <f ca="1">TblConstr[[#This Row],[Barren]]+TblConstr[[#This Row],[Buildings]]+TblConstr[[#This Row],[Incoming]]</f>
        <v>250</v>
      </c>
      <c r="G43" s="195">
        <f ca="1">OFFSET(TblConstr[[#This Row],[Plain]],-1,0)+TblConstr[[#This Row],[Ch_Plain]]</f>
        <v>40</v>
      </c>
      <c r="H43" s="190">
        <f ca="1">OFFSET(TblConstr[[#This Row],[Forest]],-1,0)+TblConstr[[#This Row],[Ch_Forest]]</f>
        <v>20</v>
      </c>
      <c r="I43" s="390">
        <f ca="1">OFFSET(TblConstr[[#This Row],[Mountain]],-1,0)+TblConstr[[#This Row],[Ch_Mountain]]</f>
        <v>20</v>
      </c>
      <c r="J43" s="394">
        <f ca="1">OFFSET(TblConstr[[#This Row],[Hill]],-1,0)+TblConstr[[#This Row],[Ch_Hill]]</f>
        <v>20</v>
      </c>
      <c r="K43" s="398">
        <f ca="1">OFFSET(TblConstr[[#This Row],[Swamp]],-1,0)+TblConstr[[#This Row],[Ch_Swamp]]</f>
        <v>20</v>
      </c>
      <c r="L43" s="193">
        <f ca="1">OFFSET(TblConstr[[#This Row],[Cavern]],-1,0)+TblConstr[[#This Row],[Ch_Cavern]]</f>
        <v>20</v>
      </c>
      <c r="M43" s="194">
        <f ca="1">OFFSET(TblConstr[[#This Row],[Water]],-1,0)+TblConstr[[#This Row],[Ch_Water]]</f>
        <v>20</v>
      </c>
      <c r="N43" s="388">
        <f>TblRezone[[#This Row],[Hour]]</f>
        <v>40</v>
      </c>
      <c r="O43" s="187"/>
      <c r="P43" s="187"/>
      <c r="Q43" s="187"/>
      <c r="R43" s="166"/>
      <c r="S43" s="187"/>
      <c r="T43" s="187"/>
      <c r="U43" s="187"/>
      <c r="V43" s="187"/>
      <c r="W43" s="187"/>
      <c r="X43" s="187"/>
      <c r="Y43" s="187"/>
      <c r="Z43" s="187"/>
      <c r="AA43" s="187"/>
      <c r="AB43" s="187"/>
      <c r="AC43" s="187"/>
      <c r="AD43" s="187"/>
      <c r="AE43" s="187"/>
      <c r="AF43" s="187"/>
      <c r="AG43" s="187"/>
      <c r="AH43" s="53">
        <f ca="1">TblImps[[#This Row],[Time]]</f>
        <v>44812.374999999905</v>
      </c>
      <c r="AI43" s="188">
        <f ca="1">MIN(25%,(TblConstr[[#This Row],[Tot Fac]]+TblConstr[[#This Row],[Dest Fac]])/(TblConstr[[#This Row],[Land]]-TblExplore[[#This Row],[Land Bonus]]*20))</f>
        <v>0</v>
      </c>
      <c r="AJ43" s="188">
        <f ca="1">MIN(25%,(TblConstr[[#This Row],[Tot Fac]]+TblConstr[[#This Row],[Dest Fac]])/TblConstr[[#This Row],[Land]])</f>
        <v>0</v>
      </c>
      <c r="AK43" s="97">
        <f ca="1">TblProd[[#This Row],[Platinum]]</f>
        <v>314832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50"/>
      <c r="AV43" s="97">
        <f ca="1">ROUND((TblConstr[[#This Row],[Land]]-250 - IF(TblExplore[[#This Row],[Land Bonus]]&lt;&gt;0,20,0))*1.25 + 850 + 0,0)</f>
        <v>850</v>
      </c>
      <c r="AW43" s="97">
        <f ca="1">ROUND((TblConstr[[#This Row],[Land]]-250 - IF(TblExplore[[#This Row],[Land Bonus]]&lt;&gt;0,20,0))*0.285 + 87.5 + 0/4.25,0)</f>
        <v>88</v>
      </c>
      <c r="AX43" s="162"/>
      <c r="AY43" s="196" cm="1">
        <f t="array" aca="1" ref="AY43" ca="1">IF(TblConstr[[#This Row],[Hour]:[Hour]]&gt;12,OFFSET(TblConstr[[#This Row],[Hom]],-12,0),0)+OFFSET(TblConstr[[#This Row],[Tot Hom]],-1,0)-TblConstr[[#This Row],[Dest Hom]]</f>
        <v>10</v>
      </c>
      <c r="AZ43" s="197" cm="1">
        <f t="array" aca="1" ref="AZ43" ca="1">IF(TblConstr[[#This Row],[Hour]:[Hour]]&gt;12,OFFSET(TblConstr[[#This Row],[Alc]],-12,0),0)+OFFSET(TblConstr[[#This Row],[Tot Alc]],-1,0)-TblConstr[[#This Row],[Dest Alc]]</f>
        <v>30</v>
      </c>
      <c r="BA43" s="197" cm="1">
        <f t="array" aca="1" ref="BA43" ca="1">IF(TblConstr[[#This Row],[Hour]:[Hour]]&gt;12,OFFSET(TblConstr[[#This Row],[Far]],-12,0),0)+OFFSET(TblConstr[[#This Row],[Tot Farm]],-1,0)-TblConstr[[#This Row],[Dest Farm]]</f>
        <v>30</v>
      </c>
      <c r="BB43" s="197" cm="1">
        <f t="array" aca="1" ref="BB43" ca="1">IF(TblConstr[[#This Row],[Hour]:[Hour]]&gt;12,OFFSET(TblConstr[[#This Row],[Smi]],-12,0),0)+OFFSET(TblConstr[[#This Row],[Tot Smi]],-1,0)-TblConstr[[#This Row],[Dest Smi]]</f>
        <v>0</v>
      </c>
      <c r="BC43" s="197" cm="1">
        <f t="array" aca="1" ref="BC43" ca="1">IF(TblConstr[[#This Row],[Hour]:[Hour]]&gt;12,OFFSET(TblConstr[[#This Row],[Mas]],-12,0),0)+OFFSET(TblConstr[[#This Row],[Tot Mas]],-1,0)-TblConstr[[#This Row],[Dest Mas]]</f>
        <v>0</v>
      </c>
      <c r="BD43" s="198" cm="1">
        <f t="array" aca="1" ref="BD43" ca="1">IF(TblConstr[[#This Row],[Hour]:[Hour]]&gt;12,OFFSET(TblConstr[[#This Row],[Ly]],-12,0),0)+OFFSET(TblConstr[[#This Row],[Tot Ly]],-1,0)-TblConstr[[#This Row],[Dest Ly]]</f>
        <v>20</v>
      </c>
      <c r="BE43" s="198" cm="1">
        <f t="array" aca="1" ref="BE43" ca="1">IF(TblConstr[[#This Row],[Hour]:[Hour]]&gt;12,OFFSET(TblConstr[[#This Row],[Hav]],-12,0),0)+OFFSET(TblConstr[[#This Row],[Tot Hav]],-1,0)-TblConstr[[#This Row],[Dest Hav]]</f>
        <v>0</v>
      </c>
      <c r="BF43" s="392" cm="1">
        <f t="array" aca="1" ref="BF43" ca="1">IF(TblConstr[[#This Row],[Hour]:[Hour]]&gt;12,OFFSET(TblConstr[[#This Row],[OM]],-12,0),0)+OFFSET(TblConstr[[#This Row],[Tot OM]],-1,0)-TblConstr[[#This Row],[Dest OM]]</f>
        <v>0</v>
      </c>
      <c r="BG43" s="392" cm="1">
        <f t="array" aca="1" ref="BG43" ca="1">IF(TblConstr[[#This Row],[Hour]:[Hour]]&gt;12,OFFSET(TblConstr[[#This Row],[GN]],-12,0),0)+OFFSET(TblConstr[[#This Row],[Tot GN]],-1,0)-TblConstr[[#This Row],[Dest GN]]</f>
        <v>0</v>
      </c>
      <c r="BH43" s="396" cm="1">
        <f t="array" aca="1" ref="BH43" ca="1">IF(TblConstr[[#This Row],[Hour]:[Hour]]&gt;12,OFFSET(TblConstr[[#This Row],[Fac]],-12,0),0)+OFFSET(TblConstr[[#This Row],[Tot Fac]],-1,0)-TblConstr[[#This Row],[Dest Fac]]</f>
        <v>0</v>
      </c>
      <c r="BI43" s="396" cm="1">
        <f t="array" aca="1" ref="BI43" ca="1">IF(TblConstr[[#This Row],[Hour]:[Hour]]&gt;12,OFFSET(TblConstr[[#This Row],[GT]],-12,0),0)+OFFSET(TblConstr[[#This Row],[Tot GT]],-1,0)-TblConstr[[#This Row],[Dest GT]]</f>
        <v>0</v>
      </c>
      <c r="BJ43" s="396" cm="1">
        <f t="array" aca="1" ref="BJ43" ca="1">IF(TblConstr[[#This Row],[Hour]:[Hour]]&gt;12,OFFSET(TblConstr[[#This Row],[Bar]],-12,0),0)+OFFSET(TblConstr[[#This Row],[Tot Bar]],-1,0)-TblConstr[[#This Row],[Dest Bar]]</f>
        <v>0</v>
      </c>
      <c r="BK43" s="396" cm="1">
        <f t="array" aca="1" ref="BK43" ca="1">IF(TblConstr[[#This Row],[Hour]:[Hour]]&gt;12,OFFSET(TblConstr[[#This Row],[Shr]],-12,0),0)+OFFSET(TblConstr[[#This Row],[Tot Shr]],-1,0)-TblConstr[[#This Row],[Dest Shr]]</f>
        <v>0</v>
      </c>
      <c r="BL43" s="400" cm="1">
        <f t="array" aca="1" ref="BL43" ca="1">IF(TblConstr[[#This Row],[Hour]:[Hour]]&gt;12,OFFSET(TblConstr[[#This Row],[Tow]],-12,0),0)+OFFSET(TblConstr[[#This Row],[Tot Tow]],-1,0)-TblConstr[[#This Row],[Dest Tow]]</f>
        <v>0</v>
      </c>
      <c r="BM43" s="400" cm="1">
        <f t="array" aca="1" ref="BM43" ca="1">IF(TblConstr[[#This Row],[Hour]:[Hour]]&gt;12,OFFSET(TblConstr[[#This Row],[Tem]],-12,0),0)+OFFSET(TblConstr[[#This Row],[Tot Tem]],-1,0)-TblConstr[[#This Row],[Dest Tem]]</f>
        <v>0</v>
      </c>
      <c r="BN43" s="400" cm="1">
        <f t="array" aca="1" ref="BN43" ca="1">IF(TblConstr[[#This Row],[Hour]:[Hour]]&gt;12,OFFSET(TblConstr[[#This Row],[WG]],-12,0),0)+OFFSET(TblConstr[[#This Row],[Tot WG]],-1,0)-TblConstr[[#This Row],[Dest WG]]</f>
        <v>0</v>
      </c>
      <c r="BO43" s="199" cm="1">
        <f t="array" aca="1" ref="BO43" ca="1">IF(TblConstr[[#This Row],[Hour]:[Hour]]&gt;12,OFFSET(TblConstr[[#This Row],[DM]],-12,0),0)+OFFSET(TblConstr[[#This Row],[Tot DM]],-1,0)-TblConstr[[#This Row],[Dest DM]]</f>
        <v>0</v>
      </c>
      <c r="BP43" s="199" cm="1">
        <f t="array" aca="1" ref="BP43" ca="1">IF(TblConstr[[#This Row],[Hour]:[Hour]]&gt;12,OFFSET(TblConstr[[#This Row],[Sch]],-12,0),0)+OFFSET(TblConstr[[#This Row],[Tot Sch]],-1,0)-TblConstr[[#This Row],[Dest Sch]]</f>
        <v>0</v>
      </c>
      <c r="BQ43" s="200" cm="1">
        <f t="array" aca="1" ref="BQ43" ca="1">IF(TblConstr[[#This Row],[Hour]:[Hour]]&gt;12,OFFSET(TblConstr[[#This Row],[Doc]],-12,0),0)+OFFSET(TblConstr[[#This Row],[Tot Doc]],-1,0)-TblConstr[[#This Row],[Dest Doc]]</f>
        <v>0</v>
      </c>
      <c r="BR43" s="150"/>
      <c r="BS43" s="162"/>
      <c r="BT43" s="97">
        <f ca="1">TblConstr[[#This Row],[Land]]</f>
        <v>250</v>
      </c>
      <c r="BU43" s="167">
        <f ca="1">TblImps[[#This Row],[Time]]</f>
        <v>44812.374999999905</v>
      </c>
      <c r="BV43" s="150"/>
      <c r="BW43" s="187"/>
      <c r="BX43" s="187"/>
      <c r="BY43" s="187"/>
      <c r="BZ43" s="187"/>
      <c r="CA43" s="187"/>
      <c r="CB43" s="187"/>
      <c r="CC43" s="187"/>
      <c r="CD43" s="187"/>
      <c r="CE43" s="187"/>
      <c r="CF43" s="187"/>
      <c r="CG43" s="187"/>
      <c r="CH43" s="187"/>
      <c r="CI43" s="187"/>
      <c r="CJ43" s="187"/>
      <c r="CK43" s="187"/>
      <c r="CL43" s="187"/>
      <c r="CM43" s="187"/>
      <c r="CN43" s="187"/>
      <c r="CO43" s="187"/>
      <c r="CP43" s="150"/>
      <c r="CQ43" s="189">
        <f ca="1">-SUM(TblConstr[[#This Row],[Alc]:[Mas]])+SUM(TblConstr[[#This Row],[Dest Alc]:[Dest Mas]])+Rezone!L43+IF("Ch_"&amp; home_land=TblConstr[[#Headers],[Ch_Plain]],TblConstr[[#This Row],[Home Land]])+IF(TblConstr[[#This Row],[Hour]:[Hour]]&gt;12,OFFSET(TblExplore[[#This Row],[Plains Explore]],-12,0),0)</f>
        <v>0</v>
      </c>
      <c r="CR43" s="190">
        <f ca="1">-SUM(TblConstr[[#This Row],[Ly]:[Hav]])+SUM(TblConstr[[#This Row],[Dest Ly]:[Dest Hav]]) +Rezone!M43 + IF("Ch_"&amp; home_land=TblConstr[[#Headers],[Ch_Forest]],TblConstr[[#This Row],[Home Land]])+IF(TblConstr[[#This Row],[Hour]:[Hour]]&gt;12,OFFSET(TblExplore[[#This Row],[Forest Explore]],-12,0),0)</f>
        <v>0</v>
      </c>
      <c r="CS43" s="390">
        <f ca="1">-SUM(TblConstr[[#This Row],[OM]:[GN]])+SUM(TblConstr[[#This Row],[Dest OM]:[Dest GN]]) +Rezone!N43 + IF("Ch_"&amp; home_land=TblConstr[[#Headers],[Ch_Mountain]],TblConstr[[#This Row],[Home Land]])+IF(TblConstr[[#This Row],[Hour]:[Hour]]&gt;12,OFFSET(TblExplore[[#This Row],[Mountain Explore]],-12,0),0)</f>
        <v>0</v>
      </c>
      <c r="CT43" s="191">
        <f ca="1">-SUM(TblConstr[[#This Row],[Fac]:[Shr]])+SUM(TblConstr[[#This Row],[Dest Fac]:[Dest Shr]]) +Rezone!O43 + IF("Ch_" &amp; home_land=TblConstr[[#Headers],[Ch_Hill]],TblConstr[[#This Row],[Home Land]])+IF(TblConstr[[#This Row],[Hour]:[Hour]]&gt;12,OFFSET(TblExplore[[#This Row],[Hill Explore]],-12,0),0)</f>
        <v>0</v>
      </c>
      <c r="CU43" s="192">
        <f ca="1">-SUM(TblConstr[[#This Row],[Tow]:[WG]])+SUM(TblConstr[[#This Row],[Dest Tow]:[Dest WG]]) +Rezone!P43 + IF("Ch_" &amp; home_land=TblConstr[[#Headers],[Ch_Swamp]],TblConstr[[#This Row],[Home Land]])+IF(TblConstr[[#This Row],[Hour]:[Hour]]&gt;12,OFFSET(TblExplore[[#This Row],[Swamp Explore]],-12,0),0)</f>
        <v>0</v>
      </c>
      <c r="CV43" s="193">
        <f ca="1" xml:space="preserve"> - SUM(TblConstr[[#This Row],[DM]:[Sch]])+SUM(TblConstr[[#This Row],[Dest DM]:[Dest Sch]]) +Rezone!Q43 + IF("Ch_" &amp; home_land=TblConstr[[#Headers],[Ch_Cavern]],TblConstr[[#This Row],[Home Land]])+IF(TblConstr[[#This Row],[Hour]:[Hour]]&gt;12,OFFSET(TblExplore[[#This Row],[Cavern Explore]],-12,0),0)</f>
        <v>0</v>
      </c>
      <c r="CW43" s="194">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50"/>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83">
        <f>TblRezone[[#This Row],[Hour]]</f>
        <v>41</v>
      </c>
      <c r="B44" s="184">
        <f ca="1">SUM(TblConstr[[#This Row],[Plain]:[Water]])</f>
        <v>160</v>
      </c>
      <c r="C44" s="185">
        <f ca="1">SUM(TblConstr[[#This Row],[Tot Hom]:[Tot Doc]])</f>
        <v>90</v>
      </c>
      <c r="D44" s="185">
        <f t="shared" si="2"/>
        <v>0</v>
      </c>
      <c r="E44" s="186"/>
      <c r="F44" s="62">
        <f ca="1">TblConstr[[#This Row],[Barren]]+TblConstr[[#This Row],[Buildings]]+TblConstr[[#This Row],[Incoming]]</f>
        <v>250</v>
      </c>
      <c r="G44" s="195">
        <f ca="1">OFFSET(TblConstr[[#This Row],[Plain]],-1,0)+TblConstr[[#This Row],[Ch_Plain]]</f>
        <v>40</v>
      </c>
      <c r="H44" s="190">
        <f ca="1">OFFSET(TblConstr[[#This Row],[Forest]],-1,0)+TblConstr[[#This Row],[Ch_Forest]]</f>
        <v>20</v>
      </c>
      <c r="I44" s="390">
        <f ca="1">OFFSET(TblConstr[[#This Row],[Mountain]],-1,0)+TblConstr[[#This Row],[Ch_Mountain]]</f>
        <v>20</v>
      </c>
      <c r="J44" s="394">
        <f ca="1">OFFSET(TblConstr[[#This Row],[Hill]],-1,0)+TblConstr[[#This Row],[Ch_Hill]]</f>
        <v>20</v>
      </c>
      <c r="K44" s="398">
        <f ca="1">OFFSET(TblConstr[[#This Row],[Swamp]],-1,0)+TblConstr[[#This Row],[Ch_Swamp]]</f>
        <v>20</v>
      </c>
      <c r="L44" s="193">
        <f ca="1">OFFSET(TblConstr[[#This Row],[Cavern]],-1,0)+TblConstr[[#This Row],[Ch_Cavern]]</f>
        <v>20</v>
      </c>
      <c r="M44" s="194">
        <f ca="1">OFFSET(TblConstr[[#This Row],[Water]],-1,0)+TblConstr[[#This Row],[Ch_Water]]</f>
        <v>20</v>
      </c>
      <c r="N44" s="388">
        <f>TblRezone[[#This Row],[Hour]]</f>
        <v>41</v>
      </c>
      <c r="O44" s="187"/>
      <c r="P44" s="187"/>
      <c r="Q44" s="187"/>
      <c r="R44" s="166"/>
      <c r="S44" s="187"/>
      <c r="T44" s="187"/>
      <c r="U44" s="187"/>
      <c r="V44" s="187"/>
      <c r="W44" s="187"/>
      <c r="X44" s="187"/>
      <c r="Y44" s="187"/>
      <c r="Z44" s="187"/>
      <c r="AA44" s="187"/>
      <c r="AB44" s="187"/>
      <c r="AC44" s="187"/>
      <c r="AD44" s="187"/>
      <c r="AE44" s="187"/>
      <c r="AF44" s="187"/>
      <c r="AG44" s="187"/>
      <c r="AH44" s="53">
        <f ca="1">TblImps[[#This Row],[Time]]</f>
        <v>44812.41666666657</v>
      </c>
      <c r="AI44" s="188">
        <f ca="1">MIN(25%,(TblConstr[[#This Row],[Tot Fac]]+TblConstr[[#This Row],[Dest Fac]])/(TblConstr[[#This Row],[Land]]-TblExplore[[#This Row],[Land Bonus]]*20))</f>
        <v>0</v>
      </c>
      <c r="AJ44" s="188">
        <f ca="1">MIN(25%,(TblConstr[[#This Row],[Tot Fac]]+TblConstr[[#This Row],[Dest Fac]])/TblConstr[[#This Row],[Land]])</f>
        <v>0</v>
      </c>
      <c r="AK44" s="97">
        <f ca="1">TblProd[[#This Row],[Platinum]]</f>
        <v>320318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50"/>
      <c r="AV44" s="97">
        <f ca="1">ROUND((TblConstr[[#This Row],[Land]]-250 - IF(TblExplore[[#This Row],[Land Bonus]]&lt;&gt;0,20,0))*1.25 + 850 + 0,0)</f>
        <v>850</v>
      </c>
      <c r="AW44" s="97">
        <f ca="1">ROUND((TblConstr[[#This Row],[Land]]-250 - IF(TblExplore[[#This Row],[Land Bonus]]&lt;&gt;0,20,0))*0.285 + 87.5 + 0/4.25,0)</f>
        <v>88</v>
      </c>
      <c r="AX44" s="162"/>
      <c r="AY44" s="196" cm="1">
        <f t="array" aca="1" ref="AY44" ca="1">IF(TblConstr[[#This Row],[Hour]:[Hour]]&gt;12,OFFSET(TblConstr[[#This Row],[Hom]],-12,0),0)+OFFSET(TblConstr[[#This Row],[Tot Hom]],-1,0)-TblConstr[[#This Row],[Dest Hom]]</f>
        <v>10</v>
      </c>
      <c r="AZ44" s="197" cm="1">
        <f t="array" aca="1" ref="AZ44" ca="1">IF(TblConstr[[#This Row],[Hour]:[Hour]]&gt;12,OFFSET(TblConstr[[#This Row],[Alc]],-12,0),0)+OFFSET(TblConstr[[#This Row],[Tot Alc]],-1,0)-TblConstr[[#This Row],[Dest Alc]]</f>
        <v>30</v>
      </c>
      <c r="BA44" s="197" cm="1">
        <f t="array" aca="1" ref="BA44" ca="1">IF(TblConstr[[#This Row],[Hour]:[Hour]]&gt;12,OFFSET(TblConstr[[#This Row],[Far]],-12,0),0)+OFFSET(TblConstr[[#This Row],[Tot Farm]],-1,0)-TblConstr[[#This Row],[Dest Farm]]</f>
        <v>30</v>
      </c>
      <c r="BB44" s="197" cm="1">
        <f t="array" aca="1" ref="BB44" ca="1">IF(TblConstr[[#This Row],[Hour]:[Hour]]&gt;12,OFFSET(TblConstr[[#This Row],[Smi]],-12,0),0)+OFFSET(TblConstr[[#This Row],[Tot Smi]],-1,0)-TblConstr[[#This Row],[Dest Smi]]</f>
        <v>0</v>
      </c>
      <c r="BC44" s="197" cm="1">
        <f t="array" aca="1" ref="BC44" ca="1">IF(TblConstr[[#This Row],[Hour]:[Hour]]&gt;12,OFFSET(TblConstr[[#This Row],[Mas]],-12,0),0)+OFFSET(TblConstr[[#This Row],[Tot Mas]],-1,0)-TblConstr[[#This Row],[Dest Mas]]</f>
        <v>0</v>
      </c>
      <c r="BD44" s="198" cm="1">
        <f t="array" aca="1" ref="BD44" ca="1">IF(TblConstr[[#This Row],[Hour]:[Hour]]&gt;12,OFFSET(TblConstr[[#This Row],[Ly]],-12,0),0)+OFFSET(TblConstr[[#This Row],[Tot Ly]],-1,0)-TblConstr[[#This Row],[Dest Ly]]</f>
        <v>20</v>
      </c>
      <c r="BE44" s="198" cm="1">
        <f t="array" aca="1" ref="BE44" ca="1">IF(TblConstr[[#This Row],[Hour]:[Hour]]&gt;12,OFFSET(TblConstr[[#This Row],[Hav]],-12,0),0)+OFFSET(TblConstr[[#This Row],[Tot Hav]],-1,0)-TblConstr[[#This Row],[Dest Hav]]</f>
        <v>0</v>
      </c>
      <c r="BF44" s="392" cm="1">
        <f t="array" aca="1" ref="BF44" ca="1">IF(TblConstr[[#This Row],[Hour]:[Hour]]&gt;12,OFFSET(TblConstr[[#This Row],[OM]],-12,0),0)+OFFSET(TblConstr[[#This Row],[Tot OM]],-1,0)-TblConstr[[#This Row],[Dest OM]]</f>
        <v>0</v>
      </c>
      <c r="BG44" s="392" cm="1">
        <f t="array" aca="1" ref="BG44" ca="1">IF(TblConstr[[#This Row],[Hour]:[Hour]]&gt;12,OFFSET(TblConstr[[#This Row],[GN]],-12,0),0)+OFFSET(TblConstr[[#This Row],[Tot GN]],-1,0)-TblConstr[[#This Row],[Dest GN]]</f>
        <v>0</v>
      </c>
      <c r="BH44" s="396" cm="1">
        <f t="array" aca="1" ref="BH44" ca="1">IF(TblConstr[[#This Row],[Hour]:[Hour]]&gt;12,OFFSET(TblConstr[[#This Row],[Fac]],-12,0),0)+OFFSET(TblConstr[[#This Row],[Tot Fac]],-1,0)-TblConstr[[#This Row],[Dest Fac]]</f>
        <v>0</v>
      </c>
      <c r="BI44" s="396" cm="1">
        <f t="array" aca="1" ref="BI44" ca="1">IF(TblConstr[[#This Row],[Hour]:[Hour]]&gt;12,OFFSET(TblConstr[[#This Row],[GT]],-12,0),0)+OFFSET(TblConstr[[#This Row],[Tot GT]],-1,0)-TblConstr[[#This Row],[Dest GT]]</f>
        <v>0</v>
      </c>
      <c r="BJ44" s="396" cm="1">
        <f t="array" aca="1" ref="BJ44" ca="1">IF(TblConstr[[#This Row],[Hour]:[Hour]]&gt;12,OFFSET(TblConstr[[#This Row],[Bar]],-12,0),0)+OFFSET(TblConstr[[#This Row],[Tot Bar]],-1,0)-TblConstr[[#This Row],[Dest Bar]]</f>
        <v>0</v>
      </c>
      <c r="BK44" s="396" cm="1">
        <f t="array" aca="1" ref="BK44" ca="1">IF(TblConstr[[#This Row],[Hour]:[Hour]]&gt;12,OFFSET(TblConstr[[#This Row],[Shr]],-12,0),0)+OFFSET(TblConstr[[#This Row],[Tot Shr]],-1,0)-TblConstr[[#This Row],[Dest Shr]]</f>
        <v>0</v>
      </c>
      <c r="BL44" s="400" cm="1">
        <f t="array" aca="1" ref="BL44" ca="1">IF(TblConstr[[#This Row],[Hour]:[Hour]]&gt;12,OFFSET(TblConstr[[#This Row],[Tow]],-12,0),0)+OFFSET(TblConstr[[#This Row],[Tot Tow]],-1,0)-TblConstr[[#This Row],[Dest Tow]]</f>
        <v>0</v>
      </c>
      <c r="BM44" s="400" cm="1">
        <f t="array" aca="1" ref="BM44" ca="1">IF(TblConstr[[#This Row],[Hour]:[Hour]]&gt;12,OFFSET(TblConstr[[#This Row],[Tem]],-12,0),0)+OFFSET(TblConstr[[#This Row],[Tot Tem]],-1,0)-TblConstr[[#This Row],[Dest Tem]]</f>
        <v>0</v>
      </c>
      <c r="BN44" s="400" cm="1">
        <f t="array" aca="1" ref="BN44" ca="1">IF(TblConstr[[#This Row],[Hour]:[Hour]]&gt;12,OFFSET(TblConstr[[#This Row],[WG]],-12,0),0)+OFFSET(TblConstr[[#This Row],[Tot WG]],-1,0)-TblConstr[[#This Row],[Dest WG]]</f>
        <v>0</v>
      </c>
      <c r="BO44" s="199" cm="1">
        <f t="array" aca="1" ref="BO44" ca="1">IF(TblConstr[[#This Row],[Hour]:[Hour]]&gt;12,OFFSET(TblConstr[[#This Row],[DM]],-12,0),0)+OFFSET(TblConstr[[#This Row],[Tot DM]],-1,0)-TblConstr[[#This Row],[Dest DM]]</f>
        <v>0</v>
      </c>
      <c r="BP44" s="199" cm="1">
        <f t="array" aca="1" ref="BP44" ca="1">IF(TblConstr[[#This Row],[Hour]:[Hour]]&gt;12,OFFSET(TblConstr[[#This Row],[Sch]],-12,0),0)+OFFSET(TblConstr[[#This Row],[Tot Sch]],-1,0)-TblConstr[[#This Row],[Dest Sch]]</f>
        <v>0</v>
      </c>
      <c r="BQ44" s="200" cm="1">
        <f t="array" aca="1" ref="BQ44" ca="1">IF(TblConstr[[#This Row],[Hour]:[Hour]]&gt;12,OFFSET(TblConstr[[#This Row],[Doc]],-12,0),0)+OFFSET(TblConstr[[#This Row],[Tot Doc]],-1,0)-TblConstr[[#This Row],[Dest Doc]]</f>
        <v>0</v>
      </c>
      <c r="BR44" s="150"/>
      <c r="BS44" s="162"/>
      <c r="BT44" s="97">
        <f ca="1">TblConstr[[#This Row],[Land]]</f>
        <v>250</v>
      </c>
      <c r="BU44" s="167">
        <f ca="1">TblImps[[#This Row],[Time]]</f>
        <v>44812.41666666657</v>
      </c>
      <c r="BV44" s="150"/>
      <c r="BW44" s="187"/>
      <c r="BX44" s="187"/>
      <c r="BY44" s="187"/>
      <c r="BZ44" s="187"/>
      <c r="CA44" s="187"/>
      <c r="CB44" s="187"/>
      <c r="CC44" s="187"/>
      <c r="CD44" s="187"/>
      <c r="CE44" s="187"/>
      <c r="CF44" s="187"/>
      <c r="CG44" s="187"/>
      <c r="CH44" s="187"/>
      <c r="CI44" s="187"/>
      <c r="CJ44" s="187"/>
      <c r="CK44" s="187"/>
      <c r="CL44" s="187"/>
      <c r="CM44" s="187"/>
      <c r="CN44" s="187"/>
      <c r="CO44" s="187"/>
      <c r="CP44" s="150"/>
      <c r="CQ44" s="189">
        <f ca="1">-SUM(TblConstr[[#This Row],[Alc]:[Mas]])+SUM(TblConstr[[#This Row],[Dest Alc]:[Dest Mas]])+Rezone!L44+IF("Ch_"&amp; home_land=TblConstr[[#Headers],[Ch_Plain]],TblConstr[[#This Row],[Home Land]])+IF(TblConstr[[#This Row],[Hour]:[Hour]]&gt;12,OFFSET(TblExplore[[#This Row],[Plains Explore]],-12,0),0)</f>
        <v>0</v>
      </c>
      <c r="CR44" s="190">
        <f ca="1">-SUM(TblConstr[[#This Row],[Ly]:[Hav]])+SUM(TblConstr[[#This Row],[Dest Ly]:[Dest Hav]]) +Rezone!M44 + IF("Ch_"&amp; home_land=TblConstr[[#Headers],[Ch_Forest]],TblConstr[[#This Row],[Home Land]])+IF(TblConstr[[#This Row],[Hour]:[Hour]]&gt;12,OFFSET(TblExplore[[#This Row],[Forest Explore]],-12,0),0)</f>
        <v>0</v>
      </c>
      <c r="CS44" s="390">
        <f ca="1">-SUM(TblConstr[[#This Row],[OM]:[GN]])+SUM(TblConstr[[#This Row],[Dest OM]:[Dest GN]]) +Rezone!N44 + IF("Ch_"&amp; home_land=TblConstr[[#Headers],[Ch_Mountain]],TblConstr[[#This Row],[Home Land]])+IF(TblConstr[[#This Row],[Hour]:[Hour]]&gt;12,OFFSET(TblExplore[[#This Row],[Mountain Explore]],-12,0),0)</f>
        <v>0</v>
      </c>
      <c r="CT44" s="191">
        <f ca="1">-SUM(TblConstr[[#This Row],[Fac]:[Shr]])+SUM(TblConstr[[#This Row],[Dest Fac]:[Dest Shr]]) +Rezone!O44 + IF("Ch_" &amp; home_land=TblConstr[[#Headers],[Ch_Hill]],TblConstr[[#This Row],[Home Land]])+IF(TblConstr[[#This Row],[Hour]:[Hour]]&gt;12,OFFSET(TblExplore[[#This Row],[Hill Explore]],-12,0),0)</f>
        <v>0</v>
      </c>
      <c r="CU44" s="192">
        <f ca="1">-SUM(TblConstr[[#This Row],[Tow]:[WG]])+SUM(TblConstr[[#This Row],[Dest Tow]:[Dest WG]]) +Rezone!P44 + IF("Ch_" &amp; home_land=TblConstr[[#Headers],[Ch_Swamp]],TblConstr[[#This Row],[Home Land]])+IF(TblConstr[[#This Row],[Hour]:[Hour]]&gt;12,OFFSET(TblExplore[[#This Row],[Swamp Explore]],-12,0),0)</f>
        <v>0</v>
      </c>
      <c r="CV44" s="193">
        <f ca="1" xml:space="preserve"> - SUM(TblConstr[[#This Row],[DM]:[Sch]])+SUM(TblConstr[[#This Row],[Dest DM]:[Dest Sch]]) +Rezone!Q44 + IF("Ch_" &amp; home_land=TblConstr[[#Headers],[Ch_Cavern]],TblConstr[[#This Row],[Home Land]])+IF(TblConstr[[#This Row],[Hour]:[Hour]]&gt;12,OFFSET(TblExplore[[#This Row],[Cavern Explore]],-12,0),0)</f>
        <v>0</v>
      </c>
      <c r="CW44" s="194">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50"/>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83">
        <f>TblRezone[[#This Row],[Hour]]</f>
        <v>42</v>
      </c>
      <c r="B45" s="184">
        <f ca="1">SUM(TblConstr[[#This Row],[Plain]:[Water]])</f>
        <v>160</v>
      </c>
      <c r="C45" s="185">
        <f ca="1">SUM(TblConstr[[#This Row],[Tot Hom]:[Tot Doc]])</f>
        <v>90</v>
      </c>
      <c r="D45" s="185">
        <f t="shared" si="2"/>
        <v>0</v>
      </c>
      <c r="E45" s="186"/>
      <c r="F45" s="62">
        <f ca="1">TblConstr[[#This Row],[Barren]]+TblConstr[[#This Row],[Buildings]]+TblConstr[[#This Row],[Incoming]]</f>
        <v>250</v>
      </c>
      <c r="G45" s="195">
        <f ca="1">OFFSET(TblConstr[[#This Row],[Plain]],-1,0)+TblConstr[[#This Row],[Ch_Plain]]</f>
        <v>40</v>
      </c>
      <c r="H45" s="190">
        <f ca="1">OFFSET(TblConstr[[#This Row],[Forest]],-1,0)+TblConstr[[#This Row],[Ch_Forest]]</f>
        <v>20</v>
      </c>
      <c r="I45" s="390">
        <f ca="1">OFFSET(TblConstr[[#This Row],[Mountain]],-1,0)+TblConstr[[#This Row],[Ch_Mountain]]</f>
        <v>20</v>
      </c>
      <c r="J45" s="394">
        <f ca="1">OFFSET(TblConstr[[#This Row],[Hill]],-1,0)+TblConstr[[#This Row],[Ch_Hill]]</f>
        <v>20</v>
      </c>
      <c r="K45" s="398">
        <f ca="1">OFFSET(TblConstr[[#This Row],[Swamp]],-1,0)+TblConstr[[#This Row],[Ch_Swamp]]</f>
        <v>20</v>
      </c>
      <c r="L45" s="193">
        <f ca="1">OFFSET(TblConstr[[#This Row],[Cavern]],-1,0)+TblConstr[[#This Row],[Ch_Cavern]]</f>
        <v>20</v>
      </c>
      <c r="M45" s="194">
        <f ca="1">OFFSET(TblConstr[[#This Row],[Water]],-1,0)+TblConstr[[#This Row],[Ch_Water]]</f>
        <v>20</v>
      </c>
      <c r="N45" s="388">
        <f>TblRezone[[#This Row],[Hour]]</f>
        <v>42</v>
      </c>
      <c r="O45" s="187"/>
      <c r="P45" s="187"/>
      <c r="Q45" s="187"/>
      <c r="R45" s="166"/>
      <c r="S45" s="187"/>
      <c r="T45" s="187"/>
      <c r="U45" s="187"/>
      <c r="V45" s="187"/>
      <c r="W45" s="187"/>
      <c r="X45" s="187"/>
      <c r="Y45" s="187"/>
      <c r="Z45" s="187"/>
      <c r="AA45" s="187"/>
      <c r="AB45" s="187"/>
      <c r="AC45" s="187"/>
      <c r="AD45" s="187"/>
      <c r="AE45" s="187"/>
      <c r="AF45" s="187"/>
      <c r="AG45" s="187"/>
      <c r="AH45" s="53">
        <f ca="1">TblImps[[#This Row],[Time]]</f>
        <v>44812.458333333234</v>
      </c>
      <c r="AI45" s="188">
        <f ca="1">MIN(25%,(TblConstr[[#This Row],[Tot Fac]]+TblConstr[[#This Row],[Dest Fac]])/(TblConstr[[#This Row],[Land]]-TblExplore[[#This Row],[Land Bonus]]*20))</f>
        <v>0</v>
      </c>
      <c r="AJ45" s="188">
        <f ca="1">MIN(25%,(TblConstr[[#This Row],[Tot Fac]]+TblConstr[[#This Row],[Dest Fac]])/TblConstr[[#This Row],[Land]])</f>
        <v>0</v>
      </c>
      <c r="AK45" s="97">
        <f ca="1">TblProd[[#This Row],[Platinum]]</f>
        <v>325804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50"/>
      <c r="AV45" s="97">
        <f ca="1">ROUND((TblConstr[[#This Row],[Land]]-250 - IF(TblExplore[[#This Row],[Land Bonus]]&lt;&gt;0,20,0))*1.25 + 850 + 0,0)</f>
        <v>850</v>
      </c>
      <c r="AW45" s="97">
        <f ca="1">ROUND((TblConstr[[#This Row],[Land]]-250 - IF(TblExplore[[#This Row],[Land Bonus]]&lt;&gt;0,20,0))*0.285 + 87.5 + 0/4.25,0)</f>
        <v>88</v>
      </c>
      <c r="AX45" s="162"/>
      <c r="AY45" s="196" cm="1">
        <f t="array" aca="1" ref="AY45" ca="1">IF(TblConstr[[#This Row],[Hour]:[Hour]]&gt;12,OFFSET(TblConstr[[#This Row],[Hom]],-12,0),0)+OFFSET(TblConstr[[#This Row],[Tot Hom]],-1,0)-TblConstr[[#This Row],[Dest Hom]]</f>
        <v>10</v>
      </c>
      <c r="AZ45" s="197" cm="1">
        <f t="array" aca="1" ref="AZ45" ca="1">IF(TblConstr[[#This Row],[Hour]:[Hour]]&gt;12,OFFSET(TblConstr[[#This Row],[Alc]],-12,0),0)+OFFSET(TblConstr[[#This Row],[Tot Alc]],-1,0)-TblConstr[[#This Row],[Dest Alc]]</f>
        <v>30</v>
      </c>
      <c r="BA45" s="197" cm="1">
        <f t="array" aca="1" ref="BA45" ca="1">IF(TblConstr[[#This Row],[Hour]:[Hour]]&gt;12,OFFSET(TblConstr[[#This Row],[Far]],-12,0),0)+OFFSET(TblConstr[[#This Row],[Tot Farm]],-1,0)-TblConstr[[#This Row],[Dest Farm]]</f>
        <v>30</v>
      </c>
      <c r="BB45" s="197" cm="1">
        <f t="array" aca="1" ref="BB45" ca="1">IF(TblConstr[[#This Row],[Hour]:[Hour]]&gt;12,OFFSET(TblConstr[[#This Row],[Smi]],-12,0),0)+OFFSET(TblConstr[[#This Row],[Tot Smi]],-1,0)-TblConstr[[#This Row],[Dest Smi]]</f>
        <v>0</v>
      </c>
      <c r="BC45" s="197" cm="1">
        <f t="array" aca="1" ref="BC45" ca="1">IF(TblConstr[[#This Row],[Hour]:[Hour]]&gt;12,OFFSET(TblConstr[[#This Row],[Mas]],-12,0),0)+OFFSET(TblConstr[[#This Row],[Tot Mas]],-1,0)-TblConstr[[#This Row],[Dest Mas]]</f>
        <v>0</v>
      </c>
      <c r="BD45" s="198" cm="1">
        <f t="array" aca="1" ref="BD45" ca="1">IF(TblConstr[[#This Row],[Hour]:[Hour]]&gt;12,OFFSET(TblConstr[[#This Row],[Ly]],-12,0),0)+OFFSET(TblConstr[[#This Row],[Tot Ly]],-1,0)-TblConstr[[#This Row],[Dest Ly]]</f>
        <v>20</v>
      </c>
      <c r="BE45" s="198" cm="1">
        <f t="array" aca="1" ref="BE45" ca="1">IF(TblConstr[[#This Row],[Hour]:[Hour]]&gt;12,OFFSET(TblConstr[[#This Row],[Hav]],-12,0),0)+OFFSET(TblConstr[[#This Row],[Tot Hav]],-1,0)-TblConstr[[#This Row],[Dest Hav]]</f>
        <v>0</v>
      </c>
      <c r="BF45" s="392" cm="1">
        <f t="array" aca="1" ref="BF45" ca="1">IF(TblConstr[[#This Row],[Hour]:[Hour]]&gt;12,OFFSET(TblConstr[[#This Row],[OM]],-12,0),0)+OFFSET(TblConstr[[#This Row],[Tot OM]],-1,0)-TblConstr[[#This Row],[Dest OM]]</f>
        <v>0</v>
      </c>
      <c r="BG45" s="392" cm="1">
        <f t="array" aca="1" ref="BG45" ca="1">IF(TblConstr[[#This Row],[Hour]:[Hour]]&gt;12,OFFSET(TblConstr[[#This Row],[GN]],-12,0),0)+OFFSET(TblConstr[[#This Row],[Tot GN]],-1,0)-TblConstr[[#This Row],[Dest GN]]</f>
        <v>0</v>
      </c>
      <c r="BH45" s="396" cm="1">
        <f t="array" aca="1" ref="BH45" ca="1">IF(TblConstr[[#This Row],[Hour]:[Hour]]&gt;12,OFFSET(TblConstr[[#This Row],[Fac]],-12,0),0)+OFFSET(TblConstr[[#This Row],[Tot Fac]],-1,0)-TblConstr[[#This Row],[Dest Fac]]</f>
        <v>0</v>
      </c>
      <c r="BI45" s="396" cm="1">
        <f t="array" aca="1" ref="BI45" ca="1">IF(TblConstr[[#This Row],[Hour]:[Hour]]&gt;12,OFFSET(TblConstr[[#This Row],[GT]],-12,0),0)+OFFSET(TblConstr[[#This Row],[Tot GT]],-1,0)-TblConstr[[#This Row],[Dest GT]]</f>
        <v>0</v>
      </c>
      <c r="BJ45" s="396" cm="1">
        <f t="array" aca="1" ref="BJ45" ca="1">IF(TblConstr[[#This Row],[Hour]:[Hour]]&gt;12,OFFSET(TblConstr[[#This Row],[Bar]],-12,0),0)+OFFSET(TblConstr[[#This Row],[Tot Bar]],-1,0)-TblConstr[[#This Row],[Dest Bar]]</f>
        <v>0</v>
      </c>
      <c r="BK45" s="396" cm="1">
        <f t="array" aca="1" ref="BK45" ca="1">IF(TblConstr[[#This Row],[Hour]:[Hour]]&gt;12,OFFSET(TblConstr[[#This Row],[Shr]],-12,0),0)+OFFSET(TblConstr[[#This Row],[Tot Shr]],-1,0)-TblConstr[[#This Row],[Dest Shr]]</f>
        <v>0</v>
      </c>
      <c r="BL45" s="400" cm="1">
        <f t="array" aca="1" ref="BL45" ca="1">IF(TblConstr[[#This Row],[Hour]:[Hour]]&gt;12,OFFSET(TblConstr[[#This Row],[Tow]],-12,0),0)+OFFSET(TblConstr[[#This Row],[Tot Tow]],-1,0)-TblConstr[[#This Row],[Dest Tow]]</f>
        <v>0</v>
      </c>
      <c r="BM45" s="400" cm="1">
        <f t="array" aca="1" ref="BM45" ca="1">IF(TblConstr[[#This Row],[Hour]:[Hour]]&gt;12,OFFSET(TblConstr[[#This Row],[Tem]],-12,0),0)+OFFSET(TblConstr[[#This Row],[Tot Tem]],-1,0)-TblConstr[[#This Row],[Dest Tem]]</f>
        <v>0</v>
      </c>
      <c r="BN45" s="400" cm="1">
        <f t="array" aca="1" ref="BN45" ca="1">IF(TblConstr[[#This Row],[Hour]:[Hour]]&gt;12,OFFSET(TblConstr[[#This Row],[WG]],-12,0),0)+OFFSET(TblConstr[[#This Row],[Tot WG]],-1,0)-TblConstr[[#This Row],[Dest WG]]</f>
        <v>0</v>
      </c>
      <c r="BO45" s="199" cm="1">
        <f t="array" aca="1" ref="BO45" ca="1">IF(TblConstr[[#This Row],[Hour]:[Hour]]&gt;12,OFFSET(TblConstr[[#This Row],[DM]],-12,0),0)+OFFSET(TblConstr[[#This Row],[Tot DM]],-1,0)-TblConstr[[#This Row],[Dest DM]]</f>
        <v>0</v>
      </c>
      <c r="BP45" s="199" cm="1">
        <f t="array" aca="1" ref="BP45" ca="1">IF(TblConstr[[#This Row],[Hour]:[Hour]]&gt;12,OFFSET(TblConstr[[#This Row],[Sch]],-12,0),0)+OFFSET(TblConstr[[#This Row],[Tot Sch]],-1,0)-TblConstr[[#This Row],[Dest Sch]]</f>
        <v>0</v>
      </c>
      <c r="BQ45" s="200" cm="1">
        <f t="array" aca="1" ref="BQ45" ca="1">IF(TblConstr[[#This Row],[Hour]:[Hour]]&gt;12,OFFSET(TblConstr[[#This Row],[Doc]],-12,0),0)+OFFSET(TblConstr[[#This Row],[Tot Doc]],-1,0)-TblConstr[[#This Row],[Dest Doc]]</f>
        <v>0</v>
      </c>
      <c r="BR45" s="150"/>
      <c r="BS45" s="162"/>
      <c r="BT45" s="97">
        <f ca="1">TblConstr[[#This Row],[Land]]</f>
        <v>250</v>
      </c>
      <c r="BU45" s="167">
        <f ca="1">TblImps[[#This Row],[Time]]</f>
        <v>44812.458333333234</v>
      </c>
      <c r="BV45" s="150"/>
      <c r="BW45" s="187"/>
      <c r="BX45" s="187"/>
      <c r="BY45" s="187"/>
      <c r="BZ45" s="187"/>
      <c r="CA45" s="187"/>
      <c r="CB45" s="187"/>
      <c r="CC45" s="187"/>
      <c r="CD45" s="187"/>
      <c r="CE45" s="187"/>
      <c r="CF45" s="187"/>
      <c r="CG45" s="187"/>
      <c r="CH45" s="187"/>
      <c r="CI45" s="187"/>
      <c r="CJ45" s="187"/>
      <c r="CK45" s="187"/>
      <c r="CL45" s="187"/>
      <c r="CM45" s="187"/>
      <c r="CN45" s="187"/>
      <c r="CO45" s="187"/>
      <c r="CP45" s="150"/>
      <c r="CQ45" s="189">
        <f ca="1">-SUM(TblConstr[[#This Row],[Alc]:[Mas]])+SUM(TblConstr[[#This Row],[Dest Alc]:[Dest Mas]])+Rezone!L45+IF("Ch_"&amp; home_land=TblConstr[[#Headers],[Ch_Plain]],TblConstr[[#This Row],[Home Land]])+IF(TblConstr[[#This Row],[Hour]:[Hour]]&gt;12,OFFSET(TblExplore[[#This Row],[Plains Explore]],-12,0),0)</f>
        <v>0</v>
      </c>
      <c r="CR45" s="190">
        <f ca="1">-SUM(TblConstr[[#This Row],[Ly]:[Hav]])+SUM(TblConstr[[#This Row],[Dest Ly]:[Dest Hav]]) +Rezone!M45 + IF("Ch_"&amp; home_land=TblConstr[[#Headers],[Ch_Forest]],TblConstr[[#This Row],[Home Land]])+IF(TblConstr[[#This Row],[Hour]:[Hour]]&gt;12,OFFSET(TblExplore[[#This Row],[Forest Explore]],-12,0),0)</f>
        <v>0</v>
      </c>
      <c r="CS45" s="390">
        <f ca="1">-SUM(TblConstr[[#This Row],[OM]:[GN]])+SUM(TblConstr[[#This Row],[Dest OM]:[Dest GN]]) +Rezone!N45 + IF("Ch_"&amp; home_land=TblConstr[[#Headers],[Ch_Mountain]],TblConstr[[#This Row],[Home Land]])+IF(TblConstr[[#This Row],[Hour]:[Hour]]&gt;12,OFFSET(TblExplore[[#This Row],[Mountain Explore]],-12,0),0)</f>
        <v>0</v>
      </c>
      <c r="CT45" s="191">
        <f ca="1">-SUM(TblConstr[[#This Row],[Fac]:[Shr]])+SUM(TblConstr[[#This Row],[Dest Fac]:[Dest Shr]]) +Rezone!O45 + IF("Ch_" &amp; home_land=TblConstr[[#Headers],[Ch_Hill]],TblConstr[[#This Row],[Home Land]])+IF(TblConstr[[#This Row],[Hour]:[Hour]]&gt;12,OFFSET(TblExplore[[#This Row],[Hill Explore]],-12,0),0)</f>
        <v>0</v>
      </c>
      <c r="CU45" s="192">
        <f ca="1">-SUM(TblConstr[[#This Row],[Tow]:[WG]])+SUM(TblConstr[[#This Row],[Dest Tow]:[Dest WG]]) +Rezone!P45 + IF("Ch_" &amp; home_land=TblConstr[[#Headers],[Ch_Swamp]],TblConstr[[#This Row],[Home Land]])+IF(TblConstr[[#This Row],[Hour]:[Hour]]&gt;12,OFFSET(TblExplore[[#This Row],[Swamp Explore]],-12,0),0)</f>
        <v>0</v>
      </c>
      <c r="CV45" s="193">
        <f ca="1" xml:space="preserve"> - SUM(TblConstr[[#This Row],[DM]:[Sch]])+SUM(TblConstr[[#This Row],[Dest DM]:[Dest Sch]]) +Rezone!Q45 + IF("Ch_" &amp; home_land=TblConstr[[#Headers],[Ch_Cavern]],TblConstr[[#This Row],[Home Land]])+IF(TblConstr[[#This Row],[Hour]:[Hour]]&gt;12,OFFSET(TblExplore[[#This Row],[Cavern Explore]],-12,0),0)</f>
        <v>0</v>
      </c>
      <c r="CW45" s="194">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50"/>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83">
        <f>TblRezone[[#This Row],[Hour]]</f>
        <v>43</v>
      </c>
      <c r="B46" s="184">
        <f ca="1">SUM(TblConstr[[#This Row],[Plain]:[Water]])</f>
        <v>160</v>
      </c>
      <c r="C46" s="185">
        <f ca="1">SUM(TblConstr[[#This Row],[Tot Hom]:[Tot Doc]])</f>
        <v>90</v>
      </c>
      <c r="D46" s="185">
        <f t="shared" si="2"/>
        <v>0</v>
      </c>
      <c r="E46" s="186"/>
      <c r="F46" s="62">
        <f ca="1">TblConstr[[#This Row],[Barren]]+TblConstr[[#This Row],[Buildings]]+TblConstr[[#This Row],[Incoming]]</f>
        <v>250</v>
      </c>
      <c r="G46" s="195">
        <f ca="1">OFFSET(TblConstr[[#This Row],[Plain]],-1,0)+TblConstr[[#This Row],[Ch_Plain]]</f>
        <v>40</v>
      </c>
      <c r="H46" s="190">
        <f ca="1">OFFSET(TblConstr[[#This Row],[Forest]],-1,0)+TblConstr[[#This Row],[Ch_Forest]]</f>
        <v>20</v>
      </c>
      <c r="I46" s="390">
        <f ca="1">OFFSET(TblConstr[[#This Row],[Mountain]],-1,0)+TblConstr[[#This Row],[Ch_Mountain]]</f>
        <v>20</v>
      </c>
      <c r="J46" s="394">
        <f ca="1">OFFSET(TblConstr[[#This Row],[Hill]],-1,0)+TblConstr[[#This Row],[Ch_Hill]]</f>
        <v>20</v>
      </c>
      <c r="K46" s="398">
        <f ca="1">OFFSET(TblConstr[[#This Row],[Swamp]],-1,0)+TblConstr[[#This Row],[Ch_Swamp]]</f>
        <v>20</v>
      </c>
      <c r="L46" s="193">
        <f ca="1">OFFSET(TblConstr[[#This Row],[Cavern]],-1,0)+TblConstr[[#This Row],[Ch_Cavern]]</f>
        <v>20</v>
      </c>
      <c r="M46" s="194">
        <f ca="1">OFFSET(TblConstr[[#This Row],[Water]],-1,0)+TblConstr[[#This Row],[Ch_Water]]</f>
        <v>20</v>
      </c>
      <c r="N46" s="388">
        <f>TblRezone[[#This Row],[Hour]]</f>
        <v>43</v>
      </c>
      <c r="O46" s="187"/>
      <c r="P46" s="187"/>
      <c r="Q46" s="187"/>
      <c r="R46" s="166"/>
      <c r="S46" s="187"/>
      <c r="T46" s="187"/>
      <c r="U46" s="187"/>
      <c r="V46" s="187"/>
      <c r="W46" s="187"/>
      <c r="X46" s="187"/>
      <c r="Y46" s="187"/>
      <c r="Z46" s="187"/>
      <c r="AA46" s="187"/>
      <c r="AB46" s="187"/>
      <c r="AC46" s="187"/>
      <c r="AD46" s="187"/>
      <c r="AE46" s="187"/>
      <c r="AF46" s="187"/>
      <c r="AG46" s="187"/>
      <c r="AH46" s="53">
        <f ca="1">TblImps[[#This Row],[Time]]</f>
        <v>44812.499999999898</v>
      </c>
      <c r="AI46" s="188">
        <f ca="1">MIN(25%,(TblConstr[[#This Row],[Tot Fac]]+TblConstr[[#This Row],[Dest Fac]])/(TblConstr[[#This Row],[Land]]-TblExplore[[#This Row],[Land Bonus]]*20))</f>
        <v>0</v>
      </c>
      <c r="AJ46" s="188">
        <f ca="1">MIN(25%,(TblConstr[[#This Row],[Tot Fac]]+TblConstr[[#This Row],[Dest Fac]])/TblConstr[[#This Row],[Land]])</f>
        <v>0</v>
      </c>
      <c r="AK46" s="97">
        <f ca="1">TblProd[[#This Row],[Platinum]]</f>
        <v>331290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50"/>
      <c r="AV46" s="97">
        <f ca="1">ROUND((TblConstr[[#This Row],[Land]]-250 - IF(TblExplore[[#This Row],[Land Bonus]]&lt;&gt;0,20,0))*1.25 + 850 + 0,0)</f>
        <v>850</v>
      </c>
      <c r="AW46" s="97">
        <f ca="1">ROUND((TblConstr[[#This Row],[Land]]-250 - IF(TblExplore[[#This Row],[Land Bonus]]&lt;&gt;0,20,0))*0.285 + 87.5 + 0/4.25,0)</f>
        <v>88</v>
      </c>
      <c r="AX46" s="162"/>
      <c r="AY46" s="196" cm="1">
        <f t="array" aca="1" ref="AY46" ca="1">IF(TblConstr[[#This Row],[Hour]:[Hour]]&gt;12,OFFSET(TblConstr[[#This Row],[Hom]],-12,0),0)+OFFSET(TblConstr[[#This Row],[Tot Hom]],-1,0)-TblConstr[[#This Row],[Dest Hom]]</f>
        <v>10</v>
      </c>
      <c r="AZ46" s="197" cm="1">
        <f t="array" aca="1" ref="AZ46" ca="1">IF(TblConstr[[#This Row],[Hour]:[Hour]]&gt;12,OFFSET(TblConstr[[#This Row],[Alc]],-12,0),0)+OFFSET(TblConstr[[#This Row],[Tot Alc]],-1,0)-TblConstr[[#This Row],[Dest Alc]]</f>
        <v>30</v>
      </c>
      <c r="BA46" s="197" cm="1">
        <f t="array" aca="1" ref="BA46" ca="1">IF(TblConstr[[#This Row],[Hour]:[Hour]]&gt;12,OFFSET(TblConstr[[#This Row],[Far]],-12,0),0)+OFFSET(TblConstr[[#This Row],[Tot Farm]],-1,0)-TblConstr[[#This Row],[Dest Farm]]</f>
        <v>30</v>
      </c>
      <c r="BB46" s="197" cm="1">
        <f t="array" aca="1" ref="BB46" ca="1">IF(TblConstr[[#This Row],[Hour]:[Hour]]&gt;12,OFFSET(TblConstr[[#This Row],[Smi]],-12,0),0)+OFFSET(TblConstr[[#This Row],[Tot Smi]],-1,0)-TblConstr[[#This Row],[Dest Smi]]</f>
        <v>0</v>
      </c>
      <c r="BC46" s="197" cm="1">
        <f t="array" aca="1" ref="BC46" ca="1">IF(TblConstr[[#This Row],[Hour]:[Hour]]&gt;12,OFFSET(TblConstr[[#This Row],[Mas]],-12,0),0)+OFFSET(TblConstr[[#This Row],[Tot Mas]],-1,0)-TblConstr[[#This Row],[Dest Mas]]</f>
        <v>0</v>
      </c>
      <c r="BD46" s="198" cm="1">
        <f t="array" aca="1" ref="BD46" ca="1">IF(TblConstr[[#This Row],[Hour]:[Hour]]&gt;12,OFFSET(TblConstr[[#This Row],[Ly]],-12,0),0)+OFFSET(TblConstr[[#This Row],[Tot Ly]],-1,0)-TblConstr[[#This Row],[Dest Ly]]</f>
        <v>20</v>
      </c>
      <c r="BE46" s="198" cm="1">
        <f t="array" aca="1" ref="BE46" ca="1">IF(TblConstr[[#This Row],[Hour]:[Hour]]&gt;12,OFFSET(TblConstr[[#This Row],[Hav]],-12,0),0)+OFFSET(TblConstr[[#This Row],[Tot Hav]],-1,0)-TblConstr[[#This Row],[Dest Hav]]</f>
        <v>0</v>
      </c>
      <c r="BF46" s="392" cm="1">
        <f t="array" aca="1" ref="BF46" ca="1">IF(TblConstr[[#This Row],[Hour]:[Hour]]&gt;12,OFFSET(TblConstr[[#This Row],[OM]],-12,0),0)+OFFSET(TblConstr[[#This Row],[Tot OM]],-1,0)-TblConstr[[#This Row],[Dest OM]]</f>
        <v>0</v>
      </c>
      <c r="BG46" s="392" cm="1">
        <f t="array" aca="1" ref="BG46" ca="1">IF(TblConstr[[#This Row],[Hour]:[Hour]]&gt;12,OFFSET(TblConstr[[#This Row],[GN]],-12,0),0)+OFFSET(TblConstr[[#This Row],[Tot GN]],-1,0)-TblConstr[[#This Row],[Dest GN]]</f>
        <v>0</v>
      </c>
      <c r="BH46" s="396" cm="1">
        <f t="array" aca="1" ref="BH46" ca="1">IF(TblConstr[[#This Row],[Hour]:[Hour]]&gt;12,OFFSET(TblConstr[[#This Row],[Fac]],-12,0),0)+OFFSET(TblConstr[[#This Row],[Tot Fac]],-1,0)-TblConstr[[#This Row],[Dest Fac]]</f>
        <v>0</v>
      </c>
      <c r="BI46" s="396" cm="1">
        <f t="array" aca="1" ref="BI46" ca="1">IF(TblConstr[[#This Row],[Hour]:[Hour]]&gt;12,OFFSET(TblConstr[[#This Row],[GT]],-12,0),0)+OFFSET(TblConstr[[#This Row],[Tot GT]],-1,0)-TblConstr[[#This Row],[Dest GT]]</f>
        <v>0</v>
      </c>
      <c r="BJ46" s="396" cm="1">
        <f t="array" aca="1" ref="BJ46" ca="1">IF(TblConstr[[#This Row],[Hour]:[Hour]]&gt;12,OFFSET(TblConstr[[#This Row],[Bar]],-12,0),0)+OFFSET(TblConstr[[#This Row],[Tot Bar]],-1,0)-TblConstr[[#This Row],[Dest Bar]]</f>
        <v>0</v>
      </c>
      <c r="BK46" s="396" cm="1">
        <f t="array" aca="1" ref="BK46" ca="1">IF(TblConstr[[#This Row],[Hour]:[Hour]]&gt;12,OFFSET(TblConstr[[#This Row],[Shr]],-12,0),0)+OFFSET(TblConstr[[#This Row],[Tot Shr]],-1,0)-TblConstr[[#This Row],[Dest Shr]]</f>
        <v>0</v>
      </c>
      <c r="BL46" s="400" cm="1">
        <f t="array" aca="1" ref="BL46" ca="1">IF(TblConstr[[#This Row],[Hour]:[Hour]]&gt;12,OFFSET(TblConstr[[#This Row],[Tow]],-12,0),0)+OFFSET(TblConstr[[#This Row],[Tot Tow]],-1,0)-TblConstr[[#This Row],[Dest Tow]]</f>
        <v>0</v>
      </c>
      <c r="BM46" s="400" cm="1">
        <f t="array" aca="1" ref="BM46" ca="1">IF(TblConstr[[#This Row],[Hour]:[Hour]]&gt;12,OFFSET(TblConstr[[#This Row],[Tem]],-12,0),0)+OFFSET(TblConstr[[#This Row],[Tot Tem]],-1,0)-TblConstr[[#This Row],[Dest Tem]]</f>
        <v>0</v>
      </c>
      <c r="BN46" s="400" cm="1">
        <f t="array" aca="1" ref="BN46" ca="1">IF(TblConstr[[#This Row],[Hour]:[Hour]]&gt;12,OFFSET(TblConstr[[#This Row],[WG]],-12,0),0)+OFFSET(TblConstr[[#This Row],[Tot WG]],-1,0)-TblConstr[[#This Row],[Dest WG]]</f>
        <v>0</v>
      </c>
      <c r="BO46" s="199" cm="1">
        <f t="array" aca="1" ref="BO46" ca="1">IF(TblConstr[[#This Row],[Hour]:[Hour]]&gt;12,OFFSET(TblConstr[[#This Row],[DM]],-12,0),0)+OFFSET(TblConstr[[#This Row],[Tot DM]],-1,0)-TblConstr[[#This Row],[Dest DM]]</f>
        <v>0</v>
      </c>
      <c r="BP46" s="199" cm="1">
        <f t="array" aca="1" ref="BP46" ca="1">IF(TblConstr[[#This Row],[Hour]:[Hour]]&gt;12,OFFSET(TblConstr[[#This Row],[Sch]],-12,0),0)+OFFSET(TblConstr[[#This Row],[Tot Sch]],-1,0)-TblConstr[[#This Row],[Dest Sch]]</f>
        <v>0</v>
      </c>
      <c r="BQ46" s="200" cm="1">
        <f t="array" aca="1" ref="BQ46" ca="1">IF(TblConstr[[#This Row],[Hour]:[Hour]]&gt;12,OFFSET(TblConstr[[#This Row],[Doc]],-12,0),0)+OFFSET(TblConstr[[#This Row],[Tot Doc]],-1,0)-TblConstr[[#This Row],[Dest Doc]]</f>
        <v>0</v>
      </c>
      <c r="BR46" s="150"/>
      <c r="BS46" s="162"/>
      <c r="BT46" s="97">
        <f ca="1">TblConstr[[#This Row],[Land]]</f>
        <v>250</v>
      </c>
      <c r="BU46" s="167">
        <f ca="1">TblImps[[#This Row],[Time]]</f>
        <v>44812.499999999898</v>
      </c>
      <c r="BV46" s="150"/>
      <c r="BW46" s="187"/>
      <c r="BX46" s="187"/>
      <c r="BY46" s="187"/>
      <c r="BZ46" s="187"/>
      <c r="CA46" s="187"/>
      <c r="CB46" s="187"/>
      <c r="CC46" s="187"/>
      <c r="CD46" s="187"/>
      <c r="CE46" s="187"/>
      <c r="CF46" s="187"/>
      <c r="CG46" s="187"/>
      <c r="CH46" s="187"/>
      <c r="CI46" s="187"/>
      <c r="CJ46" s="187"/>
      <c r="CK46" s="187"/>
      <c r="CL46" s="187"/>
      <c r="CM46" s="187"/>
      <c r="CN46" s="187"/>
      <c r="CO46" s="187"/>
      <c r="CP46" s="150"/>
      <c r="CQ46" s="189">
        <f ca="1">-SUM(TblConstr[[#This Row],[Alc]:[Mas]])+SUM(TblConstr[[#This Row],[Dest Alc]:[Dest Mas]])+Rezone!L46+IF("Ch_"&amp; home_land=TblConstr[[#Headers],[Ch_Plain]],TblConstr[[#This Row],[Home Land]])+IF(TblConstr[[#This Row],[Hour]:[Hour]]&gt;12,OFFSET(TblExplore[[#This Row],[Plains Explore]],-12,0),0)</f>
        <v>0</v>
      </c>
      <c r="CR46" s="190">
        <f ca="1">-SUM(TblConstr[[#This Row],[Ly]:[Hav]])+SUM(TblConstr[[#This Row],[Dest Ly]:[Dest Hav]]) +Rezone!M46 + IF("Ch_"&amp; home_land=TblConstr[[#Headers],[Ch_Forest]],TblConstr[[#This Row],[Home Land]])+IF(TblConstr[[#This Row],[Hour]:[Hour]]&gt;12,OFFSET(TblExplore[[#This Row],[Forest Explore]],-12,0),0)</f>
        <v>0</v>
      </c>
      <c r="CS46" s="390">
        <f ca="1">-SUM(TblConstr[[#This Row],[OM]:[GN]])+SUM(TblConstr[[#This Row],[Dest OM]:[Dest GN]]) +Rezone!N46 + IF("Ch_"&amp; home_land=TblConstr[[#Headers],[Ch_Mountain]],TblConstr[[#This Row],[Home Land]])+IF(TblConstr[[#This Row],[Hour]:[Hour]]&gt;12,OFFSET(TblExplore[[#This Row],[Mountain Explore]],-12,0),0)</f>
        <v>0</v>
      </c>
      <c r="CT46" s="191">
        <f ca="1">-SUM(TblConstr[[#This Row],[Fac]:[Shr]])+SUM(TblConstr[[#This Row],[Dest Fac]:[Dest Shr]]) +Rezone!O46 + IF("Ch_" &amp; home_land=TblConstr[[#Headers],[Ch_Hill]],TblConstr[[#This Row],[Home Land]])+IF(TblConstr[[#This Row],[Hour]:[Hour]]&gt;12,OFFSET(TblExplore[[#This Row],[Hill Explore]],-12,0),0)</f>
        <v>0</v>
      </c>
      <c r="CU46" s="192">
        <f ca="1">-SUM(TblConstr[[#This Row],[Tow]:[WG]])+SUM(TblConstr[[#This Row],[Dest Tow]:[Dest WG]]) +Rezone!P46 + IF("Ch_" &amp; home_land=TblConstr[[#Headers],[Ch_Swamp]],TblConstr[[#This Row],[Home Land]])+IF(TblConstr[[#This Row],[Hour]:[Hour]]&gt;12,OFFSET(TblExplore[[#This Row],[Swamp Explore]],-12,0),0)</f>
        <v>0</v>
      </c>
      <c r="CV46" s="193">
        <f ca="1" xml:space="preserve"> - SUM(TblConstr[[#This Row],[DM]:[Sch]])+SUM(TblConstr[[#This Row],[Dest DM]:[Dest Sch]]) +Rezone!Q46 + IF("Ch_" &amp; home_land=TblConstr[[#Headers],[Ch_Cavern]],TblConstr[[#This Row],[Home Land]])+IF(TblConstr[[#This Row],[Hour]:[Hour]]&gt;12,OFFSET(TblExplore[[#This Row],[Cavern Explore]],-12,0),0)</f>
        <v>0</v>
      </c>
      <c r="CW46" s="194">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50"/>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83">
        <f>TblRezone[[#This Row],[Hour]]</f>
        <v>44</v>
      </c>
      <c r="B47" s="184">
        <f ca="1">SUM(TblConstr[[#This Row],[Plain]:[Water]])</f>
        <v>160</v>
      </c>
      <c r="C47" s="185">
        <f ca="1">SUM(TblConstr[[#This Row],[Tot Hom]:[Tot Doc]])</f>
        <v>90</v>
      </c>
      <c r="D47" s="185">
        <f t="shared" ref="D47:D75" si="11">SUM(O36:AG47)</f>
        <v>0</v>
      </c>
      <c r="E47" s="186"/>
      <c r="F47" s="62">
        <f ca="1">TblConstr[[#This Row],[Barren]]+TblConstr[[#This Row],[Buildings]]+TblConstr[[#This Row],[Incoming]]</f>
        <v>250</v>
      </c>
      <c r="G47" s="195">
        <f ca="1">OFFSET(TblConstr[[#This Row],[Plain]],-1,0)+TblConstr[[#This Row],[Ch_Plain]]</f>
        <v>40</v>
      </c>
      <c r="H47" s="190">
        <f ca="1">OFFSET(TblConstr[[#This Row],[Forest]],-1,0)+TblConstr[[#This Row],[Ch_Forest]]</f>
        <v>20</v>
      </c>
      <c r="I47" s="390">
        <f ca="1">OFFSET(TblConstr[[#This Row],[Mountain]],-1,0)+TblConstr[[#This Row],[Ch_Mountain]]</f>
        <v>20</v>
      </c>
      <c r="J47" s="394">
        <f ca="1">OFFSET(TblConstr[[#This Row],[Hill]],-1,0)+TblConstr[[#This Row],[Ch_Hill]]</f>
        <v>20</v>
      </c>
      <c r="K47" s="398">
        <f ca="1">OFFSET(TblConstr[[#This Row],[Swamp]],-1,0)+TblConstr[[#This Row],[Ch_Swamp]]</f>
        <v>20</v>
      </c>
      <c r="L47" s="193">
        <f ca="1">OFFSET(TblConstr[[#This Row],[Cavern]],-1,0)+TblConstr[[#This Row],[Ch_Cavern]]</f>
        <v>20</v>
      </c>
      <c r="M47" s="194">
        <f ca="1">OFFSET(TblConstr[[#This Row],[Water]],-1,0)+TblConstr[[#This Row],[Ch_Water]]</f>
        <v>20</v>
      </c>
      <c r="N47" s="388">
        <f>TblRezone[[#This Row],[Hour]]</f>
        <v>44</v>
      </c>
      <c r="O47" s="187"/>
      <c r="P47" s="187"/>
      <c r="Q47" s="187"/>
      <c r="R47" s="166"/>
      <c r="S47" s="187"/>
      <c r="T47" s="187"/>
      <c r="U47" s="187"/>
      <c r="V47" s="187"/>
      <c r="W47" s="187"/>
      <c r="X47" s="187"/>
      <c r="Y47" s="187"/>
      <c r="Z47" s="187"/>
      <c r="AA47" s="187"/>
      <c r="AB47" s="187"/>
      <c r="AC47" s="187"/>
      <c r="AD47" s="187"/>
      <c r="AE47" s="187"/>
      <c r="AF47" s="187"/>
      <c r="AG47" s="187"/>
      <c r="AH47" s="53">
        <f ca="1">TblImps[[#This Row],[Time]]</f>
        <v>44812.541666666562</v>
      </c>
      <c r="AI47" s="188">
        <f ca="1">MIN(25%,(TblConstr[[#This Row],[Tot Fac]]+TblConstr[[#This Row],[Dest Fac]])/(TblConstr[[#This Row],[Land]]-TblExplore[[#This Row],[Land Bonus]]*20))</f>
        <v>0</v>
      </c>
      <c r="AJ47" s="188">
        <f ca="1">MIN(25%,(TblConstr[[#This Row],[Tot Fac]]+TblConstr[[#This Row],[Dest Fac]])/TblConstr[[#This Row],[Land]])</f>
        <v>0</v>
      </c>
      <c r="AK47" s="97">
        <f ca="1">TblProd[[#This Row],[Platinum]]</f>
        <v>336776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50"/>
      <c r="AV47" s="97">
        <f ca="1">ROUND((TblConstr[[#This Row],[Land]]-250 - IF(TblExplore[[#This Row],[Land Bonus]]&lt;&gt;0,20,0))*1.25 + 850 + 0,0)</f>
        <v>850</v>
      </c>
      <c r="AW47" s="97">
        <f ca="1">ROUND((TblConstr[[#This Row],[Land]]-250 - IF(TblExplore[[#This Row],[Land Bonus]]&lt;&gt;0,20,0))*0.285 + 87.5 + 0/4.25,0)</f>
        <v>88</v>
      </c>
      <c r="AX47" s="162"/>
      <c r="AY47" s="196" cm="1">
        <f t="array" aca="1" ref="AY47" ca="1">IF(TblConstr[[#This Row],[Hour]:[Hour]]&gt;12,OFFSET(TblConstr[[#This Row],[Hom]],-12,0),0)+OFFSET(TblConstr[[#This Row],[Tot Hom]],-1,0)-TblConstr[[#This Row],[Dest Hom]]</f>
        <v>10</v>
      </c>
      <c r="AZ47" s="197" cm="1">
        <f t="array" aca="1" ref="AZ47" ca="1">IF(TblConstr[[#This Row],[Hour]:[Hour]]&gt;12,OFFSET(TblConstr[[#This Row],[Alc]],-12,0),0)+OFFSET(TblConstr[[#This Row],[Tot Alc]],-1,0)-TblConstr[[#This Row],[Dest Alc]]</f>
        <v>30</v>
      </c>
      <c r="BA47" s="197" cm="1">
        <f t="array" aca="1" ref="BA47" ca="1">IF(TblConstr[[#This Row],[Hour]:[Hour]]&gt;12,OFFSET(TblConstr[[#This Row],[Far]],-12,0),0)+OFFSET(TblConstr[[#This Row],[Tot Farm]],-1,0)-TblConstr[[#This Row],[Dest Farm]]</f>
        <v>30</v>
      </c>
      <c r="BB47" s="197" cm="1">
        <f t="array" aca="1" ref="BB47" ca="1">IF(TblConstr[[#This Row],[Hour]:[Hour]]&gt;12,OFFSET(TblConstr[[#This Row],[Smi]],-12,0),0)+OFFSET(TblConstr[[#This Row],[Tot Smi]],-1,0)-TblConstr[[#This Row],[Dest Smi]]</f>
        <v>0</v>
      </c>
      <c r="BC47" s="197" cm="1">
        <f t="array" aca="1" ref="BC47" ca="1">IF(TblConstr[[#This Row],[Hour]:[Hour]]&gt;12,OFFSET(TblConstr[[#This Row],[Mas]],-12,0),0)+OFFSET(TblConstr[[#This Row],[Tot Mas]],-1,0)-TblConstr[[#This Row],[Dest Mas]]</f>
        <v>0</v>
      </c>
      <c r="BD47" s="198" cm="1">
        <f t="array" aca="1" ref="BD47" ca="1">IF(TblConstr[[#This Row],[Hour]:[Hour]]&gt;12,OFFSET(TblConstr[[#This Row],[Ly]],-12,0),0)+OFFSET(TblConstr[[#This Row],[Tot Ly]],-1,0)-TblConstr[[#This Row],[Dest Ly]]</f>
        <v>20</v>
      </c>
      <c r="BE47" s="198" cm="1">
        <f t="array" aca="1" ref="BE47" ca="1">IF(TblConstr[[#This Row],[Hour]:[Hour]]&gt;12,OFFSET(TblConstr[[#This Row],[Hav]],-12,0),0)+OFFSET(TblConstr[[#This Row],[Tot Hav]],-1,0)-TblConstr[[#This Row],[Dest Hav]]</f>
        <v>0</v>
      </c>
      <c r="BF47" s="392" cm="1">
        <f t="array" aca="1" ref="BF47" ca="1">IF(TblConstr[[#This Row],[Hour]:[Hour]]&gt;12,OFFSET(TblConstr[[#This Row],[OM]],-12,0),0)+OFFSET(TblConstr[[#This Row],[Tot OM]],-1,0)-TblConstr[[#This Row],[Dest OM]]</f>
        <v>0</v>
      </c>
      <c r="BG47" s="392" cm="1">
        <f t="array" aca="1" ref="BG47" ca="1">IF(TblConstr[[#This Row],[Hour]:[Hour]]&gt;12,OFFSET(TblConstr[[#This Row],[GN]],-12,0),0)+OFFSET(TblConstr[[#This Row],[Tot GN]],-1,0)-TblConstr[[#This Row],[Dest GN]]</f>
        <v>0</v>
      </c>
      <c r="BH47" s="396" cm="1">
        <f t="array" aca="1" ref="BH47" ca="1">IF(TblConstr[[#This Row],[Hour]:[Hour]]&gt;12,OFFSET(TblConstr[[#This Row],[Fac]],-12,0),0)+OFFSET(TblConstr[[#This Row],[Tot Fac]],-1,0)-TblConstr[[#This Row],[Dest Fac]]</f>
        <v>0</v>
      </c>
      <c r="BI47" s="396" cm="1">
        <f t="array" aca="1" ref="BI47" ca="1">IF(TblConstr[[#This Row],[Hour]:[Hour]]&gt;12,OFFSET(TblConstr[[#This Row],[GT]],-12,0),0)+OFFSET(TblConstr[[#This Row],[Tot GT]],-1,0)-TblConstr[[#This Row],[Dest GT]]</f>
        <v>0</v>
      </c>
      <c r="BJ47" s="396" cm="1">
        <f t="array" aca="1" ref="BJ47" ca="1">IF(TblConstr[[#This Row],[Hour]:[Hour]]&gt;12,OFFSET(TblConstr[[#This Row],[Bar]],-12,0),0)+OFFSET(TblConstr[[#This Row],[Tot Bar]],-1,0)-TblConstr[[#This Row],[Dest Bar]]</f>
        <v>0</v>
      </c>
      <c r="BK47" s="396" cm="1">
        <f t="array" aca="1" ref="BK47" ca="1">IF(TblConstr[[#This Row],[Hour]:[Hour]]&gt;12,OFFSET(TblConstr[[#This Row],[Shr]],-12,0),0)+OFFSET(TblConstr[[#This Row],[Tot Shr]],-1,0)-TblConstr[[#This Row],[Dest Shr]]</f>
        <v>0</v>
      </c>
      <c r="BL47" s="400" cm="1">
        <f t="array" aca="1" ref="BL47" ca="1">IF(TblConstr[[#This Row],[Hour]:[Hour]]&gt;12,OFFSET(TblConstr[[#This Row],[Tow]],-12,0),0)+OFFSET(TblConstr[[#This Row],[Tot Tow]],-1,0)-TblConstr[[#This Row],[Dest Tow]]</f>
        <v>0</v>
      </c>
      <c r="BM47" s="400" cm="1">
        <f t="array" aca="1" ref="BM47" ca="1">IF(TblConstr[[#This Row],[Hour]:[Hour]]&gt;12,OFFSET(TblConstr[[#This Row],[Tem]],-12,0),0)+OFFSET(TblConstr[[#This Row],[Tot Tem]],-1,0)-TblConstr[[#This Row],[Dest Tem]]</f>
        <v>0</v>
      </c>
      <c r="BN47" s="400" cm="1">
        <f t="array" aca="1" ref="BN47" ca="1">IF(TblConstr[[#This Row],[Hour]:[Hour]]&gt;12,OFFSET(TblConstr[[#This Row],[WG]],-12,0),0)+OFFSET(TblConstr[[#This Row],[Tot WG]],-1,0)-TblConstr[[#This Row],[Dest WG]]</f>
        <v>0</v>
      </c>
      <c r="BO47" s="199" cm="1">
        <f t="array" aca="1" ref="BO47" ca="1">IF(TblConstr[[#This Row],[Hour]:[Hour]]&gt;12,OFFSET(TblConstr[[#This Row],[DM]],-12,0),0)+OFFSET(TblConstr[[#This Row],[Tot DM]],-1,0)-TblConstr[[#This Row],[Dest DM]]</f>
        <v>0</v>
      </c>
      <c r="BP47" s="199" cm="1">
        <f t="array" aca="1" ref="BP47" ca="1">IF(TblConstr[[#This Row],[Hour]:[Hour]]&gt;12,OFFSET(TblConstr[[#This Row],[Sch]],-12,0),0)+OFFSET(TblConstr[[#This Row],[Tot Sch]],-1,0)-TblConstr[[#This Row],[Dest Sch]]</f>
        <v>0</v>
      </c>
      <c r="BQ47" s="200" cm="1">
        <f t="array" aca="1" ref="BQ47" ca="1">IF(TblConstr[[#This Row],[Hour]:[Hour]]&gt;12,OFFSET(TblConstr[[#This Row],[Doc]],-12,0),0)+OFFSET(TblConstr[[#This Row],[Tot Doc]],-1,0)-TblConstr[[#This Row],[Dest Doc]]</f>
        <v>0</v>
      </c>
      <c r="BR47" s="150"/>
      <c r="BS47" s="162"/>
      <c r="BT47" s="97">
        <f ca="1">TblConstr[[#This Row],[Land]]</f>
        <v>250</v>
      </c>
      <c r="BU47" s="167">
        <f ca="1">TblImps[[#This Row],[Time]]</f>
        <v>44812.541666666562</v>
      </c>
      <c r="BV47" s="150"/>
      <c r="BW47" s="187"/>
      <c r="BX47" s="187"/>
      <c r="BY47" s="187"/>
      <c r="BZ47" s="187"/>
      <c r="CA47" s="187"/>
      <c r="CB47" s="187"/>
      <c r="CC47" s="187"/>
      <c r="CD47" s="187"/>
      <c r="CE47" s="187"/>
      <c r="CF47" s="187"/>
      <c r="CG47" s="187"/>
      <c r="CH47" s="187"/>
      <c r="CI47" s="187"/>
      <c r="CJ47" s="187"/>
      <c r="CK47" s="187"/>
      <c r="CL47" s="187"/>
      <c r="CM47" s="187"/>
      <c r="CN47" s="187"/>
      <c r="CO47" s="187"/>
      <c r="CP47" s="150"/>
      <c r="CQ47" s="189">
        <f ca="1">-SUM(TblConstr[[#This Row],[Alc]:[Mas]])+SUM(TblConstr[[#This Row],[Dest Alc]:[Dest Mas]])+Rezone!L47+IF("Ch_"&amp; home_land=TblConstr[[#Headers],[Ch_Plain]],TblConstr[[#This Row],[Home Land]])+IF(TblConstr[[#This Row],[Hour]:[Hour]]&gt;12,OFFSET(TblExplore[[#This Row],[Plains Explore]],-12,0),0)</f>
        <v>0</v>
      </c>
      <c r="CR47" s="190">
        <f ca="1">-SUM(TblConstr[[#This Row],[Ly]:[Hav]])+SUM(TblConstr[[#This Row],[Dest Ly]:[Dest Hav]]) +Rezone!M47 + IF("Ch_"&amp; home_land=TblConstr[[#Headers],[Ch_Forest]],TblConstr[[#This Row],[Home Land]])+IF(TblConstr[[#This Row],[Hour]:[Hour]]&gt;12,OFFSET(TblExplore[[#This Row],[Forest Explore]],-12,0),0)</f>
        <v>0</v>
      </c>
      <c r="CS47" s="390">
        <f ca="1">-SUM(TblConstr[[#This Row],[OM]:[GN]])+SUM(TblConstr[[#This Row],[Dest OM]:[Dest GN]]) +Rezone!N47 + IF("Ch_"&amp; home_land=TblConstr[[#Headers],[Ch_Mountain]],TblConstr[[#This Row],[Home Land]])+IF(TblConstr[[#This Row],[Hour]:[Hour]]&gt;12,OFFSET(TblExplore[[#This Row],[Mountain Explore]],-12,0),0)</f>
        <v>0</v>
      </c>
      <c r="CT47" s="191">
        <f ca="1">-SUM(TblConstr[[#This Row],[Fac]:[Shr]])+SUM(TblConstr[[#This Row],[Dest Fac]:[Dest Shr]]) +Rezone!O47 + IF("Ch_" &amp; home_land=TblConstr[[#Headers],[Ch_Hill]],TblConstr[[#This Row],[Home Land]])+IF(TblConstr[[#This Row],[Hour]:[Hour]]&gt;12,OFFSET(TblExplore[[#This Row],[Hill Explore]],-12,0),0)</f>
        <v>0</v>
      </c>
      <c r="CU47" s="192">
        <f ca="1">-SUM(TblConstr[[#This Row],[Tow]:[WG]])+SUM(TblConstr[[#This Row],[Dest Tow]:[Dest WG]]) +Rezone!P47 + IF("Ch_" &amp; home_land=TblConstr[[#Headers],[Ch_Swamp]],TblConstr[[#This Row],[Home Land]])+IF(TblConstr[[#This Row],[Hour]:[Hour]]&gt;12,OFFSET(TblExplore[[#This Row],[Swamp Explore]],-12,0),0)</f>
        <v>0</v>
      </c>
      <c r="CV47" s="193">
        <f ca="1" xml:space="preserve"> - SUM(TblConstr[[#This Row],[DM]:[Sch]])+SUM(TblConstr[[#This Row],[Dest DM]:[Dest Sch]]) +Rezone!Q47 + IF("Ch_" &amp; home_land=TblConstr[[#Headers],[Ch_Cavern]],TblConstr[[#This Row],[Home Land]])+IF(TblConstr[[#This Row],[Hour]:[Hour]]&gt;12,OFFSET(TblExplore[[#This Row],[Cavern Explore]],-12,0),0)</f>
        <v>0</v>
      </c>
      <c r="CW47" s="194">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50"/>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83">
        <f>TblRezone[[#This Row],[Hour]]</f>
        <v>45</v>
      </c>
      <c r="B48" s="184">
        <f ca="1">SUM(TblConstr[[#This Row],[Plain]:[Water]])</f>
        <v>160</v>
      </c>
      <c r="C48" s="185">
        <f ca="1">SUM(TblConstr[[#This Row],[Tot Hom]:[Tot Doc]])</f>
        <v>90</v>
      </c>
      <c r="D48" s="185">
        <f t="shared" si="11"/>
        <v>0</v>
      </c>
      <c r="E48" s="186"/>
      <c r="F48" s="62">
        <f ca="1">TblConstr[[#This Row],[Barren]]+TblConstr[[#This Row],[Buildings]]+TblConstr[[#This Row],[Incoming]]</f>
        <v>250</v>
      </c>
      <c r="G48" s="195">
        <f ca="1">OFFSET(TblConstr[[#This Row],[Plain]],-1,0)+TblConstr[[#This Row],[Ch_Plain]]</f>
        <v>40</v>
      </c>
      <c r="H48" s="190">
        <f ca="1">OFFSET(TblConstr[[#This Row],[Forest]],-1,0)+TblConstr[[#This Row],[Ch_Forest]]</f>
        <v>20</v>
      </c>
      <c r="I48" s="390">
        <f ca="1">OFFSET(TblConstr[[#This Row],[Mountain]],-1,0)+TblConstr[[#This Row],[Ch_Mountain]]</f>
        <v>20</v>
      </c>
      <c r="J48" s="394">
        <f ca="1">OFFSET(TblConstr[[#This Row],[Hill]],-1,0)+TblConstr[[#This Row],[Ch_Hill]]</f>
        <v>20</v>
      </c>
      <c r="K48" s="398">
        <f ca="1">OFFSET(TblConstr[[#This Row],[Swamp]],-1,0)+TblConstr[[#This Row],[Ch_Swamp]]</f>
        <v>20</v>
      </c>
      <c r="L48" s="193">
        <f ca="1">OFFSET(TblConstr[[#This Row],[Cavern]],-1,0)+TblConstr[[#This Row],[Ch_Cavern]]</f>
        <v>20</v>
      </c>
      <c r="M48" s="194">
        <f ca="1">OFFSET(TblConstr[[#This Row],[Water]],-1,0)+TblConstr[[#This Row],[Ch_Water]]</f>
        <v>20</v>
      </c>
      <c r="N48" s="388">
        <f>TblRezone[[#This Row],[Hour]]</f>
        <v>45</v>
      </c>
      <c r="O48" s="187"/>
      <c r="P48" s="187"/>
      <c r="Q48" s="187"/>
      <c r="R48" s="166"/>
      <c r="S48" s="187"/>
      <c r="T48" s="187"/>
      <c r="U48" s="187"/>
      <c r="V48" s="187"/>
      <c r="W48" s="187"/>
      <c r="X48" s="187"/>
      <c r="Y48" s="187"/>
      <c r="Z48" s="187"/>
      <c r="AA48" s="187"/>
      <c r="AB48" s="187"/>
      <c r="AC48" s="187"/>
      <c r="AD48" s="187"/>
      <c r="AE48" s="187"/>
      <c r="AF48" s="187"/>
      <c r="AG48" s="187"/>
      <c r="AH48" s="53">
        <f ca="1">TblImps[[#This Row],[Time]]</f>
        <v>44812.583333333227</v>
      </c>
      <c r="AI48" s="188">
        <f ca="1">MIN(25%,(TblConstr[[#This Row],[Tot Fac]]+TblConstr[[#This Row],[Dest Fac]])/(TblConstr[[#This Row],[Land]]-TblExplore[[#This Row],[Land Bonus]]*20))</f>
        <v>0</v>
      </c>
      <c r="AJ48" s="188">
        <f ca="1">MIN(25%,(TblConstr[[#This Row],[Tot Fac]]+TblConstr[[#This Row],[Dest Fac]])/TblConstr[[#This Row],[Land]])</f>
        <v>0</v>
      </c>
      <c r="AK48" s="97">
        <f ca="1">TblProd[[#This Row],[Platinum]]</f>
        <v>342262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50"/>
      <c r="AV48" s="97">
        <f ca="1">ROUND((TblConstr[[#This Row],[Land]]-250 - IF(TblExplore[[#This Row],[Land Bonus]]&lt;&gt;0,20,0))*1.25 + 850 + 0,0)</f>
        <v>850</v>
      </c>
      <c r="AW48" s="97">
        <f ca="1">ROUND((TblConstr[[#This Row],[Land]]-250 - IF(TblExplore[[#This Row],[Land Bonus]]&lt;&gt;0,20,0))*0.285 + 87.5 + 0/4.25,0)</f>
        <v>88</v>
      </c>
      <c r="AX48" s="162"/>
      <c r="AY48" s="196" cm="1">
        <f t="array" aca="1" ref="AY48" ca="1">IF(TblConstr[[#This Row],[Hour]:[Hour]]&gt;12,OFFSET(TblConstr[[#This Row],[Hom]],-12,0),0)+OFFSET(TblConstr[[#This Row],[Tot Hom]],-1,0)-TblConstr[[#This Row],[Dest Hom]]</f>
        <v>10</v>
      </c>
      <c r="AZ48" s="197" cm="1">
        <f t="array" aca="1" ref="AZ48" ca="1">IF(TblConstr[[#This Row],[Hour]:[Hour]]&gt;12,OFFSET(TblConstr[[#This Row],[Alc]],-12,0),0)+OFFSET(TblConstr[[#This Row],[Tot Alc]],-1,0)-TblConstr[[#This Row],[Dest Alc]]</f>
        <v>30</v>
      </c>
      <c r="BA48" s="197" cm="1">
        <f t="array" aca="1" ref="BA48" ca="1">IF(TblConstr[[#This Row],[Hour]:[Hour]]&gt;12,OFFSET(TblConstr[[#This Row],[Far]],-12,0),0)+OFFSET(TblConstr[[#This Row],[Tot Farm]],-1,0)-TblConstr[[#This Row],[Dest Farm]]</f>
        <v>30</v>
      </c>
      <c r="BB48" s="197" cm="1">
        <f t="array" aca="1" ref="BB48" ca="1">IF(TblConstr[[#This Row],[Hour]:[Hour]]&gt;12,OFFSET(TblConstr[[#This Row],[Smi]],-12,0),0)+OFFSET(TblConstr[[#This Row],[Tot Smi]],-1,0)-TblConstr[[#This Row],[Dest Smi]]</f>
        <v>0</v>
      </c>
      <c r="BC48" s="197" cm="1">
        <f t="array" aca="1" ref="BC48" ca="1">IF(TblConstr[[#This Row],[Hour]:[Hour]]&gt;12,OFFSET(TblConstr[[#This Row],[Mas]],-12,0),0)+OFFSET(TblConstr[[#This Row],[Tot Mas]],-1,0)-TblConstr[[#This Row],[Dest Mas]]</f>
        <v>0</v>
      </c>
      <c r="BD48" s="198" cm="1">
        <f t="array" aca="1" ref="BD48" ca="1">IF(TblConstr[[#This Row],[Hour]:[Hour]]&gt;12,OFFSET(TblConstr[[#This Row],[Ly]],-12,0),0)+OFFSET(TblConstr[[#This Row],[Tot Ly]],-1,0)-TblConstr[[#This Row],[Dest Ly]]</f>
        <v>20</v>
      </c>
      <c r="BE48" s="198" cm="1">
        <f t="array" aca="1" ref="BE48" ca="1">IF(TblConstr[[#This Row],[Hour]:[Hour]]&gt;12,OFFSET(TblConstr[[#This Row],[Hav]],-12,0),0)+OFFSET(TblConstr[[#This Row],[Tot Hav]],-1,0)-TblConstr[[#This Row],[Dest Hav]]</f>
        <v>0</v>
      </c>
      <c r="BF48" s="392" cm="1">
        <f t="array" aca="1" ref="BF48" ca="1">IF(TblConstr[[#This Row],[Hour]:[Hour]]&gt;12,OFFSET(TblConstr[[#This Row],[OM]],-12,0),0)+OFFSET(TblConstr[[#This Row],[Tot OM]],-1,0)-TblConstr[[#This Row],[Dest OM]]</f>
        <v>0</v>
      </c>
      <c r="BG48" s="392" cm="1">
        <f t="array" aca="1" ref="BG48" ca="1">IF(TblConstr[[#This Row],[Hour]:[Hour]]&gt;12,OFFSET(TblConstr[[#This Row],[GN]],-12,0),0)+OFFSET(TblConstr[[#This Row],[Tot GN]],-1,0)-TblConstr[[#This Row],[Dest GN]]</f>
        <v>0</v>
      </c>
      <c r="BH48" s="396" cm="1">
        <f t="array" aca="1" ref="BH48" ca="1">IF(TblConstr[[#This Row],[Hour]:[Hour]]&gt;12,OFFSET(TblConstr[[#This Row],[Fac]],-12,0),0)+OFFSET(TblConstr[[#This Row],[Tot Fac]],-1,0)-TblConstr[[#This Row],[Dest Fac]]</f>
        <v>0</v>
      </c>
      <c r="BI48" s="396" cm="1">
        <f t="array" aca="1" ref="BI48" ca="1">IF(TblConstr[[#This Row],[Hour]:[Hour]]&gt;12,OFFSET(TblConstr[[#This Row],[GT]],-12,0),0)+OFFSET(TblConstr[[#This Row],[Tot GT]],-1,0)-TblConstr[[#This Row],[Dest GT]]</f>
        <v>0</v>
      </c>
      <c r="BJ48" s="396" cm="1">
        <f t="array" aca="1" ref="BJ48" ca="1">IF(TblConstr[[#This Row],[Hour]:[Hour]]&gt;12,OFFSET(TblConstr[[#This Row],[Bar]],-12,0),0)+OFFSET(TblConstr[[#This Row],[Tot Bar]],-1,0)-TblConstr[[#This Row],[Dest Bar]]</f>
        <v>0</v>
      </c>
      <c r="BK48" s="396" cm="1">
        <f t="array" aca="1" ref="BK48" ca="1">IF(TblConstr[[#This Row],[Hour]:[Hour]]&gt;12,OFFSET(TblConstr[[#This Row],[Shr]],-12,0),0)+OFFSET(TblConstr[[#This Row],[Tot Shr]],-1,0)-TblConstr[[#This Row],[Dest Shr]]</f>
        <v>0</v>
      </c>
      <c r="BL48" s="400" cm="1">
        <f t="array" aca="1" ref="BL48" ca="1">IF(TblConstr[[#This Row],[Hour]:[Hour]]&gt;12,OFFSET(TblConstr[[#This Row],[Tow]],-12,0),0)+OFFSET(TblConstr[[#This Row],[Tot Tow]],-1,0)-TblConstr[[#This Row],[Dest Tow]]</f>
        <v>0</v>
      </c>
      <c r="BM48" s="400" cm="1">
        <f t="array" aca="1" ref="BM48" ca="1">IF(TblConstr[[#This Row],[Hour]:[Hour]]&gt;12,OFFSET(TblConstr[[#This Row],[Tem]],-12,0),0)+OFFSET(TblConstr[[#This Row],[Tot Tem]],-1,0)-TblConstr[[#This Row],[Dest Tem]]</f>
        <v>0</v>
      </c>
      <c r="BN48" s="400" cm="1">
        <f t="array" aca="1" ref="BN48" ca="1">IF(TblConstr[[#This Row],[Hour]:[Hour]]&gt;12,OFFSET(TblConstr[[#This Row],[WG]],-12,0),0)+OFFSET(TblConstr[[#This Row],[Tot WG]],-1,0)-TblConstr[[#This Row],[Dest WG]]</f>
        <v>0</v>
      </c>
      <c r="BO48" s="199" cm="1">
        <f t="array" aca="1" ref="BO48" ca="1">IF(TblConstr[[#This Row],[Hour]:[Hour]]&gt;12,OFFSET(TblConstr[[#This Row],[DM]],-12,0),0)+OFFSET(TblConstr[[#This Row],[Tot DM]],-1,0)-TblConstr[[#This Row],[Dest DM]]</f>
        <v>0</v>
      </c>
      <c r="BP48" s="199" cm="1">
        <f t="array" aca="1" ref="BP48" ca="1">IF(TblConstr[[#This Row],[Hour]:[Hour]]&gt;12,OFFSET(TblConstr[[#This Row],[Sch]],-12,0),0)+OFFSET(TblConstr[[#This Row],[Tot Sch]],-1,0)-TblConstr[[#This Row],[Dest Sch]]</f>
        <v>0</v>
      </c>
      <c r="BQ48" s="200" cm="1">
        <f t="array" aca="1" ref="BQ48" ca="1">IF(TblConstr[[#This Row],[Hour]:[Hour]]&gt;12,OFFSET(TblConstr[[#This Row],[Doc]],-12,0),0)+OFFSET(TblConstr[[#This Row],[Tot Doc]],-1,0)-TblConstr[[#This Row],[Dest Doc]]</f>
        <v>0</v>
      </c>
      <c r="BR48" s="150"/>
      <c r="BS48" s="162"/>
      <c r="BT48" s="97">
        <f ca="1">TblConstr[[#This Row],[Land]]</f>
        <v>250</v>
      </c>
      <c r="BU48" s="167">
        <f ca="1">TblImps[[#This Row],[Time]]</f>
        <v>44812.583333333227</v>
      </c>
      <c r="BV48" s="150"/>
      <c r="BW48" s="187"/>
      <c r="BX48" s="187"/>
      <c r="BY48" s="187"/>
      <c r="BZ48" s="187"/>
      <c r="CA48" s="187"/>
      <c r="CB48" s="187"/>
      <c r="CC48" s="187"/>
      <c r="CD48" s="187"/>
      <c r="CE48" s="187"/>
      <c r="CF48" s="187"/>
      <c r="CG48" s="187"/>
      <c r="CH48" s="187"/>
      <c r="CI48" s="187"/>
      <c r="CJ48" s="187"/>
      <c r="CK48" s="187"/>
      <c r="CL48" s="187"/>
      <c r="CM48" s="187"/>
      <c r="CN48" s="187"/>
      <c r="CO48" s="187"/>
      <c r="CP48" s="150"/>
      <c r="CQ48" s="189">
        <f ca="1">-SUM(TblConstr[[#This Row],[Alc]:[Mas]])+SUM(TblConstr[[#This Row],[Dest Alc]:[Dest Mas]])+Rezone!L48+IF("Ch_"&amp; home_land=TblConstr[[#Headers],[Ch_Plain]],TblConstr[[#This Row],[Home Land]])+IF(TblConstr[[#This Row],[Hour]:[Hour]]&gt;12,OFFSET(TblExplore[[#This Row],[Plains Explore]],-12,0),0)</f>
        <v>0</v>
      </c>
      <c r="CR48" s="190">
        <f ca="1">-SUM(TblConstr[[#This Row],[Ly]:[Hav]])+SUM(TblConstr[[#This Row],[Dest Ly]:[Dest Hav]]) +Rezone!M48 + IF("Ch_"&amp; home_land=TblConstr[[#Headers],[Ch_Forest]],TblConstr[[#This Row],[Home Land]])+IF(TblConstr[[#This Row],[Hour]:[Hour]]&gt;12,OFFSET(TblExplore[[#This Row],[Forest Explore]],-12,0),0)</f>
        <v>0</v>
      </c>
      <c r="CS48" s="390">
        <f ca="1">-SUM(TblConstr[[#This Row],[OM]:[GN]])+SUM(TblConstr[[#This Row],[Dest OM]:[Dest GN]]) +Rezone!N48 + IF("Ch_"&amp; home_land=TblConstr[[#Headers],[Ch_Mountain]],TblConstr[[#This Row],[Home Land]])+IF(TblConstr[[#This Row],[Hour]:[Hour]]&gt;12,OFFSET(TblExplore[[#This Row],[Mountain Explore]],-12,0),0)</f>
        <v>0</v>
      </c>
      <c r="CT48" s="191">
        <f ca="1">-SUM(TblConstr[[#This Row],[Fac]:[Shr]])+SUM(TblConstr[[#This Row],[Dest Fac]:[Dest Shr]]) +Rezone!O48 + IF("Ch_" &amp; home_land=TblConstr[[#Headers],[Ch_Hill]],TblConstr[[#This Row],[Home Land]])+IF(TblConstr[[#This Row],[Hour]:[Hour]]&gt;12,OFFSET(TblExplore[[#This Row],[Hill Explore]],-12,0),0)</f>
        <v>0</v>
      </c>
      <c r="CU48" s="192">
        <f ca="1">-SUM(TblConstr[[#This Row],[Tow]:[WG]])+SUM(TblConstr[[#This Row],[Dest Tow]:[Dest WG]]) +Rezone!P48 + IF("Ch_" &amp; home_land=TblConstr[[#Headers],[Ch_Swamp]],TblConstr[[#This Row],[Home Land]])+IF(TblConstr[[#This Row],[Hour]:[Hour]]&gt;12,OFFSET(TblExplore[[#This Row],[Swamp Explore]],-12,0),0)</f>
        <v>0</v>
      </c>
      <c r="CV48" s="193">
        <f ca="1" xml:space="preserve"> - SUM(TblConstr[[#This Row],[DM]:[Sch]])+SUM(TblConstr[[#This Row],[Dest DM]:[Dest Sch]]) +Rezone!Q48 + IF("Ch_" &amp; home_land=TblConstr[[#Headers],[Ch_Cavern]],TblConstr[[#This Row],[Home Land]])+IF(TblConstr[[#This Row],[Hour]:[Hour]]&gt;12,OFFSET(TblExplore[[#This Row],[Cavern Explore]],-12,0),0)</f>
        <v>0</v>
      </c>
      <c r="CW48" s="194">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50"/>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83">
        <f>TblRezone[[#This Row],[Hour]]</f>
        <v>46</v>
      </c>
      <c r="B49" s="184">
        <f ca="1">SUM(TblConstr[[#This Row],[Plain]:[Water]])</f>
        <v>160</v>
      </c>
      <c r="C49" s="185">
        <f ca="1">SUM(TblConstr[[#This Row],[Tot Hom]:[Tot Doc]])</f>
        <v>90</v>
      </c>
      <c r="D49" s="185">
        <f t="shared" si="11"/>
        <v>0</v>
      </c>
      <c r="E49" s="186"/>
      <c r="F49" s="62">
        <f ca="1">TblConstr[[#This Row],[Barren]]+TblConstr[[#This Row],[Buildings]]+TblConstr[[#This Row],[Incoming]]</f>
        <v>250</v>
      </c>
      <c r="G49" s="195">
        <f ca="1">OFFSET(TblConstr[[#This Row],[Plain]],-1,0)+TblConstr[[#This Row],[Ch_Plain]]</f>
        <v>40</v>
      </c>
      <c r="H49" s="190">
        <f ca="1">OFFSET(TblConstr[[#This Row],[Forest]],-1,0)+TblConstr[[#This Row],[Ch_Forest]]</f>
        <v>20</v>
      </c>
      <c r="I49" s="390">
        <f ca="1">OFFSET(TblConstr[[#This Row],[Mountain]],-1,0)+TblConstr[[#This Row],[Ch_Mountain]]</f>
        <v>20</v>
      </c>
      <c r="J49" s="394">
        <f ca="1">OFFSET(TblConstr[[#This Row],[Hill]],-1,0)+TblConstr[[#This Row],[Ch_Hill]]</f>
        <v>20</v>
      </c>
      <c r="K49" s="398">
        <f ca="1">OFFSET(TblConstr[[#This Row],[Swamp]],-1,0)+TblConstr[[#This Row],[Ch_Swamp]]</f>
        <v>20</v>
      </c>
      <c r="L49" s="193">
        <f ca="1">OFFSET(TblConstr[[#This Row],[Cavern]],-1,0)+TblConstr[[#This Row],[Ch_Cavern]]</f>
        <v>20</v>
      </c>
      <c r="M49" s="194">
        <f ca="1">OFFSET(TblConstr[[#This Row],[Water]],-1,0)+TblConstr[[#This Row],[Ch_Water]]</f>
        <v>20</v>
      </c>
      <c r="N49" s="388">
        <f>TblRezone[[#This Row],[Hour]]</f>
        <v>46</v>
      </c>
      <c r="O49" s="187"/>
      <c r="P49" s="187"/>
      <c r="Q49" s="187"/>
      <c r="R49" s="166"/>
      <c r="S49" s="187"/>
      <c r="T49" s="187"/>
      <c r="U49" s="187"/>
      <c r="V49" s="187"/>
      <c r="W49" s="187"/>
      <c r="X49" s="187"/>
      <c r="Y49" s="187"/>
      <c r="Z49" s="187"/>
      <c r="AA49" s="187"/>
      <c r="AB49" s="187"/>
      <c r="AC49" s="187"/>
      <c r="AD49" s="187"/>
      <c r="AE49" s="187"/>
      <c r="AF49" s="187"/>
      <c r="AG49" s="187"/>
      <c r="AH49" s="53">
        <f ca="1">TblImps[[#This Row],[Time]]</f>
        <v>44812.624999999891</v>
      </c>
      <c r="AI49" s="188">
        <f ca="1">MIN(25%,(TblConstr[[#This Row],[Tot Fac]]+TblConstr[[#This Row],[Dest Fac]])/(TblConstr[[#This Row],[Land]]-TblExplore[[#This Row],[Land Bonus]]*20))</f>
        <v>0</v>
      </c>
      <c r="AJ49" s="188">
        <f ca="1">MIN(25%,(TblConstr[[#This Row],[Tot Fac]]+TblConstr[[#This Row],[Dest Fac]])/TblConstr[[#This Row],[Land]])</f>
        <v>0</v>
      </c>
      <c r="AK49" s="97">
        <f ca="1">TblProd[[#This Row],[Platinum]]</f>
        <v>347748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50"/>
      <c r="AV49" s="97">
        <f ca="1">ROUND((TblConstr[[#This Row],[Land]]-250 - IF(TblExplore[[#This Row],[Land Bonus]]&lt;&gt;0,20,0))*1.25 + 850 + 0,0)</f>
        <v>850</v>
      </c>
      <c r="AW49" s="97">
        <f ca="1">ROUND((TblConstr[[#This Row],[Land]]-250 - IF(TblExplore[[#This Row],[Land Bonus]]&lt;&gt;0,20,0))*0.285 + 87.5 + 0/4.25,0)</f>
        <v>88</v>
      </c>
      <c r="AX49" s="162"/>
      <c r="AY49" s="196" cm="1">
        <f t="array" aca="1" ref="AY49" ca="1">IF(TblConstr[[#This Row],[Hour]:[Hour]]&gt;12,OFFSET(TblConstr[[#This Row],[Hom]],-12,0),0)+OFFSET(TblConstr[[#This Row],[Tot Hom]],-1,0)-TblConstr[[#This Row],[Dest Hom]]</f>
        <v>10</v>
      </c>
      <c r="AZ49" s="197" cm="1">
        <f t="array" aca="1" ref="AZ49" ca="1">IF(TblConstr[[#This Row],[Hour]:[Hour]]&gt;12,OFFSET(TblConstr[[#This Row],[Alc]],-12,0),0)+OFFSET(TblConstr[[#This Row],[Tot Alc]],-1,0)-TblConstr[[#This Row],[Dest Alc]]</f>
        <v>30</v>
      </c>
      <c r="BA49" s="197" cm="1">
        <f t="array" aca="1" ref="BA49" ca="1">IF(TblConstr[[#This Row],[Hour]:[Hour]]&gt;12,OFFSET(TblConstr[[#This Row],[Far]],-12,0),0)+OFFSET(TblConstr[[#This Row],[Tot Farm]],-1,0)-TblConstr[[#This Row],[Dest Farm]]</f>
        <v>30</v>
      </c>
      <c r="BB49" s="197" cm="1">
        <f t="array" aca="1" ref="BB49" ca="1">IF(TblConstr[[#This Row],[Hour]:[Hour]]&gt;12,OFFSET(TblConstr[[#This Row],[Smi]],-12,0),0)+OFFSET(TblConstr[[#This Row],[Tot Smi]],-1,0)-TblConstr[[#This Row],[Dest Smi]]</f>
        <v>0</v>
      </c>
      <c r="BC49" s="197" cm="1">
        <f t="array" aca="1" ref="BC49" ca="1">IF(TblConstr[[#This Row],[Hour]:[Hour]]&gt;12,OFFSET(TblConstr[[#This Row],[Mas]],-12,0),0)+OFFSET(TblConstr[[#This Row],[Tot Mas]],-1,0)-TblConstr[[#This Row],[Dest Mas]]</f>
        <v>0</v>
      </c>
      <c r="BD49" s="198" cm="1">
        <f t="array" aca="1" ref="BD49" ca="1">IF(TblConstr[[#This Row],[Hour]:[Hour]]&gt;12,OFFSET(TblConstr[[#This Row],[Ly]],-12,0),0)+OFFSET(TblConstr[[#This Row],[Tot Ly]],-1,0)-TblConstr[[#This Row],[Dest Ly]]</f>
        <v>20</v>
      </c>
      <c r="BE49" s="198" cm="1">
        <f t="array" aca="1" ref="BE49" ca="1">IF(TblConstr[[#This Row],[Hour]:[Hour]]&gt;12,OFFSET(TblConstr[[#This Row],[Hav]],-12,0),0)+OFFSET(TblConstr[[#This Row],[Tot Hav]],-1,0)-TblConstr[[#This Row],[Dest Hav]]</f>
        <v>0</v>
      </c>
      <c r="BF49" s="392" cm="1">
        <f t="array" aca="1" ref="BF49" ca="1">IF(TblConstr[[#This Row],[Hour]:[Hour]]&gt;12,OFFSET(TblConstr[[#This Row],[OM]],-12,0),0)+OFFSET(TblConstr[[#This Row],[Tot OM]],-1,0)-TblConstr[[#This Row],[Dest OM]]</f>
        <v>0</v>
      </c>
      <c r="BG49" s="392" cm="1">
        <f t="array" aca="1" ref="BG49" ca="1">IF(TblConstr[[#This Row],[Hour]:[Hour]]&gt;12,OFFSET(TblConstr[[#This Row],[GN]],-12,0),0)+OFFSET(TblConstr[[#This Row],[Tot GN]],-1,0)-TblConstr[[#This Row],[Dest GN]]</f>
        <v>0</v>
      </c>
      <c r="BH49" s="396" cm="1">
        <f t="array" aca="1" ref="BH49" ca="1">IF(TblConstr[[#This Row],[Hour]:[Hour]]&gt;12,OFFSET(TblConstr[[#This Row],[Fac]],-12,0),0)+OFFSET(TblConstr[[#This Row],[Tot Fac]],-1,0)-TblConstr[[#This Row],[Dest Fac]]</f>
        <v>0</v>
      </c>
      <c r="BI49" s="396" cm="1">
        <f t="array" aca="1" ref="BI49" ca="1">IF(TblConstr[[#This Row],[Hour]:[Hour]]&gt;12,OFFSET(TblConstr[[#This Row],[GT]],-12,0),0)+OFFSET(TblConstr[[#This Row],[Tot GT]],-1,0)-TblConstr[[#This Row],[Dest GT]]</f>
        <v>0</v>
      </c>
      <c r="BJ49" s="396" cm="1">
        <f t="array" aca="1" ref="BJ49" ca="1">IF(TblConstr[[#This Row],[Hour]:[Hour]]&gt;12,OFFSET(TblConstr[[#This Row],[Bar]],-12,0),0)+OFFSET(TblConstr[[#This Row],[Tot Bar]],-1,0)-TblConstr[[#This Row],[Dest Bar]]</f>
        <v>0</v>
      </c>
      <c r="BK49" s="396" cm="1">
        <f t="array" aca="1" ref="BK49" ca="1">IF(TblConstr[[#This Row],[Hour]:[Hour]]&gt;12,OFFSET(TblConstr[[#This Row],[Shr]],-12,0),0)+OFFSET(TblConstr[[#This Row],[Tot Shr]],-1,0)-TblConstr[[#This Row],[Dest Shr]]</f>
        <v>0</v>
      </c>
      <c r="BL49" s="400" cm="1">
        <f t="array" aca="1" ref="BL49" ca="1">IF(TblConstr[[#This Row],[Hour]:[Hour]]&gt;12,OFFSET(TblConstr[[#This Row],[Tow]],-12,0),0)+OFFSET(TblConstr[[#This Row],[Tot Tow]],-1,0)-TblConstr[[#This Row],[Dest Tow]]</f>
        <v>0</v>
      </c>
      <c r="BM49" s="400" cm="1">
        <f t="array" aca="1" ref="BM49" ca="1">IF(TblConstr[[#This Row],[Hour]:[Hour]]&gt;12,OFFSET(TblConstr[[#This Row],[Tem]],-12,0),0)+OFFSET(TblConstr[[#This Row],[Tot Tem]],-1,0)-TblConstr[[#This Row],[Dest Tem]]</f>
        <v>0</v>
      </c>
      <c r="BN49" s="400" cm="1">
        <f t="array" aca="1" ref="BN49" ca="1">IF(TblConstr[[#This Row],[Hour]:[Hour]]&gt;12,OFFSET(TblConstr[[#This Row],[WG]],-12,0),0)+OFFSET(TblConstr[[#This Row],[Tot WG]],-1,0)-TblConstr[[#This Row],[Dest WG]]</f>
        <v>0</v>
      </c>
      <c r="BO49" s="199" cm="1">
        <f t="array" aca="1" ref="BO49" ca="1">IF(TblConstr[[#This Row],[Hour]:[Hour]]&gt;12,OFFSET(TblConstr[[#This Row],[DM]],-12,0),0)+OFFSET(TblConstr[[#This Row],[Tot DM]],-1,0)-TblConstr[[#This Row],[Dest DM]]</f>
        <v>0</v>
      </c>
      <c r="BP49" s="199" cm="1">
        <f t="array" aca="1" ref="BP49" ca="1">IF(TblConstr[[#This Row],[Hour]:[Hour]]&gt;12,OFFSET(TblConstr[[#This Row],[Sch]],-12,0),0)+OFFSET(TblConstr[[#This Row],[Tot Sch]],-1,0)-TblConstr[[#This Row],[Dest Sch]]</f>
        <v>0</v>
      </c>
      <c r="BQ49" s="200" cm="1">
        <f t="array" aca="1" ref="BQ49" ca="1">IF(TblConstr[[#This Row],[Hour]:[Hour]]&gt;12,OFFSET(TblConstr[[#This Row],[Doc]],-12,0),0)+OFFSET(TblConstr[[#This Row],[Tot Doc]],-1,0)-TblConstr[[#This Row],[Dest Doc]]</f>
        <v>0</v>
      </c>
      <c r="BR49" s="150"/>
      <c r="BS49" s="162"/>
      <c r="BT49" s="97">
        <f ca="1">TblConstr[[#This Row],[Land]]</f>
        <v>250</v>
      </c>
      <c r="BU49" s="167">
        <f ca="1">TblImps[[#This Row],[Time]]</f>
        <v>44812.624999999891</v>
      </c>
      <c r="BV49" s="150"/>
      <c r="BW49" s="187"/>
      <c r="BX49" s="187"/>
      <c r="BY49" s="187"/>
      <c r="BZ49" s="187"/>
      <c r="CA49" s="187"/>
      <c r="CB49" s="187"/>
      <c r="CC49" s="187"/>
      <c r="CD49" s="187"/>
      <c r="CE49" s="187"/>
      <c r="CF49" s="187"/>
      <c r="CG49" s="187"/>
      <c r="CH49" s="187"/>
      <c r="CI49" s="187"/>
      <c r="CJ49" s="187"/>
      <c r="CK49" s="187"/>
      <c r="CL49" s="187"/>
      <c r="CM49" s="187"/>
      <c r="CN49" s="187"/>
      <c r="CO49" s="187"/>
      <c r="CP49" s="150"/>
      <c r="CQ49" s="189">
        <f ca="1">-SUM(TblConstr[[#This Row],[Alc]:[Mas]])+SUM(TblConstr[[#This Row],[Dest Alc]:[Dest Mas]])+Rezone!L49+IF("Ch_"&amp; home_land=TblConstr[[#Headers],[Ch_Plain]],TblConstr[[#This Row],[Home Land]])+IF(TblConstr[[#This Row],[Hour]:[Hour]]&gt;12,OFFSET(TblExplore[[#This Row],[Plains Explore]],-12,0),0)</f>
        <v>0</v>
      </c>
      <c r="CR49" s="190">
        <f ca="1">-SUM(TblConstr[[#This Row],[Ly]:[Hav]])+SUM(TblConstr[[#This Row],[Dest Ly]:[Dest Hav]]) +Rezone!M49 + IF("Ch_"&amp; home_land=TblConstr[[#Headers],[Ch_Forest]],TblConstr[[#This Row],[Home Land]])+IF(TblConstr[[#This Row],[Hour]:[Hour]]&gt;12,OFFSET(TblExplore[[#This Row],[Forest Explore]],-12,0),0)</f>
        <v>0</v>
      </c>
      <c r="CS49" s="390">
        <f ca="1">-SUM(TblConstr[[#This Row],[OM]:[GN]])+SUM(TblConstr[[#This Row],[Dest OM]:[Dest GN]]) +Rezone!N49 + IF("Ch_"&amp; home_land=TblConstr[[#Headers],[Ch_Mountain]],TblConstr[[#This Row],[Home Land]])+IF(TblConstr[[#This Row],[Hour]:[Hour]]&gt;12,OFFSET(TblExplore[[#This Row],[Mountain Explore]],-12,0),0)</f>
        <v>0</v>
      </c>
      <c r="CT49" s="191">
        <f ca="1">-SUM(TblConstr[[#This Row],[Fac]:[Shr]])+SUM(TblConstr[[#This Row],[Dest Fac]:[Dest Shr]]) +Rezone!O49 + IF("Ch_" &amp; home_land=TblConstr[[#Headers],[Ch_Hill]],TblConstr[[#This Row],[Home Land]])+IF(TblConstr[[#This Row],[Hour]:[Hour]]&gt;12,OFFSET(TblExplore[[#This Row],[Hill Explore]],-12,0),0)</f>
        <v>0</v>
      </c>
      <c r="CU49" s="192">
        <f ca="1">-SUM(TblConstr[[#This Row],[Tow]:[WG]])+SUM(TblConstr[[#This Row],[Dest Tow]:[Dest WG]]) +Rezone!P49 + IF("Ch_" &amp; home_land=TblConstr[[#Headers],[Ch_Swamp]],TblConstr[[#This Row],[Home Land]])+IF(TblConstr[[#This Row],[Hour]:[Hour]]&gt;12,OFFSET(TblExplore[[#This Row],[Swamp Explore]],-12,0),0)</f>
        <v>0</v>
      </c>
      <c r="CV49" s="193">
        <f ca="1" xml:space="preserve"> - SUM(TblConstr[[#This Row],[DM]:[Sch]])+SUM(TblConstr[[#This Row],[Dest DM]:[Dest Sch]]) +Rezone!Q49 + IF("Ch_" &amp; home_land=TblConstr[[#Headers],[Ch_Cavern]],TblConstr[[#This Row],[Home Land]])+IF(TblConstr[[#This Row],[Hour]:[Hour]]&gt;12,OFFSET(TblExplore[[#This Row],[Cavern Explore]],-12,0),0)</f>
        <v>0</v>
      </c>
      <c r="CW49" s="194">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50"/>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83">
        <f>TblRezone[[#This Row],[Hour]]</f>
        <v>47</v>
      </c>
      <c r="B50" s="184">
        <f ca="1">SUM(TblConstr[[#This Row],[Plain]:[Water]])</f>
        <v>160</v>
      </c>
      <c r="C50" s="185">
        <f ca="1">SUM(TblConstr[[#This Row],[Tot Hom]:[Tot Doc]])</f>
        <v>90</v>
      </c>
      <c r="D50" s="185">
        <f t="shared" si="11"/>
        <v>0</v>
      </c>
      <c r="E50" s="186"/>
      <c r="F50" s="62">
        <f ca="1">TblConstr[[#This Row],[Barren]]+TblConstr[[#This Row],[Buildings]]+TblConstr[[#This Row],[Incoming]]</f>
        <v>250</v>
      </c>
      <c r="G50" s="195">
        <f ca="1">OFFSET(TblConstr[[#This Row],[Plain]],-1,0)+TblConstr[[#This Row],[Ch_Plain]]</f>
        <v>40</v>
      </c>
      <c r="H50" s="190">
        <f ca="1">OFFSET(TblConstr[[#This Row],[Forest]],-1,0)+TblConstr[[#This Row],[Ch_Forest]]</f>
        <v>20</v>
      </c>
      <c r="I50" s="390">
        <f ca="1">OFFSET(TblConstr[[#This Row],[Mountain]],-1,0)+TblConstr[[#This Row],[Ch_Mountain]]</f>
        <v>20</v>
      </c>
      <c r="J50" s="394">
        <f ca="1">OFFSET(TblConstr[[#This Row],[Hill]],-1,0)+TblConstr[[#This Row],[Ch_Hill]]</f>
        <v>20</v>
      </c>
      <c r="K50" s="398">
        <f ca="1">OFFSET(TblConstr[[#This Row],[Swamp]],-1,0)+TblConstr[[#This Row],[Ch_Swamp]]</f>
        <v>20</v>
      </c>
      <c r="L50" s="193">
        <f ca="1">OFFSET(TblConstr[[#This Row],[Cavern]],-1,0)+TblConstr[[#This Row],[Ch_Cavern]]</f>
        <v>20</v>
      </c>
      <c r="M50" s="194">
        <f ca="1">OFFSET(TblConstr[[#This Row],[Water]],-1,0)+TblConstr[[#This Row],[Ch_Water]]</f>
        <v>20</v>
      </c>
      <c r="N50" s="388">
        <f>TblRezone[[#This Row],[Hour]]</f>
        <v>47</v>
      </c>
      <c r="O50" s="187"/>
      <c r="P50" s="187"/>
      <c r="Q50" s="187"/>
      <c r="R50" s="166"/>
      <c r="S50" s="187"/>
      <c r="T50" s="187"/>
      <c r="U50" s="187"/>
      <c r="V50" s="187"/>
      <c r="W50" s="187"/>
      <c r="X50" s="187"/>
      <c r="Y50" s="187"/>
      <c r="Z50" s="187"/>
      <c r="AA50" s="187"/>
      <c r="AB50" s="187"/>
      <c r="AC50" s="187"/>
      <c r="AD50" s="187"/>
      <c r="AE50" s="187"/>
      <c r="AF50" s="187"/>
      <c r="AG50" s="187"/>
      <c r="AH50" s="53">
        <f ca="1">TblImps[[#This Row],[Time]]</f>
        <v>44812.666666666555</v>
      </c>
      <c r="AI50" s="188">
        <f ca="1">MIN(25%,(TblConstr[[#This Row],[Tot Fac]]+TblConstr[[#This Row],[Dest Fac]])/(TblConstr[[#This Row],[Land]]-TblExplore[[#This Row],[Land Bonus]]*20))</f>
        <v>0</v>
      </c>
      <c r="AJ50" s="188">
        <f ca="1">MIN(25%,(TblConstr[[#This Row],[Tot Fac]]+TblConstr[[#This Row],[Dest Fac]])/TblConstr[[#This Row],[Land]])</f>
        <v>0</v>
      </c>
      <c r="AK50" s="97">
        <f ca="1">TblProd[[#This Row],[Platinum]]</f>
        <v>353234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50"/>
      <c r="AV50" s="97">
        <f ca="1">ROUND((TblConstr[[#This Row],[Land]]-250 - IF(TblExplore[[#This Row],[Land Bonus]]&lt;&gt;0,20,0))*1.25 + 850 + 0,0)</f>
        <v>850</v>
      </c>
      <c r="AW50" s="97">
        <f ca="1">ROUND((TblConstr[[#This Row],[Land]]-250 - IF(TblExplore[[#This Row],[Land Bonus]]&lt;&gt;0,20,0))*0.285 + 87.5 + 0/4.25,0)</f>
        <v>88</v>
      </c>
      <c r="AX50" s="162"/>
      <c r="AY50" s="196" cm="1">
        <f t="array" aca="1" ref="AY50" ca="1">IF(TblConstr[[#This Row],[Hour]:[Hour]]&gt;12,OFFSET(TblConstr[[#This Row],[Hom]],-12,0),0)+OFFSET(TblConstr[[#This Row],[Tot Hom]],-1,0)-TblConstr[[#This Row],[Dest Hom]]</f>
        <v>10</v>
      </c>
      <c r="AZ50" s="197" cm="1">
        <f t="array" aca="1" ref="AZ50" ca="1">IF(TblConstr[[#This Row],[Hour]:[Hour]]&gt;12,OFFSET(TblConstr[[#This Row],[Alc]],-12,0),0)+OFFSET(TblConstr[[#This Row],[Tot Alc]],-1,0)-TblConstr[[#This Row],[Dest Alc]]</f>
        <v>30</v>
      </c>
      <c r="BA50" s="197" cm="1">
        <f t="array" aca="1" ref="BA50" ca="1">IF(TblConstr[[#This Row],[Hour]:[Hour]]&gt;12,OFFSET(TblConstr[[#This Row],[Far]],-12,0),0)+OFFSET(TblConstr[[#This Row],[Tot Farm]],-1,0)-TblConstr[[#This Row],[Dest Farm]]</f>
        <v>30</v>
      </c>
      <c r="BB50" s="197" cm="1">
        <f t="array" aca="1" ref="BB50" ca="1">IF(TblConstr[[#This Row],[Hour]:[Hour]]&gt;12,OFFSET(TblConstr[[#This Row],[Smi]],-12,0),0)+OFFSET(TblConstr[[#This Row],[Tot Smi]],-1,0)-TblConstr[[#This Row],[Dest Smi]]</f>
        <v>0</v>
      </c>
      <c r="BC50" s="197" cm="1">
        <f t="array" aca="1" ref="BC50" ca="1">IF(TblConstr[[#This Row],[Hour]:[Hour]]&gt;12,OFFSET(TblConstr[[#This Row],[Mas]],-12,0),0)+OFFSET(TblConstr[[#This Row],[Tot Mas]],-1,0)-TblConstr[[#This Row],[Dest Mas]]</f>
        <v>0</v>
      </c>
      <c r="BD50" s="198" cm="1">
        <f t="array" aca="1" ref="BD50" ca="1">IF(TblConstr[[#This Row],[Hour]:[Hour]]&gt;12,OFFSET(TblConstr[[#This Row],[Ly]],-12,0),0)+OFFSET(TblConstr[[#This Row],[Tot Ly]],-1,0)-TblConstr[[#This Row],[Dest Ly]]</f>
        <v>20</v>
      </c>
      <c r="BE50" s="198" cm="1">
        <f t="array" aca="1" ref="BE50" ca="1">IF(TblConstr[[#This Row],[Hour]:[Hour]]&gt;12,OFFSET(TblConstr[[#This Row],[Hav]],-12,0),0)+OFFSET(TblConstr[[#This Row],[Tot Hav]],-1,0)-TblConstr[[#This Row],[Dest Hav]]</f>
        <v>0</v>
      </c>
      <c r="BF50" s="392" cm="1">
        <f t="array" aca="1" ref="BF50" ca="1">IF(TblConstr[[#This Row],[Hour]:[Hour]]&gt;12,OFFSET(TblConstr[[#This Row],[OM]],-12,0),0)+OFFSET(TblConstr[[#This Row],[Tot OM]],-1,0)-TblConstr[[#This Row],[Dest OM]]</f>
        <v>0</v>
      </c>
      <c r="BG50" s="392" cm="1">
        <f t="array" aca="1" ref="BG50" ca="1">IF(TblConstr[[#This Row],[Hour]:[Hour]]&gt;12,OFFSET(TblConstr[[#This Row],[GN]],-12,0),0)+OFFSET(TblConstr[[#This Row],[Tot GN]],-1,0)-TblConstr[[#This Row],[Dest GN]]</f>
        <v>0</v>
      </c>
      <c r="BH50" s="396" cm="1">
        <f t="array" aca="1" ref="BH50" ca="1">IF(TblConstr[[#This Row],[Hour]:[Hour]]&gt;12,OFFSET(TblConstr[[#This Row],[Fac]],-12,0),0)+OFFSET(TblConstr[[#This Row],[Tot Fac]],-1,0)-TblConstr[[#This Row],[Dest Fac]]</f>
        <v>0</v>
      </c>
      <c r="BI50" s="396" cm="1">
        <f t="array" aca="1" ref="BI50" ca="1">IF(TblConstr[[#This Row],[Hour]:[Hour]]&gt;12,OFFSET(TblConstr[[#This Row],[GT]],-12,0),0)+OFFSET(TblConstr[[#This Row],[Tot GT]],-1,0)-TblConstr[[#This Row],[Dest GT]]</f>
        <v>0</v>
      </c>
      <c r="BJ50" s="396" cm="1">
        <f t="array" aca="1" ref="BJ50" ca="1">IF(TblConstr[[#This Row],[Hour]:[Hour]]&gt;12,OFFSET(TblConstr[[#This Row],[Bar]],-12,0),0)+OFFSET(TblConstr[[#This Row],[Tot Bar]],-1,0)-TblConstr[[#This Row],[Dest Bar]]</f>
        <v>0</v>
      </c>
      <c r="BK50" s="396" cm="1">
        <f t="array" aca="1" ref="BK50" ca="1">IF(TblConstr[[#This Row],[Hour]:[Hour]]&gt;12,OFFSET(TblConstr[[#This Row],[Shr]],-12,0),0)+OFFSET(TblConstr[[#This Row],[Tot Shr]],-1,0)-TblConstr[[#This Row],[Dest Shr]]</f>
        <v>0</v>
      </c>
      <c r="BL50" s="400" cm="1">
        <f t="array" aca="1" ref="BL50" ca="1">IF(TblConstr[[#This Row],[Hour]:[Hour]]&gt;12,OFFSET(TblConstr[[#This Row],[Tow]],-12,0),0)+OFFSET(TblConstr[[#This Row],[Tot Tow]],-1,0)-TblConstr[[#This Row],[Dest Tow]]</f>
        <v>0</v>
      </c>
      <c r="BM50" s="400" cm="1">
        <f t="array" aca="1" ref="BM50" ca="1">IF(TblConstr[[#This Row],[Hour]:[Hour]]&gt;12,OFFSET(TblConstr[[#This Row],[Tem]],-12,0),0)+OFFSET(TblConstr[[#This Row],[Tot Tem]],-1,0)-TblConstr[[#This Row],[Dest Tem]]</f>
        <v>0</v>
      </c>
      <c r="BN50" s="400" cm="1">
        <f t="array" aca="1" ref="BN50" ca="1">IF(TblConstr[[#This Row],[Hour]:[Hour]]&gt;12,OFFSET(TblConstr[[#This Row],[WG]],-12,0),0)+OFFSET(TblConstr[[#This Row],[Tot WG]],-1,0)-TblConstr[[#This Row],[Dest WG]]</f>
        <v>0</v>
      </c>
      <c r="BO50" s="199" cm="1">
        <f t="array" aca="1" ref="BO50" ca="1">IF(TblConstr[[#This Row],[Hour]:[Hour]]&gt;12,OFFSET(TblConstr[[#This Row],[DM]],-12,0),0)+OFFSET(TblConstr[[#This Row],[Tot DM]],-1,0)-TblConstr[[#This Row],[Dest DM]]</f>
        <v>0</v>
      </c>
      <c r="BP50" s="199" cm="1">
        <f t="array" aca="1" ref="BP50" ca="1">IF(TblConstr[[#This Row],[Hour]:[Hour]]&gt;12,OFFSET(TblConstr[[#This Row],[Sch]],-12,0),0)+OFFSET(TblConstr[[#This Row],[Tot Sch]],-1,0)-TblConstr[[#This Row],[Dest Sch]]</f>
        <v>0</v>
      </c>
      <c r="BQ50" s="200" cm="1">
        <f t="array" aca="1" ref="BQ50" ca="1">IF(TblConstr[[#This Row],[Hour]:[Hour]]&gt;12,OFFSET(TblConstr[[#This Row],[Doc]],-12,0),0)+OFFSET(TblConstr[[#This Row],[Tot Doc]],-1,0)-TblConstr[[#This Row],[Dest Doc]]</f>
        <v>0</v>
      </c>
      <c r="BR50" s="150"/>
      <c r="BS50" s="162"/>
      <c r="BT50" s="97">
        <f ca="1">TblConstr[[#This Row],[Land]]</f>
        <v>250</v>
      </c>
      <c r="BU50" s="167">
        <f ca="1">TblImps[[#This Row],[Time]]</f>
        <v>44812.666666666555</v>
      </c>
      <c r="BV50" s="150"/>
      <c r="BW50" s="187"/>
      <c r="BX50" s="187"/>
      <c r="BY50" s="187"/>
      <c r="BZ50" s="187"/>
      <c r="CA50" s="187"/>
      <c r="CB50" s="187"/>
      <c r="CC50" s="187"/>
      <c r="CD50" s="187"/>
      <c r="CE50" s="187"/>
      <c r="CF50" s="187"/>
      <c r="CG50" s="187"/>
      <c r="CH50" s="187"/>
      <c r="CI50" s="187"/>
      <c r="CJ50" s="187"/>
      <c r="CK50" s="187"/>
      <c r="CL50" s="187"/>
      <c r="CM50" s="187"/>
      <c r="CN50" s="187"/>
      <c r="CO50" s="187"/>
      <c r="CP50" s="150"/>
      <c r="CQ50" s="189">
        <f ca="1">-SUM(TblConstr[[#This Row],[Alc]:[Mas]])+SUM(TblConstr[[#This Row],[Dest Alc]:[Dest Mas]])+Rezone!L50+IF("Ch_"&amp; home_land=TblConstr[[#Headers],[Ch_Plain]],TblConstr[[#This Row],[Home Land]])+IF(TblConstr[[#This Row],[Hour]:[Hour]]&gt;12,OFFSET(TblExplore[[#This Row],[Plains Explore]],-12,0),0)</f>
        <v>0</v>
      </c>
      <c r="CR50" s="190">
        <f ca="1">-SUM(TblConstr[[#This Row],[Ly]:[Hav]])+SUM(TblConstr[[#This Row],[Dest Ly]:[Dest Hav]]) +Rezone!M50 + IF("Ch_"&amp; home_land=TblConstr[[#Headers],[Ch_Forest]],TblConstr[[#This Row],[Home Land]])+IF(TblConstr[[#This Row],[Hour]:[Hour]]&gt;12,OFFSET(TblExplore[[#This Row],[Forest Explore]],-12,0),0)</f>
        <v>0</v>
      </c>
      <c r="CS50" s="390">
        <f ca="1">-SUM(TblConstr[[#This Row],[OM]:[GN]])+SUM(TblConstr[[#This Row],[Dest OM]:[Dest GN]]) +Rezone!N50 + IF("Ch_"&amp; home_land=TblConstr[[#Headers],[Ch_Mountain]],TblConstr[[#This Row],[Home Land]])+IF(TblConstr[[#This Row],[Hour]:[Hour]]&gt;12,OFFSET(TblExplore[[#This Row],[Mountain Explore]],-12,0),0)</f>
        <v>0</v>
      </c>
      <c r="CT50" s="191">
        <f ca="1">-SUM(TblConstr[[#This Row],[Fac]:[Shr]])+SUM(TblConstr[[#This Row],[Dest Fac]:[Dest Shr]]) +Rezone!O50 + IF("Ch_" &amp; home_land=TblConstr[[#Headers],[Ch_Hill]],TblConstr[[#This Row],[Home Land]])+IF(TblConstr[[#This Row],[Hour]:[Hour]]&gt;12,OFFSET(TblExplore[[#This Row],[Hill Explore]],-12,0),0)</f>
        <v>0</v>
      </c>
      <c r="CU50" s="192">
        <f ca="1">-SUM(TblConstr[[#This Row],[Tow]:[WG]])+SUM(TblConstr[[#This Row],[Dest Tow]:[Dest WG]]) +Rezone!P50 + IF("Ch_" &amp; home_land=TblConstr[[#Headers],[Ch_Swamp]],TblConstr[[#This Row],[Home Land]])+IF(TblConstr[[#This Row],[Hour]:[Hour]]&gt;12,OFFSET(TblExplore[[#This Row],[Swamp Explore]],-12,0),0)</f>
        <v>0</v>
      </c>
      <c r="CV50" s="193">
        <f ca="1" xml:space="preserve"> - SUM(TblConstr[[#This Row],[DM]:[Sch]])+SUM(TblConstr[[#This Row],[Dest DM]:[Dest Sch]]) +Rezone!Q50 + IF("Ch_" &amp; home_land=TblConstr[[#Headers],[Ch_Cavern]],TblConstr[[#This Row],[Home Land]])+IF(TblConstr[[#This Row],[Hour]:[Hour]]&gt;12,OFFSET(TblExplore[[#This Row],[Cavern Explore]],-12,0),0)</f>
        <v>0</v>
      </c>
      <c r="CW50" s="194">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50"/>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83">
        <f>TblRezone[[#This Row],[Hour]]</f>
        <v>48</v>
      </c>
      <c r="B51" s="184">
        <f ca="1">SUM(TblConstr[[#This Row],[Plain]:[Water]])</f>
        <v>160</v>
      </c>
      <c r="C51" s="185">
        <f ca="1">SUM(TblConstr[[#This Row],[Tot Hom]:[Tot Doc]])</f>
        <v>90</v>
      </c>
      <c r="D51" s="185">
        <f t="shared" si="11"/>
        <v>0</v>
      </c>
      <c r="E51" s="186"/>
      <c r="F51" s="62">
        <f ca="1">TblConstr[[#This Row],[Barren]]+TblConstr[[#This Row],[Buildings]]+TblConstr[[#This Row],[Incoming]]</f>
        <v>250</v>
      </c>
      <c r="G51" s="195">
        <f ca="1">OFFSET(TblConstr[[#This Row],[Plain]],-1,0)+TblConstr[[#This Row],[Ch_Plain]]</f>
        <v>40</v>
      </c>
      <c r="H51" s="190">
        <f ca="1">OFFSET(TblConstr[[#This Row],[Forest]],-1,0)+TblConstr[[#This Row],[Ch_Forest]]</f>
        <v>20</v>
      </c>
      <c r="I51" s="390">
        <f ca="1">OFFSET(TblConstr[[#This Row],[Mountain]],-1,0)+TblConstr[[#This Row],[Ch_Mountain]]</f>
        <v>20</v>
      </c>
      <c r="J51" s="394">
        <f ca="1">OFFSET(TblConstr[[#This Row],[Hill]],-1,0)+TblConstr[[#This Row],[Ch_Hill]]</f>
        <v>20</v>
      </c>
      <c r="K51" s="398">
        <f ca="1">OFFSET(TblConstr[[#This Row],[Swamp]],-1,0)+TblConstr[[#This Row],[Ch_Swamp]]</f>
        <v>20</v>
      </c>
      <c r="L51" s="193">
        <f ca="1">OFFSET(TblConstr[[#This Row],[Cavern]],-1,0)+TblConstr[[#This Row],[Ch_Cavern]]</f>
        <v>20</v>
      </c>
      <c r="M51" s="194">
        <f ca="1">OFFSET(TblConstr[[#This Row],[Water]],-1,0)+TblConstr[[#This Row],[Ch_Water]]</f>
        <v>20</v>
      </c>
      <c r="N51" s="388">
        <f>TblRezone[[#This Row],[Hour]]</f>
        <v>48</v>
      </c>
      <c r="O51" s="187"/>
      <c r="P51" s="187"/>
      <c r="Q51" s="187"/>
      <c r="R51" s="166"/>
      <c r="S51" s="187"/>
      <c r="T51" s="187"/>
      <c r="U51" s="187"/>
      <c r="V51" s="187"/>
      <c r="W51" s="187"/>
      <c r="X51" s="187"/>
      <c r="Y51" s="187"/>
      <c r="Z51" s="187"/>
      <c r="AA51" s="187"/>
      <c r="AB51" s="187"/>
      <c r="AC51" s="187"/>
      <c r="AD51" s="187"/>
      <c r="AE51" s="187"/>
      <c r="AF51" s="187"/>
      <c r="AG51" s="187"/>
      <c r="AH51" s="53">
        <f ca="1">TblImps[[#This Row],[Time]]</f>
        <v>44812.708333333219</v>
      </c>
      <c r="AI51" s="188">
        <f ca="1">MIN(25%,(TblConstr[[#This Row],[Tot Fac]]+TblConstr[[#This Row],[Dest Fac]])/(TblConstr[[#This Row],[Land]]-TblExplore[[#This Row],[Land Bonus]]*20))</f>
        <v>0</v>
      </c>
      <c r="AJ51" s="188">
        <f ca="1">MIN(25%,(TblConstr[[#This Row],[Tot Fac]]+TblConstr[[#This Row],[Dest Fac]])/TblConstr[[#This Row],[Land]])</f>
        <v>0</v>
      </c>
      <c r="AK51" s="97">
        <f ca="1">TblProd[[#This Row],[Platinum]]</f>
        <v>358720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50"/>
      <c r="AV51" s="97">
        <f ca="1">ROUND((TblConstr[[#This Row],[Land]]-250 - IF(TblExplore[[#This Row],[Land Bonus]]&lt;&gt;0,20,0))*1.25 + 850 + 0,0)</f>
        <v>850</v>
      </c>
      <c r="AW51" s="97">
        <f ca="1">ROUND((TblConstr[[#This Row],[Land]]-250 - IF(TblExplore[[#This Row],[Land Bonus]]&lt;&gt;0,20,0))*0.285 + 87.5 + 0/4.25,0)</f>
        <v>88</v>
      </c>
      <c r="AX51" s="162"/>
      <c r="AY51" s="196" cm="1">
        <f t="array" aca="1" ref="AY51" ca="1">IF(TblConstr[[#This Row],[Hour]:[Hour]]&gt;12,OFFSET(TblConstr[[#This Row],[Hom]],-12,0),0)+OFFSET(TblConstr[[#This Row],[Tot Hom]],-1,0)-TblConstr[[#This Row],[Dest Hom]]</f>
        <v>10</v>
      </c>
      <c r="AZ51" s="197" cm="1">
        <f t="array" aca="1" ref="AZ51" ca="1">IF(TblConstr[[#This Row],[Hour]:[Hour]]&gt;12,OFFSET(TblConstr[[#This Row],[Alc]],-12,0),0)+OFFSET(TblConstr[[#This Row],[Tot Alc]],-1,0)-TblConstr[[#This Row],[Dest Alc]]</f>
        <v>30</v>
      </c>
      <c r="BA51" s="197" cm="1">
        <f t="array" aca="1" ref="BA51" ca="1">IF(TblConstr[[#This Row],[Hour]:[Hour]]&gt;12,OFFSET(TblConstr[[#This Row],[Far]],-12,0),0)+OFFSET(TblConstr[[#This Row],[Tot Farm]],-1,0)-TblConstr[[#This Row],[Dest Farm]]</f>
        <v>30</v>
      </c>
      <c r="BB51" s="197" cm="1">
        <f t="array" aca="1" ref="BB51" ca="1">IF(TblConstr[[#This Row],[Hour]:[Hour]]&gt;12,OFFSET(TblConstr[[#This Row],[Smi]],-12,0),0)+OFFSET(TblConstr[[#This Row],[Tot Smi]],-1,0)-TblConstr[[#This Row],[Dest Smi]]</f>
        <v>0</v>
      </c>
      <c r="BC51" s="197" cm="1">
        <f t="array" aca="1" ref="BC51" ca="1">IF(TblConstr[[#This Row],[Hour]:[Hour]]&gt;12,OFFSET(TblConstr[[#This Row],[Mas]],-12,0),0)+OFFSET(TblConstr[[#This Row],[Tot Mas]],-1,0)-TblConstr[[#This Row],[Dest Mas]]</f>
        <v>0</v>
      </c>
      <c r="BD51" s="198" cm="1">
        <f t="array" aca="1" ref="BD51" ca="1">IF(TblConstr[[#This Row],[Hour]:[Hour]]&gt;12,OFFSET(TblConstr[[#This Row],[Ly]],-12,0),0)+OFFSET(TblConstr[[#This Row],[Tot Ly]],-1,0)-TblConstr[[#This Row],[Dest Ly]]</f>
        <v>20</v>
      </c>
      <c r="BE51" s="198" cm="1">
        <f t="array" aca="1" ref="BE51" ca="1">IF(TblConstr[[#This Row],[Hour]:[Hour]]&gt;12,OFFSET(TblConstr[[#This Row],[Hav]],-12,0),0)+OFFSET(TblConstr[[#This Row],[Tot Hav]],-1,0)-TblConstr[[#This Row],[Dest Hav]]</f>
        <v>0</v>
      </c>
      <c r="BF51" s="392" cm="1">
        <f t="array" aca="1" ref="BF51" ca="1">IF(TblConstr[[#This Row],[Hour]:[Hour]]&gt;12,OFFSET(TblConstr[[#This Row],[OM]],-12,0),0)+OFFSET(TblConstr[[#This Row],[Tot OM]],-1,0)-TblConstr[[#This Row],[Dest OM]]</f>
        <v>0</v>
      </c>
      <c r="BG51" s="392" cm="1">
        <f t="array" aca="1" ref="BG51" ca="1">IF(TblConstr[[#This Row],[Hour]:[Hour]]&gt;12,OFFSET(TblConstr[[#This Row],[GN]],-12,0),0)+OFFSET(TblConstr[[#This Row],[Tot GN]],-1,0)-TblConstr[[#This Row],[Dest GN]]</f>
        <v>0</v>
      </c>
      <c r="BH51" s="396" cm="1">
        <f t="array" aca="1" ref="BH51" ca="1">IF(TblConstr[[#This Row],[Hour]:[Hour]]&gt;12,OFFSET(TblConstr[[#This Row],[Fac]],-12,0),0)+OFFSET(TblConstr[[#This Row],[Tot Fac]],-1,0)-TblConstr[[#This Row],[Dest Fac]]</f>
        <v>0</v>
      </c>
      <c r="BI51" s="396" cm="1">
        <f t="array" aca="1" ref="BI51" ca="1">IF(TblConstr[[#This Row],[Hour]:[Hour]]&gt;12,OFFSET(TblConstr[[#This Row],[GT]],-12,0),0)+OFFSET(TblConstr[[#This Row],[Tot GT]],-1,0)-TblConstr[[#This Row],[Dest GT]]</f>
        <v>0</v>
      </c>
      <c r="BJ51" s="396" cm="1">
        <f t="array" aca="1" ref="BJ51" ca="1">IF(TblConstr[[#This Row],[Hour]:[Hour]]&gt;12,OFFSET(TblConstr[[#This Row],[Bar]],-12,0),0)+OFFSET(TblConstr[[#This Row],[Tot Bar]],-1,0)-TblConstr[[#This Row],[Dest Bar]]</f>
        <v>0</v>
      </c>
      <c r="BK51" s="396" cm="1">
        <f t="array" aca="1" ref="BK51" ca="1">IF(TblConstr[[#This Row],[Hour]:[Hour]]&gt;12,OFFSET(TblConstr[[#This Row],[Shr]],-12,0),0)+OFFSET(TblConstr[[#This Row],[Tot Shr]],-1,0)-TblConstr[[#This Row],[Dest Shr]]</f>
        <v>0</v>
      </c>
      <c r="BL51" s="400" cm="1">
        <f t="array" aca="1" ref="BL51" ca="1">IF(TblConstr[[#This Row],[Hour]:[Hour]]&gt;12,OFFSET(TblConstr[[#This Row],[Tow]],-12,0),0)+OFFSET(TblConstr[[#This Row],[Tot Tow]],-1,0)-TblConstr[[#This Row],[Dest Tow]]</f>
        <v>0</v>
      </c>
      <c r="BM51" s="400" cm="1">
        <f t="array" aca="1" ref="BM51" ca="1">IF(TblConstr[[#This Row],[Hour]:[Hour]]&gt;12,OFFSET(TblConstr[[#This Row],[Tem]],-12,0),0)+OFFSET(TblConstr[[#This Row],[Tot Tem]],-1,0)-TblConstr[[#This Row],[Dest Tem]]</f>
        <v>0</v>
      </c>
      <c r="BN51" s="400" cm="1">
        <f t="array" aca="1" ref="BN51" ca="1">IF(TblConstr[[#This Row],[Hour]:[Hour]]&gt;12,OFFSET(TblConstr[[#This Row],[WG]],-12,0),0)+OFFSET(TblConstr[[#This Row],[Tot WG]],-1,0)-TblConstr[[#This Row],[Dest WG]]</f>
        <v>0</v>
      </c>
      <c r="BO51" s="199" cm="1">
        <f t="array" aca="1" ref="BO51" ca="1">IF(TblConstr[[#This Row],[Hour]:[Hour]]&gt;12,OFFSET(TblConstr[[#This Row],[DM]],-12,0),0)+OFFSET(TblConstr[[#This Row],[Tot DM]],-1,0)-TblConstr[[#This Row],[Dest DM]]</f>
        <v>0</v>
      </c>
      <c r="BP51" s="199" cm="1">
        <f t="array" aca="1" ref="BP51" ca="1">IF(TblConstr[[#This Row],[Hour]:[Hour]]&gt;12,OFFSET(TblConstr[[#This Row],[Sch]],-12,0),0)+OFFSET(TblConstr[[#This Row],[Tot Sch]],-1,0)-TblConstr[[#This Row],[Dest Sch]]</f>
        <v>0</v>
      </c>
      <c r="BQ51" s="200" cm="1">
        <f t="array" aca="1" ref="BQ51" ca="1">IF(TblConstr[[#This Row],[Hour]:[Hour]]&gt;12,OFFSET(TblConstr[[#This Row],[Doc]],-12,0),0)+OFFSET(TblConstr[[#This Row],[Tot Doc]],-1,0)-TblConstr[[#This Row],[Dest Doc]]</f>
        <v>0</v>
      </c>
      <c r="BR51" s="150"/>
      <c r="BS51" s="162"/>
      <c r="BT51" s="97">
        <f ca="1">TblConstr[[#This Row],[Land]]</f>
        <v>250</v>
      </c>
      <c r="BU51" s="167">
        <f ca="1">TblImps[[#This Row],[Time]]</f>
        <v>44812.708333333219</v>
      </c>
      <c r="BV51" s="150"/>
      <c r="BW51" s="187"/>
      <c r="BX51" s="187"/>
      <c r="BY51" s="187"/>
      <c r="BZ51" s="187"/>
      <c r="CA51" s="187"/>
      <c r="CB51" s="187"/>
      <c r="CC51" s="187"/>
      <c r="CD51" s="187"/>
      <c r="CE51" s="187"/>
      <c r="CF51" s="187"/>
      <c r="CG51" s="187"/>
      <c r="CH51" s="187"/>
      <c r="CI51" s="187"/>
      <c r="CJ51" s="187"/>
      <c r="CK51" s="187"/>
      <c r="CL51" s="187"/>
      <c r="CM51" s="187"/>
      <c r="CN51" s="187"/>
      <c r="CO51" s="187"/>
      <c r="CP51" s="150"/>
      <c r="CQ51" s="189">
        <f ca="1">-SUM(TblConstr[[#This Row],[Alc]:[Mas]])+SUM(TblConstr[[#This Row],[Dest Alc]:[Dest Mas]])+Rezone!L51+IF("Ch_"&amp; home_land=TblConstr[[#Headers],[Ch_Plain]],TblConstr[[#This Row],[Home Land]])+IF(TblConstr[[#This Row],[Hour]:[Hour]]&gt;12,OFFSET(TblExplore[[#This Row],[Plains Explore]],-12,0),0)</f>
        <v>0</v>
      </c>
      <c r="CR51" s="190">
        <f ca="1">-SUM(TblConstr[[#This Row],[Ly]:[Hav]])+SUM(TblConstr[[#This Row],[Dest Ly]:[Dest Hav]]) +Rezone!M51 + IF("Ch_"&amp; home_land=TblConstr[[#Headers],[Ch_Forest]],TblConstr[[#This Row],[Home Land]])+IF(TblConstr[[#This Row],[Hour]:[Hour]]&gt;12,OFFSET(TblExplore[[#This Row],[Forest Explore]],-12,0),0)</f>
        <v>0</v>
      </c>
      <c r="CS51" s="390">
        <f ca="1">-SUM(TblConstr[[#This Row],[OM]:[GN]])+SUM(TblConstr[[#This Row],[Dest OM]:[Dest GN]]) +Rezone!N51 + IF("Ch_"&amp; home_land=TblConstr[[#Headers],[Ch_Mountain]],TblConstr[[#This Row],[Home Land]])+IF(TblConstr[[#This Row],[Hour]:[Hour]]&gt;12,OFFSET(TblExplore[[#This Row],[Mountain Explore]],-12,0),0)</f>
        <v>0</v>
      </c>
      <c r="CT51" s="191">
        <f ca="1">-SUM(TblConstr[[#This Row],[Fac]:[Shr]])+SUM(TblConstr[[#This Row],[Dest Fac]:[Dest Shr]]) +Rezone!O51 + IF("Ch_" &amp; home_land=TblConstr[[#Headers],[Ch_Hill]],TblConstr[[#This Row],[Home Land]])+IF(TblConstr[[#This Row],[Hour]:[Hour]]&gt;12,OFFSET(TblExplore[[#This Row],[Hill Explore]],-12,0),0)</f>
        <v>0</v>
      </c>
      <c r="CU51" s="192">
        <f ca="1">-SUM(TblConstr[[#This Row],[Tow]:[WG]])+SUM(TblConstr[[#This Row],[Dest Tow]:[Dest WG]]) +Rezone!P51 + IF("Ch_" &amp; home_land=TblConstr[[#Headers],[Ch_Swamp]],TblConstr[[#This Row],[Home Land]])+IF(TblConstr[[#This Row],[Hour]:[Hour]]&gt;12,OFFSET(TblExplore[[#This Row],[Swamp Explore]],-12,0),0)</f>
        <v>0</v>
      </c>
      <c r="CV51" s="193">
        <f ca="1" xml:space="preserve"> - SUM(TblConstr[[#This Row],[DM]:[Sch]])+SUM(TblConstr[[#This Row],[Dest DM]:[Dest Sch]]) +Rezone!Q51 + IF("Ch_" &amp; home_land=TblConstr[[#Headers],[Ch_Cavern]],TblConstr[[#This Row],[Home Land]])+IF(TblConstr[[#This Row],[Hour]:[Hour]]&gt;12,OFFSET(TblExplore[[#This Row],[Cavern Explore]],-12,0),0)</f>
        <v>0</v>
      </c>
      <c r="CW51" s="194">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50"/>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83">
        <f>TblRezone[[#This Row],[Hour]]</f>
        <v>49</v>
      </c>
      <c r="B52" s="184">
        <f ca="1">SUM(TblConstr[[#This Row],[Plain]:[Water]])</f>
        <v>160</v>
      </c>
      <c r="C52" s="185">
        <f ca="1">SUM(TblConstr[[#This Row],[Tot Hom]:[Tot Doc]])</f>
        <v>90</v>
      </c>
      <c r="D52" s="185">
        <f t="shared" si="11"/>
        <v>0</v>
      </c>
      <c r="E52" s="186"/>
      <c r="F52" s="62">
        <f ca="1">TblConstr[[#This Row],[Barren]]+TblConstr[[#This Row],[Buildings]]+TblConstr[[#This Row],[Incoming]]</f>
        <v>250</v>
      </c>
      <c r="G52" s="195">
        <f ca="1">OFFSET(TblConstr[[#This Row],[Plain]],-1,0)+TblConstr[[#This Row],[Ch_Plain]]</f>
        <v>40</v>
      </c>
      <c r="H52" s="190">
        <f ca="1">OFFSET(TblConstr[[#This Row],[Forest]],-1,0)+TblConstr[[#This Row],[Ch_Forest]]</f>
        <v>20</v>
      </c>
      <c r="I52" s="390">
        <f ca="1">OFFSET(TblConstr[[#This Row],[Mountain]],-1,0)+TblConstr[[#This Row],[Ch_Mountain]]</f>
        <v>20</v>
      </c>
      <c r="J52" s="394">
        <f ca="1">OFFSET(TblConstr[[#This Row],[Hill]],-1,0)+TblConstr[[#This Row],[Ch_Hill]]</f>
        <v>20</v>
      </c>
      <c r="K52" s="398">
        <f ca="1">OFFSET(TblConstr[[#This Row],[Swamp]],-1,0)+TblConstr[[#This Row],[Ch_Swamp]]</f>
        <v>20</v>
      </c>
      <c r="L52" s="193">
        <f ca="1">OFFSET(TblConstr[[#This Row],[Cavern]],-1,0)+TblConstr[[#This Row],[Ch_Cavern]]</f>
        <v>20</v>
      </c>
      <c r="M52" s="194">
        <f ca="1">OFFSET(TblConstr[[#This Row],[Water]],-1,0)+TblConstr[[#This Row],[Ch_Water]]</f>
        <v>20</v>
      </c>
      <c r="N52" s="388">
        <f>TblRezone[[#This Row],[Hour]]</f>
        <v>49</v>
      </c>
      <c r="O52" s="187"/>
      <c r="P52" s="187"/>
      <c r="Q52" s="187"/>
      <c r="R52" s="187"/>
      <c r="S52" s="187"/>
      <c r="T52" s="187"/>
      <c r="U52" s="187"/>
      <c r="V52" s="187"/>
      <c r="W52" s="187"/>
      <c r="X52" s="187"/>
      <c r="Y52" s="187"/>
      <c r="Z52" s="187"/>
      <c r="AA52" s="187"/>
      <c r="AB52" s="187"/>
      <c r="AC52" s="187"/>
      <c r="AD52" s="187"/>
      <c r="AE52" s="187"/>
      <c r="AF52" s="187"/>
      <c r="AG52" s="187"/>
      <c r="AH52" s="53">
        <f ca="1">TblImps[[#This Row],[Time]]</f>
        <v>44812.749999999884</v>
      </c>
      <c r="AI52" s="188">
        <f ca="1">MIN(25%,(TblConstr[[#This Row],[Tot Fac]]+TblConstr[[#This Row],[Dest Fac]])/(TblConstr[[#This Row],[Land]]-TblExplore[[#This Row],[Land Bonus]]*20))</f>
        <v>0</v>
      </c>
      <c r="AJ52" s="188">
        <f ca="1">MIN(25%,(TblConstr[[#This Row],[Tot Fac]]+TblConstr[[#This Row],[Dest Fac]])/TblConstr[[#This Row],[Land]])</f>
        <v>0</v>
      </c>
      <c r="AK52" s="97">
        <f ca="1">TblProd[[#This Row],[Platinum]]</f>
        <v>364206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50"/>
      <c r="AV52" s="97">
        <f ca="1">ROUND((TblConstr[[#This Row],[Land]]-250 - IF(TblExplore[[#This Row],[Land Bonus]]&lt;&gt;0,20,0))*1.25 + 850 + 0,0)</f>
        <v>850</v>
      </c>
      <c r="AW52" s="97">
        <f ca="1">ROUND((TblConstr[[#This Row],[Land]]-250 - IF(TblExplore[[#This Row],[Land Bonus]]&lt;&gt;0,20,0))*0.285 + 87.5 + 0/4.25,0)</f>
        <v>88</v>
      </c>
      <c r="AX52" s="162"/>
      <c r="AY52" s="196" cm="1">
        <f t="array" aca="1" ref="AY52" ca="1">IF(TblConstr[[#This Row],[Hour]:[Hour]]&gt;12,OFFSET(TblConstr[[#This Row],[Hom]],-12,0),0)+OFFSET(TblConstr[[#This Row],[Tot Hom]],-1,0)-TblConstr[[#This Row],[Dest Hom]]</f>
        <v>10</v>
      </c>
      <c r="AZ52" s="197" cm="1">
        <f t="array" aca="1" ref="AZ52" ca="1">IF(TblConstr[[#This Row],[Hour]:[Hour]]&gt;12,OFFSET(TblConstr[[#This Row],[Alc]],-12,0),0)+OFFSET(TblConstr[[#This Row],[Tot Alc]],-1,0)-TblConstr[[#This Row],[Dest Alc]]</f>
        <v>30</v>
      </c>
      <c r="BA52" s="197" cm="1">
        <f t="array" aca="1" ref="BA52" ca="1">IF(TblConstr[[#This Row],[Hour]:[Hour]]&gt;12,OFFSET(TblConstr[[#This Row],[Far]],-12,0),0)+OFFSET(TblConstr[[#This Row],[Tot Farm]],-1,0)-TblConstr[[#This Row],[Dest Farm]]</f>
        <v>30</v>
      </c>
      <c r="BB52" s="197" cm="1">
        <f t="array" aca="1" ref="BB52" ca="1">IF(TblConstr[[#This Row],[Hour]:[Hour]]&gt;12,OFFSET(TblConstr[[#This Row],[Smi]],-12,0),0)+OFFSET(TblConstr[[#This Row],[Tot Smi]],-1,0)-TblConstr[[#This Row],[Dest Smi]]</f>
        <v>0</v>
      </c>
      <c r="BC52" s="197" cm="1">
        <f t="array" aca="1" ref="BC52" ca="1">IF(TblConstr[[#This Row],[Hour]:[Hour]]&gt;12,OFFSET(TblConstr[[#This Row],[Mas]],-12,0),0)+OFFSET(TblConstr[[#This Row],[Tot Mas]],-1,0)-TblConstr[[#This Row],[Dest Mas]]</f>
        <v>0</v>
      </c>
      <c r="BD52" s="198" cm="1">
        <f t="array" aca="1" ref="BD52" ca="1">IF(TblConstr[[#This Row],[Hour]:[Hour]]&gt;12,OFFSET(TblConstr[[#This Row],[Ly]],-12,0),0)+OFFSET(TblConstr[[#This Row],[Tot Ly]],-1,0)-TblConstr[[#This Row],[Dest Ly]]</f>
        <v>20</v>
      </c>
      <c r="BE52" s="198" cm="1">
        <f t="array" aca="1" ref="BE52" ca="1">IF(TblConstr[[#This Row],[Hour]:[Hour]]&gt;12,OFFSET(TblConstr[[#This Row],[Hav]],-12,0),0)+OFFSET(TblConstr[[#This Row],[Tot Hav]],-1,0)-TblConstr[[#This Row],[Dest Hav]]</f>
        <v>0</v>
      </c>
      <c r="BF52" s="392" cm="1">
        <f t="array" aca="1" ref="BF52" ca="1">IF(TblConstr[[#This Row],[Hour]:[Hour]]&gt;12,OFFSET(TblConstr[[#This Row],[OM]],-12,0),0)+OFFSET(TblConstr[[#This Row],[Tot OM]],-1,0)-TblConstr[[#This Row],[Dest OM]]</f>
        <v>0</v>
      </c>
      <c r="BG52" s="392" cm="1">
        <f t="array" aca="1" ref="BG52" ca="1">IF(TblConstr[[#This Row],[Hour]:[Hour]]&gt;12,OFFSET(TblConstr[[#This Row],[GN]],-12,0),0)+OFFSET(TblConstr[[#This Row],[Tot GN]],-1,0)-TblConstr[[#This Row],[Dest GN]]</f>
        <v>0</v>
      </c>
      <c r="BH52" s="396" cm="1">
        <f t="array" aca="1" ref="BH52" ca="1">IF(TblConstr[[#This Row],[Hour]:[Hour]]&gt;12,OFFSET(TblConstr[[#This Row],[Fac]],-12,0),0)+OFFSET(TblConstr[[#This Row],[Tot Fac]],-1,0)-TblConstr[[#This Row],[Dest Fac]]</f>
        <v>0</v>
      </c>
      <c r="BI52" s="396" cm="1">
        <f t="array" aca="1" ref="BI52" ca="1">IF(TblConstr[[#This Row],[Hour]:[Hour]]&gt;12,OFFSET(TblConstr[[#This Row],[GT]],-12,0),0)+OFFSET(TblConstr[[#This Row],[Tot GT]],-1,0)-TblConstr[[#This Row],[Dest GT]]</f>
        <v>0</v>
      </c>
      <c r="BJ52" s="396" cm="1">
        <f t="array" aca="1" ref="BJ52" ca="1">IF(TblConstr[[#This Row],[Hour]:[Hour]]&gt;12,OFFSET(TblConstr[[#This Row],[Bar]],-12,0),0)+OFFSET(TblConstr[[#This Row],[Tot Bar]],-1,0)-TblConstr[[#This Row],[Dest Bar]]</f>
        <v>0</v>
      </c>
      <c r="BK52" s="396" cm="1">
        <f t="array" aca="1" ref="BK52" ca="1">IF(TblConstr[[#This Row],[Hour]:[Hour]]&gt;12,OFFSET(TblConstr[[#This Row],[Shr]],-12,0),0)+OFFSET(TblConstr[[#This Row],[Tot Shr]],-1,0)-TblConstr[[#This Row],[Dest Shr]]</f>
        <v>0</v>
      </c>
      <c r="BL52" s="400" cm="1">
        <f t="array" aca="1" ref="BL52" ca="1">IF(TblConstr[[#This Row],[Hour]:[Hour]]&gt;12,OFFSET(TblConstr[[#This Row],[Tow]],-12,0),0)+OFFSET(TblConstr[[#This Row],[Tot Tow]],-1,0)-TblConstr[[#This Row],[Dest Tow]]</f>
        <v>0</v>
      </c>
      <c r="BM52" s="400" cm="1">
        <f t="array" aca="1" ref="BM52" ca="1">IF(TblConstr[[#This Row],[Hour]:[Hour]]&gt;12,OFFSET(TblConstr[[#This Row],[Tem]],-12,0),0)+OFFSET(TblConstr[[#This Row],[Tot Tem]],-1,0)-TblConstr[[#This Row],[Dest Tem]]</f>
        <v>0</v>
      </c>
      <c r="BN52" s="400" cm="1">
        <f t="array" aca="1" ref="BN52" ca="1">IF(TblConstr[[#This Row],[Hour]:[Hour]]&gt;12,OFFSET(TblConstr[[#This Row],[WG]],-12,0),0)+OFFSET(TblConstr[[#This Row],[Tot WG]],-1,0)-TblConstr[[#This Row],[Dest WG]]</f>
        <v>0</v>
      </c>
      <c r="BO52" s="199" cm="1">
        <f t="array" aca="1" ref="BO52" ca="1">IF(TblConstr[[#This Row],[Hour]:[Hour]]&gt;12,OFFSET(TblConstr[[#This Row],[DM]],-12,0),0)+OFFSET(TblConstr[[#This Row],[Tot DM]],-1,0)-TblConstr[[#This Row],[Dest DM]]</f>
        <v>0</v>
      </c>
      <c r="BP52" s="199" cm="1">
        <f t="array" aca="1" ref="BP52" ca="1">IF(TblConstr[[#This Row],[Hour]:[Hour]]&gt;12,OFFSET(TblConstr[[#This Row],[Sch]],-12,0),0)+OFFSET(TblConstr[[#This Row],[Tot Sch]],-1,0)-TblConstr[[#This Row],[Dest Sch]]</f>
        <v>0</v>
      </c>
      <c r="BQ52" s="200" cm="1">
        <f t="array" aca="1" ref="BQ52" ca="1">IF(TblConstr[[#This Row],[Hour]:[Hour]]&gt;12,OFFSET(TblConstr[[#This Row],[Doc]],-12,0),0)+OFFSET(TblConstr[[#This Row],[Tot Doc]],-1,0)-TblConstr[[#This Row],[Dest Doc]]</f>
        <v>0</v>
      </c>
      <c r="BR52" s="150"/>
      <c r="BS52" s="162"/>
      <c r="BT52" s="97">
        <f ca="1">TblConstr[[#This Row],[Land]]</f>
        <v>250</v>
      </c>
      <c r="BU52" s="167">
        <f ca="1">TblImps[[#This Row],[Time]]</f>
        <v>44812.749999999884</v>
      </c>
      <c r="BV52" s="150"/>
      <c r="BW52" s="187"/>
      <c r="BX52" s="187"/>
      <c r="BY52" s="187"/>
      <c r="BZ52" s="187"/>
      <c r="CA52" s="187"/>
      <c r="CB52" s="187"/>
      <c r="CC52" s="187"/>
      <c r="CD52" s="187"/>
      <c r="CE52" s="187"/>
      <c r="CF52" s="187"/>
      <c r="CG52" s="187"/>
      <c r="CH52" s="187"/>
      <c r="CI52" s="187"/>
      <c r="CJ52" s="187"/>
      <c r="CK52" s="187"/>
      <c r="CL52" s="187"/>
      <c r="CM52" s="187"/>
      <c r="CN52" s="187"/>
      <c r="CO52" s="187"/>
      <c r="CP52" s="150"/>
      <c r="CQ52" s="189">
        <f ca="1">-SUM(TblConstr[[#This Row],[Alc]:[Mas]])+SUM(TblConstr[[#This Row],[Dest Alc]:[Dest Mas]])+Rezone!L52+IF("Ch_"&amp; home_land=TblConstr[[#Headers],[Ch_Plain]],TblConstr[[#This Row],[Home Land]])+IF(TblConstr[[#This Row],[Hour]:[Hour]]&gt;12,OFFSET(TblExplore[[#This Row],[Plains Explore]],-12,0),0)</f>
        <v>0</v>
      </c>
      <c r="CR52" s="190">
        <f ca="1">-SUM(TblConstr[[#This Row],[Ly]:[Hav]])+SUM(TblConstr[[#This Row],[Dest Ly]:[Dest Hav]]) +Rezone!M52 + IF("Ch_"&amp; home_land=TblConstr[[#Headers],[Ch_Forest]],TblConstr[[#This Row],[Home Land]])+IF(TblConstr[[#This Row],[Hour]:[Hour]]&gt;12,OFFSET(TblExplore[[#This Row],[Forest Explore]],-12,0),0)</f>
        <v>0</v>
      </c>
      <c r="CS52" s="390">
        <f ca="1">-SUM(TblConstr[[#This Row],[OM]:[GN]])+SUM(TblConstr[[#This Row],[Dest OM]:[Dest GN]]) +Rezone!N52 + IF("Ch_"&amp; home_land=TblConstr[[#Headers],[Ch_Mountain]],TblConstr[[#This Row],[Home Land]])+IF(TblConstr[[#This Row],[Hour]:[Hour]]&gt;12,OFFSET(TblExplore[[#This Row],[Mountain Explore]],-12,0),0)</f>
        <v>0</v>
      </c>
      <c r="CT52" s="191">
        <f ca="1">-SUM(TblConstr[[#This Row],[Fac]:[Shr]])+SUM(TblConstr[[#This Row],[Dest Fac]:[Dest Shr]]) +Rezone!O52 + IF("Ch_" &amp; home_land=TblConstr[[#Headers],[Ch_Hill]],TblConstr[[#This Row],[Home Land]])+IF(TblConstr[[#This Row],[Hour]:[Hour]]&gt;12,OFFSET(TblExplore[[#This Row],[Hill Explore]],-12,0),0)</f>
        <v>0</v>
      </c>
      <c r="CU52" s="192">
        <f ca="1">-SUM(TblConstr[[#This Row],[Tow]:[WG]])+SUM(TblConstr[[#This Row],[Dest Tow]:[Dest WG]]) +Rezone!P52 + IF("Ch_" &amp; home_land=TblConstr[[#Headers],[Ch_Swamp]],TblConstr[[#This Row],[Home Land]])+IF(TblConstr[[#This Row],[Hour]:[Hour]]&gt;12,OFFSET(TblExplore[[#This Row],[Swamp Explore]],-12,0),0)</f>
        <v>0</v>
      </c>
      <c r="CV52" s="193">
        <f ca="1" xml:space="preserve"> - SUM(TblConstr[[#This Row],[DM]:[Sch]])+SUM(TblConstr[[#This Row],[Dest DM]:[Dest Sch]]) +Rezone!Q52 + IF("Ch_" &amp; home_land=TblConstr[[#Headers],[Ch_Cavern]],TblConstr[[#This Row],[Home Land]])+IF(TblConstr[[#This Row],[Hour]:[Hour]]&gt;12,OFFSET(TblExplore[[#This Row],[Cavern Explore]],-12,0),0)</f>
        <v>0</v>
      </c>
      <c r="CW52" s="194">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50"/>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83">
        <f>TblRezone[[#This Row],[Hour]]</f>
        <v>50</v>
      </c>
      <c r="B53" s="184">
        <f ca="1">SUM(TblConstr[[#This Row],[Plain]:[Water]])</f>
        <v>160</v>
      </c>
      <c r="C53" s="185">
        <f ca="1">SUM(TblConstr[[#This Row],[Tot Hom]:[Tot Doc]])</f>
        <v>90</v>
      </c>
      <c r="D53" s="185">
        <f t="shared" si="11"/>
        <v>0</v>
      </c>
      <c r="E53" s="186"/>
      <c r="F53" s="62">
        <f ca="1">TblConstr[[#This Row],[Barren]]+TblConstr[[#This Row],[Buildings]]+TblConstr[[#This Row],[Incoming]]</f>
        <v>250</v>
      </c>
      <c r="G53" s="195">
        <f ca="1">OFFSET(TblConstr[[#This Row],[Plain]],-1,0)+TblConstr[[#This Row],[Ch_Plain]]</f>
        <v>40</v>
      </c>
      <c r="H53" s="190">
        <f ca="1">OFFSET(TblConstr[[#This Row],[Forest]],-1,0)+TblConstr[[#This Row],[Ch_Forest]]</f>
        <v>20</v>
      </c>
      <c r="I53" s="390">
        <f ca="1">OFFSET(TblConstr[[#This Row],[Mountain]],-1,0)+TblConstr[[#This Row],[Ch_Mountain]]</f>
        <v>20</v>
      </c>
      <c r="J53" s="394">
        <f ca="1">OFFSET(TblConstr[[#This Row],[Hill]],-1,0)+TblConstr[[#This Row],[Ch_Hill]]</f>
        <v>20</v>
      </c>
      <c r="K53" s="398">
        <f ca="1">OFFSET(TblConstr[[#This Row],[Swamp]],-1,0)+TblConstr[[#This Row],[Ch_Swamp]]</f>
        <v>20</v>
      </c>
      <c r="L53" s="193">
        <f ca="1">OFFSET(TblConstr[[#This Row],[Cavern]],-1,0)+TblConstr[[#This Row],[Ch_Cavern]]</f>
        <v>20</v>
      </c>
      <c r="M53" s="194">
        <f ca="1">OFFSET(TblConstr[[#This Row],[Water]],-1,0)+TblConstr[[#This Row],[Ch_Water]]</f>
        <v>20</v>
      </c>
      <c r="N53" s="388">
        <f>TblRezone[[#This Row],[Hour]]</f>
        <v>50</v>
      </c>
      <c r="O53" s="187"/>
      <c r="P53" s="187"/>
      <c r="Q53" s="187"/>
      <c r="R53" s="187"/>
      <c r="S53" s="187"/>
      <c r="T53" s="187"/>
      <c r="U53" s="187"/>
      <c r="V53" s="187"/>
      <c r="W53" s="187"/>
      <c r="X53" s="187"/>
      <c r="Y53" s="187"/>
      <c r="Z53" s="187"/>
      <c r="AA53" s="187"/>
      <c r="AB53" s="187"/>
      <c r="AC53" s="187"/>
      <c r="AD53" s="187"/>
      <c r="AE53" s="187"/>
      <c r="AF53" s="187"/>
      <c r="AG53" s="187"/>
      <c r="AH53" s="53">
        <f ca="1">TblImps[[#This Row],[Time]]</f>
        <v>44812.791666666548</v>
      </c>
      <c r="AI53" s="188">
        <f ca="1">MIN(25%,(TblConstr[[#This Row],[Tot Fac]]+TblConstr[[#This Row],[Dest Fac]])/(TblConstr[[#This Row],[Land]]-TblExplore[[#This Row],[Land Bonus]]*20))</f>
        <v>0</v>
      </c>
      <c r="AJ53" s="188">
        <f ca="1">MIN(25%,(TblConstr[[#This Row],[Tot Fac]]+TblConstr[[#This Row],[Dest Fac]])/TblConstr[[#This Row],[Land]])</f>
        <v>0</v>
      </c>
      <c r="AK53" s="97">
        <f ca="1">TblProd[[#This Row],[Platinum]]</f>
        <v>369692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50"/>
      <c r="AV53" s="97">
        <f ca="1">ROUND((TblConstr[[#This Row],[Land]]-250 - IF(TblExplore[[#This Row],[Land Bonus]]&lt;&gt;0,20,0))*1.25 + 850 + 0,0)</f>
        <v>850</v>
      </c>
      <c r="AW53" s="97">
        <f ca="1">ROUND((TblConstr[[#This Row],[Land]]-250 - IF(TblExplore[[#This Row],[Land Bonus]]&lt;&gt;0,20,0))*0.285 + 87.5 + 0/4.25,0)</f>
        <v>88</v>
      </c>
      <c r="AX53" s="162"/>
      <c r="AY53" s="196" cm="1">
        <f t="array" aca="1" ref="AY53" ca="1">IF(TblConstr[[#This Row],[Hour]:[Hour]]&gt;12,OFFSET(TblConstr[[#This Row],[Hom]],-12,0),0)+OFFSET(TblConstr[[#This Row],[Tot Hom]],-1,0)-TblConstr[[#This Row],[Dest Hom]]</f>
        <v>10</v>
      </c>
      <c r="AZ53" s="197" cm="1">
        <f t="array" aca="1" ref="AZ53" ca="1">IF(TblConstr[[#This Row],[Hour]:[Hour]]&gt;12,OFFSET(TblConstr[[#This Row],[Alc]],-12,0),0)+OFFSET(TblConstr[[#This Row],[Tot Alc]],-1,0)-TblConstr[[#This Row],[Dest Alc]]</f>
        <v>30</v>
      </c>
      <c r="BA53" s="197" cm="1">
        <f t="array" aca="1" ref="BA53" ca="1">IF(TblConstr[[#This Row],[Hour]:[Hour]]&gt;12,OFFSET(TblConstr[[#This Row],[Far]],-12,0),0)+OFFSET(TblConstr[[#This Row],[Tot Farm]],-1,0)-TblConstr[[#This Row],[Dest Farm]]</f>
        <v>30</v>
      </c>
      <c r="BB53" s="197" cm="1">
        <f t="array" aca="1" ref="BB53" ca="1">IF(TblConstr[[#This Row],[Hour]:[Hour]]&gt;12,OFFSET(TblConstr[[#This Row],[Smi]],-12,0),0)+OFFSET(TblConstr[[#This Row],[Tot Smi]],-1,0)-TblConstr[[#This Row],[Dest Smi]]</f>
        <v>0</v>
      </c>
      <c r="BC53" s="197" cm="1">
        <f t="array" aca="1" ref="BC53" ca="1">IF(TblConstr[[#This Row],[Hour]:[Hour]]&gt;12,OFFSET(TblConstr[[#This Row],[Mas]],-12,0),0)+OFFSET(TblConstr[[#This Row],[Tot Mas]],-1,0)-TblConstr[[#This Row],[Dest Mas]]</f>
        <v>0</v>
      </c>
      <c r="BD53" s="198" cm="1">
        <f t="array" aca="1" ref="BD53" ca="1">IF(TblConstr[[#This Row],[Hour]:[Hour]]&gt;12,OFFSET(TblConstr[[#This Row],[Ly]],-12,0),0)+OFFSET(TblConstr[[#This Row],[Tot Ly]],-1,0)-TblConstr[[#This Row],[Dest Ly]]</f>
        <v>20</v>
      </c>
      <c r="BE53" s="198" cm="1">
        <f t="array" aca="1" ref="BE53" ca="1">IF(TblConstr[[#This Row],[Hour]:[Hour]]&gt;12,OFFSET(TblConstr[[#This Row],[Hav]],-12,0),0)+OFFSET(TblConstr[[#This Row],[Tot Hav]],-1,0)-TblConstr[[#This Row],[Dest Hav]]</f>
        <v>0</v>
      </c>
      <c r="BF53" s="392" cm="1">
        <f t="array" aca="1" ref="BF53" ca="1">IF(TblConstr[[#This Row],[Hour]:[Hour]]&gt;12,OFFSET(TblConstr[[#This Row],[OM]],-12,0),0)+OFFSET(TblConstr[[#This Row],[Tot OM]],-1,0)-TblConstr[[#This Row],[Dest OM]]</f>
        <v>0</v>
      </c>
      <c r="BG53" s="392" cm="1">
        <f t="array" aca="1" ref="BG53" ca="1">IF(TblConstr[[#This Row],[Hour]:[Hour]]&gt;12,OFFSET(TblConstr[[#This Row],[GN]],-12,0),0)+OFFSET(TblConstr[[#This Row],[Tot GN]],-1,0)-TblConstr[[#This Row],[Dest GN]]</f>
        <v>0</v>
      </c>
      <c r="BH53" s="396" cm="1">
        <f t="array" aca="1" ref="BH53" ca="1">IF(TblConstr[[#This Row],[Hour]:[Hour]]&gt;12,OFFSET(TblConstr[[#This Row],[Fac]],-12,0),0)+OFFSET(TblConstr[[#This Row],[Tot Fac]],-1,0)-TblConstr[[#This Row],[Dest Fac]]</f>
        <v>0</v>
      </c>
      <c r="BI53" s="396" cm="1">
        <f t="array" aca="1" ref="BI53" ca="1">IF(TblConstr[[#This Row],[Hour]:[Hour]]&gt;12,OFFSET(TblConstr[[#This Row],[GT]],-12,0),0)+OFFSET(TblConstr[[#This Row],[Tot GT]],-1,0)-TblConstr[[#This Row],[Dest GT]]</f>
        <v>0</v>
      </c>
      <c r="BJ53" s="396" cm="1">
        <f t="array" aca="1" ref="BJ53" ca="1">IF(TblConstr[[#This Row],[Hour]:[Hour]]&gt;12,OFFSET(TblConstr[[#This Row],[Bar]],-12,0),0)+OFFSET(TblConstr[[#This Row],[Tot Bar]],-1,0)-TblConstr[[#This Row],[Dest Bar]]</f>
        <v>0</v>
      </c>
      <c r="BK53" s="396" cm="1">
        <f t="array" aca="1" ref="BK53" ca="1">IF(TblConstr[[#This Row],[Hour]:[Hour]]&gt;12,OFFSET(TblConstr[[#This Row],[Shr]],-12,0),0)+OFFSET(TblConstr[[#This Row],[Tot Shr]],-1,0)-TblConstr[[#This Row],[Dest Shr]]</f>
        <v>0</v>
      </c>
      <c r="BL53" s="400" cm="1">
        <f t="array" aca="1" ref="BL53" ca="1">IF(TblConstr[[#This Row],[Hour]:[Hour]]&gt;12,OFFSET(TblConstr[[#This Row],[Tow]],-12,0),0)+OFFSET(TblConstr[[#This Row],[Tot Tow]],-1,0)-TblConstr[[#This Row],[Dest Tow]]</f>
        <v>0</v>
      </c>
      <c r="BM53" s="400" cm="1">
        <f t="array" aca="1" ref="BM53" ca="1">IF(TblConstr[[#This Row],[Hour]:[Hour]]&gt;12,OFFSET(TblConstr[[#This Row],[Tem]],-12,0),0)+OFFSET(TblConstr[[#This Row],[Tot Tem]],-1,0)-TblConstr[[#This Row],[Dest Tem]]</f>
        <v>0</v>
      </c>
      <c r="BN53" s="400" cm="1">
        <f t="array" aca="1" ref="BN53" ca="1">IF(TblConstr[[#This Row],[Hour]:[Hour]]&gt;12,OFFSET(TblConstr[[#This Row],[WG]],-12,0),0)+OFFSET(TblConstr[[#This Row],[Tot WG]],-1,0)-TblConstr[[#This Row],[Dest WG]]</f>
        <v>0</v>
      </c>
      <c r="BO53" s="199" cm="1">
        <f t="array" aca="1" ref="BO53" ca="1">IF(TblConstr[[#This Row],[Hour]:[Hour]]&gt;12,OFFSET(TblConstr[[#This Row],[DM]],-12,0),0)+OFFSET(TblConstr[[#This Row],[Tot DM]],-1,0)-TblConstr[[#This Row],[Dest DM]]</f>
        <v>0</v>
      </c>
      <c r="BP53" s="199" cm="1">
        <f t="array" aca="1" ref="BP53" ca="1">IF(TblConstr[[#This Row],[Hour]:[Hour]]&gt;12,OFFSET(TblConstr[[#This Row],[Sch]],-12,0),0)+OFFSET(TblConstr[[#This Row],[Tot Sch]],-1,0)-TblConstr[[#This Row],[Dest Sch]]</f>
        <v>0</v>
      </c>
      <c r="BQ53" s="200" cm="1">
        <f t="array" aca="1" ref="BQ53" ca="1">IF(TblConstr[[#This Row],[Hour]:[Hour]]&gt;12,OFFSET(TblConstr[[#This Row],[Doc]],-12,0),0)+OFFSET(TblConstr[[#This Row],[Tot Doc]],-1,0)-TblConstr[[#This Row],[Dest Doc]]</f>
        <v>0</v>
      </c>
      <c r="BR53" s="150"/>
      <c r="BS53" s="162"/>
      <c r="BT53" s="97">
        <f ca="1">TblConstr[[#This Row],[Land]]</f>
        <v>250</v>
      </c>
      <c r="BU53" s="167">
        <f ca="1">TblImps[[#This Row],[Time]]</f>
        <v>44812.791666666548</v>
      </c>
      <c r="BV53" s="150"/>
      <c r="BW53" s="187"/>
      <c r="BX53" s="187"/>
      <c r="BY53" s="187"/>
      <c r="BZ53" s="187"/>
      <c r="CA53" s="187"/>
      <c r="CB53" s="187"/>
      <c r="CC53" s="187"/>
      <c r="CD53" s="187"/>
      <c r="CE53" s="187"/>
      <c r="CF53" s="187"/>
      <c r="CG53" s="187"/>
      <c r="CH53" s="187"/>
      <c r="CI53" s="187"/>
      <c r="CJ53" s="187"/>
      <c r="CK53" s="187"/>
      <c r="CL53" s="187"/>
      <c r="CM53" s="187"/>
      <c r="CN53" s="187"/>
      <c r="CO53" s="187"/>
      <c r="CP53" s="150"/>
      <c r="CQ53" s="189">
        <f ca="1">-SUM(TblConstr[[#This Row],[Alc]:[Mas]])+SUM(TblConstr[[#This Row],[Dest Alc]:[Dest Mas]])+Rezone!L53+IF("Ch_"&amp; home_land=TblConstr[[#Headers],[Ch_Plain]],TblConstr[[#This Row],[Home Land]])+IF(TblConstr[[#This Row],[Hour]:[Hour]]&gt;12,OFFSET(TblExplore[[#This Row],[Plains Explore]],-12,0),0)</f>
        <v>0</v>
      </c>
      <c r="CR53" s="190">
        <f ca="1">-SUM(TblConstr[[#This Row],[Ly]:[Hav]])+SUM(TblConstr[[#This Row],[Dest Ly]:[Dest Hav]]) +Rezone!M53 + IF("Ch_"&amp; home_land=TblConstr[[#Headers],[Ch_Forest]],TblConstr[[#This Row],[Home Land]])+IF(TblConstr[[#This Row],[Hour]:[Hour]]&gt;12,OFFSET(TblExplore[[#This Row],[Forest Explore]],-12,0),0)</f>
        <v>0</v>
      </c>
      <c r="CS53" s="390">
        <f ca="1">-SUM(TblConstr[[#This Row],[OM]:[GN]])+SUM(TblConstr[[#This Row],[Dest OM]:[Dest GN]]) +Rezone!N53 + IF("Ch_"&amp; home_land=TblConstr[[#Headers],[Ch_Mountain]],TblConstr[[#This Row],[Home Land]])+IF(TblConstr[[#This Row],[Hour]:[Hour]]&gt;12,OFFSET(TblExplore[[#This Row],[Mountain Explore]],-12,0),0)</f>
        <v>0</v>
      </c>
      <c r="CT53" s="191">
        <f ca="1">-SUM(TblConstr[[#This Row],[Fac]:[Shr]])+SUM(TblConstr[[#This Row],[Dest Fac]:[Dest Shr]]) +Rezone!O53 + IF("Ch_" &amp; home_land=TblConstr[[#Headers],[Ch_Hill]],TblConstr[[#This Row],[Home Land]])+IF(TblConstr[[#This Row],[Hour]:[Hour]]&gt;12,OFFSET(TblExplore[[#This Row],[Hill Explore]],-12,0),0)</f>
        <v>0</v>
      </c>
      <c r="CU53" s="192">
        <f ca="1">-SUM(TblConstr[[#This Row],[Tow]:[WG]])+SUM(TblConstr[[#This Row],[Dest Tow]:[Dest WG]]) +Rezone!P53 + IF("Ch_" &amp; home_land=TblConstr[[#Headers],[Ch_Swamp]],TblConstr[[#This Row],[Home Land]])+IF(TblConstr[[#This Row],[Hour]:[Hour]]&gt;12,OFFSET(TblExplore[[#This Row],[Swamp Explore]],-12,0),0)</f>
        <v>0</v>
      </c>
      <c r="CV53" s="193">
        <f ca="1" xml:space="preserve"> - SUM(TblConstr[[#This Row],[DM]:[Sch]])+SUM(TblConstr[[#This Row],[Dest DM]:[Dest Sch]]) +Rezone!Q53 + IF("Ch_" &amp; home_land=TblConstr[[#Headers],[Ch_Cavern]],TblConstr[[#This Row],[Home Land]])+IF(TblConstr[[#This Row],[Hour]:[Hour]]&gt;12,OFFSET(TblExplore[[#This Row],[Cavern Explore]],-12,0),0)</f>
        <v>0</v>
      </c>
      <c r="CW53" s="194">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50"/>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83">
        <f>TblRezone[[#This Row],[Hour]]</f>
        <v>51</v>
      </c>
      <c r="B54" s="184">
        <f ca="1">SUM(TblConstr[[#This Row],[Plain]:[Water]])</f>
        <v>160</v>
      </c>
      <c r="C54" s="185">
        <f ca="1">SUM(TblConstr[[#This Row],[Tot Hom]:[Tot Doc]])</f>
        <v>90</v>
      </c>
      <c r="D54" s="185">
        <f t="shared" si="11"/>
        <v>0</v>
      </c>
      <c r="E54" s="186"/>
      <c r="F54" s="62">
        <f ca="1">TblConstr[[#This Row],[Barren]]+TblConstr[[#This Row],[Buildings]]+TblConstr[[#This Row],[Incoming]]</f>
        <v>250</v>
      </c>
      <c r="G54" s="195">
        <f ca="1">OFFSET(TblConstr[[#This Row],[Plain]],-1,0)+TblConstr[[#This Row],[Ch_Plain]]</f>
        <v>40</v>
      </c>
      <c r="H54" s="190">
        <f ca="1">OFFSET(TblConstr[[#This Row],[Forest]],-1,0)+TblConstr[[#This Row],[Ch_Forest]]</f>
        <v>20</v>
      </c>
      <c r="I54" s="390">
        <f ca="1">OFFSET(TblConstr[[#This Row],[Mountain]],-1,0)+TblConstr[[#This Row],[Ch_Mountain]]</f>
        <v>20</v>
      </c>
      <c r="J54" s="394">
        <f ca="1">OFFSET(TblConstr[[#This Row],[Hill]],-1,0)+TblConstr[[#This Row],[Ch_Hill]]</f>
        <v>20</v>
      </c>
      <c r="K54" s="398">
        <f ca="1">OFFSET(TblConstr[[#This Row],[Swamp]],-1,0)+TblConstr[[#This Row],[Ch_Swamp]]</f>
        <v>20</v>
      </c>
      <c r="L54" s="193">
        <f ca="1">OFFSET(TblConstr[[#This Row],[Cavern]],-1,0)+TblConstr[[#This Row],[Ch_Cavern]]</f>
        <v>20</v>
      </c>
      <c r="M54" s="194">
        <f ca="1">OFFSET(TblConstr[[#This Row],[Water]],-1,0)+TblConstr[[#This Row],[Ch_Water]]</f>
        <v>20</v>
      </c>
      <c r="N54" s="388">
        <f>TblRezone[[#This Row],[Hour]]</f>
        <v>51</v>
      </c>
      <c r="O54" s="187"/>
      <c r="P54" s="187"/>
      <c r="Q54" s="187"/>
      <c r="R54" s="187"/>
      <c r="S54" s="187"/>
      <c r="T54" s="187"/>
      <c r="U54" s="187"/>
      <c r="V54" s="187"/>
      <c r="W54" s="187"/>
      <c r="X54" s="187"/>
      <c r="Y54" s="187"/>
      <c r="Z54" s="187"/>
      <c r="AA54" s="187"/>
      <c r="AB54" s="187"/>
      <c r="AC54" s="187"/>
      <c r="AD54" s="187"/>
      <c r="AE54" s="187"/>
      <c r="AF54" s="187"/>
      <c r="AG54" s="187"/>
      <c r="AH54" s="53">
        <f ca="1">TblImps[[#This Row],[Time]]</f>
        <v>44812.833333333212</v>
      </c>
      <c r="AI54" s="188">
        <f ca="1">MIN(25%,(TblConstr[[#This Row],[Tot Fac]]+TblConstr[[#This Row],[Dest Fac]])/(TblConstr[[#This Row],[Land]]-TblExplore[[#This Row],[Land Bonus]]*20))</f>
        <v>0</v>
      </c>
      <c r="AJ54" s="188">
        <f ca="1">MIN(25%,(TblConstr[[#This Row],[Tot Fac]]+TblConstr[[#This Row],[Dest Fac]])/TblConstr[[#This Row],[Land]])</f>
        <v>0</v>
      </c>
      <c r="AK54" s="97">
        <f ca="1">TblProd[[#This Row],[Platinum]]</f>
        <v>375178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50"/>
      <c r="AV54" s="97">
        <f ca="1">ROUND((TblConstr[[#This Row],[Land]]-250 - IF(TblExplore[[#This Row],[Land Bonus]]&lt;&gt;0,20,0))*1.25 + 850 + 0,0)</f>
        <v>850</v>
      </c>
      <c r="AW54" s="97">
        <f ca="1">ROUND((TblConstr[[#This Row],[Land]]-250 - IF(TblExplore[[#This Row],[Land Bonus]]&lt;&gt;0,20,0))*0.285 + 87.5 + 0/4.25,0)</f>
        <v>88</v>
      </c>
      <c r="AX54" s="162"/>
      <c r="AY54" s="196" cm="1">
        <f t="array" aca="1" ref="AY54" ca="1">IF(TblConstr[[#This Row],[Hour]:[Hour]]&gt;12,OFFSET(TblConstr[[#This Row],[Hom]],-12,0),0)+OFFSET(TblConstr[[#This Row],[Tot Hom]],-1,0)-TblConstr[[#This Row],[Dest Hom]]</f>
        <v>10</v>
      </c>
      <c r="AZ54" s="197" cm="1">
        <f t="array" aca="1" ref="AZ54" ca="1">IF(TblConstr[[#This Row],[Hour]:[Hour]]&gt;12,OFFSET(TblConstr[[#This Row],[Alc]],-12,0),0)+OFFSET(TblConstr[[#This Row],[Tot Alc]],-1,0)-TblConstr[[#This Row],[Dest Alc]]</f>
        <v>30</v>
      </c>
      <c r="BA54" s="197" cm="1">
        <f t="array" aca="1" ref="BA54" ca="1">IF(TblConstr[[#This Row],[Hour]:[Hour]]&gt;12,OFFSET(TblConstr[[#This Row],[Far]],-12,0),0)+OFFSET(TblConstr[[#This Row],[Tot Farm]],-1,0)-TblConstr[[#This Row],[Dest Farm]]</f>
        <v>30</v>
      </c>
      <c r="BB54" s="197" cm="1">
        <f t="array" aca="1" ref="BB54" ca="1">IF(TblConstr[[#This Row],[Hour]:[Hour]]&gt;12,OFFSET(TblConstr[[#This Row],[Smi]],-12,0),0)+OFFSET(TblConstr[[#This Row],[Tot Smi]],-1,0)-TblConstr[[#This Row],[Dest Smi]]</f>
        <v>0</v>
      </c>
      <c r="BC54" s="197" cm="1">
        <f t="array" aca="1" ref="BC54" ca="1">IF(TblConstr[[#This Row],[Hour]:[Hour]]&gt;12,OFFSET(TblConstr[[#This Row],[Mas]],-12,0),0)+OFFSET(TblConstr[[#This Row],[Tot Mas]],-1,0)-TblConstr[[#This Row],[Dest Mas]]</f>
        <v>0</v>
      </c>
      <c r="BD54" s="198" cm="1">
        <f t="array" aca="1" ref="BD54" ca="1">IF(TblConstr[[#This Row],[Hour]:[Hour]]&gt;12,OFFSET(TblConstr[[#This Row],[Ly]],-12,0),0)+OFFSET(TblConstr[[#This Row],[Tot Ly]],-1,0)-TblConstr[[#This Row],[Dest Ly]]</f>
        <v>20</v>
      </c>
      <c r="BE54" s="198" cm="1">
        <f t="array" aca="1" ref="BE54" ca="1">IF(TblConstr[[#This Row],[Hour]:[Hour]]&gt;12,OFFSET(TblConstr[[#This Row],[Hav]],-12,0),0)+OFFSET(TblConstr[[#This Row],[Tot Hav]],-1,0)-TblConstr[[#This Row],[Dest Hav]]</f>
        <v>0</v>
      </c>
      <c r="BF54" s="392" cm="1">
        <f t="array" aca="1" ref="BF54" ca="1">IF(TblConstr[[#This Row],[Hour]:[Hour]]&gt;12,OFFSET(TblConstr[[#This Row],[OM]],-12,0),0)+OFFSET(TblConstr[[#This Row],[Tot OM]],-1,0)-TblConstr[[#This Row],[Dest OM]]</f>
        <v>0</v>
      </c>
      <c r="BG54" s="392" cm="1">
        <f t="array" aca="1" ref="BG54" ca="1">IF(TblConstr[[#This Row],[Hour]:[Hour]]&gt;12,OFFSET(TblConstr[[#This Row],[GN]],-12,0),0)+OFFSET(TblConstr[[#This Row],[Tot GN]],-1,0)-TblConstr[[#This Row],[Dest GN]]</f>
        <v>0</v>
      </c>
      <c r="BH54" s="396" cm="1">
        <f t="array" aca="1" ref="BH54" ca="1">IF(TblConstr[[#This Row],[Hour]:[Hour]]&gt;12,OFFSET(TblConstr[[#This Row],[Fac]],-12,0),0)+OFFSET(TblConstr[[#This Row],[Tot Fac]],-1,0)-TblConstr[[#This Row],[Dest Fac]]</f>
        <v>0</v>
      </c>
      <c r="BI54" s="396" cm="1">
        <f t="array" aca="1" ref="BI54" ca="1">IF(TblConstr[[#This Row],[Hour]:[Hour]]&gt;12,OFFSET(TblConstr[[#This Row],[GT]],-12,0),0)+OFFSET(TblConstr[[#This Row],[Tot GT]],-1,0)-TblConstr[[#This Row],[Dest GT]]</f>
        <v>0</v>
      </c>
      <c r="BJ54" s="396" cm="1">
        <f t="array" aca="1" ref="BJ54" ca="1">IF(TblConstr[[#This Row],[Hour]:[Hour]]&gt;12,OFFSET(TblConstr[[#This Row],[Bar]],-12,0),0)+OFFSET(TblConstr[[#This Row],[Tot Bar]],-1,0)-TblConstr[[#This Row],[Dest Bar]]</f>
        <v>0</v>
      </c>
      <c r="BK54" s="396" cm="1">
        <f t="array" aca="1" ref="BK54" ca="1">IF(TblConstr[[#This Row],[Hour]:[Hour]]&gt;12,OFFSET(TblConstr[[#This Row],[Shr]],-12,0),0)+OFFSET(TblConstr[[#This Row],[Tot Shr]],-1,0)-TblConstr[[#This Row],[Dest Shr]]</f>
        <v>0</v>
      </c>
      <c r="BL54" s="400" cm="1">
        <f t="array" aca="1" ref="BL54" ca="1">IF(TblConstr[[#This Row],[Hour]:[Hour]]&gt;12,OFFSET(TblConstr[[#This Row],[Tow]],-12,0),0)+OFFSET(TblConstr[[#This Row],[Tot Tow]],-1,0)-TblConstr[[#This Row],[Dest Tow]]</f>
        <v>0</v>
      </c>
      <c r="BM54" s="400" cm="1">
        <f t="array" aca="1" ref="BM54" ca="1">IF(TblConstr[[#This Row],[Hour]:[Hour]]&gt;12,OFFSET(TblConstr[[#This Row],[Tem]],-12,0),0)+OFFSET(TblConstr[[#This Row],[Tot Tem]],-1,0)-TblConstr[[#This Row],[Dest Tem]]</f>
        <v>0</v>
      </c>
      <c r="BN54" s="400" cm="1">
        <f t="array" aca="1" ref="BN54" ca="1">IF(TblConstr[[#This Row],[Hour]:[Hour]]&gt;12,OFFSET(TblConstr[[#This Row],[WG]],-12,0),0)+OFFSET(TblConstr[[#This Row],[Tot WG]],-1,0)-TblConstr[[#This Row],[Dest WG]]</f>
        <v>0</v>
      </c>
      <c r="BO54" s="199" cm="1">
        <f t="array" aca="1" ref="BO54" ca="1">IF(TblConstr[[#This Row],[Hour]:[Hour]]&gt;12,OFFSET(TblConstr[[#This Row],[DM]],-12,0),0)+OFFSET(TblConstr[[#This Row],[Tot DM]],-1,0)-TblConstr[[#This Row],[Dest DM]]</f>
        <v>0</v>
      </c>
      <c r="BP54" s="199" cm="1">
        <f t="array" aca="1" ref="BP54" ca="1">IF(TblConstr[[#This Row],[Hour]:[Hour]]&gt;12,OFFSET(TblConstr[[#This Row],[Sch]],-12,0),0)+OFFSET(TblConstr[[#This Row],[Tot Sch]],-1,0)-TblConstr[[#This Row],[Dest Sch]]</f>
        <v>0</v>
      </c>
      <c r="BQ54" s="200" cm="1">
        <f t="array" aca="1" ref="BQ54" ca="1">IF(TblConstr[[#This Row],[Hour]:[Hour]]&gt;12,OFFSET(TblConstr[[#This Row],[Doc]],-12,0),0)+OFFSET(TblConstr[[#This Row],[Tot Doc]],-1,0)-TblConstr[[#This Row],[Dest Doc]]</f>
        <v>0</v>
      </c>
      <c r="BR54" s="150"/>
      <c r="BS54" s="162"/>
      <c r="BT54" s="97">
        <f ca="1">TblConstr[[#This Row],[Land]]</f>
        <v>250</v>
      </c>
      <c r="BU54" s="167">
        <f ca="1">TblImps[[#This Row],[Time]]</f>
        <v>44812.833333333212</v>
      </c>
      <c r="BV54" s="150"/>
      <c r="BW54" s="187"/>
      <c r="BX54" s="187"/>
      <c r="BY54" s="187"/>
      <c r="BZ54" s="187"/>
      <c r="CA54" s="187"/>
      <c r="CB54" s="187"/>
      <c r="CC54" s="187"/>
      <c r="CD54" s="187"/>
      <c r="CE54" s="187"/>
      <c r="CF54" s="187"/>
      <c r="CG54" s="187"/>
      <c r="CH54" s="187"/>
      <c r="CI54" s="187"/>
      <c r="CJ54" s="187"/>
      <c r="CK54" s="187"/>
      <c r="CL54" s="187"/>
      <c r="CM54" s="187"/>
      <c r="CN54" s="187"/>
      <c r="CO54" s="187"/>
      <c r="CP54" s="150"/>
      <c r="CQ54" s="189">
        <f ca="1">-SUM(TblConstr[[#This Row],[Alc]:[Mas]])+SUM(TblConstr[[#This Row],[Dest Alc]:[Dest Mas]])+Rezone!L54+IF("Ch_"&amp; home_land=TblConstr[[#Headers],[Ch_Plain]],TblConstr[[#This Row],[Home Land]])+IF(TblConstr[[#This Row],[Hour]:[Hour]]&gt;12,OFFSET(TblExplore[[#This Row],[Plains Explore]],-12,0),0)</f>
        <v>0</v>
      </c>
      <c r="CR54" s="190">
        <f ca="1">-SUM(TblConstr[[#This Row],[Ly]:[Hav]])+SUM(TblConstr[[#This Row],[Dest Ly]:[Dest Hav]]) +Rezone!M54 + IF("Ch_"&amp; home_land=TblConstr[[#Headers],[Ch_Forest]],TblConstr[[#This Row],[Home Land]])+IF(TblConstr[[#This Row],[Hour]:[Hour]]&gt;12,OFFSET(TblExplore[[#This Row],[Forest Explore]],-12,0),0)</f>
        <v>0</v>
      </c>
      <c r="CS54" s="390">
        <f ca="1">-SUM(TblConstr[[#This Row],[OM]:[GN]])+SUM(TblConstr[[#This Row],[Dest OM]:[Dest GN]]) +Rezone!N54 + IF("Ch_"&amp; home_land=TblConstr[[#Headers],[Ch_Mountain]],TblConstr[[#This Row],[Home Land]])+IF(TblConstr[[#This Row],[Hour]:[Hour]]&gt;12,OFFSET(TblExplore[[#This Row],[Mountain Explore]],-12,0),0)</f>
        <v>0</v>
      </c>
      <c r="CT54" s="191">
        <f ca="1">-SUM(TblConstr[[#This Row],[Fac]:[Shr]])+SUM(TblConstr[[#This Row],[Dest Fac]:[Dest Shr]]) +Rezone!O54 + IF("Ch_" &amp; home_land=TblConstr[[#Headers],[Ch_Hill]],TblConstr[[#This Row],[Home Land]])+IF(TblConstr[[#This Row],[Hour]:[Hour]]&gt;12,OFFSET(TblExplore[[#This Row],[Hill Explore]],-12,0),0)</f>
        <v>0</v>
      </c>
      <c r="CU54" s="192">
        <f ca="1">-SUM(TblConstr[[#This Row],[Tow]:[WG]])+SUM(TblConstr[[#This Row],[Dest Tow]:[Dest WG]]) +Rezone!P54 + IF("Ch_" &amp; home_land=TblConstr[[#Headers],[Ch_Swamp]],TblConstr[[#This Row],[Home Land]])+IF(TblConstr[[#This Row],[Hour]:[Hour]]&gt;12,OFFSET(TblExplore[[#This Row],[Swamp Explore]],-12,0),0)</f>
        <v>0</v>
      </c>
      <c r="CV54" s="193">
        <f ca="1" xml:space="preserve"> - SUM(TblConstr[[#This Row],[DM]:[Sch]])+SUM(TblConstr[[#This Row],[Dest DM]:[Dest Sch]]) +Rezone!Q54 + IF("Ch_" &amp; home_land=TblConstr[[#Headers],[Ch_Cavern]],TblConstr[[#This Row],[Home Land]])+IF(TblConstr[[#This Row],[Hour]:[Hour]]&gt;12,OFFSET(TblExplore[[#This Row],[Cavern Explore]],-12,0),0)</f>
        <v>0</v>
      </c>
      <c r="CW54" s="194">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50"/>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83">
        <f>TblRezone[[#This Row],[Hour]]</f>
        <v>52</v>
      </c>
      <c r="B55" s="184">
        <f ca="1">SUM(TblConstr[[#This Row],[Plain]:[Water]])</f>
        <v>160</v>
      </c>
      <c r="C55" s="185">
        <f ca="1">SUM(TblConstr[[#This Row],[Tot Hom]:[Tot Doc]])</f>
        <v>90</v>
      </c>
      <c r="D55" s="185">
        <f t="shared" si="11"/>
        <v>0</v>
      </c>
      <c r="E55" s="186"/>
      <c r="F55" s="62">
        <f ca="1">TblConstr[[#This Row],[Barren]]+TblConstr[[#This Row],[Buildings]]+TblConstr[[#This Row],[Incoming]]</f>
        <v>250</v>
      </c>
      <c r="G55" s="195">
        <f ca="1">OFFSET(TblConstr[[#This Row],[Plain]],-1,0)+TblConstr[[#This Row],[Ch_Plain]]</f>
        <v>40</v>
      </c>
      <c r="H55" s="190">
        <f ca="1">OFFSET(TblConstr[[#This Row],[Forest]],-1,0)+TblConstr[[#This Row],[Ch_Forest]]</f>
        <v>20</v>
      </c>
      <c r="I55" s="390">
        <f ca="1">OFFSET(TblConstr[[#This Row],[Mountain]],-1,0)+TblConstr[[#This Row],[Ch_Mountain]]</f>
        <v>20</v>
      </c>
      <c r="J55" s="394">
        <f ca="1">OFFSET(TblConstr[[#This Row],[Hill]],-1,0)+TblConstr[[#This Row],[Ch_Hill]]</f>
        <v>20</v>
      </c>
      <c r="K55" s="398">
        <f ca="1">OFFSET(TblConstr[[#This Row],[Swamp]],-1,0)+TblConstr[[#This Row],[Ch_Swamp]]</f>
        <v>20</v>
      </c>
      <c r="L55" s="193">
        <f ca="1">OFFSET(TblConstr[[#This Row],[Cavern]],-1,0)+TblConstr[[#This Row],[Ch_Cavern]]</f>
        <v>20</v>
      </c>
      <c r="M55" s="194">
        <f ca="1">OFFSET(TblConstr[[#This Row],[Water]],-1,0)+TblConstr[[#This Row],[Ch_Water]]</f>
        <v>20</v>
      </c>
      <c r="N55" s="388">
        <f>TblRezone[[#This Row],[Hour]]</f>
        <v>52</v>
      </c>
      <c r="O55" s="187"/>
      <c r="P55" s="187"/>
      <c r="Q55" s="187"/>
      <c r="R55" s="187"/>
      <c r="S55" s="187"/>
      <c r="T55" s="187"/>
      <c r="U55" s="187"/>
      <c r="V55" s="187"/>
      <c r="W55" s="187"/>
      <c r="X55" s="187"/>
      <c r="Y55" s="187"/>
      <c r="Z55" s="187"/>
      <c r="AA55" s="187"/>
      <c r="AB55" s="187"/>
      <c r="AC55" s="187"/>
      <c r="AD55" s="187"/>
      <c r="AE55" s="187"/>
      <c r="AF55" s="187"/>
      <c r="AG55" s="187"/>
      <c r="AH55" s="53">
        <f ca="1">TblImps[[#This Row],[Time]]</f>
        <v>44812.874999999876</v>
      </c>
      <c r="AI55" s="188">
        <f ca="1">MIN(25%,(TblConstr[[#This Row],[Tot Fac]]+TblConstr[[#This Row],[Dest Fac]])/(TblConstr[[#This Row],[Land]]-TblExplore[[#This Row],[Land Bonus]]*20))</f>
        <v>0</v>
      </c>
      <c r="AJ55" s="188">
        <f ca="1">MIN(25%,(TblConstr[[#This Row],[Tot Fac]]+TblConstr[[#This Row],[Dest Fac]])/TblConstr[[#This Row],[Land]])</f>
        <v>0</v>
      </c>
      <c r="AK55" s="97">
        <f ca="1">TblProd[[#This Row],[Platinum]]</f>
        <v>380664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50"/>
      <c r="AV55" s="97">
        <f ca="1">ROUND((TblConstr[[#This Row],[Land]]-250 - IF(TblExplore[[#This Row],[Land Bonus]]&lt;&gt;0,20,0))*1.25 + 850 + 0,0)</f>
        <v>850</v>
      </c>
      <c r="AW55" s="97">
        <f ca="1">ROUND((TblConstr[[#This Row],[Land]]-250 - IF(TblExplore[[#This Row],[Land Bonus]]&lt;&gt;0,20,0))*0.285 + 87.5 + 0/4.25,0)</f>
        <v>88</v>
      </c>
      <c r="AX55" s="162"/>
      <c r="AY55" s="196" cm="1">
        <f t="array" aca="1" ref="AY55" ca="1">IF(TblConstr[[#This Row],[Hour]:[Hour]]&gt;12,OFFSET(TblConstr[[#This Row],[Hom]],-12,0),0)+OFFSET(TblConstr[[#This Row],[Tot Hom]],-1,0)-TblConstr[[#This Row],[Dest Hom]]</f>
        <v>10</v>
      </c>
      <c r="AZ55" s="197" cm="1">
        <f t="array" aca="1" ref="AZ55" ca="1">IF(TblConstr[[#This Row],[Hour]:[Hour]]&gt;12,OFFSET(TblConstr[[#This Row],[Alc]],-12,0),0)+OFFSET(TblConstr[[#This Row],[Tot Alc]],-1,0)-TblConstr[[#This Row],[Dest Alc]]</f>
        <v>30</v>
      </c>
      <c r="BA55" s="197" cm="1">
        <f t="array" aca="1" ref="BA55" ca="1">IF(TblConstr[[#This Row],[Hour]:[Hour]]&gt;12,OFFSET(TblConstr[[#This Row],[Far]],-12,0),0)+OFFSET(TblConstr[[#This Row],[Tot Farm]],-1,0)-TblConstr[[#This Row],[Dest Farm]]</f>
        <v>30</v>
      </c>
      <c r="BB55" s="197" cm="1">
        <f t="array" aca="1" ref="BB55" ca="1">IF(TblConstr[[#This Row],[Hour]:[Hour]]&gt;12,OFFSET(TblConstr[[#This Row],[Smi]],-12,0),0)+OFFSET(TblConstr[[#This Row],[Tot Smi]],-1,0)-TblConstr[[#This Row],[Dest Smi]]</f>
        <v>0</v>
      </c>
      <c r="BC55" s="197" cm="1">
        <f t="array" aca="1" ref="BC55" ca="1">IF(TblConstr[[#This Row],[Hour]:[Hour]]&gt;12,OFFSET(TblConstr[[#This Row],[Mas]],-12,0),0)+OFFSET(TblConstr[[#This Row],[Tot Mas]],-1,0)-TblConstr[[#This Row],[Dest Mas]]</f>
        <v>0</v>
      </c>
      <c r="BD55" s="198" cm="1">
        <f t="array" aca="1" ref="BD55" ca="1">IF(TblConstr[[#This Row],[Hour]:[Hour]]&gt;12,OFFSET(TblConstr[[#This Row],[Ly]],-12,0),0)+OFFSET(TblConstr[[#This Row],[Tot Ly]],-1,0)-TblConstr[[#This Row],[Dest Ly]]</f>
        <v>20</v>
      </c>
      <c r="BE55" s="198" cm="1">
        <f t="array" aca="1" ref="BE55" ca="1">IF(TblConstr[[#This Row],[Hour]:[Hour]]&gt;12,OFFSET(TblConstr[[#This Row],[Hav]],-12,0),0)+OFFSET(TblConstr[[#This Row],[Tot Hav]],-1,0)-TblConstr[[#This Row],[Dest Hav]]</f>
        <v>0</v>
      </c>
      <c r="BF55" s="392" cm="1">
        <f t="array" aca="1" ref="BF55" ca="1">IF(TblConstr[[#This Row],[Hour]:[Hour]]&gt;12,OFFSET(TblConstr[[#This Row],[OM]],-12,0),0)+OFFSET(TblConstr[[#This Row],[Tot OM]],-1,0)-TblConstr[[#This Row],[Dest OM]]</f>
        <v>0</v>
      </c>
      <c r="BG55" s="392" cm="1">
        <f t="array" aca="1" ref="BG55" ca="1">IF(TblConstr[[#This Row],[Hour]:[Hour]]&gt;12,OFFSET(TblConstr[[#This Row],[GN]],-12,0),0)+OFFSET(TblConstr[[#This Row],[Tot GN]],-1,0)-TblConstr[[#This Row],[Dest GN]]</f>
        <v>0</v>
      </c>
      <c r="BH55" s="396" cm="1">
        <f t="array" aca="1" ref="BH55" ca="1">IF(TblConstr[[#This Row],[Hour]:[Hour]]&gt;12,OFFSET(TblConstr[[#This Row],[Fac]],-12,0),0)+OFFSET(TblConstr[[#This Row],[Tot Fac]],-1,0)-TblConstr[[#This Row],[Dest Fac]]</f>
        <v>0</v>
      </c>
      <c r="BI55" s="396" cm="1">
        <f t="array" aca="1" ref="BI55" ca="1">IF(TblConstr[[#This Row],[Hour]:[Hour]]&gt;12,OFFSET(TblConstr[[#This Row],[GT]],-12,0),0)+OFFSET(TblConstr[[#This Row],[Tot GT]],-1,0)-TblConstr[[#This Row],[Dest GT]]</f>
        <v>0</v>
      </c>
      <c r="BJ55" s="396" cm="1">
        <f t="array" aca="1" ref="BJ55" ca="1">IF(TblConstr[[#This Row],[Hour]:[Hour]]&gt;12,OFFSET(TblConstr[[#This Row],[Bar]],-12,0),0)+OFFSET(TblConstr[[#This Row],[Tot Bar]],-1,0)-TblConstr[[#This Row],[Dest Bar]]</f>
        <v>0</v>
      </c>
      <c r="BK55" s="396" cm="1">
        <f t="array" aca="1" ref="BK55" ca="1">IF(TblConstr[[#This Row],[Hour]:[Hour]]&gt;12,OFFSET(TblConstr[[#This Row],[Shr]],-12,0),0)+OFFSET(TblConstr[[#This Row],[Tot Shr]],-1,0)-TblConstr[[#This Row],[Dest Shr]]</f>
        <v>0</v>
      </c>
      <c r="BL55" s="400" cm="1">
        <f t="array" aca="1" ref="BL55" ca="1">IF(TblConstr[[#This Row],[Hour]:[Hour]]&gt;12,OFFSET(TblConstr[[#This Row],[Tow]],-12,0),0)+OFFSET(TblConstr[[#This Row],[Tot Tow]],-1,0)-TblConstr[[#This Row],[Dest Tow]]</f>
        <v>0</v>
      </c>
      <c r="BM55" s="400" cm="1">
        <f t="array" aca="1" ref="BM55" ca="1">IF(TblConstr[[#This Row],[Hour]:[Hour]]&gt;12,OFFSET(TblConstr[[#This Row],[Tem]],-12,0),0)+OFFSET(TblConstr[[#This Row],[Tot Tem]],-1,0)-TblConstr[[#This Row],[Dest Tem]]</f>
        <v>0</v>
      </c>
      <c r="BN55" s="400" cm="1">
        <f t="array" aca="1" ref="BN55" ca="1">IF(TblConstr[[#This Row],[Hour]:[Hour]]&gt;12,OFFSET(TblConstr[[#This Row],[WG]],-12,0),0)+OFFSET(TblConstr[[#This Row],[Tot WG]],-1,0)-TblConstr[[#This Row],[Dest WG]]</f>
        <v>0</v>
      </c>
      <c r="BO55" s="199" cm="1">
        <f t="array" aca="1" ref="BO55" ca="1">IF(TblConstr[[#This Row],[Hour]:[Hour]]&gt;12,OFFSET(TblConstr[[#This Row],[DM]],-12,0),0)+OFFSET(TblConstr[[#This Row],[Tot DM]],-1,0)-TblConstr[[#This Row],[Dest DM]]</f>
        <v>0</v>
      </c>
      <c r="BP55" s="199" cm="1">
        <f t="array" aca="1" ref="BP55" ca="1">IF(TblConstr[[#This Row],[Hour]:[Hour]]&gt;12,OFFSET(TblConstr[[#This Row],[Sch]],-12,0),0)+OFFSET(TblConstr[[#This Row],[Tot Sch]],-1,0)-TblConstr[[#This Row],[Dest Sch]]</f>
        <v>0</v>
      </c>
      <c r="BQ55" s="200" cm="1">
        <f t="array" aca="1" ref="BQ55" ca="1">IF(TblConstr[[#This Row],[Hour]:[Hour]]&gt;12,OFFSET(TblConstr[[#This Row],[Doc]],-12,0),0)+OFFSET(TblConstr[[#This Row],[Tot Doc]],-1,0)-TblConstr[[#This Row],[Dest Doc]]</f>
        <v>0</v>
      </c>
      <c r="BR55" s="150"/>
      <c r="BS55" s="162"/>
      <c r="BT55" s="97">
        <f ca="1">TblConstr[[#This Row],[Land]]</f>
        <v>250</v>
      </c>
      <c r="BU55" s="167">
        <f ca="1">TblImps[[#This Row],[Time]]</f>
        <v>44812.874999999876</v>
      </c>
      <c r="BV55" s="150"/>
      <c r="BW55" s="187"/>
      <c r="BX55" s="187"/>
      <c r="BY55" s="187"/>
      <c r="BZ55" s="187"/>
      <c r="CA55" s="187"/>
      <c r="CB55" s="187"/>
      <c r="CC55" s="187"/>
      <c r="CD55" s="187"/>
      <c r="CE55" s="187"/>
      <c r="CF55" s="187"/>
      <c r="CG55" s="187"/>
      <c r="CH55" s="187"/>
      <c r="CI55" s="187"/>
      <c r="CJ55" s="187"/>
      <c r="CK55" s="187"/>
      <c r="CL55" s="187"/>
      <c r="CM55" s="187"/>
      <c r="CN55" s="187"/>
      <c r="CO55" s="187"/>
      <c r="CP55" s="150"/>
      <c r="CQ55" s="189">
        <f ca="1">-SUM(TblConstr[[#This Row],[Alc]:[Mas]])+SUM(TblConstr[[#This Row],[Dest Alc]:[Dest Mas]])+Rezone!L55+IF("Ch_"&amp; home_land=TblConstr[[#Headers],[Ch_Plain]],TblConstr[[#This Row],[Home Land]])+IF(TblConstr[[#This Row],[Hour]:[Hour]]&gt;12,OFFSET(TblExplore[[#This Row],[Plains Explore]],-12,0),0)</f>
        <v>0</v>
      </c>
      <c r="CR55" s="190">
        <f ca="1">-SUM(TblConstr[[#This Row],[Ly]:[Hav]])+SUM(TblConstr[[#This Row],[Dest Ly]:[Dest Hav]]) +Rezone!M55 + IF("Ch_"&amp; home_land=TblConstr[[#Headers],[Ch_Forest]],TblConstr[[#This Row],[Home Land]])+IF(TblConstr[[#This Row],[Hour]:[Hour]]&gt;12,OFFSET(TblExplore[[#This Row],[Forest Explore]],-12,0),0)</f>
        <v>0</v>
      </c>
      <c r="CS55" s="390">
        <f ca="1">-SUM(TblConstr[[#This Row],[OM]:[GN]])+SUM(TblConstr[[#This Row],[Dest OM]:[Dest GN]]) +Rezone!N55 + IF("Ch_"&amp; home_land=TblConstr[[#Headers],[Ch_Mountain]],TblConstr[[#This Row],[Home Land]])+IF(TblConstr[[#This Row],[Hour]:[Hour]]&gt;12,OFFSET(TblExplore[[#This Row],[Mountain Explore]],-12,0),0)</f>
        <v>0</v>
      </c>
      <c r="CT55" s="191">
        <f ca="1">-SUM(TblConstr[[#This Row],[Fac]:[Shr]])+SUM(TblConstr[[#This Row],[Dest Fac]:[Dest Shr]]) +Rezone!O55 + IF("Ch_" &amp; home_land=TblConstr[[#Headers],[Ch_Hill]],TblConstr[[#This Row],[Home Land]])+IF(TblConstr[[#This Row],[Hour]:[Hour]]&gt;12,OFFSET(TblExplore[[#This Row],[Hill Explore]],-12,0),0)</f>
        <v>0</v>
      </c>
      <c r="CU55" s="192">
        <f ca="1">-SUM(TblConstr[[#This Row],[Tow]:[WG]])+SUM(TblConstr[[#This Row],[Dest Tow]:[Dest WG]]) +Rezone!P55 + IF("Ch_" &amp; home_land=TblConstr[[#Headers],[Ch_Swamp]],TblConstr[[#This Row],[Home Land]])+IF(TblConstr[[#This Row],[Hour]:[Hour]]&gt;12,OFFSET(TblExplore[[#This Row],[Swamp Explore]],-12,0),0)</f>
        <v>0</v>
      </c>
      <c r="CV55" s="193">
        <f ca="1" xml:space="preserve"> - SUM(TblConstr[[#This Row],[DM]:[Sch]])+SUM(TblConstr[[#This Row],[Dest DM]:[Dest Sch]]) +Rezone!Q55 + IF("Ch_" &amp; home_land=TblConstr[[#Headers],[Ch_Cavern]],TblConstr[[#This Row],[Home Land]])+IF(TblConstr[[#This Row],[Hour]:[Hour]]&gt;12,OFFSET(TblExplore[[#This Row],[Cavern Explore]],-12,0),0)</f>
        <v>0</v>
      </c>
      <c r="CW55" s="194">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50"/>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83">
        <f>TblRezone[[#This Row],[Hour]]</f>
        <v>53</v>
      </c>
      <c r="B56" s="184">
        <f ca="1">SUM(TblConstr[[#This Row],[Plain]:[Water]])</f>
        <v>160</v>
      </c>
      <c r="C56" s="185">
        <f ca="1">SUM(TblConstr[[#This Row],[Tot Hom]:[Tot Doc]])</f>
        <v>90</v>
      </c>
      <c r="D56" s="185">
        <f t="shared" si="11"/>
        <v>0</v>
      </c>
      <c r="E56" s="186"/>
      <c r="F56" s="62">
        <f ca="1">TblConstr[[#This Row],[Barren]]+TblConstr[[#This Row],[Buildings]]+TblConstr[[#This Row],[Incoming]]</f>
        <v>250</v>
      </c>
      <c r="G56" s="195">
        <f ca="1">OFFSET(TblConstr[[#This Row],[Plain]],-1,0)+TblConstr[[#This Row],[Ch_Plain]]</f>
        <v>40</v>
      </c>
      <c r="H56" s="190">
        <f ca="1">OFFSET(TblConstr[[#This Row],[Forest]],-1,0)+TblConstr[[#This Row],[Ch_Forest]]</f>
        <v>20</v>
      </c>
      <c r="I56" s="390">
        <f ca="1">OFFSET(TblConstr[[#This Row],[Mountain]],-1,0)+TblConstr[[#This Row],[Ch_Mountain]]</f>
        <v>20</v>
      </c>
      <c r="J56" s="394">
        <f ca="1">OFFSET(TblConstr[[#This Row],[Hill]],-1,0)+TblConstr[[#This Row],[Ch_Hill]]</f>
        <v>20</v>
      </c>
      <c r="K56" s="398">
        <f ca="1">OFFSET(TblConstr[[#This Row],[Swamp]],-1,0)+TblConstr[[#This Row],[Ch_Swamp]]</f>
        <v>20</v>
      </c>
      <c r="L56" s="193">
        <f ca="1">OFFSET(TblConstr[[#This Row],[Cavern]],-1,0)+TblConstr[[#This Row],[Ch_Cavern]]</f>
        <v>20</v>
      </c>
      <c r="M56" s="194">
        <f ca="1">OFFSET(TblConstr[[#This Row],[Water]],-1,0)+TblConstr[[#This Row],[Ch_Water]]</f>
        <v>20</v>
      </c>
      <c r="N56" s="388">
        <f>TblRezone[[#This Row],[Hour]]</f>
        <v>53</v>
      </c>
      <c r="O56" s="187"/>
      <c r="P56" s="187"/>
      <c r="Q56" s="187"/>
      <c r="R56" s="187"/>
      <c r="S56" s="187"/>
      <c r="T56" s="187"/>
      <c r="U56" s="187"/>
      <c r="V56" s="187"/>
      <c r="W56" s="187"/>
      <c r="X56" s="187"/>
      <c r="Y56" s="187"/>
      <c r="Z56" s="187"/>
      <c r="AA56" s="187"/>
      <c r="AB56" s="187"/>
      <c r="AC56" s="187"/>
      <c r="AD56" s="187"/>
      <c r="AE56" s="187"/>
      <c r="AF56" s="187"/>
      <c r="AG56" s="187"/>
      <c r="AH56" s="53">
        <f ca="1">TblImps[[#This Row],[Time]]</f>
        <v>44812.916666666541</v>
      </c>
      <c r="AI56" s="188">
        <f ca="1">MIN(25%,(TblConstr[[#This Row],[Tot Fac]]+TblConstr[[#This Row],[Dest Fac]])/(TblConstr[[#This Row],[Land]]-TblExplore[[#This Row],[Land Bonus]]*20))</f>
        <v>0</v>
      </c>
      <c r="AJ56" s="188">
        <f ca="1">MIN(25%,(TblConstr[[#This Row],[Tot Fac]]+TblConstr[[#This Row],[Dest Fac]])/TblConstr[[#This Row],[Land]])</f>
        <v>0</v>
      </c>
      <c r="AK56" s="97">
        <f ca="1">TblProd[[#This Row],[Platinum]]</f>
        <v>386150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50"/>
      <c r="AV56" s="97">
        <f ca="1">ROUND((TblConstr[[#This Row],[Land]]-250 - IF(TblExplore[[#This Row],[Land Bonus]]&lt;&gt;0,20,0))*1.25 + 850 + 0,0)</f>
        <v>850</v>
      </c>
      <c r="AW56" s="97">
        <f ca="1">ROUND((TblConstr[[#This Row],[Land]]-250 - IF(TblExplore[[#This Row],[Land Bonus]]&lt;&gt;0,20,0))*0.285 + 87.5 + 0/4.25,0)</f>
        <v>88</v>
      </c>
      <c r="AX56" s="162"/>
      <c r="AY56" s="196" cm="1">
        <f t="array" aca="1" ref="AY56" ca="1">IF(TblConstr[[#This Row],[Hour]:[Hour]]&gt;12,OFFSET(TblConstr[[#This Row],[Hom]],-12,0),0)+OFFSET(TblConstr[[#This Row],[Tot Hom]],-1,0)-TblConstr[[#This Row],[Dest Hom]]</f>
        <v>10</v>
      </c>
      <c r="AZ56" s="197" cm="1">
        <f t="array" aca="1" ref="AZ56" ca="1">IF(TblConstr[[#This Row],[Hour]:[Hour]]&gt;12,OFFSET(TblConstr[[#This Row],[Alc]],-12,0),0)+OFFSET(TblConstr[[#This Row],[Tot Alc]],-1,0)-TblConstr[[#This Row],[Dest Alc]]</f>
        <v>30</v>
      </c>
      <c r="BA56" s="197" cm="1">
        <f t="array" aca="1" ref="BA56" ca="1">IF(TblConstr[[#This Row],[Hour]:[Hour]]&gt;12,OFFSET(TblConstr[[#This Row],[Far]],-12,0),0)+OFFSET(TblConstr[[#This Row],[Tot Farm]],-1,0)-TblConstr[[#This Row],[Dest Farm]]</f>
        <v>30</v>
      </c>
      <c r="BB56" s="197" cm="1">
        <f t="array" aca="1" ref="BB56" ca="1">IF(TblConstr[[#This Row],[Hour]:[Hour]]&gt;12,OFFSET(TblConstr[[#This Row],[Smi]],-12,0),0)+OFFSET(TblConstr[[#This Row],[Tot Smi]],-1,0)-TblConstr[[#This Row],[Dest Smi]]</f>
        <v>0</v>
      </c>
      <c r="BC56" s="197" cm="1">
        <f t="array" aca="1" ref="BC56" ca="1">IF(TblConstr[[#This Row],[Hour]:[Hour]]&gt;12,OFFSET(TblConstr[[#This Row],[Mas]],-12,0),0)+OFFSET(TblConstr[[#This Row],[Tot Mas]],-1,0)-TblConstr[[#This Row],[Dest Mas]]</f>
        <v>0</v>
      </c>
      <c r="BD56" s="198" cm="1">
        <f t="array" aca="1" ref="BD56" ca="1">IF(TblConstr[[#This Row],[Hour]:[Hour]]&gt;12,OFFSET(TblConstr[[#This Row],[Ly]],-12,0),0)+OFFSET(TblConstr[[#This Row],[Tot Ly]],-1,0)-TblConstr[[#This Row],[Dest Ly]]</f>
        <v>20</v>
      </c>
      <c r="BE56" s="198" cm="1">
        <f t="array" aca="1" ref="BE56" ca="1">IF(TblConstr[[#This Row],[Hour]:[Hour]]&gt;12,OFFSET(TblConstr[[#This Row],[Hav]],-12,0),0)+OFFSET(TblConstr[[#This Row],[Tot Hav]],-1,0)-TblConstr[[#This Row],[Dest Hav]]</f>
        <v>0</v>
      </c>
      <c r="BF56" s="392" cm="1">
        <f t="array" aca="1" ref="BF56" ca="1">IF(TblConstr[[#This Row],[Hour]:[Hour]]&gt;12,OFFSET(TblConstr[[#This Row],[OM]],-12,0),0)+OFFSET(TblConstr[[#This Row],[Tot OM]],-1,0)-TblConstr[[#This Row],[Dest OM]]</f>
        <v>0</v>
      </c>
      <c r="BG56" s="392" cm="1">
        <f t="array" aca="1" ref="BG56" ca="1">IF(TblConstr[[#This Row],[Hour]:[Hour]]&gt;12,OFFSET(TblConstr[[#This Row],[GN]],-12,0),0)+OFFSET(TblConstr[[#This Row],[Tot GN]],-1,0)-TblConstr[[#This Row],[Dest GN]]</f>
        <v>0</v>
      </c>
      <c r="BH56" s="396" cm="1">
        <f t="array" aca="1" ref="BH56" ca="1">IF(TblConstr[[#This Row],[Hour]:[Hour]]&gt;12,OFFSET(TblConstr[[#This Row],[Fac]],-12,0),0)+OFFSET(TblConstr[[#This Row],[Tot Fac]],-1,0)-TblConstr[[#This Row],[Dest Fac]]</f>
        <v>0</v>
      </c>
      <c r="BI56" s="396" cm="1">
        <f t="array" aca="1" ref="BI56" ca="1">IF(TblConstr[[#This Row],[Hour]:[Hour]]&gt;12,OFFSET(TblConstr[[#This Row],[GT]],-12,0),0)+OFFSET(TblConstr[[#This Row],[Tot GT]],-1,0)-TblConstr[[#This Row],[Dest GT]]</f>
        <v>0</v>
      </c>
      <c r="BJ56" s="396" cm="1">
        <f t="array" aca="1" ref="BJ56" ca="1">IF(TblConstr[[#This Row],[Hour]:[Hour]]&gt;12,OFFSET(TblConstr[[#This Row],[Bar]],-12,0),0)+OFFSET(TblConstr[[#This Row],[Tot Bar]],-1,0)-TblConstr[[#This Row],[Dest Bar]]</f>
        <v>0</v>
      </c>
      <c r="BK56" s="396" cm="1">
        <f t="array" aca="1" ref="BK56" ca="1">IF(TblConstr[[#This Row],[Hour]:[Hour]]&gt;12,OFFSET(TblConstr[[#This Row],[Shr]],-12,0),0)+OFFSET(TblConstr[[#This Row],[Tot Shr]],-1,0)-TblConstr[[#This Row],[Dest Shr]]</f>
        <v>0</v>
      </c>
      <c r="BL56" s="400" cm="1">
        <f t="array" aca="1" ref="BL56" ca="1">IF(TblConstr[[#This Row],[Hour]:[Hour]]&gt;12,OFFSET(TblConstr[[#This Row],[Tow]],-12,0),0)+OFFSET(TblConstr[[#This Row],[Tot Tow]],-1,0)-TblConstr[[#This Row],[Dest Tow]]</f>
        <v>0</v>
      </c>
      <c r="BM56" s="400" cm="1">
        <f t="array" aca="1" ref="BM56" ca="1">IF(TblConstr[[#This Row],[Hour]:[Hour]]&gt;12,OFFSET(TblConstr[[#This Row],[Tem]],-12,0),0)+OFFSET(TblConstr[[#This Row],[Tot Tem]],-1,0)-TblConstr[[#This Row],[Dest Tem]]</f>
        <v>0</v>
      </c>
      <c r="BN56" s="400" cm="1">
        <f t="array" aca="1" ref="BN56" ca="1">IF(TblConstr[[#This Row],[Hour]:[Hour]]&gt;12,OFFSET(TblConstr[[#This Row],[WG]],-12,0),0)+OFFSET(TblConstr[[#This Row],[Tot WG]],-1,0)-TblConstr[[#This Row],[Dest WG]]</f>
        <v>0</v>
      </c>
      <c r="BO56" s="199" cm="1">
        <f t="array" aca="1" ref="BO56" ca="1">IF(TblConstr[[#This Row],[Hour]:[Hour]]&gt;12,OFFSET(TblConstr[[#This Row],[DM]],-12,0),0)+OFFSET(TblConstr[[#This Row],[Tot DM]],-1,0)-TblConstr[[#This Row],[Dest DM]]</f>
        <v>0</v>
      </c>
      <c r="BP56" s="199" cm="1">
        <f t="array" aca="1" ref="BP56" ca="1">IF(TblConstr[[#This Row],[Hour]:[Hour]]&gt;12,OFFSET(TblConstr[[#This Row],[Sch]],-12,0),0)+OFFSET(TblConstr[[#This Row],[Tot Sch]],-1,0)-TblConstr[[#This Row],[Dest Sch]]</f>
        <v>0</v>
      </c>
      <c r="BQ56" s="200" cm="1">
        <f t="array" aca="1" ref="BQ56" ca="1">IF(TblConstr[[#This Row],[Hour]:[Hour]]&gt;12,OFFSET(TblConstr[[#This Row],[Doc]],-12,0),0)+OFFSET(TblConstr[[#This Row],[Tot Doc]],-1,0)-TblConstr[[#This Row],[Dest Doc]]</f>
        <v>0</v>
      </c>
      <c r="BR56" s="150"/>
      <c r="BS56" s="162"/>
      <c r="BT56" s="97">
        <f ca="1">TblConstr[[#This Row],[Land]]</f>
        <v>250</v>
      </c>
      <c r="BU56" s="167">
        <f ca="1">TblImps[[#This Row],[Time]]</f>
        <v>44812.916666666541</v>
      </c>
      <c r="BV56" s="150"/>
      <c r="BW56" s="187"/>
      <c r="BX56" s="187"/>
      <c r="BY56" s="187"/>
      <c r="BZ56" s="187"/>
      <c r="CA56" s="187"/>
      <c r="CB56" s="187"/>
      <c r="CC56" s="187"/>
      <c r="CD56" s="187"/>
      <c r="CE56" s="187"/>
      <c r="CF56" s="187"/>
      <c r="CG56" s="187"/>
      <c r="CH56" s="187"/>
      <c r="CI56" s="187"/>
      <c r="CJ56" s="187"/>
      <c r="CK56" s="187"/>
      <c r="CL56" s="187"/>
      <c r="CM56" s="187"/>
      <c r="CN56" s="187"/>
      <c r="CO56" s="187"/>
      <c r="CP56" s="150"/>
      <c r="CQ56" s="189">
        <f ca="1">-SUM(TblConstr[[#This Row],[Alc]:[Mas]])+SUM(TblConstr[[#This Row],[Dest Alc]:[Dest Mas]])+Rezone!L56+IF("Ch_"&amp; home_land=TblConstr[[#Headers],[Ch_Plain]],TblConstr[[#This Row],[Home Land]])+IF(TblConstr[[#This Row],[Hour]:[Hour]]&gt;12,OFFSET(TblExplore[[#This Row],[Plains Explore]],-12,0),0)</f>
        <v>0</v>
      </c>
      <c r="CR56" s="190">
        <f ca="1">-SUM(TblConstr[[#This Row],[Ly]:[Hav]])+SUM(TblConstr[[#This Row],[Dest Ly]:[Dest Hav]]) +Rezone!M56 + IF("Ch_"&amp; home_land=TblConstr[[#Headers],[Ch_Forest]],TblConstr[[#This Row],[Home Land]])+IF(TblConstr[[#This Row],[Hour]:[Hour]]&gt;12,OFFSET(TblExplore[[#This Row],[Forest Explore]],-12,0),0)</f>
        <v>0</v>
      </c>
      <c r="CS56" s="390">
        <f ca="1">-SUM(TblConstr[[#This Row],[OM]:[GN]])+SUM(TblConstr[[#This Row],[Dest OM]:[Dest GN]]) +Rezone!N56 + IF("Ch_"&amp; home_land=TblConstr[[#Headers],[Ch_Mountain]],TblConstr[[#This Row],[Home Land]])+IF(TblConstr[[#This Row],[Hour]:[Hour]]&gt;12,OFFSET(TblExplore[[#This Row],[Mountain Explore]],-12,0),0)</f>
        <v>0</v>
      </c>
      <c r="CT56" s="191">
        <f ca="1">-SUM(TblConstr[[#This Row],[Fac]:[Shr]])+SUM(TblConstr[[#This Row],[Dest Fac]:[Dest Shr]]) +Rezone!O56 + IF("Ch_" &amp; home_land=TblConstr[[#Headers],[Ch_Hill]],TblConstr[[#This Row],[Home Land]])+IF(TblConstr[[#This Row],[Hour]:[Hour]]&gt;12,OFFSET(TblExplore[[#This Row],[Hill Explore]],-12,0),0)</f>
        <v>0</v>
      </c>
      <c r="CU56" s="192">
        <f ca="1">-SUM(TblConstr[[#This Row],[Tow]:[WG]])+SUM(TblConstr[[#This Row],[Dest Tow]:[Dest WG]]) +Rezone!P56 + IF("Ch_" &amp; home_land=TblConstr[[#Headers],[Ch_Swamp]],TblConstr[[#This Row],[Home Land]])+IF(TblConstr[[#This Row],[Hour]:[Hour]]&gt;12,OFFSET(TblExplore[[#This Row],[Swamp Explore]],-12,0),0)</f>
        <v>0</v>
      </c>
      <c r="CV56" s="193">
        <f ca="1" xml:space="preserve"> - SUM(TblConstr[[#This Row],[DM]:[Sch]])+SUM(TblConstr[[#This Row],[Dest DM]:[Dest Sch]]) +Rezone!Q56 + IF("Ch_" &amp; home_land=TblConstr[[#Headers],[Ch_Cavern]],TblConstr[[#This Row],[Home Land]])+IF(TblConstr[[#This Row],[Hour]:[Hour]]&gt;12,OFFSET(TblExplore[[#This Row],[Cavern Explore]],-12,0),0)</f>
        <v>0</v>
      </c>
      <c r="CW56" s="194">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50"/>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83">
        <f>TblRezone[[#This Row],[Hour]]</f>
        <v>54</v>
      </c>
      <c r="B57" s="184">
        <f ca="1">SUM(TblConstr[[#This Row],[Plain]:[Water]])</f>
        <v>160</v>
      </c>
      <c r="C57" s="185">
        <f ca="1">SUM(TblConstr[[#This Row],[Tot Hom]:[Tot Doc]])</f>
        <v>90</v>
      </c>
      <c r="D57" s="185">
        <f t="shared" si="11"/>
        <v>0</v>
      </c>
      <c r="E57" s="186"/>
      <c r="F57" s="62">
        <f ca="1">TblConstr[[#This Row],[Barren]]+TblConstr[[#This Row],[Buildings]]+TblConstr[[#This Row],[Incoming]]</f>
        <v>250</v>
      </c>
      <c r="G57" s="195">
        <f ca="1">OFFSET(TblConstr[[#This Row],[Plain]],-1,0)+TblConstr[[#This Row],[Ch_Plain]]</f>
        <v>40</v>
      </c>
      <c r="H57" s="190">
        <f ca="1">OFFSET(TblConstr[[#This Row],[Forest]],-1,0)+TblConstr[[#This Row],[Ch_Forest]]</f>
        <v>20</v>
      </c>
      <c r="I57" s="390">
        <f ca="1">OFFSET(TblConstr[[#This Row],[Mountain]],-1,0)+TblConstr[[#This Row],[Ch_Mountain]]</f>
        <v>20</v>
      </c>
      <c r="J57" s="394">
        <f ca="1">OFFSET(TblConstr[[#This Row],[Hill]],-1,0)+TblConstr[[#This Row],[Ch_Hill]]</f>
        <v>20</v>
      </c>
      <c r="K57" s="398">
        <f ca="1">OFFSET(TblConstr[[#This Row],[Swamp]],-1,0)+TblConstr[[#This Row],[Ch_Swamp]]</f>
        <v>20</v>
      </c>
      <c r="L57" s="193">
        <f ca="1">OFFSET(TblConstr[[#This Row],[Cavern]],-1,0)+TblConstr[[#This Row],[Ch_Cavern]]</f>
        <v>20</v>
      </c>
      <c r="M57" s="194">
        <f ca="1">OFFSET(TblConstr[[#This Row],[Water]],-1,0)+TblConstr[[#This Row],[Ch_Water]]</f>
        <v>20</v>
      </c>
      <c r="N57" s="388">
        <f>TblRezone[[#This Row],[Hour]]</f>
        <v>54</v>
      </c>
      <c r="O57" s="187"/>
      <c r="P57" s="187"/>
      <c r="Q57" s="187"/>
      <c r="R57" s="187"/>
      <c r="S57" s="187"/>
      <c r="T57" s="187"/>
      <c r="U57" s="187"/>
      <c r="V57" s="187"/>
      <c r="W57" s="187"/>
      <c r="X57" s="187"/>
      <c r="Y57" s="187"/>
      <c r="Z57" s="187"/>
      <c r="AA57" s="187"/>
      <c r="AB57" s="187"/>
      <c r="AC57" s="187"/>
      <c r="AD57" s="187"/>
      <c r="AE57" s="187"/>
      <c r="AF57" s="187"/>
      <c r="AG57" s="187"/>
      <c r="AH57" s="53">
        <f ca="1">TblImps[[#This Row],[Time]]</f>
        <v>44812.958333333205</v>
      </c>
      <c r="AI57" s="188">
        <f ca="1">MIN(25%,(TblConstr[[#This Row],[Tot Fac]]+TblConstr[[#This Row],[Dest Fac]])/(TblConstr[[#This Row],[Land]]-TblExplore[[#This Row],[Land Bonus]]*20))</f>
        <v>0</v>
      </c>
      <c r="AJ57" s="188">
        <f ca="1">MIN(25%,(TblConstr[[#This Row],[Tot Fac]]+TblConstr[[#This Row],[Dest Fac]])/TblConstr[[#This Row],[Land]])</f>
        <v>0</v>
      </c>
      <c r="AK57" s="97">
        <f ca="1">TblProd[[#This Row],[Platinum]]</f>
        <v>391636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50"/>
      <c r="AV57" s="97">
        <f ca="1">ROUND((TblConstr[[#This Row],[Land]]-250 - IF(TblExplore[[#This Row],[Land Bonus]]&lt;&gt;0,20,0))*1.25 + 850 + 0,0)</f>
        <v>850</v>
      </c>
      <c r="AW57" s="97">
        <f ca="1">ROUND((TblConstr[[#This Row],[Land]]-250 - IF(TblExplore[[#This Row],[Land Bonus]]&lt;&gt;0,20,0))*0.285 + 87.5 + 0/4.25,0)</f>
        <v>88</v>
      </c>
      <c r="AX57" s="162"/>
      <c r="AY57" s="196" cm="1">
        <f t="array" aca="1" ref="AY57" ca="1">IF(TblConstr[[#This Row],[Hour]:[Hour]]&gt;12,OFFSET(TblConstr[[#This Row],[Hom]],-12,0),0)+OFFSET(TblConstr[[#This Row],[Tot Hom]],-1,0)-TblConstr[[#This Row],[Dest Hom]]</f>
        <v>10</v>
      </c>
      <c r="AZ57" s="197" cm="1">
        <f t="array" aca="1" ref="AZ57" ca="1">IF(TblConstr[[#This Row],[Hour]:[Hour]]&gt;12,OFFSET(TblConstr[[#This Row],[Alc]],-12,0),0)+OFFSET(TblConstr[[#This Row],[Tot Alc]],-1,0)-TblConstr[[#This Row],[Dest Alc]]</f>
        <v>30</v>
      </c>
      <c r="BA57" s="197" cm="1">
        <f t="array" aca="1" ref="BA57" ca="1">IF(TblConstr[[#This Row],[Hour]:[Hour]]&gt;12,OFFSET(TblConstr[[#This Row],[Far]],-12,0),0)+OFFSET(TblConstr[[#This Row],[Tot Farm]],-1,0)-TblConstr[[#This Row],[Dest Farm]]</f>
        <v>30</v>
      </c>
      <c r="BB57" s="197" cm="1">
        <f t="array" aca="1" ref="BB57" ca="1">IF(TblConstr[[#This Row],[Hour]:[Hour]]&gt;12,OFFSET(TblConstr[[#This Row],[Smi]],-12,0),0)+OFFSET(TblConstr[[#This Row],[Tot Smi]],-1,0)-TblConstr[[#This Row],[Dest Smi]]</f>
        <v>0</v>
      </c>
      <c r="BC57" s="197" cm="1">
        <f t="array" aca="1" ref="BC57" ca="1">IF(TblConstr[[#This Row],[Hour]:[Hour]]&gt;12,OFFSET(TblConstr[[#This Row],[Mas]],-12,0),0)+OFFSET(TblConstr[[#This Row],[Tot Mas]],-1,0)-TblConstr[[#This Row],[Dest Mas]]</f>
        <v>0</v>
      </c>
      <c r="BD57" s="198" cm="1">
        <f t="array" aca="1" ref="BD57" ca="1">IF(TblConstr[[#This Row],[Hour]:[Hour]]&gt;12,OFFSET(TblConstr[[#This Row],[Ly]],-12,0),0)+OFFSET(TblConstr[[#This Row],[Tot Ly]],-1,0)-TblConstr[[#This Row],[Dest Ly]]</f>
        <v>20</v>
      </c>
      <c r="BE57" s="198" cm="1">
        <f t="array" aca="1" ref="BE57" ca="1">IF(TblConstr[[#This Row],[Hour]:[Hour]]&gt;12,OFFSET(TblConstr[[#This Row],[Hav]],-12,0),0)+OFFSET(TblConstr[[#This Row],[Tot Hav]],-1,0)-TblConstr[[#This Row],[Dest Hav]]</f>
        <v>0</v>
      </c>
      <c r="BF57" s="392" cm="1">
        <f t="array" aca="1" ref="BF57" ca="1">IF(TblConstr[[#This Row],[Hour]:[Hour]]&gt;12,OFFSET(TblConstr[[#This Row],[OM]],-12,0),0)+OFFSET(TblConstr[[#This Row],[Tot OM]],-1,0)-TblConstr[[#This Row],[Dest OM]]</f>
        <v>0</v>
      </c>
      <c r="BG57" s="392" cm="1">
        <f t="array" aca="1" ref="BG57" ca="1">IF(TblConstr[[#This Row],[Hour]:[Hour]]&gt;12,OFFSET(TblConstr[[#This Row],[GN]],-12,0),0)+OFFSET(TblConstr[[#This Row],[Tot GN]],-1,0)-TblConstr[[#This Row],[Dest GN]]</f>
        <v>0</v>
      </c>
      <c r="BH57" s="396" cm="1">
        <f t="array" aca="1" ref="BH57" ca="1">IF(TblConstr[[#This Row],[Hour]:[Hour]]&gt;12,OFFSET(TblConstr[[#This Row],[Fac]],-12,0),0)+OFFSET(TblConstr[[#This Row],[Tot Fac]],-1,0)-TblConstr[[#This Row],[Dest Fac]]</f>
        <v>0</v>
      </c>
      <c r="BI57" s="396" cm="1">
        <f t="array" aca="1" ref="BI57" ca="1">IF(TblConstr[[#This Row],[Hour]:[Hour]]&gt;12,OFFSET(TblConstr[[#This Row],[GT]],-12,0),0)+OFFSET(TblConstr[[#This Row],[Tot GT]],-1,0)-TblConstr[[#This Row],[Dest GT]]</f>
        <v>0</v>
      </c>
      <c r="BJ57" s="396" cm="1">
        <f t="array" aca="1" ref="BJ57" ca="1">IF(TblConstr[[#This Row],[Hour]:[Hour]]&gt;12,OFFSET(TblConstr[[#This Row],[Bar]],-12,0),0)+OFFSET(TblConstr[[#This Row],[Tot Bar]],-1,0)-TblConstr[[#This Row],[Dest Bar]]</f>
        <v>0</v>
      </c>
      <c r="BK57" s="396" cm="1">
        <f t="array" aca="1" ref="BK57" ca="1">IF(TblConstr[[#This Row],[Hour]:[Hour]]&gt;12,OFFSET(TblConstr[[#This Row],[Shr]],-12,0),0)+OFFSET(TblConstr[[#This Row],[Tot Shr]],-1,0)-TblConstr[[#This Row],[Dest Shr]]</f>
        <v>0</v>
      </c>
      <c r="BL57" s="400" cm="1">
        <f t="array" aca="1" ref="BL57" ca="1">IF(TblConstr[[#This Row],[Hour]:[Hour]]&gt;12,OFFSET(TblConstr[[#This Row],[Tow]],-12,0),0)+OFFSET(TblConstr[[#This Row],[Tot Tow]],-1,0)-TblConstr[[#This Row],[Dest Tow]]</f>
        <v>0</v>
      </c>
      <c r="BM57" s="400" cm="1">
        <f t="array" aca="1" ref="BM57" ca="1">IF(TblConstr[[#This Row],[Hour]:[Hour]]&gt;12,OFFSET(TblConstr[[#This Row],[Tem]],-12,0),0)+OFFSET(TblConstr[[#This Row],[Tot Tem]],-1,0)-TblConstr[[#This Row],[Dest Tem]]</f>
        <v>0</v>
      </c>
      <c r="BN57" s="400" cm="1">
        <f t="array" aca="1" ref="BN57" ca="1">IF(TblConstr[[#This Row],[Hour]:[Hour]]&gt;12,OFFSET(TblConstr[[#This Row],[WG]],-12,0),0)+OFFSET(TblConstr[[#This Row],[Tot WG]],-1,0)-TblConstr[[#This Row],[Dest WG]]</f>
        <v>0</v>
      </c>
      <c r="BO57" s="199" cm="1">
        <f t="array" aca="1" ref="BO57" ca="1">IF(TblConstr[[#This Row],[Hour]:[Hour]]&gt;12,OFFSET(TblConstr[[#This Row],[DM]],-12,0),0)+OFFSET(TblConstr[[#This Row],[Tot DM]],-1,0)-TblConstr[[#This Row],[Dest DM]]</f>
        <v>0</v>
      </c>
      <c r="BP57" s="199" cm="1">
        <f t="array" aca="1" ref="BP57" ca="1">IF(TblConstr[[#This Row],[Hour]:[Hour]]&gt;12,OFFSET(TblConstr[[#This Row],[Sch]],-12,0),0)+OFFSET(TblConstr[[#This Row],[Tot Sch]],-1,0)-TblConstr[[#This Row],[Dest Sch]]</f>
        <v>0</v>
      </c>
      <c r="BQ57" s="200" cm="1">
        <f t="array" aca="1" ref="BQ57" ca="1">IF(TblConstr[[#This Row],[Hour]:[Hour]]&gt;12,OFFSET(TblConstr[[#This Row],[Doc]],-12,0),0)+OFFSET(TblConstr[[#This Row],[Tot Doc]],-1,0)-TblConstr[[#This Row],[Dest Doc]]</f>
        <v>0</v>
      </c>
      <c r="BR57" s="150"/>
      <c r="BS57" s="162"/>
      <c r="BT57" s="97">
        <f ca="1">TblConstr[[#This Row],[Land]]</f>
        <v>250</v>
      </c>
      <c r="BU57" s="167">
        <f ca="1">TblImps[[#This Row],[Time]]</f>
        <v>44812.958333333205</v>
      </c>
      <c r="BV57" s="150"/>
      <c r="BW57" s="187"/>
      <c r="BX57" s="187"/>
      <c r="BY57" s="187"/>
      <c r="BZ57" s="187"/>
      <c r="CA57" s="187"/>
      <c r="CB57" s="187"/>
      <c r="CC57" s="187"/>
      <c r="CD57" s="187"/>
      <c r="CE57" s="187"/>
      <c r="CF57" s="187"/>
      <c r="CG57" s="187"/>
      <c r="CH57" s="187"/>
      <c r="CI57" s="187"/>
      <c r="CJ57" s="187"/>
      <c r="CK57" s="187"/>
      <c r="CL57" s="187"/>
      <c r="CM57" s="187"/>
      <c r="CN57" s="187"/>
      <c r="CO57" s="187"/>
      <c r="CP57" s="150"/>
      <c r="CQ57" s="189">
        <f ca="1">-SUM(TblConstr[[#This Row],[Alc]:[Mas]])+SUM(TblConstr[[#This Row],[Dest Alc]:[Dest Mas]])+Rezone!L57+IF("Ch_"&amp; home_land=TblConstr[[#Headers],[Ch_Plain]],TblConstr[[#This Row],[Home Land]])+IF(TblConstr[[#This Row],[Hour]:[Hour]]&gt;12,OFFSET(TblExplore[[#This Row],[Plains Explore]],-12,0),0)</f>
        <v>0</v>
      </c>
      <c r="CR57" s="190">
        <f ca="1">-SUM(TblConstr[[#This Row],[Ly]:[Hav]])+SUM(TblConstr[[#This Row],[Dest Ly]:[Dest Hav]]) +Rezone!M57 + IF("Ch_"&amp; home_land=TblConstr[[#Headers],[Ch_Forest]],TblConstr[[#This Row],[Home Land]])+IF(TblConstr[[#This Row],[Hour]:[Hour]]&gt;12,OFFSET(TblExplore[[#This Row],[Forest Explore]],-12,0),0)</f>
        <v>0</v>
      </c>
      <c r="CS57" s="390">
        <f ca="1">-SUM(TblConstr[[#This Row],[OM]:[GN]])+SUM(TblConstr[[#This Row],[Dest OM]:[Dest GN]]) +Rezone!N57 + IF("Ch_"&amp; home_land=TblConstr[[#Headers],[Ch_Mountain]],TblConstr[[#This Row],[Home Land]])+IF(TblConstr[[#This Row],[Hour]:[Hour]]&gt;12,OFFSET(TblExplore[[#This Row],[Mountain Explore]],-12,0),0)</f>
        <v>0</v>
      </c>
      <c r="CT57" s="191">
        <f ca="1">-SUM(TblConstr[[#This Row],[Fac]:[Shr]])+SUM(TblConstr[[#This Row],[Dest Fac]:[Dest Shr]]) +Rezone!O57 + IF("Ch_" &amp; home_land=TblConstr[[#Headers],[Ch_Hill]],TblConstr[[#This Row],[Home Land]])+IF(TblConstr[[#This Row],[Hour]:[Hour]]&gt;12,OFFSET(TblExplore[[#This Row],[Hill Explore]],-12,0),0)</f>
        <v>0</v>
      </c>
      <c r="CU57" s="192">
        <f ca="1">-SUM(TblConstr[[#This Row],[Tow]:[WG]])+SUM(TblConstr[[#This Row],[Dest Tow]:[Dest WG]]) +Rezone!P57 + IF("Ch_" &amp; home_land=TblConstr[[#Headers],[Ch_Swamp]],TblConstr[[#This Row],[Home Land]])+IF(TblConstr[[#This Row],[Hour]:[Hour]]&gt;12,OFFSET(TblExplore[[#This Row],[Swamp Explore]],-12,0),0)</f>
        <v>0</v>
      </c>
      <c r="CV57" s="193">
        <f ca="1" xml:space="preserve"> - SUM(TblConstr[[#This Row],[DM]:[Sch]])+SUM(TblConstr[[#This Row],[Dest DM]:[Dest Sch]]) +Rezone!Q57 + IF("Ch_" &amp; home_land=TblConstr[[#Headers],[Ch_Cavern]],TblConstr[[#This Row],[Home Land]])+IF(TblConstr[[#This Row],[Hour]:[Hour]]&gt;12,OFFSET(TblExplore[[#This Row],[Cavern Explore]],-12,0),0)</f>
        <v>0</v>
      </c>
      <c r="CW57" s="194">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50"/>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83">
        <f>TblRezone[[#This Row],[Hour]]</f>
        <v>55</v>
      </c>
      <c r="B58" s="184">
        <f ca="1">SUM(TblConstr[[#This Row],[Plain]:[Water]])</f>
        <v>160</v>
      </c>
      <c r="C58" s="185">
        <f ca="1">SUM(TblConstr[[#This Row],[Tot Hom]:[Tot Doc]])</f>
        <v>90</v>
      </c>
      <c r="D58" s="185">
        <f t="shared" si="11"/>
        <v>0</v>
      </c>
      <c r="E58" s="186"/>
      <c r="F58" s="62">
        <f ca="1">TblConstr[[#This Row],[Barren]]+TblConstr[[#This Row],[Buildings]]+TblConstr[[#This Row],[Incoming]]</f>
        <v>250</v>
      </c>
      <c r="G58" s="195">
        <f ca="1">OFFSET(TblConstr[[#This Row],[Plain]],-1,0)+TblConstr[[#This Row],[Ch_Plain]]</f>
        <v>40</v>
      </c>
      <c r="H58" s="190">
        <f ca="1">OFFSET(TblConstr[[#This Row],[Forest]],-1,0)+TblConstr[[#This Row],[Ch_Forest]]</f>
        <v>20</v>
      </c>
      <c r="I58" s="390">
        <f ca="1">OFFSET(TblConstr[[#This Row],[Mountain]],-1,0)+TblConstr[[#This Row],[Ch_Mountain]]</f>
        <v>20</v>
      </c>
      <c r="J58" s="394">
        <f ca="1">OFFSET(TblConstr[[#This Row],[Hill]],-1,0)+TblConstr[[#This Row],[Ch_Hill]]</f>
        <v>20</v>
      </c>
      <c r="K58" s="398">
        <f ca="1">OFFSET(TblConstr[[#This Row],[Swamp]],-1,0)+TblConstr[[#This Row],[Ch_Swamp]]</f>
        <v>20</v>
      </c>
      <c r="L58" s="193">
        <f ca="1">OFFSET(TblConstr[[#This Row],[Cavern]],-1,0)+TblConstr[[#This Row],[Ch_Cavern]]</f>
        <v>20</v>
      </c>
      <c r="M58" s="194">
        <f ca="1">OFFSET(TblConstr[[#This Row],[Water]],-1,0)+TblConstr[[#This Row],[Ch_Water]]</f>
        <v>20</v>
      </c>
      <c r="N58" s="388">
        <f>TblRezone[[#This Row],[Hour]]</f>
        <v>55</v>
      </c>
      <c r="O58" s="187"/>
      <c r="P58" s="187"/>
      <c r="Q58" s="187"/>
      <c r="R58" s="187"/>
      <c r="S58" s="187"/>
      <c r="T58" s="187"/>
      <c r="U58" s="187"/>
      <c r="V58" s="187"/>
      <c r="W58" s="187"/>
      <c r="X58" s="187"/>
      <c r="Y58" s="187"/>
      <c r="Z58" s="187"/>
      <c r="AA58" s="187"/>
      <c r="AB58" s="187"/>
      <c r="AC58" s="187"/>
      <c r="AD58" s="187"/>
      <c r="AE58" s="187"/>
      <c r="AF58" s="187"/>
      <c r="AG58" s="187"/>
      <c r="AH58" s="53">
        <f ca="1">TblImps[[#This Row],[Time]]</f>
        <v>44812.999999999869</v>
      </c>
      <c r="AI58" s="188">
        <f ca="1">MIN(25%,(TblConstr[[#This Row],[Tot Fac]]+TblConstr[[#This Row],[Dest Fac]])/(TblConstr[[#This Row],[Land]]-TblExplore[[#This Row],[Land Bonus]]*20))</f>
        <v>0</v>
      </c>
      <c r="AJ58" s="188">
        <f ca="1">MIN(25%,(TblConstr[[#This Row],[Tot Fac]]+TblConstr[[#This Row],[Dest Fac]])/TblConstr[[#This Row],[Land]])</f>
        <v>0</v>
      </c>
      <c r="AK58" s="97">
        <f ca="1">TblProd[[#This Row],[Platinum]]</f>
        <v>397122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50"/>
      <c r="AV58" s="97">
        <f ca="1">ROUND((TblConstr[[#This Row],[Land]]-250 - IF(TblExplore[[#This Row],[Land Bonus]]&lt;&gt;0,20,0))*1.25 + 850 + 0,0)</f>
        <v>850</v>
      </c>
      <c r="AW58" s="97">
        <f ca="1">ROUND((TblConstr[[#This Row],[Land]]-250 - IF(TblExplore[[#This Row],[Land Bonus]]&lt;&gt;0,20,0))*0.285 + 87.5 + 0/4.25,0)</f>
        <v>88</v>
      </c>
      <c r="AX58" s="162"/>
      <c r="AY58" s="196" cm="1">
        <f t="array" aca="1" ref="AY58" ca="1">IF(TblConstr[[#This Row],[Hour]:[Hour]]&gt;12,OFFSET(TblConstr[[#This Row],[Hom]],-12,0),0)+OFFSET(TblConstr[[#This Row],[Tot Hom]],-1,0)-TblConstr[[#This Row],[Dest Hom]]</f>
        <v>10</v>
      </c>
      <c r="AZ58" s="197" cm="1">
        <f t="array" aca="1" ref="AZ58" ca="1">IF(TblConstr[[#This Row],[Hour]:[Hour]]&gt;12,OFFSET(TblConstr[[#This Row],[Alc]],-12,0),0)+OFFSET(TblConstr[[#This Row],[Tot Alc]],-1,0)-TblConstr[[#This Row],[Dest Alc]]</f>
        <v>30</v>
      </c>
      <c r="BA58" s="197" cm="1">
        <f t="array" aca="1" ref="BA58" ca="1">IF(TblConstr[[#This Row],[Hour]:[Hour]]&gt;12,OFFSET(TblConstr[[#This Row],[Far]],-12,0),0)+OFFSET(TblConstr[[#This Row],[Tot Farm]],-1,0)-TblConstr[[#This Row],[Dest Farm]]</f>
        <v>30</v>
      </c>
      <c r="BB58" s="197" cm="1">
        <f t="array" aca="1" ref="BB58" ca="1">IF(TblConstr[[#This Row],[Hour]:[Hour]]&gt;12,OFFSET(TblConstr[[#This Row],[Smi]],-12,0),0)+OFFSET(TblConstr[[#This Row],[Tot Smi]],-1,0)-TblConstr[[#This Row],[Dest Smi]]</f>
        <v>0</v>
      </c>
      <c r="BC58" s="197" cm="1">
        <f t="array" aca="1" ref="BC58" ca="1">IF(TblConstr[[#This Row],[Hour]:[Hour]]&gt;12,OFFSET(TblConstr[[#This Row],[Mas]],-12,0),0)+OFFSET(TblConstr[[#This Row],[Tot Mas]],-1,0)-TblConstr[[#This Row],[Dest Mas]]</f>
        <v>0</v>
      </c>
      <c r="BD58" s="198" cm="1">
        <f t="array" aca="1" ref="BD58" ca="1">IF(TblConstr[[#This Row],[Hour]:[Hour]]&gt;12,OFFSET(TblConstr[[#This Row],[Ly]],-12,0),0)+OFFSET(TblConstr[[#This Row],[Tot Ly]],-1,0)-TblConstr[[#This Row],[Dest Ly]]</f>
        <v>20</v>
      </c>
      <c r="BE58" s="198" cm="1">
        <f t="array" aca="1" ref="BE58" ca="1">IF(TblConstr[[#This Row],[Hour]:[Hour]]&gt;12,OFFSET(TblConstr[[#This Row],[Hav]],-12,0),0)+OFFSET(TblConstr[[#This Row],[Tot Hav]],-1,0)-TblConstr[[#This Row],[Dest Hav]]</f>
        <v>0</v>
      </c>
      <c r="BF58" s="392" cm="1">
        <f t="array" aca="1" ref="BF58" ca="1">IF(TblConstr[[#This Row],[Hour]:[Hour]]&gt;12,OFFSET(TblConstr[[#This Row],[OM]],-12,0),0)+OFFSET(TblConstr[[#This Row],[Tot OM]],-1,0)-TblConstr[[#This Row],[Dest OM]]</f>
        <v>0</v>
      </c>
      <c r="BG58" s="392" cm="1">
        <f t="array" aca="1" ref="BG58" ca="1">IF(TblConstr[[#This Row],[Hour]:[Hour]]&gt;12,OFFSET(TblConstr[[#This Row],[GN]],-12,0),0)+OFFSET(TblConstr[[#This Row],[Tot GN]],-1,0)-TblConstr[[#This Row],[Dest GN]]</f>
        <v>0</v>
      </c>
      <c r="BH58" s="396" cm="1">
        <f t="array" aca="1" ref="BH58" ca="1">IF(TblConstr[[#This Row],[Hour]:[Hour]]&gt;12,OFFSET(TblConstr[[#This Row],[Fac]],-12,0),0)+OFFSET(TblConstr[[#This Row],[Tot Fac]],-1,0)-TblConstr[[#This Row],[Dest Fac]]</f>
        <v>0</v>
      </c>
      <c r="BI58" s="396" cm="1">
        <f t="array" aca="1" ref="BI58" ca="1">IF(TblConstr[[#This Row],[Hour]:[Hour]]&gt;12,OFFSET(TblConstr[[#This Row],[GT]],-12,0),0)+OFFSET(TblConstr[[#This Row],[Tot GT]],-1,0)-TblConstr[[#This Row],[Dest GT]]</f>
        <v>0</v>
      </c>
      <c r="BJ58" s="396" cm="1">
        <f t="array" aca="1" ref="BJ58" ca="1">IF(TblConstr[[#This Row],[Hour]:[Hour]]&gt;12,OFFSET(TblConstr[[#This Row],[Bar]],-12,0),0)+OFFSET(TblConstr[[#This Row],[Tot Bar]],-1,0)-TblConstr[[#This Row],[Dest Bar]]</f>
        <v>0</v>
      </c>
      <c r="BK58" s="396" cm="1">
        <f t="array" aca="1" ref="BK58" ca="1">IF(TblConstr[[#This Row],[Hour]:[Hour]]&gt;12,OFFSET(TblConstr[[#This Row],[Shr]],-12,0),0)+OFFSET(TblConstr[[#This Row],[Tot Shr]],-1,0)-TblConstr[[#This Row],[Dest Shr]]</f>
        <v>0</v>
      </c>
      <c r="BL58" s="400" cm="1">
        <f t="array" aca="1" ref="BL58" ca="1">IF(TblConstr[[#This Row],[Hour]:[Hour]]&gt;12,OFFSET(TblConstr[[#This Row],[Tow]],-12,0),0)+OFFSET(TblConstr[[#This Row],[Tot Tow]],-1,0)-TblConstr[[#This Row],[Dest Tow]]</f>
        <v>0</v>
      </c>
      <c r="BM58" s="400" cm="1">
        <f t="array" aca="1" ref="BM58" ca="1">IF(TblConstr[[#This Row],[Hour]:[Hour]]&gt;12,OFFSET(TblConstr[[#This Row],[Tem]],-12,0),0)+OFFSET(TblConstr[[#This Row],[Tot Tem]],-1,0)-TblConstr[[#This Row],[Dest Tem]]</f>
        <v>0</v>
      </c>
      <c r="BN58" s="400" cm="1">
        <f t="array" aca="1" ref="BN58" ca="1">IF(TblConstr[[#This Row],[Hour]:[Hour]]&gt;12,OFFSET(TblConstr[[#This Row],[WG]],-12,0),0)+OFFSET(TblConstr[[#This Row],[Tot WG]],-1,0)-TblConstr[[#This Row],[Dest WG]]</f>
        <v>0</v>
      </c>
      <c r="BO58" s="199" cm="1">
        <f t="array" aca="1" ref="BO58" ca="1">IF(TblConstr[[#This Row],[Hour]:[Hour]]&gt;12,OFFSET(TblConstr[[#This Row],[DM]],-12,0),0)+OFFSET(TblConstr[[#This Row],[Tot DM]],-1,0)-TblConstr[[#This Row],[Dest DM]]</f>
        <v>0</v>
      </c>
      <c r="BP58" s="199" cm="1">
        <f t="array" aca="1" ref="BP58" ca="1">IF(TblConstr[[#This Row],[Hour]:[Hour]]&gt;12,OFFSET(TblConstr[[#This Row],[Sch]],-12,0),0)+OFFSET(TblConstr[[#This Row],[Tot Sch]],-1,0)-TblConstr[[#This Row],[Dest Sch]]</f>
        <v>0</v>
      </c>
      <c r="BQ58" s="200" cm="1">
        <f t="array" aca="1" ref="BQ58" ca="1">IF(TblConstr[[#This Row],[Hour]:[Hour]]&gt;12,OFFSET(TblConstr[[#This Row],[Doc]],-12,0),0)+OFFSET(TblConstr[[#This Row],[Tot Doc]],-1,0)-TblConstr[[#This Row],[Dest Doc]]</f>
        <v>0</v>
      </c>
      <c r="BR58" s="150"/>
      <c r="BS58" s="162"/>
      <c r="BT58" s="97">
        <f ca="1">TblConstr[[#This Row],[Land]]</f>
        <v>250</v>
      </c>
      <c r="BU58" s="167">
        <f ca="1">TblImps[[#This Row],[Time]]</f>
        <v>44812.999999999869</v>
      </c>
      <c r="BV58" s="150"/>
      <c r="BW58" s="187"/>
      <c r="BX58" s="187"/>
      <c r="BY58" s="187"/>
      <c r="BZ58" s="187"/>
      <c r="CA58" s="187"/>
      <c r="CB58" s="187"/>
      <c r="CC58" s="187"/>
      <c r="CD58" s="187"/>
      <c r="CE58" s="187"/>
      <c r="CF58" s="187"/>
      <c r="CG58" s="187"/>
      <c r="CH58" s="187"/>
      <c r="CI58" s="187"/>
      <c r="CJ58" s="187"/>
      <c r="CK58" s="187"/>
      <c r="CL58" s="187"/>
      <c r="CM58" s="187"/>
      <c r="CN58" s="187"/>
      <c r="CO58" s="187"/>
      <c r="CP58" s="150"/>
      <c r="CQ58" s="189">
        <f ca="1">-SUM(TblConstr[[#This Row],[Alc]:[Mas]])+SUM(TblConstr[[#This Row],[Dest Alc]:[Dest Mas]])+Rezone!L58+IF("Ch_"&amp; home_land=TblConstr[[#Headers],[Ch_Plain]],TblConstr[[#This Row],[Home Land]])+IF(TblConstr[[#This Row],[Hour]:[Hour]]&gt;12,OFFSET(TblExplore[[#This Row],[Plains Explore]],-12,0),0)</f>
        <v>0</v>
      </c>
      <c r="CR58" s="190">
        <f ca="1">-SUM(TblConstr[[#This Row],[Ly]:[Hav]])+SUM(TblConstr[[#This Row],[Dest Ly]:[Dest Hav]]) +Rezone!M58 + IF("Ch_"&amp; home_land=TblConstr[[#Headers],[Ch_Forest]],TblConstr[[#This Row],[Home Land]])+IF(TblConstr[[#This Row],[Hour]:[Hour]]&gt;12,OFFSET(TblExplore[[#This Row],[Forest Explore]],-12,0),0)</f>
        <v>0</v>
      </c>
      <c r="CS58" s="390">
        <f ca="1">-SUM(TblConstr[[#This Row],[OM]:[GN]])+SUM(TblConstr[[#This Row],[Dest OM]:[Dest GN]]) +Rezone!N58 + IF("Ch_"&amp; home_land=TblConstr[[#Headers],[Ch_Mountain]],TblConstr[[#This Row],[Home Land]])+IF(TblConstr[[#This Row],[Hour]:[Hour]]&gt;12,OFFSET(TblExplore[[#This Row],[Mountain Explore]],-12,0),0)</f>
        <v>0</v>
      </c>
      <c r="CT58" s="191">
        <f ca="1">-SUM(TblConstr[[#This Row],[Fac]:[Shr]])+SUM(TblConstr[[#This Row],[Dest Fac]:[Dest Shr]]) +Rezone!O58 + IF("Ch_" &amp; home_land=TblConstr[[#Headers],[Ch_Hill]],TblConstr[[#This Row],[Home Land]])+IF(TblConstr[[#This Row],[Hour]:[Hour]]&gt;12,OFFSET(TblExplore[[#This Row],[Hill Explore]],-12,0),0)</f>
        <v>0</v>
      </c>
      <c r="CU58" s="192">
        <f ca="1">-SUM(TblConstr[[#This Row],[Tow]:[WG]])+SUM(TblConstr[[#This Row],[Dest Tow]:[Dest WG]]) +Rezone!P58 + IF("Ch_" &amp; home_land=TblConstr[[#Headers],[Ch_Swamp]],TblConstr[[#This Row],[Home Land]])+IF(TblConstr[[#This Row],[Hour]:[Hour]]&gt;12,OFFSET(TblExplore[[#This Row],[Swamp Explore]],-12,0),0)</f>
        <v>0</v>
      </c>
      <c r="CV58" s="193">
        <f ca="1" xml:space="preserve"> - SUM(TblConstr[[#This Row],[DM]:[Sch]])+SUM(TblConstr[[#This Row],[Dest DM]:[Dest Sch]]) +Rezone!Q58 + IF("Ch_" &amp; home_land=TblConstr[[#Headers],[Ch_Cavern]],TblConstr[[#This Row],[Home Land]])+IF(TblConstr[[#This Row],[Hour]:[Hour]]&gt;12,OFFSET(TblExplore[[#This Row],[Cavern Explore]],-12,0),0)</f>
        <v>0</v>
      </c>
      <c r="CW58" s="194">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50"/>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83">
        <f>TblRezone[[#This Row],[Hour]]</f>
        <v>56</v>
      </c>
      <c r="B59" s="184">
        <f ca="1">SUM(TblConstr[[#This Row],[Plain]:[Water]])</f>
        <v>160</v>
      </c>
      <c r="C59" s="185">
        <f ca="1">SUM(TblConstr[[#This Row],[Tot Hom]:[Tot Doc]])</f>
        <v>90</v>
      </c>
      <c r="D59" s="185">
        <f t="shared" si="11"/>
        <v>0</v>
      </c>
      <c r="E59" s="186"/>
      <c r="F59" s="62">
        <f ca="1">TblConstr[[#This Row],[Barren]]+TblConstr[[#This Row],[Buildings]]+TblConstr[[#This Row],[Incoming]]</f>
        <v>250</v>
      </c>
      <c r="G59" s="195">
        <f ca="1">OFFSET(TblConstr[[#This Row],[Plain]],-1,0)+TblConstr[[#This Row],[Ch_Plain]]</f>
        <v>40</v>
      </c>
      <c r="H59" s="190">
        <f ca="1">OFFSET(TblConstr[[#This Row],[Forest]],-1,0)+TblConstr[[#This Row],[Ch_Forest]]</f>
        <v>20</v>
      </c>
      <c r="I59" s="390">
        <f ca="1">OFFSET(TblConstr[[#This Row],[Mountain]],-1,0)+TblConstr[[#This Row],[Ch_Mountain]]</f>
        <v>20</v>
      </c>
      <c r="J59" s="394">
        <f ca="1">OFFSET(TblConstr[[#This Row],[Hill]],-1,0)+TblConstr[[#This Row],[Ch_Hill]]</f>
        <v>20</v>
      </c>
      <c r="K59" s="398">
        <f ca="1">OFFSET(TblConstr[[#This Row],[Swamp]],-1,0)+TblConstr[[#This Row],[Ch_Swamp]]</f>
        <v>20</v>
      </c>
      <c r="L59" s="193">
        <f ca="1">OFFSET(TblConstr[[#This Row],[Cavern]],-1,0)+TblConstr[[#This Row],[Ch_Cavern]]</f>
        <v>20</v>
      </c>
      <c r="M59" s="194">
        <f ca="1">OFFSET(TblConstr[[#This Row],[Water]],-1,0)+TblConstr[[#This Row],[Ch_Water]]</f>
        <v>20</v>
      </c>
      <c r="N59" s="388">
        <f>TblRezone[[#This Row],[Hour]]</f>
        <v>56</v>
      </c>
      <c r="O59" s="187"/>
      <c r="P59" s="187"/>
      <c r="Q59" s="187"/>
      <c r="R59" s="187"/>
      <c r="S59" s="187"/>
      <c r="T59" s="187"/>
      <c r="U59" s="187"/>
      <c r="V59" s="187"/>
      <c r="W59" s="187"/>
      <c r="X59" s="187"/>
      <c r="Y59" s="187"/>
      <c r="Z59" s="187"/>
      <c r="AA59" s="187"/>
      <c r="AB59" s="187"/>
      <c r="AC59" s="187"/>
      <c r="AD59" s="187"/>
      <c r="AE59" s="187"/>
      <c r="AF59" s="187"/>
      <c r="AG59" s="187"/>
      <c r="AH59" s="53">
        <f ca="1">TblImps[[#This Row],[Time]]</f>
        <v>44813.041666666533</v>
      </c>
      <c r="AI59" s="188">
        <f ca="1">MIN(25%,(TblConstr[[#This Row],[Tot Fac]]+TblConstr[[#This Row],[Dest Fac]])/(TblConstr[[#This Row],[Land]]-TblExplore[[#This Row],[Land Bonus]]*20))</f>
        <v>0</v>
      </c>
      <c r="AJ59" s="188">
        <f ca="1">MIN(25%,(TblConstr[[#This Row],[Tot Fac]]+TblConstr[[#This Row],[Dest Fac]])/TblConstr[[#This Row],[Land]])</f>
        <v>0</v>
      </c>
      <c r="AK59" s="97">
        <f ca="1">TblProd[[#This Row],[Platinum]]</f>
        <v>402608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50"/>
      <c r="AV59" s="97">
        <f ca="1">ROUND((TblConstr[[#This Row],[Land]]-250 - IF(TblExplore[[#This Row],[Land Bonus]]&lt;&gt;0,20,0))*1.25 + 850 + 0,0)</f>
        <v>850</v>
      </c>
      <c r="AW59" s="97">
        <f ca="1">ROUND((TblConstr[[#This Row],[Land]]-250 - IF(TblExplore[[#This Row],[Land Bonus]]&lt;&gt;0,20,0))*0.285 + 87.5 + 0/4.25,0)</f>
        <v>88</v>
      </c>
      <c r="AX59" s="162"/>
      <c r="AY59" s="196" cm="1">
        <f t="array" aca="1" ref="AY59" ca="1">IF(TblConstr[[#This Row],[Hour]:[Hour]]&gt;12,OFFSET(TblConstr[[#This Row],[Hom]],-12,0),0)+OFFSET(TblConstr[[#This Row],[Tot Hom]],-1,0)-TblConstr[[#This Row],[Dest Hom]]</f>
        <v>10</v>
      </c>
      <c r="AZ59" s="197" cm="1">
        <f t="array" aca="1" ref="AZ59" ca="1">IF(TblConstr[[#This Row],[Hour]:[Hour]]&gt;12,OFFSET(TblConstr[[#This Row],[Alc]],-12,0),0)+OFFSET(TblConstr[[#This Row],[Tot Alc]],-1,0)-TblConstr[[#This Row],[Dest Alc]]</f>
        <v>30</v>
      </c>
      <c r="BA59" s="197" cm="1">
        <f t="array" aca="1" ref="BA59" ca="1">IF(TblConstr[[#This Row],[Hour]:[Hour]]&gt;12,OFFSET(TblConstr[[#This Row],[Far]],-12,0),0)+OFFSET(TblConstr[[#This Row],[Tot Farm]],-1,0)-TblConstr[[#This Row],[Dest Farm]]</f>
        <v>30</v>
      </c>
      <c r="BB59" s="197" cm="1">
        <f t="array" aca="1" ref="BB59" ca="1">IF(TblConstr[[#This Row],[Hour]:[Hour]]&gt;12,OFFSET(TblConstr[[#This Row],[Smi]],-12,0),0)+OFFSET(TblConstr[[#This Row],[Tot Smi]],-1,0)-TblConstr[[#This Row],[Dest Smi]]</f>
        <v>0</v>
      </c>
      <c r="BC59" s="197" cm="1">
        <f t="array" aca="1" ref="BC59" ca="1">IF(TblConstr[[#This Row],[Hour]:[Hour]]&gt;12,OFFSET(TblConstr[[#This Row],[Mas]],-12,0),0)+OFFSET(TblConstr[[#This Row],[Tot Mas]],-1,0)-TblConstr[[#This Row],[Dest Mas]]</f>
        <v>0</v>
      </c>
      <c r="BD59" s="198" cm="1">
        <f t="array" aca="1" ref="BD59" ca="1">IF(TblConstr[[#This Row],[Hour]:[Hour]]&gt;12,OFFSET(TblConstr[[#This Row],[Ly]],-12,0),0)+OFFSET(TblConstr[[#This Row],[Tot Ly]],-1,0)-TblConstr[[#This Row],[Dest Ly]]</f>
        <v>20</v>
      </c>
      <c r="BE59" s="198" cm="1">
        <f t="array" aca="1" ref="BE59" ca="1">IF(TblConstr[[#This Row],[Hour]:[Hour]]&gt;12,OFFSET(TblConstr[[#This Row],[Hav]],-12,0),0)+OFFSET(TblConstr[[#This Row],[Tot Hav]],-1,0)-TblConstr[[#This Row],[Dest Hav]]</f>
        <v>0</v>
      </c>
      <c r="BF59" s="392" cm="1">
        <f t="array" aca="1" ref="BF59" ca="1">IF(TblConstr[[#This Row],[Hour]:[Hour]]&gt;12,OFFSET(TblConstr[[#This Row],[OM]],-12,0),0)+OFFSET(TblConstr[[#This Row],[Tot OM]],-1,0)-TblConstr[[#This Row],[Dest OM]]</f>
        <v>0</v>
      </c>
      <c r="BG59" s="392" cm="1">
        <f t="array" aca="1" ref="BG59" ca="1">IF(TblConstr[[#This Row],[Hour]:[Hour]]&gt;12,OFFSET(TblConstr[[#This Row],[GN]],-12,0),0)+OFFSET(TblConstr[[#This Row],[Tot GN]],-1,0)-TblConstr[[#This Row],[Dest GN]]</f>
        <v>0</v>
      </c>
      <c r="BH59" s="396" cm="1">
        <f t="array" aca="1" ref="BH59" ca="1">IF(TblConstr[[#This Row],[Hour]:[Hour]]&gt;12,OFFSET(TblConstr[[#This Row],[Fac]],-12,0),0)+OFFSET(TblConstr[[#This Row],[Tot Fac]],-1,0)-TblConstr[[#This Row],[Dest Fac]]</f>
        <v>0</v>
      </c>
      <c r="BI59" s="396" cm="1">
        <f t="array" aca="1" ref="BI59" ca="1">IF(TblConstr[[#This Row],[Hour]:[Hour]]&gt;12,OFFSET(TblConstr[[#This Row],[GT]],-12,0),0)+OFFSET(TblConstr[[#This Row],[Tot GT]],-1,0)-TblConstr[[#This Row],[Dest GT]]</f>
        <v>0</v>
      </c>
      <c r="BJ59" s="396" cm="1">
        <f t="array" aca="1" ref="BJ59" ca="1">IF(TblConstr[[#This Row],[Hour]:[Hour]]&gt;12,OFFSET(TblConstr[[#This Row],[Bar]],-12,0),0)+OFFSET(TblConstr[[#This Row],[Tot Bar]],-1,0)-TblConstr[[#This Row],[Dest Bar]]</f>
        <v>0</v>
      </c>
      <c r="BK59" s="396" cm="1">
        <f t="array" aca="1" ref="BK59" ca="1">IF(TblConstr[[#This Row],[Hour]:[Hour]]&gt;12,OFFSET(TblConstr[[#This Row],[Shr]],-12,0),0)+OFFSET(TblConstr[[#This Row],[Tot Shr]],-1,0)-TblConstr[[#This Row],[Dest Shr]]</f>
        <v>0</v>
      </c>
      <c r="BL59" s="400" cm="1">
        <f t="array" aca="1" ref="BL59" ca="1">IF(TblConstr[[#This Row],[Hour]:[Hour]]&gt;12,OFFSET(TblConstr[[#This Row],[Tow]],-12,0),0)+OFFSET(TblConstr[[#This Row],[Tot Tow]],-1,0)-TblConstr[[#This Row],[Dest Tow]]</f>
        <v>0</v>
      </c>
      <c r="BM59" s="400" cm="1">
        <f t="array" aca="1" ref="BM59" ca="1">IF(TblConstr[[#This Row],[Hour]:[Hour]]&gt;12,OFFSET(TblConstr[[#This Row],[Tem]],-12,0),0)+OFFSET(TblConstr[[#This Row],[Tot Tem]],-1,0)-TblConstr[[#This Row],[Dest Tem]]</f>
        <v>0</v>
      </c>
      <c r="BN59" s="400" cm="1">
        <f t="array" aca="1" ref="BN59" ca="1">IF(TblConstr[[#This Row],[Hour]:[Hour]]&gt;12,OFFSET(TblConstr[[#This Row],[WG]],-12,0),0)+OFFSET(TblConstr[[#This Row],[Tot WG]],-1,0)-TblConstr[[#This Row],[Dest WG]]</f>
        <v>0</v>
      </c>
      <c r="BO59" s="199" cm="1">
        <f t="array" aca="1" ref="BO59" ca="1">IF(TblConstr[[#This Row],[Hour]:[Hour]]&gt;12,OFFSET(TblConstr[[#This Row],[DM]],-12,0),0)+OFFSET(TblConstr[[#This Row],[Tot DM]],-1,0)-TblConstr[[#This Row],[Dest DM]]</f>
        <v>0</v>
      </c>
      <c r="BP59" s="199" cm="1">
        <f t="array" aca="1" ref="BP59" ca="1">IF(TblConstr[[#This Row],[Hour]:[Hour]]&gt;12,OFFSET(TblConstr[[#This Row],[Sch]],-12,0),0)+OFFSET(TblConstr[[#This Row],[Tot Sch]],-1,0)-TblConstr[[#This Row],[Dest Sch]]</f>
        <v>0</v>
      </c>
      <c r="BQ59" s="200" cm="1">
        <f t="array" aca="1" ref="BQ59" ca="1">IF(TblConstr[[#This Row],[Hour]:[Hour]]&gt;12,OFFSET(TblConstr[[#This Row],[Doc]],-12,0),0)+OFFSET(TblConstr[[#This Row],[Tot Doc]],-1,0)-TblConstr[[#This Row],[Dest Doc]]</f>
        <v>0</v>
      </c>
      <c r="BR59" s="150"/>
      <c r="BS59" s="162"/>
      <c r="BT59" s="97">
        <f ca="1">TblConstr[[#This Row],[Land]]</f>
        <v>250</v>
      </c>
      <c r="BU59" s="167">
        <f ca="1">TblImps[[#This Row],[Time]]</f>
        <v>44813.041666666533</v>
      </c>
      <c r="BV59" s="150"/>
      <c r="BW59" s="187"/>
      <c r="BX59" s="187"/>
      <c r="BY59" s="187"/>
      <c r="BZ59" s="187"/>
      <c r="CA59" s="187"/>
      <c r="CB59" s="187"/>
      <c r="CC59" s="187"/>
      <c r="CD59" s="187"/>
      <c r="CE59" s="187"/>
      <c r="CF59" s="187"/>
      <c r="CG59" s="187"/>
      <c r="CH59" s="187"/>
      <c r="CI59" s="187"/>
      <c r="CJ59" s="187"/>
      <c r="CK59" s="187"/>
      <c r="CL59" s="187"/>
      <c r="CM59" s="187"/>
      <c r="CN59" s="187"/>
      <c r="CO59" s="187"/>
      <c r="CP59" s="150"/>
      <c r="CQ59" s="189">
        <f ca="1">-SUM(TblConstr[[#This Row],[Alc]:[Mas]])+SUM(TblConstr[[#This Row],[Dest Alc]:[Dest Mas]])+Rezone!L59+IF("Ch_"&amp; home_land=TblConstr[[#Headers],[Ch_Plain]],TblConstr[[#This Row],[Home Land]])+IF(TblConstr[[#This Row],[Hour]:[Hour]]&gt;12,OFFSET(TblExplore[[#This Row],[Plains Explore]],-12,0),0)</f>
        <v>0</v>
      </c>
      <c r="CR59" s="190">
        <f ca="1">-SUM(TblConstr[[#This Row],[Ly]:[Hav]])+SUM(TblConstr[[#This Row],[Dest Ly]:[Dest Hav]]) +Rezone!M59 + IF("Ch_"&amp; home_land=TblConstr[[#Headers],[Ch_Forest]],TblConstr[[#This Row],[Home Land]])+IF(TblConstr[[#This Row],[Hour]:[Hour]]&gt;12,OFFSET(TblExplore[[#This Row],[Forest Explore]],-12,0),0)</f>
        <v>0</v>
      </c>
      <c r="CS59" s="390">
        <f ca="1">-SUM(TblConstr[[#This Row],[OM]:[GN]])+SUM(TblConstr[[#This Row],[Dest OM]:[Dest GN]]) +Rezone!N59 + IF("Ch_"&amp; home_land=TblConstr[[#Headers],[Ch_Mountain]],TblConstr[[#This Row],[Home Land]])+IF(TblConstr[[#This Row],[Hour]:[Hour]]&gt;12,OFFSET(TblExplore[[#This Row],[Mountain Explore]],-12,0),0)</f>
        <v>0</v>
      </c>
      <c r="CT59" s="191">
        <f ca="1">-SUM(TblConstr[[#This Row],[Fac]:[Shr]])+SUM(TblConstr[[#This Row],[Dest Fac]:[Dest Shr]]) +Rezone!O59 + IF("Ch_" &amp; home_land=TblConstr[[#Headers],[Ch_Hill]],TblConstr[[#This Row],[Home Land]])+IF(TblConstr[[#This Row],[Hour]:[Hour]]&gt;12,OFFSET(TblExplore[[#This Row],[Hill Explore]],-12,0),0)</f>
        <v>0</v>
      </c>
      <c r="CU59" s="192">
        <f ca="1">-SUM(TblConstr[[#This Row],[Tow]:[WG]])+SUM(TblConstr[[#This Row],[Dest Tow]:[Dest WG]]) +Rezone!P59 + IF("Ch_" &amp; home_land=TblConstr[[#Headers],[Ch_Swamp]],TblConstr[[#This Row],[Home Land]])+IF(TblConstr[[#This Row],[Hour]:[Hour]]&gt;12,OFFSET(TblExplore[[#This Row],[Swamp Explore]],-12,0),0)</f>
        <v>0</v>
      </c>
      <c r="CV59" s="193">
        <f ca="1" xml:space="preserve"> - SUM(TblConstr[[#This Row],[DM]:[Sch]])+SUM(TblConstr[[#This Row],[Dest DM]:[Dest Sch]]) +Rezone!Q59 + IF("Ch_" &amp; home_land=TblConstr[[#Headers],[Ch_Cavern]],TblConstr[[#This Row],[Home Land]])+IF(TblConstr[[#This Row],[Hour]:[Hour]]&gt;12,OFFSET(TblExplore[[#This Row],[Cavern Explore]],-12,0),0)</f>
        <v>0</v>
      </c>
      <c r="CW59" s="194">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50"/>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83">
        <f>TblRezone[[#This Row],[Hour]]</f>
        <v>57</v>
      </c>
      <c r="B60" s="184">
        <f ca="1">SUM(TblConstr[[#This Row],[Plain]:[Water]])</f>
        <v>160</v>
      </c>
      <c r="C60" s="185">
        <f ca="1">SUM(TblConstr[[#This Row],[Tot Hom]:[Tot Doc]])</f>
        <v>90</v>
      </c>
      <c r="D60" s="185">
        <f t="shared" si="11"/>
        <v>0</v>
      </c>
      <c r="E60" s="186"/>
      <c r="F60" s="62">
        <f ca="1">TblConstr[[#This Row],[Barren]]+TblConstr[[#This Row],[Buildings]]+TblConstr[[#This Row],[Incoming]]</f>
        <v>250</v>
      </c>
      <c r="G60" s="195">
        <f ca="1">OFFSET(TblConstr[[#This Row],[Plain]],-1,0)+TblConstr[[#This Row],[Ch_Plain]]</f>
        <v>40</v>
      </c>
      <c r="H60" s="190">
        <f ca="1">OFFSET(TblConstr[[#This Row],[Forest]],-1,0)+TblConstr[[#This Row],[Ch_Forest]]</f>
        <v>20</v>
      </c>
      <c r="I60" s="390">
        <f ca="1">OFFSET(TblConstr[[#This Row],[Mountain]],-1,0)+TblConstr[[#This Row],[Ch_Mountain]]</f>
        <v>20</v>
      </c>
      <c r="J60" s="394">
        <f ca="1">OFFSET(TblConstr[[#This Row],[Hill]],-1,0)+TblConstr[[#This Row],[Ch_Hill]]</f>
        <v>20</v>
      </c>
      <c r="K60" s="398">
        <f ca="1">OFFSET(TblConstr[[#This Row],[Swamp]],-1,0)+TblConstr[[#This Row],[Ch_Swamp]]</f>
        <v>20</v>
      </c>
      <c r="L60" s="193">
        <f ca="1">OFFSET(TblConstr[[#This Row],[Cavern]],-1,0)+TblConstr[[#This Row],[Ch_Cavern]]</f>
        <v>20</v>
      </c>
      <c r="M60" s="194">
        <f ca="1">OFFSET(TblConstr[[#This Row],[Water]],-1,0)+TblConstr[[#This Row],[Ch_Water]]</f>
        <v>20</v>
      </c>
      <c r="N60" s="388">
        <f>TblRezone[[#This Row],[Hour]]</f>
        <v>57</v>
      </c>
      <c r="O60" s="187"/>
      <c r="P60" s="187"/>
      <c r="Q60" s="187"/>
      <c r="R60" s="187"/>
      <c r="S60" s="187"/>
      <c r="T60" s="187"/>
      <c r="U60" s="187"/>
      <c r="V60" s="187"/>
      <c r="W60" s="187"/>
      <c r="X60" s="187"/>
      <c r="Y60" s="187"/>
      <c r="Z60" s="187"/>
      <c r="AA60" s="187"/>
      <c r="AB60" s="187"/>
      <c r="AC60" s="187"/>
      <c r="AD60" s="187"/>
      <c r="AE60" s="187"/>
      <c r="AF60" s="187"/>
      <c r="AG60" s="187"/>
      <c r="AH60" s="53">
        <f ca="1">TblImps[[#This Row],[Time]]</f>
        <v>44813.083333333198</v>
      </c>
      <c r="AI60" s="188">
        <f ca="1">MIN(25%,(TblConstr[[#This Row],[Tot Fac]]+TblConstr[[#This Row],[Dest Fac]])/(TblConstr[[#This Row],[Land]]-TblExplore[[#This Row],[Land Bonus]]*20))</f>
        <v>0</v>
      </c>
      <c r="AJ60" s="188">
        <f ca="1">MIN(25%,(TblConstr[[#This Row],[Tot Fac]]+TblConstr[[#This Row],[Dest Fac]])/TblConstr[[#This Row],[Land]])</f>
        <v>0</v>
      </c>
      <c r="AK60" s="97">
        <f ca="1">TblProd[[#This Row],[Platinum]]</f>
        <v>408094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50"/>
      <c r="AV60" s="97">
        <f ca="1">ROUND((TblConstr[[#This Row],[Land]]-250 - IF(TblExplore[[#This Row],[Land Bonus]]&lt;&gt;0,20,0))*1.25 + 850 + 0,0)</f>
        <v>850</v>
      </c>
      <c r="AW60" s="97">
        <f ca="1">ROUND((TblConstr[[#This Row],[Land]]-250 - IF(TblExplore[[#This Row],[Land Bonus]]&lt;&gt;0,20,0))*0.285 + 87.5 + 0/4.25,0)</f>
        <v>88</v>
      </c>
      <c r="AX60" s="162"/>
      <c r="AY60" s="196" cm="1">
        <f t="array" aca="1" ref="AY60" ca="1">IF(TblConstr[[#This Row],[Hour]:[Hour]]&gt;12,OFFSET(TblConstr[[#This Row],[Hom]],-12,0),0)+OFFSET(TblConstr[[#This Row],[Tot Hom]],-1,0)-TblConstr[[#This Row],[Dest Hom]]</f>
        <v>10</v>
      </c>
      <c r="AZ60" s="197" cm="1">
        <f t="array" aca="1" ref="AZ60" ca="1">IF(TblConstr[[#This Row],[Hour]:[Hour]]&gt;12,OFFSET(TblConstr[[#This Row],[Alc]],-12,0),0)+OFFSET(TblConstr[[#This Row],[Tot Alc]],-1,0)-TblConstr[[#This Row],[Dest Alc]]</f>
        <v>30</v>
      </c>
      <c r="BA60" s="197" cm="1">
        <f t="array" aca="1" ref="BA60" ca="1">IF(TblConstr[[#This Row],[Hour]:[Hour]]&gt;12,OFFSET(TblConstr[[#This Row],[Far]],-12,0),0)+OFFSET(TblConstr[[#This Row],[Tot Farm]],-1,0)-TblConstr[[#This Row],[Dest Farm]]</f>
        <v>30</v>
      </c>
      <c r="BB60" s="197" cm="1">
        <f t="array" aca="1" ref="BB60" ca="1">IF(TblConstr[[#This Row],[Hour]:[Hour]]&gt;12,OFFSET(TblConstr[[#This Row],[Smi]],-12,0),0)+OFFSET(TblConstr[[#This Row],[Tot Smi]],-1,0)-TblConstr[[#This Row],[Dest Smi]]</f>
        <v>0</v>
      </c>
      <c r="BC60" s="197" cm="1">
        <f t="array" aca="1" ref="BC60" ca="1">IF(TblConstr[[#This Row],[Hour]:[Hour]]&gt;12,OFFSET(TblConstr[[#This Row],[Mas]],-12,0),0)+OFFSET(TblConstr[[#This Row],[Tot Mas]],-1,0)-TblConstr[[#This Row],[Dest Mas]]</f>
        <v>0</v>
      </c>
      <c r="BD60" s="198" cm="1">
        <f t="array" aca="1" ref="BD60" ca="1">IF(TblConstr[[#This Row],[Hour]:[Hour]]&gt;12,OFFSET(TblConstr[[#This Row],[Ly]],-12,0),0)+OFFSET(TblConstr[[#This Row],[Tot Ly]],-1,0)-TblConstr[[#This Row],[Dest Ly]]</f>
        <v>20</v>
      </c>
      <c r="BE60" s="198" cm="1">
        <f t="array" aca="1" ref="BE60" ca="1">IF(TblConstr[[#This Row],[Hour]:[Hour]]&gt;12,OFFSET(TblConstr[[#This Row],[Hav]],-12,0),0)+OFFSET(TblConstr[[#This Row],[Tot Hav]],-1,0)-TblConstr[[#This Row],[Dest Hav]]</f>
        <v>0</v>
      </c>
      <c r="BF60" s="392" cm="1">
        <f t="array" aca="1" ref="BF60" ca="1">IF(TblConstr[[#This Row],[Hour]:[Hour]]&gt;12,OFFSET(TblConstr[[#This Row],[OM]],-12,0),0)+OFFSET(TblConstr[[#This Row],[Tot OM]],-1,0)-TblConstr[[#This Row],[Dest OM]]</f>
        <v>0</v>
      </c>
      <c r="BG60" s="392" cm="1">
        <f t="array" aca="1" ref="BG60" ca="1">IF(TblConstr[[#This Row],[Hour]:[Hour]]&gt;12,OFFSET(TblConstr[[#This Row],[GN]],-12,0),0)+OFFSET(TblConstr[[#This Row],[Tot GN]],-1,0)-TblConstr[[#This Row],[Dest GN]]</f>
        <v>0</v>
      </c>
      <c r="BH60" s="396" cm="1">
        <f t="array" aca="1" ref="BH60" ca="1">IF(TblConstr[[#This Row],[Hour]:[Hour]]&gt;12,OFFSET(TblConstr[[#This Row],[Fac]],-12,0),0)+OFFSET(TblConstr[[#This Row],[Tot Fac]],-1,0)-TblConstr[[#This Row],[Dest Fac]]</f>
        <v>0</v>
      </c>
      <c r="BI60" s="396" cm="1">
        <f t="array" aca="1" ref="BI60" ca="1">IF(TblConstr[[#This Row],[Hour]:[Hour]]&gt;12,OFFSET(TblConstr[[#This Row],[GT]],-12,0),0)+OFFSET(TblConstr[[#This Row],[Tot GT]],-1,0)-TblConstr[[#This Row],[Dest GT]]</f>
        <v>0</v>
      </c>
      <c r="BJ60" s="396" cm="1">
        <f t="array" aca="1" ref="BJ60" ca="1">IF(TblConstr[[#This Row],[Hour]:[Hour]]&gt;12,OFFSET(TblConstr[[#This Row],[Bar]],-12,0),0)+OFFSET(TblConstr[[#This Row],[Tot Bar]],-1,0)-TblConstr[[#This Row],[Dest Bar]]</f>
        <v>0</v>
      </c>
      <c r="BK60" s="396" cm="1">
        <f t="array" aca="1" ref="BK60" ca="1">IF(TblConstr[[#This Row],[Hour]:[Hour]]&gt;12,OFFSET(TblConstr[[#This Row],[Shr]],-12,0),0)+OFFSET(TblConstr[[#This Row],[Tot Shr]],-1,0)-TblConstr[[#This Row],[Dest Shr]]</f>
        <v>0</v>
      </c>
      <c r="BL60" s="400" cm="1">
        <f t="array" aca="1" ref="BL60" ca="1">IF(TblConstr[[#This Row],[Hour]:[Hour]]&gt;12,OFFSET(TblConstr[[#This Row],[Tow]],-12,0),0)+OFFSET(TblConstr[[#This Row],[Tot Tow]],-1,0)-TblConstr[[#This Row],[Dest Tow]]</f>
        <v>0</v>
      </c>
      <c r="BM60" s="400" cm="1">
        <f t="array" aca="1" ref="BM60" ca="1">IF(TblConstr[[#This Row],[Hour]:[Hour]]&gt;12,OFFSET(TblConstr[[#This Row],[Tem]],-12,0),0)+OFFSET(TblConstr[[#This Row],[Tot Tem]],-1,0)-TblConstr[[#This Row],[Dest Tem]]</f>
        <v>0</v>
      </c>
      <c r="BN60" s="400" cm="1">
        <f t="array" aca="1" ref="BN60" ca="1">IF(TblConstr[[#This Row],[Hour]:[Hour]]&gt;12,OFFSET(TblConstr[[#This Row],[WG]],-12,0),0)+OFFSET(TblConstr[[#This Row],[Tot WG]],-1,0)-TblConstr[[#This Row],[Dest WG]]</f>
        <v>0</v>
      </c>
      <c r="BO60" s="199" cm="1">
        <f t="array" aca="1" ref="BO60" ca="1">IF(TblConstr[[#This Row],[Hour]:[Hour]]&gt;12,OFFSET(TblConstr[[#This Row],[DM]],-12,0),0)+OFFSET(TblConstr[[#This Row],[Tot DM]],-1,0)-TblConstr[[#This Row],[Dest DM]]</f>
        <v>0</v>
      </c>
      <c r="BP60" s="199" cm="1">
        <f t="array" aca="1" ref="BP60" ca="1">IF(TblConstr[[#This Row],[Hour]:[Hour]]&gt;12,OFFSET(TblConstr[[#This Row],[Sch]],-12,0),0)+OFFSET(TblConstr[[#This Row],[Tot Sch]],-1,0)-TblConstr[[#This Row],[Dest Sch]]</f>
        <v>0</v>
      </c>
      <c r="BQ60" s="200" cm="1">
        <f t="array" aca="1" ref="BQ60" ca="1">IF(TblConstr[[#This Row],[Hour]:[Hour]]&gt;12,OFFSET(TblConstr[[#This Row],[Doc]],-12,0),0)+OFFSET(TblConstr[[#This Row],[Tot Doc]],-1,0)-TblConstr[[#This Row],[Dest Doc]]</f>
        <v>0</v>
      </c>
      <c r="BR60" s="150"/>
      <c r="BS60" s="162"/>
      <c r="BT60" s="97">
        <f ca="1">TblConstr[[#This Row],[Land]]</f>
        <v>250</v>
      </c>
      <c r="BU60" s="167">
        <f ca="1">TblImps[[#This Row],[Time]]</f>
        <v>44813.083333333198</v>
      </c>
      <c r="BV60" s="150"/>
      <c r="BW60" s="187"/>
      <c r="BX60" s="187"/>
      <c r="BY60" s="187"/>
      <c r="BZ60" s="187"/>
      <c r="CA60" s="187"/>
      <c r="CB60" s="187"/>
      <c r="CC60" s="187"/>
      <c r="CD60" s="187"/>
      <c r="CE60" s="187"/>
      <c r="CF60" s="187"/>
      <c r="CG60" s="187"/>
      <c r="CH60" s="187"/>
      <c r="CI60" s="187"/>
      <c r="CJ60" s="187"/>
      <c r="CK60" s="187"/>
      <c r="CL60" s="187"/>
      <c r="CM60" s="187"/>
      <c r="CN60" s="187"/>
      <c r="CO60" s="187"/>
      <c r="CP60" s="150"/>
      <c r="CQ60" s="189">
        <f ca="1">-SUM(TblConstr[[#This Row],[Alc]:[Mas]])+SUM(TblConstr[[#This Row],[Dest Alc]:[Dest Mas]])+Rezone!L60+IF("Ch_"&amp; home_land=TblConstr[[#Headers],[Ch_Plain]],TblConstr[[#This Row],[Home Land]])+IF(TblConstr[[#This Row],[Hour]:[Hour]]&gt;12,OFFSET(TblExplore[[#This Row],[Plains Explore]],-12,0),0)</f>
        <v>0</v>
      </c>
      <c r="CR60" s="190">
        <f ca="1">-SUM(TblConstr[[#This Row],[Ly]:[Hav]])+SUM(TblConstr[[#This Row],[Dest Ly]:[Dest Hav]]) +Rezone!M60 + IF("Ch_"&amp; home_land=TblConstr[[#Headers],[Ch_Forest]],TblConstr[[#This Row],[Home Land]])+IF(TblConstr[[#This Row],[Hour]:[Hour]]&gt;12,OFFSET(TblExplore[[#This Row],[Forest Explore]],-12,0),0)</f>
        <v>0</v>
      </c>
      <c r="CS60" s="390">
        <f ca="1">-SUM(TblConstr[[#This Row],[OM]:[GN]])+SUM(TblConstr[[#This Row],[Dest OM]:[Dest GN]]) +Rezone!N60 + IF("Ch_"&amp; home_land=TblConstr[[#Headers],[Ch_Mountain]],TblConstr[[#This Row],[Home Land]])+IF(TblConstr[[#This Row],[Hour]:[Hour]]&gt;12,OFFSET(TblExplore[[#This Row],[Mountain Explore]],-12,0),0)</f>
        <v>0</v>
      </c>
      <c r="CT60" s="191">
        <f ca="1">-SUM(TblConstr[[#This Row],[Fac]:[Shr]])+SUM(TblConstr[[#This Row],[Dest Fac]:[Dest Shr]]) +Rezone!O60 + IF("Ch_" &amp; home_land=TblConstr[[#Headers],[Ch_Hill]],TblConstr[[#This Row],[Home Land]])+IF(TblConstr[[#This Row],[Hour]:[Hour]]&gt;12,OFFSET(TblExplore[[#This Row],[Hill Explore]],-12,0),0)</f>
        <v>0</v>
      </c>
      <c r="CU60" s="192">
        <f ca="1">-SUM(TblConstr[[#This Row],[Tow]:[WG]])+SUM(TblConstr[[#This Row],[Dest Tow]:[Dest WG]]) +Rezone!P60 + IF("Ch_" &amp; home_land=TblConstr[[#Headers],[Ch_Swamp]],TblConstr[[#This Row],[Home Land]])+IF(TblConstr[[#This Row],[Hour]:[Hour]]&gt;12,OFFSET(TblExplore[[#This Row],[Swamp Explore]],-12,0),0)</f>
        <v>0</v>
      </c>
      <c r="CV60" s="193">
        <f ca="1" xml:space="preserve"> - SUM(TblConstr[[#This Row],[DM]:[Sch]])+SUM(TblConstr[[#This Row],[Dest DM]:[Dest Sch]]) +Rezone!Q60 + IF("Ch_" &amp; home_land=TblConstr[[#Headers],[Ch_Cavern]],TblConstr[[#This Row],[Home Land]])+IF(TblConstr[[#This Row],[Hour]:[Hour]]&gt;12,OFFSET(TblExplore[[#This Row],[Cavern Explore]],-12,0),0)</f>
        <v>0</v>
      </c>
      <c r="CW60" s="194">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50"/>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83">
        <f>TblRezone[[#This Row],[Hour]]</f>
        <v>58</v>
      </c>
      <c r="B61" s="184">
        <f ca="1">SUM(TblConstr[[#This Row],[Plain]:[Water]])</f>
        <v>160</v>
      </c>
      <c r="C61" s="185">
        <f ca="1">SUM(TblConstr[[#This Row],[Tot Hom]:[Tot Doc]])</f>
        <v>90</v>
      </c>
      <c r="D61" s="185">
        <f t="shared" si="11"/>
        <v>0</v>
      </c>
      <c r="E61" s="186"/>
      <c r="F61" s="62">
        <f ca="1">TblConstr[[#This Row],[Barren]]+TblConstr[[#This Row],[Buildings]]+TblConstr[[#This Row],[Incoming]]</f>
        <v>250</v>
      </c>
      <c r="G61" s="195">
        <f ca="1">OFFSET(TblConstr[[#This Row],[Plain]],-1,0)+TblConstr[[#This Row],[Ch_Plain]]</f>
        <v>40</v>
      </c>
      <c r="H61" s="190">
        <f ca="1">OFFSET(TblConstr[[#This Row],[Forest]],-1,0)+TblConstr[[#This Row],[Ch_Forest]]</f>
        <v>20</v>
      </c>
      <c r="I61" s="390">
        <f ca="1">OFFSET(TblConstr[[#This Row],[Mountain]],-1,0)+TblConstr[[#This Row],[Ch_Mountain]]</f>
        <v>20</v>
      </c>
      <c r="J61" s="394">
        <f ca="1">OFFSET(TblConstr[[#This Row],[Hill]],-1,0)+TblConstr[[#This Row],[Ch_Hill]]</f>
        <v>20</v>
      </c>
      <c r="K61" s="398">
        <f ca="1">OFFSET(TblConstr[[#This Row],[Swamp]],-1,0)+TblConstr[[#This Row],[Ch_Swamp]]</f>
        <v>20</v>
      </c>
      <c r="L61" s="193">
        <f ca="1">OFFSET(TblConstr[[#This Row],[Cavern]],-1,0)+TblConstr[[#This Row],[Ch_Cavern]]</f>
        <v>20</v>
      </c>
      <c r="M61" s="194">
        <f ca="1">OFFSET(TblConstr[[#This Row],[Water]],-1,0)+TblConstr[[#This Row],[Ch_Water]]</f>
        <v>20</v>
      </c>
      <c r="N61" s="388">
        <f>TblRezone[[#This Row],[Hour]]</f>
        <v>58</v>
      </c>
      <c r="O61" s="187"/>
      <c r="P61" s="187"/>
      <c r="Q61" s="187"/>
      <c r="R61" s="187"/>
      <c r="S61" s="187"/>
      <c r="T61" s="187"/>
      <c r="U61" s="187"/>
      <c r="V61" s="187"/>
      <c r="W61" s="187"/>
      <c r="X61" s="187"/>
      <c r="Y61" s="187"/>
      <c r="Z61" s="187"/>
      <c r="AA61" s="187"/>
      <c r="AB61" s="187"/>
      <c r="AC61" s="187"/>
      <c r="AD61" s="187"/>
      <c r="AE61" s="187"/>
      <c r="AF61" s="187"/>
      <c r="AG61" s="187"/>
      <c r="AH61" s="53">
        <f ca="1">TblImps[[#This Row],[Time]]</f>
        <v>44813.124999999862</v>
      </c>
      <c r="AI61" s="188">
        <f ca="1">MIN(25%,(TblConstr[[#This Row],[Tot Fac]]+TblConstr[[#This Row],[Dest Fac]])/(TblConstr[[#This Row],[Land]]-TblExplore[[#This Row],[Land Bonus]]*20))</f>
        <v>0</v>
      </c>
      <c r="AJ61" s="188">
        <f ca="1">MIN(25%,(TblConstr[[#This Row],[Tot Fac]]+TblConstr[[#This Row],[Dest Fac]])/TblConstr[[#This Row],[Land]])</f>
        <v>0</v>
      </c>
      <c r="AK61" s="97">
        <f ca="1">TblProd[[#This Row],[Platinum]]</f>
        <v>413580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50"/>
      <c r="AV61" s="97">
        <f ca="1">ROUND((TblConstr[[#This Row],[Land]]-250 - IF(TblExplore[[#This Row],[Land Bonus]]&lt;&gt;0,20,0))*1.25 + 850 + 0,0)</f>
        <v>850</v>
      </c>
      <c r="AW61" s="97">
        <f ca="1">ROUND((TblConstr[[#This Row],[Land]]-250 - IF(TblExplore[[#This Row],[Land Bonus]]&lt;&gt;0,20,0))*0.285 + 87.5 + 0/4.25,0)</f>
        <v>88</v>
      </c>
      <c r="AX61" s="162"/>
      <c r="AY61" s="196" cm="1">
        <f t="array" aca="1" ref="AY61" ca="1">IF(TblConstr[[#This Row],[Hour]:[Hour]]&gt;12,OFFSET(TblConstr[[#This Row],[Hom]],-12,0),0)+OFFSET(TblConstr[[#This Row],[Tot Hom]],-1,0)-TblConstr[[#This Row],[Dest Hom]]</f>
        <v>10</v>
      </c>
      <c r="AZ61" s="197" cm="1">
        <f t="array" aca="1" ref="AZ61" ca="1">IF(TblConstr[[#This Row],[Hour]:[Hour]]&gt;12,OFFSET(TblConstr[[#This Row],[Alc]],-12,0),0)+OFFSET(TblConstr[[#This Row],[Tot Alc]],-1,0)-TblConstr[[#This Row],[Dest Alc]]</f>
        <v>30</v>
      </c>
      <c r="BA61" s="197" cm="1">
        <f t="array" aca="1" ref="BA61" ca="1">IF(TblConstr[[#This Row],[Hour]:[Hour]]&gt;12,OFFSET(TblConstr[[#This Row],[Far]],-12,0),0)+OFFSET(TblConstr[[#This Row],[Tot Farm]],-1,0)-TblConstr[[#This Row],[Dest Farm]]</f>
        <v>30</v>
      </c>
      <c r="BB61" s="197" cm="1">
        <f t="array" aca="1" ref="BB61" ca="1">IF(TblConstr[[#This Row],[Hour]:[Hour]]&gt;12,OFFSET(TblConstr[[#This Row],[Smi]],-12,0),0)+OFFSET(TblConstr[[#This Row],[Tot Smi]],-1,0)-TblConstr[[#This Row],[Dest Smi]]</f>
        <v>0</v>
      </c>
      <c r="BC61" s="197" cm="1">
        <f t="array" aca="1" ref="BC61" ca="1">IF(TblConstr[[#This Row],[Hour]:[Hour]]&gt;12,OFFSET(TblConstr[[#This Row],[Mas]],-12,0),0)+OFFSET(TblConstr[[#This Row],[Tot Mas]],-1,0)-TblConstr[[#This Row],[Dest Mas]]</f>
        <v>0</v>
      </c>
      <c r="BD61" s="198" cm="1">
        <f t="array" aca="1" ref="BD61" ca="1">IF(TblConstr[[#This Row],[Hour]:[Hour]]&gt;12,OFFSET(TblConstr[[#This Row],[Ly]],-12,0),0)+OFFSET(TblConstr[[#This Row],[Tot Ly]],-1,0)-TblConstr[[#This Row],[Dest Ly]]</f>
        <v>20</v>
      </c>
      <c r="BE61" s="198" cm="1">
        <f t="array" aca="1" ref="BE61" ca="1">IF(TblConstr[[#This Row],[Hour]:[Hour]]&gt;12,OFFSET(TblConstr[[#This Row],[Hav]],-12,0),0)+OFFSET(TblConstr[[#This Row],[Tot Hav]],-1,0)-TblConstr[[#This Row],[Dest Hav]]</f>
        <v>0</v>
      </c>
      <c r="BF61" s="392" cm="1">
        <f t="array" aca="1" ref="BF61" ca="1">IF(TblConstr[[#This Row],[Hour]:[Hour]]&gt;12,OFFSET(TblConstr[[#This Row],[OM]],-12,0),0)+OFFSET(TblConstr[[#This Row],[Tot OM]],-1,0)-TblConstr[[#This Row],[Dest OM]]</f>
        <v>0</v>
      </c>
      <c r="BG61" s="392" cm="1">
        <f t="array" aca="1" ref="BG61" ca="1">IF(TblConstr[[#This Row],[Hour]:[Hour]]&gt;12,OFFSET(TblConstr[[#This Row],[GN]],-12,0),0)+OFFSET(TblConstr[[#This Row],[Tot GN]],-1,0)-TblConstr[[#This Row],[Dest GN]]</f>
        <v>0</v>
      </c>
      <c r="BH61" s="396" cm="1">
        <f t="array" aca="1" ref="BH61" ca="1">IF(TblConstr[[#This Row],[Hour]:[Hour]]&gt;12,OFFSET(TblConstr[[#This Row],[Fac]],-12,0),0)+OFFSET(TblConstr[[#This Row],[Tot Fac]],-1,0)-TblConstr[[#This Row],[Dest Fac]]</f>
        <v>0</v>
      </c>
      <c r="BI61" s="396" cm="1">
        <f t="array" aca="1" ref="BI61" ca="1">IF(TblConstr[[#This Row],[Hour]:[Hour]]&gt;12,OFFSET(TblConstr[[#This Row],[GT]],-12,0),0)+OFFSET(TblConstr[[#This Row],[Tot GT]],-1,0)-TblConstr[[#This Row],[Dest GT]]</f>
        <v>0</v>
      </c>
      <c r="BJ61" s="396" cm="1">
        <f t="array" aca="1" ref="BJ61" ca="1">IF(TblConstr[[#This Row],[Hour]:[Hour]]&gt;12,OFFSET(TblConstr[[#This Row],[Bar]],-12,0),0)+OFFSET(TblConstr[[#This Row],[Tot Bar]],-1,0)-TblConstr[[#This Row],[Dest Bar]]</f>
        <v>0</v>
      </c>
      <c r="BK61" s="396" cm="1">
        <f t="array" aca="1" ref="BK61" ca="1">IF(TblConstr[[#This Row],[Hour]:[Hour]]&gt;12,OFFSET(TblConstr[[#This Row],[Shr]],-12,0),0)+OFFSET(TblConstr[[#This Row],[Tot Shr]],-1,0)-TblConstr[[#This Row],[Dest Shr]]</f>
        <v>0</v>
      </c>
      <c r="BL61" s="400" cm="1">
        <f t="array" aca="1" ref="BL61" ca="1">IF(TblConstr[[#This Row],[Hour]:[Hour]]&gt;12,OFFSET(TblConstr[[#This Row],[Tow]],-12,0),0)+OFFSET(TblConstr[[#This Row],[Tot Tow]],-1,0)-TblConstr[[#This Row],[Dest Tow]]</f>
        <v>0</v>
      </c>
      <c r="BM61" s="400" cm="1">
        <f t="array" aca="1" ref="BM61" ca="1">IF(TblConstr[[#This Row],[Hour]:[Hour]]&gt;12,OFFSET(TblConstr[[#This Row],[Tem]],-12,0),0)+OFFSET(TblConstr[[#This Row],[Tot Tem]],-1,0)-TblConstr[[#This Row],[Dest Tem]]</f>
        <v>0</v>
      </c>
      <c r="BN61" s="400" cm="1">
        <f t="array" aca="1" ref="BN61" ca="1">IF(TblConstr[[#This Row],[Hour]:[Hour]]&gt;12,OFFSET(TblConstr[[#This Row],[WG]],-12,0),0)+OFFSET(TblConstr[[#This Row],[Tot WG]],-1,0)-TblConstr[[#This Row],[Dest WG]]</f>
        <v>0</v>
      </c>
      <c r="BO61" s="199" cm="1">
        <f t="array" aca="1" ref="BO61" ca="1">IF(TblConstr[[#This Row],[Hour]:[Hour]]&gt;12,OFFSET(TblConstr[[#This Row],[DM]],-12,0),0)+OFFSET(TblConstr[[#This Row],[Tot DM]],-1,0)-TblConstr[[#This Row],[Dest DM]]</f>
        <v>0</v>
      </c>
      <c r="BP61" s="199" cm="1">
        <f t="array" aca="1" ref="BP61" ca="1">IF(TblConstr[[#This Row],[Hour]:[Hour]]&gt;12,OFFSET(TblConstr[[#This Row],[Sch]],-12,0),0)+OFFSET(TblConstr[[#This Row],[Tot Sch]],-1,0)-TblConstr[[#This Row],[Dest Sch]]</f>
        <v>0</v>
      </c>
      <c r="BQ61" s="200" cm="1">
        <f t="array" aca="1" ref="BQ61" ca="1">IF(TblConstr[[#This Row],[Hour]:[Hour]]&gt;12,OFFSET(TblConstr[[#This Row],[Doc]],-12,0),0)+OFFSET(TblConstr[[#This Row],[Tot Doc]],-1,0)-TblConstr[[#This Row],[Dest Doc]]</f>
        <v>0</v>
      </c>
      <c r="BR61" s="150"/>
      <c r="BS61" s="162"/>
      <c r="BT61" s="97">
        <f ca="1">TblConstr[[#This Row],[Land]]</f>
        <v>250</v>
      </c>
      <c r="BU61" s="167">
        <f ca="1">TblImps[[#This Row],[Time]]</f>
        <v>44813.124999999862</v>
      </c>
      <c r="BV61" s="150"/>
      <c r="BW61" s="187"/>
      <c r="BX61" s="187"/>
      <c r="BY61" s="187"/>
      <c r="BZ61" s="187"/>
      <c r="CA61" s="187"/>
      <c r="CB61" s="187"/>
      <c r="CC61" s="187"/>
      <c r="CD61" s="187"/>
      <c r="CE61" s="187"/>
      <c r="CF61" s="187"/>
      <c r="CG61" s="187"/>
      <c r="CH61" s="187"/>
      <c r="CI61" s="187"/>
      <c r="CJ61" s="187"/>
      <c r="CK61" s="187"/>
      <c r="CL61" s="187"/>
      <c r="CM61" s="187"/>
      <c r="CN61" s="187"/>
      <c r="CO61" s="187"/>
      <c r="CP61" s="150"/>
      <c r="CQ61" s="189">
        <f ca="1">-SUM(TblConstr[[#This Row],[Alc]:[Mas]])+SUM(TblConstr[[#This Row],[Dest Alc]:[Dest Mas]])+Rezone!L61+IF("Ch_"&amp; home_land=TblConstr[[#Headers],[Ch_Plain]],TblConstr[[#This Row],[Home Land]])+IF(TblConstr[[#This Row],[Hour]:[Hour]]&gt;12,OFFSET(TblExplore[[#This Row],[Plains Explore]],-12,0),0)</f>
        <v>0</v>
      </c>
      <c r="CR61" s="190">
        <f ca="1">-SUM(TblConstr[[#This Row],[Ly]:[Hav]])+SUM(TblConstr[[#This Row],[Dest Ly]:[Dest Hav]]) +Rezone!M61 + IF("Ch_"&amp; home_land=TblConstr[[#Headers],[Ch_Forest]],TblConstr[[#This Row],[Home Land]])+IF(TblConstr[[#This Row],[Hour]:[Hour]]&gt;12,OFFSET(TblExplore[[#This Row],[Forest Explore]],-12,0),0)</f>
        <v>0</v>
      </c>
      <c r="CS61" s="390">
        <f ca="1">-SUM(TblConstr[[#This Row],[OM]:[GN]])+SUM(TblConstr[[#This Row],[Dest OM]:[Dest GN]]) +Rezone!N61 + IF("Ch_"&amp; home_land=TblConstr[[#Headers],[Ch_Mountain]],TblConstr[[#This Row],[Home Land]])+IF(TblConstr[[#This Row],[Hour]:[Hour]]&gt;12,OFFSET(TblExplore[[#This Row],[Mountain Explore]],-12,0),0)</f>
        <v>0</v>
      </c>
      <c r="CT61" s="191">
        <f ca="1">-SUM(TblConstr[[#This Row],[Fac]:[Shr]])+SUM(TblConstr[[#This Row],[Dest Fac]:[Dest Shr]]) +Rezone!O61 + IF("Ch_" &amp; home_land=TblConstr[[#Headers],[Ch_Hill]],TblConstr[[#This Row],[Home Land]])+IF(TblConstr[[#This Row],[Hour]:[Hour]]&gt;12,OFFSET(TblExplore[[#This Row],[Hill Explore]],-12,0),0)</f>
        <v>0</v>
      </c>
      <c r="CU61" s="192">
        <f ca="1">-SUM(TblConstr[[#This Row],[Tow]:[WG]])+SUM(TblConstr[[#This Row],[Dest Tow]:[Dest WG]]) +Rezone!P61 + IF("Ch_" &amp; home_land=TblConstr[[#Headers],[Ch_Swamp]],TblConstr[[#This Row],[Home Land]])+IF(TblConstr[[#This Row],[Hour]:[Hour]]&gt;12,OFFSET(TblExplore[[#This Row],[Swamp Explore]],-12,0),0)</f>
        <v>0</v>
      </c>
      <c r="CV61" s="193">
        <f ca="1" xml:space="preserve"> - SUM(TblConstr[[#This Row],[DM]:[Sch]])+SUM(TblConstr[[#This Row],[Dest DM]:[Dest Sch]]) +Rezone!Q61 + IF("Ch_" &amp; home_land=TblConstr[[#Headers],[Ch_Cavern]],TblConstr[[#This Row],[Home Land]])+IF(TblConstr[[#This Row],[Hour]:[Hour]]&gt;12,OFFSET(TblExplore[[#This Row],[Cavern Explore]],-12,0),0)</f>
        <v>0</v>
      </c>
      <c r="CW61" s="194">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50"/>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83">
        <f>TblRezone[[#This Row],[Hour]]</f>
        <v>59</v>
      </c>
      <c r="B62" s="184">
        <f ca="1">SUM(TblConstr[[#This Row],[Plain]:[Water]])</f>
        <v>160</v>
      </c>
      <c r="C62" s="185">
        <f ca="1">SUM(TblConstr[[#This Row],[Tot Hom]:[Tot Doc]])</f>
        <v>90</v>
      </c>
      <c r="D62" s="185">
        <f t="shared" si="11"/>
        <v>0</v>
      </c>
      <c r="E62" s="186"/>
      <c r="F62" s="62">
        <f ca="1">TblConstr[[#This Row],[Barren]]+TblConstr[[#This Row],[Buildings]]+TblConstr[[#This Row],[Incoming]]</f>
        <v>250</v>
      </c>
      <c r="G62" s="195">
        <f ca="1">OFFSET(TblConstr[[#This Row],[Plain]],-1,0)+TblConstr[[#This Row],[Ch_Plain]]</f>
        <v>40</v>
      </c>
      <c r="H62" s="190">
        <f ca="1">OFFSET(TblConstr[[#This Row],[Forest]],-1,0)+TblConstr[[#This Row],[Ch_Forest]]</f>
        <v>20</v>
      </c>
      <c r="I62" s="390">
        <f ca="1">OFFSET(TblConstr[[#This Row],[Mountain]],-1,0)+TblConstr[[#This Row],[Ch_Mountain]]</f>
        <v>20</v>
      </c>
      <c r="J62" s="394">
        <f ca="1">OFFSET(TblConstr[[#This Row],[Hill]],-1,0)+TblConstr[[#This Row],[Ch_Hill]]</f>
        <v>20</v>
      </c>
      <c r="K62" s="398">
        <f ca="1">OFFSET(TblConstr[[#This Row],[Swamp]],-1,0)+TblConstr[[#This Row],[Ch_Swamp]]</f>
        <v>20</v>
      </c>
      <c r="L62" s="193">
        <f ca="1">OFFSET(TblConstr[[#This Row],[Cavern]],-1,0)+TblConstr[[#This Row],[Ch_Cavern]]</f>
        <v>20</v>
      </c>
      <c r="M62" s="194">
        <f ca="1">OFFSET(TblConstr[[#This Row],[Water]],-1,0)+TblConstr[[#This Row],[Ch_Water]]</f>
        <v>20</v>
      </c>
      <c r="N62" s="388">
        <f>TblRezone[[#This Row],[Hour]]</f>
        <v>59</v>
      </c>
      <c r="O62" s="187"/>
      <c r="P62" s="187"/>
      <c r="Q62" s="187"/>
      <c r="R62" s="187"/>
      <c r="S62" s="187"/>
      <c r="T62" s="187"/>
      <c r="U62" s="187"/>
      <c r="V62" s="187"/>
      <c r="W62" s="187"/>
      <c r="X62" s="187"/>
      <c r="Y62" s="187"/>
      <c r="Z62" s="187"/>
      <c r="AA62" s="187"/>
      <c r="AB62" s="187"/>
      <c r="AC62" s="187"/>
      <c r="AD62" s="187"/>
      <c r="AE62" s="187"/>
      <c r="AF62" s="187"/>
      <c r="AG62" s="187"/>
      <c r="AH62" s="53">
        <f ca="1">TblImps[[#This Row],[Time]]</f>
        <v>44813.166666666526</v>
      </c>
      <c r="AI62" s="188">
        <f ca="1">MIN(25%,(TblConstr[[#This Row],[Tot Fac]]+TblConstr[[#This Row],[Dest Fac]])/(TblConstr[[#This Row],[Land]]-TblExplore[[#This Row],[Land Bonus]]*20))</f>
        <v>0</v>
      </c>
      <c r="AJ62" s="188">
        <f ca="1">MIN(25%,(TblConstr[[#This Row],[Tot Fac]]+TblConstr[[#This Row],[Dest Fac]])/TblConstr[[#This Row],[Land]])</f>
        <v>0</v>
      </c>
      <c r="AK62" s="97">
        <f ca="1">TblProd[[#This Row],[Platinum]]</f>
        <v>419066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50"/>
      <c r="AV62" s="97">
        <f ca="1">ROUND((TblConstr[[#This Row],[Land]]-250 - IF(TblExplore[[#This Row],[Land Bonus]]&lt;&gt;0,20,0))*1.25 + 850 + 0,0)</f>
        <v>850</v>
      </c>
      <c r="AW62" s="97">
        <f ca="1">ROUND((TblConstr[[#This Row],[Land]]-250 - IF(TblExplore[[#This Row],[Land Bonus]]&lt;&gt;0,20,0))*0.285 + 87.5 + 0/4.25,0)</f>
        <v>88</v>
      </c>
      <c r="AX62" s="162"/>
      <c r="AY62" s="196" cm="1">
        <f t="array" aca="1" ref="AY62" ca="1">IF(TblConstr[[#This Row],[Hour]:[Hour]]&gt;12,OFFSET(TblConstr[[#This Row],[Hom]],-12,0),0)+OFFSET(TblConstr[[#This Row],[Tot Hom]],-1,0)-TblConstr[[#This Row],[Dest Hom]]</f>
        <v>10</v>
      </c>
      <c r="AZ62" s="197" cm="1">
        <f t="array" aca="1" ref="AZ62" ca="1">IF(TblConstr[[#This Row],[Hour]:[Hour]]&gt;12,OFFSET(TblConstr[[#This Row],[Alc]],-12,0),0)+OFFSET(TblConstr[[#This Row],[Tot Alc]],-1,0)-TblConstr[[#This Row],[Dest Alc]]</f>
        <v>30</v>
      </c>
      <c r="BA62" s="197" cm="1">
        <f t="array" aca="1" ref="BA62" ca="1">IF(TblConstr[[#This Row],[Hour]:[Hour]]&gt;12,OFFSET(TblConstr[[#This Row],[Far]],-12,0),0)+OFFSET(TblConstr[[#This Row],[Tot Farm]],-1,0)-TblConstr[[#This Row],[Dest Farm]]</f>
        <v>30</v>
      </c>
      <c r="BB62" s="197" cm="1">
        <f t="array" aca="1" ref="BB62" ca="1">IF(TblConstr[[#This Row],[Hour]:[Hour]]&gt;12,OFFSET(TblConstr[[#This Row],[Smi]],-12,0),0)+OFFSET(TblConstr[[#This Row],[Tot Smi]],-1,0)-TblConstr[[#This Row],[Dest Smi]]</f>
        <v>0</v>
      </c>
      <c r="BC62" s="197" cm="1">
        <f t="array" aca="1" ref="BC62" ca="1">IF(TblConstr[[#This Row],[Hour]:[Hour]]&gt;12,OFFSET(TblConstr[[#This Row],[Mas]],-12,0),0)+OFFSET(TblConstr[[#This Row],[Tot Mas]],-1,0)-TblConstr[[#This Row],[Dest Mas]]</f>
        <v>0</v>
      </c>
      <c r="BD62" s="198" cm="1">
        <f t="array" aca="1" ref="BD62" ca="1">IF(TblConstr[[#This Row],[Hour]:[Hour]]&gt;12,OFFSET(TblConstr[[#This Row],[Ly]],-12,0),0)+OFFSET(TblConstr[[#This Row],[Tot Ly]],-1,0)-TblConstr[[#This Row],[Dest Ly]]</f>
        <v>20</v>
      </c>
      <c r="BE62" s="198" cm="1">
        <f t="array" aca="1" ref="BE62" ca="1">IF(TblConstr[[#This Row],[Hour]:[Hour]]&gt;12,OFFSET(TblConstr[[#This Row],[Hav]],-12,0),0)+OFFSET(TblConstr[[#This Row],[Tot Hav]],-1,0)-TblConstr[[#This Row],[Dest Hav]]</f>
        <v>0</v>
      </c>
      <c r="BF62" s="392" cm="1">
        <f t="array" aca="1" ref="BF62" ca="1">IF(TblConstr[[#This Row],[Hour]:[Hour]]&gt;12,OFFSET(TblConstr[[#This Row],[OM]],-12,0),0)+OFFSET(TblConstr[[#This Row],[Tot OM]],-1,0)-TblConstr[[#This Row],[Dest OM]]</f>
        <v>0</v>
      </c>
      <c r="BG62" s="392" cm="1">
        <f t="array" aca="1" ref="BG62" ca="1">IF(TblConstr[[#This Row],[Hour]:[Hour]]&gt;12,OFFSET(TblConstr[[#This Row],[GN]],-12,0),0)+OFFSET(TblConstr[[#This Row],[Tot GN]],-1,0)-TblConstr[[#This Row],[Dest GN]]</f>
        <v>0</v>
      </c>
      <c r="BH62" s="396" cm="1">
        <f t="array" aca="1" ref="BH62" ca="1">IF(TblConstr[[#This Row],[Hour]:[Hour]]&gt;12,OFFSET(TblConstr[[#This Row],[Fac]],-12,0),0)+OFFSET(TblConstr[[#This Row],[Tot Fac]],-1,0)-TblConstr[[#This Row],[Dest Fac]]</f>
        <v>0</v>
      </c>
      <c r="BI62" s="396" cm="1">
        <f t="array" aca="1" ref="BI62" ca="1">IF(TblConstr[[#This Row],[Hour]:[Hour]]&gt;12,OFFSET(TblConstr[[#This Row],[GT]],-12,0),0)+OFFSET(TblConstr[[#This Row],[Tot GT]],-1,0)-TblConstr[[#This Row],[Dest GT]]</f>
        <v>0</v>
      </c>
      <c r="BJ62" s="396" cm="1">
        <f t="array" aca="1" ref="BJ62" ca="1">IF(TblConstr[[#This Row],[Hour]:[Hour]]&gt;12,OFFSET(TblConstr[[#This Row],[Bar]],-12,0),0)+OFFSET(TblConstr[[#This Row],[Tot Bar]],-1,0)-TblConstr[[#This Row],[Dest Bar]]</f>
        <v>0</v>
      </c>
      <c r="BK62" s="396" cm="1">
        <f t="array" aca="1" ref="BK62" ca="1">IF(TblConstr[[#This Row],[Hour]:[Hour]]&gt;12,OFFSET(TblConstr[[#This Row],[Shr]],-12,0),0)+OFFSET(TblConstr[[#This Row],[Tot Shr]],-1,0)-TblConstr[[#This Row],[Dest Shr]]</f>
        <v>0</v>
      </c>
      <c r="BL62" s="400" cm="1">
        <f t="array" aca="1" ref="BL62" ca="1">IF(TblConstr[[#This Row],[Hour]:[Hour]]&gt;12,OFFSET(TblConstr[[#This Row],[Tow]],-12,0),0)+OFFSET(TblConstr[[#This Row],[Tot Tow]],-1,0)-TblConstr[[#This Row],[Dest Tow]]</f>
        <v>0</v>
      </c>
      <c r="BM62" s="400" cm="1">
        <f t="array" aca="1" ref="BM62" ca="1">IF(TblConstr[[#This Row],[Hour]:[Hour]]&gt;12,OFFSET(TblConstr[[#This Row],[Tem]],-12,0),0)+OFFSET(TblConstr[[#This Row],[Tot Tem]],-1,0)-TblConstr[[#This Row],[Dest Tem]]</f>
        <v>0</v>
      </c>
      <c r="BN62" s="400" cm="1">
        <f t="array" aca="1" ref="BN62" ca="1">IF(TblConstr[[#This Row],[Hour]:[Hour]]&gt;12,OFFSET(TblConstr[[#This Row],[WG]],-12,0),0)+OFFSET(TblConstr[[#This Row],[Tot WG]],-1,0)-TblConstr[[#This Row],[Dest WG]]</f>
        <v>0</v>
      </c>
      <c r="BO62" s="199" cm="1">
        <f t="array" aca="1" ref="BO62" ca="1">IF(TblConstr[[#This Row],[Hour]:[Hour]]&gt;12,OFFSET(TblConstr[[#This Row],[DM]],-12,0),0)+OFFSET(TblConstr[[#This Row],[Tot DM]],-1,0)-TblConstr[[#This Row],[Dest DM]]</f>
        <v>0</v>
      </c>
      <c r="BP62" s="199" cm="1">
        <f t="array" aca="1" ref="BP62" ca="1">IF(TblConstr[[#This Row],[Hour]:[Hour]]&gt;12,OFFSET(TblConstr[[#This Row],[Sch]],-12,0),0)+OFFSET(TblConstr[[#This Row],[Tot Sch]],-1,0)-TblConstr[[#This Row],[Dest Sch]]</f>
        <v>0</v>
      </c>
      <c r="BQ62" s="200" cm="1">
        <f t="array" aca="1" ref="BQ62" ca="1">IF(TblConstr[[#This Row],[Hour]:[Hour]]&gt;12,OFFSET(TblConstr[[#This Row],[Doc]],-12,0),0)+OFFSET(TblConstr[[#This Row],[Tot Doc]],-1,0)-TblConstr[[#This Row],[Dest Doc]]</f>
        <v>0</v>
      </c>
      <c r="BR62" s="150"/>
      <c r="BS62" s="162"/>
      <c r="BT62" s="97">
        <f ca="1">TblConstr[[#This Row],[Land]]</f>
        <v>250</v>
      </c>
      <c r="BU62" s="167">
        <f ca="1">TblImps[[#This Row],[Time]]</f>
        <v>44813.166666666526</v>
      </c>
      <c r="BV62" s="150"/>
      <c r="BW62" s="187"/>
      <c r="BX62" s="187"/>
      <c r="BY62" s="187"/>
      <c r="BZ62" s="187"/>
      <c r="CA62" s="187"/>
      <c r="CB62" s="187"/>
      <c r="CC62" s="187"/>
      <c r="CD62" s="187"/>
      <c r="CE62" s="187"/>
      <c r="CF62" s="187"/>
      <c r="CG62" s="187"/>
      <c r="CH62" s="187"/>
      <c r="CI62" s="187"/>
      <c r="CJ62" s="187"/>
      <c r="CK62" s="187"/>
      <c r="CL62" s="187"/>
      <c r="CM62" s="187"/>
      <c r="CN62" s="187"/>
      <c r="CO62" s="187"/>
      <c r="CP62" s="150"/>
      <c r="CQ62" s="189">
        <f ca="1">-SUM(TblConstr[[#This Row],[Alc]:[Mas]])+SUM(TblConstr[[#This Row],[Dest Alc]:[Dest Mas]])+Rezone!L62+IF("Ch_"&amp; home_land=TblConstr[[#Headers],[Ch_Plain]],TblConstr[[#This Row],[Home Land]])+IF(TblConstr[[#This Row],[Hour]:[Hour]]&gt;12,OFFSET(TblExplore[[#This Row],[Plains Explore]],-12,0),0)</f>
        <v>0</v>
      </c>
      <c r="CR62" s="190">
        <f ca="1">-SUM(TblConstr[[#This Row],[Ly]:[Hav]])+SUM(TblConstr[[#This Row],[Dest Ly]:[Dest Hav]]) +Rezone!M62 + IF("Ch_"&amp; home_land=TblConstr[[#Headers],[Ch_Forest]],TblConstr[[#This Row],[Home Land]])+IF(TblConstr[[#This Row],[Hour]:[Hour]]&gt;12,OFFSET(TblExplore[[#This Row],[Forest Explore]],-12,0),0)</f>
        <v>0</v>
      </c>
      <c r="CS62" s="390">
        <f ca="1">-SUM(TblConstr[[#This Row],[OM]:[GN]])+SUM(TblConstr[[#This Row],[Dest OM]:[Dest GN]]) +Rezone!N62 + IF("Ch_"&amp; home_land=TblConstr[[#Headers],[Ch_Mountain]],TblConstr[[#This Row],[Home Land]])+IF(TblConstr[[#This Row],[Hour]:[Hour]]&gt;12,OFFSET(TblExplore[[#This Row],[Mountain Explore]],-12,0),0)</f>
        <v>0</v>
      </c>
      <c r="CT62" s="191">
        <f ca="1">-SUM(TblConstr[[#This Row],[Fac]:[Shr]])+SUM(TblConstr[[#This Row],[Dest Fac]:[Dest Shr]]) +Rezone!O62 + IF("Ch_" &amp; home_land=TblConstr[[#Headers],[Ch_Hill]],TblConstr[[#This Row],[Home Land]])+IF(TblConstr[[#This Row],[Hour]:[Hour]]&gt;12,OFFSET(TblExplore[[#This Row],[Hill Explore]],-12,0),0)</f>
        <v>0</v>
      </c>
      <c r="CU62" s="192">
        <f ca="1">-SUM(TblConstr[[#This Row],[Tow]:[WG]])+SUM(TblConstr[[#This Row],[Dest Tow]:[Dest WG]]) +Rezone!P62 + IF("Ch_" &amp; home_land=TblConstr[[#Headers],[Ch_Swamp]],TblConstr[[#This Row],[Home Land]])+IF(TblConstr[[#This Row],[Hour]:[Hour]]&gt;12,OFFSET(TblExplore[[#This Row],[Swamp Explore]],-12,0),0)</f>
        <v>0</v>
      </c>
      <c r="CV62" s="193">
        <f ca="1" xml:space="preserve"> - SUM(TblConstr[[#This Row],[DM]:[Sch]])+SUM(TblConstr[[#This Row],[Dest DM]:[Dest Sch]]) +Rezone!Q62 + IF("Ch_" &amp; home_land=TblConstr[[#Headers],[Ch_Cavern]],TblConstr[[#This Row],[Home Land]])+IF(TblConstr[[#This Row],[Hour]:[Hour]]&gt;12,OFFSET(TblExplore[[#This Row],[Cavern Explore]],-12,0),0)</f>
        <v>0</v>
      </c>
      <c r="CW62" s="194">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50"/>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83">
        <f>TblRezone[[#This Row],[Hour]]</f>
        <v>60</v>
      </c>
      <c r="B63" s="184">
        <f ca="1">SUM(TblConstr[[#This Row],[Plain]:[Water]])</f>
        <v>160</v>
      </c>
      <c r="C63" s="185">
        <f ca="1">SUM(TblConstr[[#This Row],[Tot Hom]:[Tot Doc]])</f>
        <v>90</v>
      </c>
      <c r="D63" s="185">
        <f t="shared" si="11"/>
        <v>0</v>
      </c>
      <c r="E63" s="186"/>
      <c r="F63" s="62">
        <f ca="1">TblConstr[[#This Row],[Barren]]+TblConstr[[#This Row],[Buildings]]+TblConstr[[#This Row],[Incoming]]</f>
        <v>250</v>
      </c>
      <c r="G63" s="195">
        <f ca="1">OFFSET(TblConstr[[#This Row],[Plain]],-1,0)+TblConstr[[#This Row],[Ch_Plain]]</f>
        <v>40</v>
      </c>
      <c r="H63" s="190">
        <f ca="1">OFFSET(TblConstr[[#This Row],[Forest]],-1,0)+TblConstr[[#This Row],[Ch_Forest]]</f>
        <v>20</v>
      </c>
      <c r="I63" s="390">
        <f ca="1">OFFSET(TblConstr[[#This Row],[Mountain]],-1,0)+TblConstr[[#This Row],[Ch_Mountain]]</f>
        <v>20</v>
      </c>
      <c r="J63" s="394">
        <f ca="1">OFFSET(TblConstr[[#This Row],[Hill]],-1,0)+TblConstr[[#This Row],[Ch_Hill]]</f>
        <v>20</v>
      </c>
      <c r="K63" s="398">
        <f ca="1">OFFSET(TblConstr[[#This Row],[Swamp]],-1,0)+TblConstr[[#This Row],[Ch_Swamp]]</f>
        <v>20</v>
      </c>
      <c r="L63" s="193">
        <f ca="1">OFFSET(TblConstr[[#This Row],[Cavern]],-1,0)+TblConstr[[#This Row],[Ch_Cavern]]</f>
        <v>20</v>
      </c>
      <c r="M63" s="194">
        <f ca="1">OFFSET(TblConstr[[#This Row],[Water]],-1,0)+TblConstr[[#This Row],[Ch_Water]]</f>
        <v>20</v>
      </c>
      <c r="N63" s="388">
        <f>TblRezone[[#This Row],[Hour]]</f>
        <v>60</v>
      </c>
      <c r="O63" s="187"/>
      <c r="P63" s="187"/>
      <c r="Q63" s="187"/>
      <c r="R63" s="187"/>
      <c r="S63" s="187"/>
      <c r="T63" s="187"/>
      <c r="U63" s="187"/>
      <c r="V63" s="187"/>
      <c r="W63" s="187"/>
      <c r="X63" s="187"/>
      <c r="Y63" s="187"/>
      <c r="Z63" s="187"/>
      <c r="AA63" s="187"/>
      <c r="AB63" s="187"/>
      <c r="AC63" s="187"/>
      <c r="AD63" s="187"/>
      <c r="AE63" s="187"/>
      <c r="AF63" s="187"/>
      <c r="AG63" s="187"/>
      <c r="AH63" s="53">
        <f ca="1">TblImps[[#This Row],[Time]]</f>
        <v>44813.20833333319</v>
      </c>
      <c r="AI63" s="188">
        <f ca="1">MIN(25%,(TblConstr[[#This Row],[Tot Fac]]+TblConstr[[#This Row],[Dest Fac]])/(TblConstr[[#This Row],[Land]]-TblExplore[[#This Row],[Land Bonus]]*20))</f>
        <v>0</v>
      </c>
      <c r="AJ63" s="188">
        <f ca="1">MIN(25%,(TblConstr[[#This Row],[Tot Fac]]+TblConstr[[#This Row],[Dest Fac]])/TblConstr[[#This Row],[Land]])</f>
        <v>0</v>
      </c>
      <c r="AK63" s="97">
        <f ca="1">TblProd[[#This Row],[Platinum]]</f>
        <v>424552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50"/>
      <c r="AV63" s="97">
        <f ca="1">ROUND((TblConstr[[#This Row],[Land]]-250 - IF(TblExplore[[#This Row],[Land Bonus]]&lt;&gt;0,20,0))*1.25 + 850 + 0,0)</f>
        <v>850</v>
      </c>
      <c r="AW63" s="97">
        <f ca="1">ROUND((TblConstr[[#This Row],[Land]]-250 - IF(TblExplore[[#This Row],[Land Bonus]]&lt;&gt;0,20,0))*0.285 + 87.5 + 0/4.25,0)</f>
        <v>88</v>
      </c>
      <c r="AX63" s="162"/>
      <c r="AY63" s="196" cm="1">
        <f t="array" aca="1" ref="AY63" ca="1">IF(TblConstr[[#This Row],[Hour]:[Hour]]&gt;12,OFFSET(TblConstr[[#This Row],[Hom]],-12,0),0)+OFFSET(TblConstr[[#This Row],[Tot Hom]],-1,0)-TblConstr[[#This Row],[Dest Hom]]</f>
        <v>10</v>
      </c>
      <c r="AZ63" s="197" cm="1">
        <f t="array" aca="1" ref="AZ63" ca="1">IF(TblConstr[[#This Row],[Hour]:[Hour]]&gt;12,OFFSET(TblConstr[[#This Row],[Alc]],-12,0),0)+OFFSET(TblConstr[[#This Row],[Tot Alc]],-1,0)-TblConstr[[#This Row],[Dest Alc]]</f>
        <v>30</v>
      </c>
      <c r="BA63" s="197" cm="1">
        <f t="array" aca="1" ref="BA63" ca="1">IF(TblConstr[[#This Row],[Hour]:[Hour]]&gt;12,OFFSET(TblConstr[[#This Row],[Far]],-12,0),0)+OFFSET(TblConstr[[#This Row],[Tot Farm]],-1,0)-TblConstr[[#This Row],[Dest Farm]]</f>
        <v>30</v>
      </c>
      <c r="BB63" s="197" cm="1">
        <f t="array" aca="1" ref="BB63" ca="1">IF(TblConstr[[#This Row],[Hour]:[Hour]]&gt;12,OFFSET(TblConstr[[#This Row],[Smi]],-12,0),0)+OFFSET(TblConstr[[#This Row],[Tot Smi]],-1,0)-TblConstr[[#This Row],[Dest Smi]]</f>
        <v>0</v>
      </c>
      <c r="BC63" s="197" cm="1">
        <f t="array" aca="1" ref="BC63" ca="1">IF(TblConstr[[#This Row],[Hour]:[Hour]]&gt;12,OFFSET(TblConstr[[#This Row],[Mas]],-12,0),0)+OFFSET(TblConstr[[#This Row],[Tot Mas]],-1,0)-TblConstr[[#This Row],[Dest Mas]]</f>
        <v>0</v>
      </c>
      <c r="BD63" s="198" cm="1">
        <f t="array" aca="1" ref="BD63" ca="1">IF(TblConstr[[#This Row],[Hour]:[Hour]]&gt;12,OFFSET(TblConstr[[#This Row],[Ly]],-12,0),0)+OFFSET(TblConstr[[#This Row],[Tot Ly]],-1,0)-TblConstr[[#This Row],[Dest Ly]]</f>
        <v>20</v>
      </c>
      <c r="BE63" s="198" cm="1">
        <f t="array" aca="1" ref="BE63" ca="1">IF(TblConstr[[#This Row],[Hour]:[Hour]]&gt;12,OFFSET(TblConstr[[#This Row],[Hav]],-12,0),0)+OFFSET(TblConstr[[#This Row],[Tot Hav]],-1,0)-TblConstr[[#This Row],[Dest Hav]]</f>
        <v>0</v>
      </c>
      <c r="BF63" s="392" cm="1">
        <f t="array" aca="1" ref="BF63" ca="1">IF(TblConstr[[#This Row],[Hour]:[Hour]]&gt;12,OFFSET(TblConstr[[#This Row],[OM]],-12,0),0)+OFFSET(TblConstr[[#This Row],[Tot OM]],-1,0)-TblConstr[[#This Row],[Dest OM]]</f>
        <v>0</v>
      </c>
      <c r="BG63" s="392" cm="1">
        <f t="array" aca="1" ref="BG63" ca="1">IF(TblConstr[[#This Row],[Hour]:[Hour]]&gt;12,OFFSET(TblConstr[[#This Row],[GN]],-12,0),0)+OFFSET(TblConstr[[#This Row],[Tot GN]],-1,0)-TblConstr[[#This Row],[Dest GN]]</f>
        <v>0</v>
      </c>
      <c r="BH63" s="396" cm="1">
        <f t="array" aca="1" ref="BH63" ca="1">IF(TblConstr[[#This Row],[Hour]:[Hour]]&gt;12,OFFSET(TblConstr[[#This Row],[Fac]],-12,0),0)+OFFSET(TblConstr[[#This Row],[Tot Fac]],-1,0)-TblConstr[[#This Row],[Dest Fac]]</f>
        <v>0</v>
      </c>
      <c r="BI63" s="396" cm="1">
        <f t="array" aca="1" ref="BI63" ca="1">IF(TblConstr[[#This Row],[Hour]:[Hour]]&gt;12,OFFSET(TblConstr[[#This Row],[GT]],-12,0),0)+OFFSET(TblConstr[[#This Row],[Tot GT]],-1,0)-TblConstr[[#This Row],[Dest GT]]</f>
        <v>0</v>
      </c>
      <c r="BJ63" s="396" cm="1">
        <f t="array" aca="1" ref="BJ63" ca="1">IF(TblConstr[[#This Row],[Hour]:[Hour]]&gt;12,OFFSET(TblConstr[[#This Row],[Bar]],-12,0),0)+OFFSET(TblConstr[[#This Row],[Tot Bar]],-1,0)-TblConstr[[#This Row],[Dest Bar]]</f>
        <v>0</v>
      </c>
      <c r="BK63" s="396" cm="1">
        <f t="array" aca="1" ref="BK63" ca="1">IF(TblConstr[[#This Row],[Hour]:[Hour]]&gt;12,OFFSET(TblConstr[[#This Row],[Shr]],-12,0),0)+OFFSET(TblConstr[[#This Row],[Tot Shr]],-1,0)-TblConstr[[#This Row],[Dest Shr]]</f>
        <v>0</v>
      </c>
      <c r="BL63" s="400" cm="1">
        <f t="array" aca="1" ref="BL63" ca="1">IF(TblConstr[[#This Row],[Hour]:[Hour]]&gt;12,OFFSET(TblConstr[[#This Row],[Tow]],-12,0),0)+OFFSET(TblConstr[[#This Row],[Tot Tow]],-1,0)-TblConstr[[#This Row],[Dest Tow]]</f>
        <v>0</v>
      </c>
      <c r="BM63" s="400" cm="1">
        <f t="array" aca="1" ref="BM63" ca="1">IF(TblConstr[[#This Row],[Hour]:[Hour]]&gt;12,OFFSET(TblConstr[[#This Row],[Tem]],-12,0),0)+OFFSET(TblConstr[[#This Row],[Tot Tem]],-1,0)-TblConstr[[#This Row],[Dest Tem]]</f>
        <v>0</v>
      </c>
      <c r="BN63" s="400" cm="1">
        <f t="array" aca="1" ref="BN63" ca="1">IF(TblConstr[[#This Row],[Hour]:[Hour]]&gt;12,OFFSET(TblConstr[[#This Row],[WG]],-12,0),0)+OFFSET(TblConstr[[#This Row],[Tot WG]],-1,0)-TblConstr[[#This Row],[Dest WG]]</f>
        <v>0</v>
      </c>
      <c r="BO63" s="199" cm="1">
        <f t="array" aca="1" ref="BO63" ca="1">IF(TblConstr[[#This Row],[Hour]:[Hour]]&gt;12,OFFSET(TblConstr[[#This Row],[DM]],-12,0),0)+OFFSET(TblConstr[[#This Row],[Tot DM]],-1,0)-TblConstr[[#This Row],[Dest DM]]</f>
        <v>0</v>
      </c>
      <c r="BP63" s="199" cm="1">
        <f t="array" aca="1" ref="BP63" ca="1">IF(TblConstr[[#This Row],[Hour]:[Hour]]&gt;12,OFFSET(TblConstr[[#This Row],[Sch]],-12,0),0)+OFFSET(TblConstr[[#This Row],[Tot Sch]],-1,0)-TblConstr[[#This Row],[Dest Sch]]</f>
        <v>0</v>
      </c>
      <c r="BQ63" s="200" cm="1">
        <f t="array" aca="1" ref="BQ63" ca="1">IF(TblConstr[[#This Row],[Hour]:[Hour]]&gt;12,OFFSET(TblConstr[[#This Row],[Doc]],-12,0),0)+OFFSET(TblConstr[[#This Row],[Tot Doc]],-1,0)-TblConstr[[#This Row],[Dest Doc]]</f>
        <v>0</v>
      </c>
      <c r="BR63" s="150"/>
      <c r="BS63" s="162"/>
      <c r="BT63" s="97">
        <f ca="1">TblConstr[[#This Row],[Land]]</f>
        <v>250</v>
      </c>
      <c r="BU63" s="167">
        <f ca="1">TblImps[[#This Row],[Time]]</f>
        <v>44813.20833333319</v>
      </c>
      <c r="BV63" s="150"/>
      <c r="BW63" s="187"/>
      <c r="BX63" s="187"/>
      <c r="BY63" s="187"/>
      <c r="BZ63" s="187"/>
      <c r="CA63" s="187"/>
      <c r="CB63" s="187"/>
      <c r="CC63" s="187"/>
      <c r="CD63" s="187"/>
      <c r="CE63" s="187"/>
      <c r="CF63" s="187"/>
      <c r="CG63" s="187"/>
      <c r="CH63" s="187"/>
      <c r="CI63" s="187"/>
      <c r="CJ63" s="187"/>
      <c r="CK63" s="187"/>
      <c r="CL63" s="187"/>
      <c r="CM63" s="187"/>
      <c r="CN63" s="187"/>
      <c r="CO63" s="187"/>
      <c r="CP63" s="150"/>
      <c r="CQ63" s="189">
        <f ca="1">-SUM(TblConstr[[#This Row],[Alc]:[Mas]])+SUM(TblConstr[[#This Row],[Dest Alc]:[Dest Mas]])+Rezone!L63+IF("Ch_"&amp; home_land=TblConstr[[#Headers],[Ch_Plain]],TblConstr[[#This Row],[Home Land]])+IF(TblConstr[[#This Row],[Hour]:[Hour]]&gt;12,OFFSET(TblExplore[[#This Row],[Plains Explore]],-12,0),0)</f>
        <v>0</v>
      </c>
      <c r="CR63" s="190">
        <f ca="1">-SUM(TblConstr[[#This Row],[Ly]:[Hav]])+SUM(TblConstr[[#This Row],[Dest Ly]:[Dest Hav]]) +Rezone!M63 + IF("Ch_"&amp; home_land=TblConstr[[#Headers],[Ch_Forest]],TblConstr[[#This Row],[Home Land]])+IF(TblConstr[[#This Row],[Hour]:[Hour]]&gt;12,OFFSET(TblExplore[[#This Row],[Forest Explore]],-12,0),0)</f>
        <v>0</v>
      </c>
      <c r="CS63" s="390">
        <f ca="1">-SUM(TblConstr[[#This Row],[OM]:[GN]])+SUM(TblConstr[[#This Row],[Dest OM]:[Dest GN]]) +Rezone!N63 + IF("Ch_"&amp; home_land=TblConstr[[#Headers],[Ch_Mountain]],TblConstr[[#This Row],[Home Land]])+IF(TblConstr[[#This Row],[Hour]:[Hour]]&gt;12,OFFSET(TblExplore[[#This Row],[Mountain Explore]],-12,0),0)</f>
        <v>0</v>
      </c>
      <c r="CT63" s="191">
        <f ca="1">-SUM(TblConstr[[#This Row],[Fac]:[Shr]])+SUM(TblConstr[[#This Row],[Dest Fac]:[Dest Shr]]) +Rezone!O63 + IF("Ch_" &amp; home_land=TblConstr[[#Headers],[Ch_Hill]],TblConstr[[#This Row],[Home Land]])+IF(TblConstr[[#This Row],[Hour]:[Hour]]&gt;12,OFFSET(TblExplore[[#This Row],[Hill Explore]],-12,0),0)</f>
        <v>0</v>
      </c>
      <c r="CU63" s="192">
        <f ca="1">-SUM(TblConstr[[#This Row],[Tow]:[WG]])+SUM(TblConstr[[#This Row],[Dest Tow]:[Dest WG]]) +Rezone!P63 + IF("Ch_" &amp; home_land=TblConstr[[#Headers],[Ch_Swamp]],TblConstr[[#This Row],[Home Land]])+IF(TblConstr[[#This Row],[Hour]:[Hour]]&gt;12,OFFSET(TblExplore[[#This Row],[Swamp Explore]],-12,0),0)</f>
        <v>0</v>
      </c>
      <c r="CV63" s="193">
        <f ca="1" xml:space="preserve"> - SUM(TblConstr[[#This Row],[DM]:[Sch]])+SUM(TblConstr[[#This Row],[Dest DM]:[Dest Sch]]) +Rezone!Q63 + IF("Ch_" &amp; home_land=TblConstr[[#Headers],[Ch_Cavern]],TblConstr[[#This Row],[Home Land]])+IF(TblConstr[[#This Row],[Hour]:[Hour]]&gt;12,OFFSET(TblExplore[[#This Row],[Cavern Explore]],-12,0),0)</f>
        <v>0</v>
      </c>
      <c r="CW63" s="194">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50"/>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83">
        <f>TblRezone[[#This Row],[Hour]]</f>
        <v>61</v>
      </c>
      <c r="B64" s="184">
        <f ca="1">SUM(TblConstr[[#This Row],[Plain]:[Water]])</f>
        <v>160</v>
      </c>
      <c r="C64" s="185">
        <f ca="1">SUM(TblConstr[[#This Row],[Tot Hom]:[Tot Doc]])</f>
        <v>90</v>
      </c>
      <c r="D64" s="185">
        <f t="shared" si="11"/>
        <v>0</v>
      </c>
      <c r="E64" s="186"/>
      <c r="F64" s="62">
        <f ca="1">TblConstr[[#This Row],[Barren]]+TblConstr[[#This Row],[Buildings]]+TblConstr[[#This Row],[Incoming]]</f>
        <v>250</v>
      </c>
      <c r="G64" s="195">
        <f ca="1">OFFSET(TblConstr[[#This Row],[Plain]],-1,0)+TblConstr[[#This Row],[Ch_Plain]]</f>
        <v>40</v>
      </c>
      <c r="H64" s="190">
        <f ca="1">OFFSET(TblConstr[[#This Row],[Forest]],-1,0)+TblConstr[[#This Row],[Ch_Forest]]</f>
        <v>20</v>
      </c>
      <c r="I64" s="390">
        <f ca="1">OFFSET(TblConstr[[#This Row],[Mountain]],-1,0)+TblConstr[[#This Row],[Ch_Mountain]]</f>
        <v>20</v>
      </c>
      <c r="J64" s="394">
        <f ca="1">OFFSET(TblConstr[[#This Row],[Hill]],-1,0)+TblConstr[[#This Row],[Ch_Hill]]</f>
        <v>20</v>
      </c>
      <c r="K64" s="398">
        <f ca="1">OFFSET(TblConstr[[#This Row],[Swamp]],-1,0)+TblConstr[[#This Row],[Ch_Swamp]]</f>
        <v>20</v>
      </c>
      <c r="L64" s="193">
        <f ca="1">OFFSET(TblConstr[[#This Row],[Cavern]],-1,0)+TblConstr[[#This Row],[Ch_Cavern]]</f>
        <v>20</v>
      </c>
      <c r="M64" s="194">
        <f ca="1">OFFSET(TblConstr[[#This Row],[Water]],-1,0)+TblConstr[[#This Row],[Ch_Water]]</f>
        <v>20</v>
      </c>
      <c r="N64" s="388">
        <f>TblRezone[[#This Row],[Hour]]</f>
        <v>61</v>
      </c>
      <c r="O64" s="187"/>
      <c r="P64" s="187"/>
      <c r="Q64" s="187"/>
      <c r="R64" s="187"/>
      <c r="S64" s="187"/>
      <c r="T64" s="187"/>
      <c r="U64" s="187"/>
      <c r="V64" s="187"/>
      <c r="W64" s="187"/>
      <c r="X64" s="187"/>
      <c r="Y64" s="187"/>
      <c r="Z64" s="187"/>
      <c r="AA64" s="187"/>
      <c r="AB64" s="187"/>
      <c r="AC64" s="187"/>
      <c r="AD64" s="187"/>
      <c r="AE64" s="187"/>
      <c r="AF64" s="187"/>
      <c r="AG64" s="187"/>
      <c r="AH64" s="53">
        <f ca="1">TblImps[[#This Row],[Time]]</f>
        <v>44813.249999999854</v>
      </c>
      <c r="AI64" s="188">
        <f ca="1">MIN(25%,(TblConstr[[#This Row],[Tot Fac]]+TblConstr[[#This Row],[Dest Fac]])/(TblConstr[[#This Row],[Land]]-TblExplore[[#This Row],[Land Bonus]]*20))</f>
        <v>0</v>
      </c>
      <c r="AJ64" s="188">
        <f ca="1">MIN(25%,(TblConstr[[#This Row],[Tot Fac]]+TblConstr[[#This Row],[Dest Fac]])/TblConstr[[#This Row],[Land]])</f>
        <v>0</v>
      </c>
      <c r="AK64" s="97">
        <f ca="1">TblProd[[#This Row],[Platinum]]</f>
        <v>430038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50"/>
      <c r="AV64" s="97">
        <f ca="1">ROUND((TblConstr[[#This Row],[Land]]-250 - IF(TblExplore[[#This Row],[Land Bonus]]&lt;&gt;0,20,0))*1.25 + 850 + 0,0)</f>
        <v>850</v>
      </c>
      <c r="AW64" s="97">
        <f ca="1">ROUND((TblConstr[[#This Row],[Land]]-250 - IF(TblExplore[[#This Row],[Land Bonus]]&lt;&gt;0,20,0))*0.285 + 87.5 + 0/4.25,0)</f>
        <v>88</v>
      </c>
      <c r="AX64" s="162"/>
      <c r="AY64" s="196" cm="1">
        <f t="array" aca="1" ref="AY64" ca="1">IF(TblConstr[[#This Row],[Hour]:[Hour]]&gt;12,OFFSET(TblConstr[[#This Row],[Hom]],-12,0),0)+OFFSET(TblConstr[[#This Row],[Tot Hom]],-1,0)-TblConstr[[#This Row],[Dest Hom]]</f>
        <v>10</v>
      </c>
      <c r="AZ64" s="197" cm="1">
        <f t="array" aca="1" ref="AZ64" ca="1">IF(TblConstr[[#This Row],[Hour]:[Hour]]&gt;12,OFFSET(TblConstr[[#This Row],[Alc]],-12,0),0)+OFFSET(TblConstr[[#This Row],[Tot Alc]],-1,0)-TblConstr[[#This Row],[Dest Alc]]</f>
        <v>30</v>
      </c>
      <c r="BA64" s="197" cm="1">
        <f t="array" aca="1" ref="BA64" ca="1">IF(TblConstr[[#This Row],[Hour]:[Hour]]&gt;12,OFFSET(TblConstr[[#This Row],[Far]],-12,0),0)+OFFSET(TblConstr[[#This Row],[Tot Farm]],-1,0)-TblConstr[[#This Row],[Dest Farm]]</f>
        <v>30</v>
      </c>
      <c r="BB64" s="197" cm="1">
        <f t="array" aca="1" ref="BB64" ca="1">IF(TblConstr[[#This Row],[Hour]:[Hour]]&gt;12,OFFSET(TblConstr[[#This Row],[Smi]],-12,0),0)+OFFSET(TblConstr[[#This Row],[Tot Smi]],-1,0)-TblConstr[[#This Row],[Dest Smi]]</f>
        <v>0</v>
      </c>
      <c r="BC64" s="197" cm="1">
        <f t="array" aca="1" ref="BC64" ca="1">IF(TblConstr[[#This Row],[Hour]:[Hour]]&gt;12,OFFSET(TblConstr[[#This Row],[Mas]],-12,0),0)+OFFSET(TblConstr[[#This Row],[Tot Mas]],-1,0)-TblConstr[[#This Row],[Dest Mas]]</f>
        <v>0</v>
      </c>
      <c r="BD64" s="198" cm="1">
        <f t="array" aca="1" ref="BD64" ca="1">IF(TblConstr[[#This Row],[Hour]:[Hour]]&gt;12,OFFSET(TblConstr[[#This Row],[Ly]],-12,0),0)+OFFSET(TblConstr[[#This Row],[Tot Ly]],-1,0)-TblConstr[[#This Row],[Dest Ly]]</f>
        <v>20</v>
      </c>
      <c r="BE64" s="198" cm="1">
        <f t="array" aca="1" ref="BE64" ca="1">IF(TblConstr[[#This Row],[Hour]:[Hour]]&gt;12,OFFSET(TblConstr[[#This Row],[Hav]],-12,0),0)+OFFSET(TblConstr[[#This Row],[Tot Hav]],-1,0)-TblConstr[[#This Row],[Dest Hav]]</f>
        <v>0</v>
      </c>
      <c r="BF64" s="392" cm="1">
        <f t="array" aca="1" ref="BF64" ca="1">IF(TblConstr[[#This Row],[Hour]:[Hour]]&gt;12,OFFSET(TblConstr[[#This Row],[OM]],-12,0),0)+OFFSET(TblConstr[[#This Row],[Tot OM]],-1,0)-TblConstr[[#This Row],[Dest OM]]</f>
        <v>0</v>
      </c>
      <c r="BG64" s="392" cm="1">
        <f t="array" aca="1" ref="BG64" ca="1">IF(TblConstr[[#This Row],[Hour]:[Hour]]&gt;12,OFFSET(TblConstr[[#This Row],[GN]],-12,0),0)+OFFSET(TblConstr[[#This Row],[Tot GN]],-1,0)-TblConstr[[#This Row],[Dest GN]]</f>
        <v>0</v>
      </c>
      <c r="BH64" s="396" cm="1">
        <f t="array" aca="1" ref="BH64" ca="1">IF(TblConstr[[#This Row],[Hour]:[Hour]]&gt;12,OFFSET(TblConstr[[#This Row],[Fac]],-12,0),0)+OFFSET(TblConstr[[#This Row],[Tot Fac]],-1,0)-TblConstr[[#This Row],[Dest Fac]]</f>
        <v>0</v>
      </c>
      <c r="BI64" s="396" cm="1">
        <f t="array" aca="1" ref="BI64" ca="1">IF(TblConstr[[#This Row],[Hour]:[Hour]]&gt;12,OFFSET(TblConstr[[#This Row],[GT]],-12,0),0)+OFFSET(TblConstr[[#This Row],[Tot GT]],-1,0)-TblConstr[[#This Row],[Dest GT]]</f>
        <v>0</v>
      </c>
      <c r="BJ64" s="396" cm="1">
        <f t="array" aca="1" ref="BJ64" ca="1">IF(TblConstr[[#This Row],[Hour]:[Hour]]&gt;12,OFFSET(TblConstr[[#This Row],[Bar]],-12,0),0)+OFFSET(TblConstr[[#This Row],[Tot Bar]],-1,0)-TblConstr[[#This Row],[Dest Bar]]</f>
        <v>0</v>
      </c>
      <c r="BK64" s="396" cm="1">
        <f t="array" aca="1" ref="BK64" ca="1">IF(TblConstr[[#This Row],[Hour]:[Hour]]&gt;12,OFFSET(TblConstr[[#This Row],[Shr]],-12,0),0)+OFFSET(TblConstr[[#This Row],[Tot Shr]],-1,0)-TblConstr[[#This Row],[Dest Shr]]</f>
        <v>0</v>
      </c>
      <c r="BL64" s="400" cm="1">
        <f t="array" aca="1" ref="BL64" ca="1">IF(TblConstr[[#This Row],[Hour]:[Hour]]&gt;12,OFFSET(TblConstr[[#This Row],[Tow]],-12,0),0)+OFFSET(TblConstr[[#This Row],[Tot Tow]],-1,0)-TblConstr[[#This Row],[Dest Tow]]</f>
        <v>0</v>
      </c>
      <c r="BM64" s="400" cm="1">
        <f t="array" aca="1" ref="BM64" ca="1">IF(TblConstr[[#This Row],[Hour]:[Hour]]&gt;12,OFFSET(TblConstr[[#This Row],[Tem]],-12,0),0)+OFFSET(TblConstr[[#This Row],[Tot Tem]],-1,0)-TblConstr[[#This Row],[Dest Tem]]</f>
        <v>0</v>
      </c>
      <c r="BN64" s="400" cm="1">
        <f t="array" aca="1" ref="BN64" ca="1">IF(TblConstr[[#This Row],[Hour]:[Hour]]&gt;12,OFFSET(TblConstr[[#This Row],[WG]],-12,0),0)+OFFSET(TblConstr[[#This Row],[Tot WG]],-1,0)-TblConstr[[#This Row],[Dest WG]]</f>
        <v>0</v>
      </c>
      <c r="BO64" s="199" cm="1">
        <f t="array" aca="1" ref="BO64" ca="1">IF(TblConstr[[#This Row],[Hour]:[Hour]]&gt;12,OFFSET(TblConstr[[#This Row],[DM]],-12,0),0)+OFFSET(TblConstr[[#This Row],[Tot DM]],-1,0)-TblConstr[[#This Row],[Dest DM]]</f>
        <v>0</v>
      </c>
      <c r="BP64" s="199" cm="1">
        <f t="array" aca="1" ref="BP64" ca="1">IF(TblConstr[[#This Row],[Hour]:[Hour]]&gt;12,OFFSET(TblConstr[[#This Row],[Sch]],-12,0),0)+OFFSET(TblConstr[[#This Row],[Tot Sch]],-1,0)-TblConstr[[#This Row],[Dest Sch]]</f>
        <v>0</v>
      </c>
      <c r="BQ64" s="200" cm="1">
        <f t="array" aca="1" ref="BQ64" ca="1">IF(TblConstr[[#This Row],[Hour]:[Hour]]&gt;12,OFFSET(TblConstr[[#This Row],[Doc]],-12,0),0)+OFFSET(TblConstr[[#This Row],[Tot Doc]],-1,0)-TblConstr[[#This Row],[Dest Doc]]</f>
        <v>0</v>
      </c>
      <c r="BR64" s="150"/>
      <c r="BS64" s="162"/>
      <c r="BT64" s="97">
        <f ca="1">TblConstr[[#This Row],[Land]]</f>
        <v>250</v>
      </c>
      <c r="BU64" s="167">
        <f ca="1">TblImps[[#This Row],[Time]]</f>
        <v>44813.249999999854</v>
      </c>
      <c r="BV64" s="150"/>
      <c r="BW64" s="187"/>
      <c r="BX64" s="187"/>
      <c r="BY64" s="187"/>
      <c r="BZ64" s="187"/>
      <c r="CA64" s="187"/>
      <c r="CB64" s="187"/>
      <c r="CC64" s="187"/>
      <c r="CD64" s="187"/>
      <c r="CE64" s="187"/>
      <c r="CF64" s="187"/>
      <c r="CG64" s="187"/>
      <c r="CH64" s="187"/>
      <c r="CI64" s="187"/>
      <c r="CJ64" s="187"/>
      <c r="CK64" s="187"/>
      <c r="CL64" s="187"/>
      <c r="CM64" s="187"/>
      <c r="CN64" s="187"/>
      <c r="CO64" s="187"/>
      <c r="CP64" s="150"/>
      <c r="CQ64" s="189">
        <f ca="1">-SUM(TblConstr[[#This Row],[Alc]:[Mas]])+SUM(TblConstr[[#This Row],[Dest Alc]:[Dest Mas]])+Rezone!L64+IF("Ch_"&amp; home_land=TblConstr[[#Headers],[Ch_Plain]],TblConstr[[#This Row],[Home Land]])+IF(TblConstr[[#This Row],[Hour]:[Hour]]&gt;12,OFFSET(TblExplore[[#This Row],[Plains Explore]],-12,0),0)</f>
        <v>0</v>
      </c>
      <c r="CR64" s="190">
        <f ca="1">-SUM(TblConstr[[#This Row],[Ly]:[Hav]])+SUM(TblConstr[[#This Row],[Dest Ly]:[Dest Hav]]) +Rezone!M64 + IF("Ch_"&amp; home_land=TblConstr[[#Headers],[Ch_Forest]],TblConstr[[#This Row],[Home Land]])+IF(TblConstr[[#This Row],[Hour]:[Hour]]&gt;12,OFFSET(TblExplore[[#This Row],[Forest Explore]],-12,0),0)</f>
        <v>0</v>
      </c>
      <c r="CS64" s="390">
        <f ca="1">-SUM(TblConstr[[#This Row],[OM]:[GN]])+SUM(TblConstr[[#This Row],[Dest OM]:[Dest GN]]) +Rezone!N64 + IF("Ch_"&amp; home_land=TblConstr[[#Headers],[Ch_Mountain]],TblConstr[[#This Row],[Home Land]])+IF(TblConstr[[#This Row],[Hour]:[Hour]]&gt;12,OFFSET(TblExplore[[#This Row],[Mountain Explore]],-12,0),0)</f>
        <v>0</v>
      </c>
      <c r="CT64" s="191">
        <f ca="1">-SUM(TblConstr[[#This Row],[Fac]:[Shr]])+SUM(TblConstr[[#This Row],[Dest Fac]:[Dest Shr]]) +Rezone!O64 + IF("Ch_" &amp; home_land=TblConstr[[#Headers],[Ch_Hill]],TblConstr[[#This Row],[Home Land]])+IF(TblConstr[[#This Row],[Hour]:[Hour]]&gt;12,OFFSET(TblExplore[[#This Row],[Hill Explore]],-12,0),0)</f>
        <v>0</v>
      </c>
      <c r="CU64" s="192">
        <f ca="1">-SUM(TblConstr[[#This Row],[Tow]:[WG]])+SUM(TblConstr[[#This Row],[Dest Tow]:[Dest WG]]) +Rezone!P64 + IF("Ch_" &amp; home_land=TblConstr[[#Headers],[Ch_Swamp]],TblConstr[[#This Row],[Home Land]])+IF(TblConstr[[#This Row],[Hour]:[Hour]]&gt;12,OFFSET(TblExplore[[#This Row],[Swamp Explore]],-12,0),0)</f>
        <v>0</v>
      </c>
      <c r="CV64" s="193">
        <f ca="1" xml:space="preserve"> - SUM(TblConstr[[#This Row],[DM]:[Sch]])+SUM(TblConstr[[#This Row],[Dest DM]:[Dest Sch]]) +Rezone!Q64 + IF("Ch_" &amp; home_land=TblConstr[[#Headers],[Ch_Cavern]],TblConstr[[#This Row],[Home Land]])+IF(TblConstr[[#This Row],[Hour]:[Hour]]&gt;12,OFFSET(TblExplore[[#This Row],[Cavern Explore]],-12,0),0)</f>
        <v>0</v>
      </c>
      <c r="CW64" s="194">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50"/>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83">
        <f>TblRezone[[#This Row],[Hour]]</f>
        <v>62</v>
      </c>
      <c r="B65" s="184">
        <f ca="1">SUM(TblConstr[[#This Row],[Plain]:[Water]])</f>
        <v>160</v>
      </c>
      <c r="C65" s="185">
        <f ca="1">SUM(TblConstr[[#This Row],[Tot Hom]:[Tot Doc]])</f>
        <v>90</v>
      </c>
      <c r="D65" s="185">
        <f t="shared" si="11"/>
        <v>0</v>
      </c>
      <c r="E65" s="186"/>
      <c r="F65" s="62">
        <f ca="1">TblConstr[[#This Row],[Barren]]+TblConstr[[#This Row],[Buildings]]+TblConstr[[#This Row],[Incoming]]</f>
        <v>250</v>
      </c>
      <c r="G65" s="195">
        <f ca="1">OFFSET(TblConstr[[#This Row],[Plain]],-1,0)+TblConstr[[#This Row],[Ch_Plain]]</f>
        <v>40</v>
      </c>
      <c r="H65" s="190">
        <f ca="1">OFFSET(TblConstr[[#This Row],[Forest]],-1,0)+TblConstr[[#This Row],[Ch_Forest]]</f>
        <v>20</v>
      </c>
      <c r="I65" s="390">
        <f ca="1">OFFSET(TblConstr[[#This Row],[Mountain]],-1,0)+TblConstr[[#This Row],[Ch_Mountain]]</f>
        <v>20</v>
      </c>
      <c r="J65" s="394">
        <f ca="1">OFFSET(TblConstr[[#This Row],[Hill]],-1,0)+TblConstr[[#This Row],[Ch_Hill]]</f>
        <v>20</v>
      </c>
      <c r="K65" s="398">
        <f ca="1">OFFSET(TblConstr[[#This Row],[Swamp]],-1,0)+TblConstr[[#This Row],[Ch_Swamp]]</f>
        <v>20</v>
      </c>
      <c r="L65" s="193">
        <f ca="1">OFFSET(TblConstr[[#This Row],[Cavern]],-1,0)+TblConstr[[#This Row],[Ch_Cavern]]</f>
        <v>20</v>
      </c>
      <c r="M65" s="194">
        <f ca="1">OFFSET(TblConstr[[#This Row],[Water]],-1,0)+TblConstr[[#This Row],[Ch_Water]]</f>
        <v>20</v>
      </c>
      <c r="N65" s="388">
        <f>TblRezone[[#This Row],[Hour]]</f>
        <v>62</v>
      </c>
      <c r="O65" s="187"/>
      <c r="P65" s="187"/>
      <c r="Q65" s="187"/>
      <c r="R65" s="187"/>
      <c r="S65" s="187"/>
      <c r="T65" s="187"/>
      <c r="U65" s="187"/>
      <c r="V65" s="187"/>
      <c r="W65" s="187"/>
      <c r="X65" s="187"/>
      <c r="Y65" s="187"/>
      <c r="Z65" s="187"/>
      <c r="AA65" s="187"/>
      <c r="AB65" s="187"/>
      <c r="AC65" s="187"/>
      <c r="AD65" s="187"/>
      <c r="AE65" s="187"/>
      <c r="AF65" s="187"/>
      <c r="AG65" s="187"/>
      <c r="AH65" s="53">
        <f ca="1">TblImps[[#This Row],[Time]]</f>
        <v>44813.291666666519</v>
      </c>
      <c r="AI65" s="188">
        <f ca="1">MIN(25%,(TblConstr[[#This Row],[Tot Fac]]+TblConstr[[#This Row],[Dest Fac]])/(TblConstr[[#This Row],[Land]]-TblExplore[[#This Row],[Land Bonus]]*20))</f>
        <v>0</v>
      </c>
      <c r="AJ65" s="188">
        <f ca="1">MIN(25%,(TblConstr[[#This Row],[Tot Fac]]+TblConstr[[#This Row],[Dest Fac]])/TblConstr[[#This Row],[Land]])</f>
        <v>0</v>
      </c>
      <c r="AK65" s="97">
        <f ca="1">TblProd[[#This Row],[Platinum]]</f>
        <v>435524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50"/>
      <c r="AV65" s="97">
        <f ca="1">ROUND((TblConstr[[#This Row],[Land]]-250 - IF(TblExplore[[#This Row],[Land Bonus]]&lt;&gt;0,20,0))*1.25 + 850 + 0,0)</f>
        <v>850</v>
      </c>
      <c r="AW65" s="97">
        <f ca="1">ROUND((TblConstr[[#This Row],[Land]]-250 - IF(TblExplore[[#This Row],[Land Bonus]]&lt;&gt;0,20,0))*0.285 + 87.5 + 0/4.25,0)</f>
        <v>88</v>
      </c>
      <c r="AX65" s="162"/>
      <c r="AY65" s="196" cm="1">
        <f t="array" aca="1" ref="AY65" ca="1">IF(TblConstr[[#This Row],[Hour]:[Hour]]&gt;12,OFFSET(TblConstr[[#This Row],[Hom]],-12,0),0)+OFFSET(TblConstr[[#This Row],[Tot Hom]],-1,0)-TblConstr[[#This Row],[Dest Hom]]</f>
        <v>10</v>
      </c>
      <c r="AZ65" s="197" cm="1">
        <f t="array" aca="1" ref="AZ65" ca="1">IF(TblConstr[[#This Row],[Hour]:[Hour]]&gt;12,OFFSET(TblConstr[[#This Row],[Alc]],-12,0),0)+OFFSET(TblConstr[[#This Row],[Tot Alc]],-1,0)-TblConstr[[#This Row],[Dest Alc]]</f>
        <v>30</v>
      </c>
      <c r="BA65" s="197" cm="1">
        <f t="array" aca="1" ref="BA65" ca="1">IF(TblConstr[[#This Row],[Hour]:[Hour]]&gt;12,OFFSET(TblConstr[[#This Row],[Far]],-12,0),0)+OFFSET(TblConstr[[#This Row],[Tot Farm]],-1,0)-TblConstr[[#This Row],[Dest Farm]]</f>
        <v>30</v>
      </c>
      <c r="BB65" s="197" cm="1">
        <f t="array" aca="1" ref="BB65" ca="1">IF(TblConstr[[#This Row],[Hour]:[Hour]]&gt;12,OFFSET(TblConstr[[#This Row],[Smi]],-12,0),0)+OFFSET(TblConstr[[#This Row],[Tot Smi]],-1,0)-TblConstr[[#This Row],[Dest Smi]]</f>
        <v>0</v>
      </c>
      <c r="BC65" s="197" cm="1">
        <f t="array" aca="1" ref="BC65" ca="1">IF(TblConstr[[#This Row],[Hour]:[Hour]]&gt;12,OFFSET(TblConstr[[#This Row],[Mas]],-12,0),0)+OFFSET(TblConstr[[#This Row],[Tot Mas]],-1,0)-TblConstr[[#This Row],[Dest Mas]]</f>
        <v>0</v>
      </c>
      <c r="BD65" s="198" cm="1">
        <f t="array" aca="1" ref="BD65" ca="1">IF(TblConstr[[#This Row],[Hour]:[Hour]]&gt;12,OFFSET(TblConstr[[#This Row],[Ly]],-12,0),0)+OFFSET(TblConstr[[#This Row],[Tot Ly]],-1,0)-TblConstr[[#This Row],[Dest Ly]]</f>
        <v>20</v>
      </c>
      <c r="BE65" s="198" cm="1">
        <f t="array" aca="1" ref="BE65" ca="1">IF(TblConstr[[#This Row],[Hour]:[Hour]]&gt;12,OFFSET(TblConstr[[#This Row],[Hav]],-12,0),0)+OFFSET(TblConstr[[#This Row],[Tot Hav]],-1,0)-TblConstr[[#This Row],[Dest Hav]]</f>
        <v>0</v>
      </c>
      <c r="BF65" s="392" cm="1">
        <f t="array" aca="1" ref="BF65" ca="1">IF(TblConstr[[#This Row],[Hour]:[Hour]]&gt;12,OFFSET(TblConstr[[#This Row],[OM]],-12,0),0)+OFFSET(TblConstr[[#This Row],[Tot OM]],-1,0)-TblConstr[[#This Row],[Dest OM]]</f>
        <v>0</v>
      </c>
      <c r="BG65" s="392" cm="1">
        <f t="array" aca="1" ref="BG65" ca="1">IF(TblConstr[[#This Row],[Hour]:[Hour]]&gt;12,OFFSET(TblConstr[[#This Row],[GN]],-12,0),0)+OFFSET(TblConstr[[#This Row],[Tot GN]],-1,0)-TblConstr[[#This Row],[Dest GN]]</f>
        <v>0</v>
      </c>
      <c r="BH65" s="396" cm="1">
        <f t="array" aca="1" ref="BH65" ca="1">IF(TblConstr[[#This Row],[Hour]:[Hour]]&gt;12,OFFSET(TblConstr[[#This Row],[Fac]],-12,0),0)+OFFSET(TblConstr[[#This Row],[Tot Fac]],-1,0)-TblConstr[[#This Row],[Dest Fac]]</f>
        <v>0</v>
      </c>
      <c r="BI65" s="396" cm="1">
        <f t="array" aca="1" ref="BI65" ca="1">IF(TblConstr[[#This Row],[Hour]:[Hour]]&gt;12,OFFSET(TblConstr[[#This Row],[GT]],-12,0),0)+OFFSET(TblConstr[[#This Row],[Tot GT]],-1,0)-TblConstr[[#This Row],[Dest GT]]</f>
        <v>0</v>
      </c>
      <c r="BJ65" s="396" cm="1">
        <f t="array" aca="1" ref="BJ65" ca="1">IF(TblConstr[[#This Row],[Hour]:[Hour]]&gt;12,OFFSET(TblConstr[[#This Row],[Bar]],-12,0),0)+OFFSET(TblConstr[[#This Row],[Tot Bar]],-1,0)-TblConstr[[#This Row],[Dest Bar]]</f>
        <v>0</v>
      </c>
      <c r="BK65" s="396" cm="1">
        <f t="array" aca="1" ref="BK65" ca="1">IF(TblConstr[[#This Row],[Hour]:[Hour]]&gt;12,OFFSET(TblConstr[[#This Row],[Shr]],-12,0),0)+OFFSET(TblConstr[[#This Row],[Tot Shr]],-1,0)-TblConstr[[#This Row],[Dest Shr]]</f>
        <v>0</v>
      </c>
      <c r="BL65" s="400" cm="1">
        <f t="array" aca="1" ref="BL65" ca="1">IF(TblConstr[[#This Row],[Hour]:[Hour]]&gt;12,OFFSET(TblConstr[[#This Row],[Tow]],-12,0),0)+OFFSET(TblConstr[[#This Row],[Tot Tow]],-1,0)-TblConstr[[#This Row],[Dest Tow]]</f>
        <v>0</v>
      </c>
      <c r="BM65" s="400" cm="1">
        <f t="array" aca="1" ref="BM65" ca="1">IF(TblConstr[[#This Row],[Hour]:[Hour]]&gt;12,OFFSET(TblConstr[[#This Row],[Tem]],-12,0),0)+OFFSET(TblConstr[[#This Row],[Tot Tem]],-1,0)-TblConstr[[#This Row],[Dest Tem]]</f>
        <v>0</v>
      </c>
      <c r="BN65" s="400" cm="1">
        <f t="array" aca="1" ref="BN65" ca="1">IF(TblConstr[[#This Row],[Hour]:[Hour]]&gt;12,OFFSET(TblConstr[[#This Row],[WG]],-12,0),0)+OFFSET(TblConstr[[#This Row],[Tot WG]],-1,0)-TblConstr[[#This Row],[Dest WG]]</f>
        <v>0</v>
      </c>
      <c r="BO65" s="199" cm="1">
        <f t="array" aca="1" ref="BO65" ca="1">IF(TblConstr[[#This Row],[Hour]:[Hour]]&gt;12,OFFSET(TblConstr[[#This Row],[DM]],-12,0),0)+OFFSET(TblConstr[[#This Row],[Tot DM]],-1,0)-TblConstr[[#This Row],[Dest DM]]</f>
        <v>0</v>
      </c>
      <c r="BP65" s="199" cm="1">
        <f t="array" aca="1" ref="BP65" ca="1">IF(TblConstr[[#This Row],[Hour]:[Hour]]&gt;12,OFFSET(TblConstr[[#This Row],[Sch]],-12,0),0)+OFFSET(TblConstr[[#This Row],[Tot Sch]],-1,0)-TblConstr[[#This Row],[Dest Sch]]</f>
        <v>0</v>
      </c>
      <c r="BQ65" s="200" cm="1">
        <f t="array" aca="1" ref="BQ65" ca="1">IF(TblConstr[[#This Row],[Hour]:[Hour]]&gt;12,OFFSET(TblConstr[[#This Row],[Doc]],-12,0),0)+OFFSET(TblConstr[[#This Row],[Tot Doc]],-1,0)-TblConstr[[#This Row],[Dest Doc]]</f>
        <v>0</v>
      </c>
      <c r="BR65" s="150"/>
      <c r="BS65" s="162"/>
      <c r="BT65" s="97">
        <f ca="1">TblConstr[[#This Row],[Land]]</f>
        <v>250</v>
      </c>
      <c r="BU65" s="167">
        <f ca="1">TblImps[[#This Row],[Time]]</f>
        <v>44813.291666666519</v>
      </c>
      <c r="BV65" s="150"/>
      <c r="BW65" s="187"/>
      <c r="BX65" s="187"/>
      <c r="BY65" s="187"/>
      <c r="BZ65" s="187"/>
      <c r="CA65" s="187"/>
      <c r="CB65" s="187"/>
      <c r="CC65" s="187"/>
      <c r="CD65" s="187"/>
      <c r="CE65" s="187"/>
      <c r="CF65" s="187"/>
      <c r="CG65" s="187"/>
      <c r="CH65" s="187"/>
      <c r="CI65" s="187"/>
      <c r="CJ65" s="187"/>
      <c r="CK65" s="187"/>
      <c r="CL65" s="187"/>
      <c r="CM65" s="187"/>
      <c r="CN65" s="187"/>
      <c r="CO65" s="187"/>
      <c r="CP65" s="150"/>
      <c r="CQ65" s="189">
        <f ca="1">-SUM(TblConstr[[#This Row],[Alc]:[Mas]])+SUM(TblConstr[[#This Row],[Dest Alc]:[Dest Mas]])+Rezone!L65+IF("Ch_"&amp; home_land=TblConstr[[#Headers],[Ch_Plain]],TblConstr[[#This Row],[Home Land]])+IF(TblConstr[[#This Row],[Hour]:[Hour]]&gt;12,OFFSET(TblExplore[[#This Row],[Plains Explore]],-12,0),0)</f>
        <v>0</v>
      </c>
      <c r="CR65" s="190">
        <f ca="1">-SUM(TblConstr[[#This Row],[Ly]:[Hav]])+SUM(TblConstr[[#This Row],[Dest Ly]:[Dest Hav]]) +Rezone!M65 + IF("Ch_"&amp; home_land=TblConstr[[#Headers],[Ch_Forest]],TblConstr[[#This Row],[Home Land]])+IF(TblConstr[[#This Row],[Hour]:[Hour]]&gt;12,OFFSET(TblExplore[[#This Row],[Forest Explore]],-12,0),0)</f>
        <v>0</v>
      </c>
      <c r="CS65" s="390">
        <f ca="1">-SUM(TblConstr[[#This Row],[OM]:[GN]])+SUM(TblConstr[[#This Row],[Dest OM]:[Dest GN]]) +Rezone!N65 + IF("Ch_"&amp; home_land=TblConstr[[#Headers],[Ch_Mountain]],TblConstr[[#This Row],[Home Land]])+IF(TblConstr[[#This Row],[Hour]:[Hour]]&gt;12,OFFSET(TblExplore[[#This Row],[Mountain Explore]],-12,0),0)</f>
        <v>0</v>
      </c>
      <c r="CT65" s="191">
        <f ca="1">-SUM(TblConstr[[#This Row],[Fac]:[Shr]])+SUM(TblConstr[[#This Row],[Dest Fac]:[Dest Shr]]) +Rezone!O65 + IF("Ch_" &amp; home_land=TblConstr[[#Headers],[Ch_Hill]],TblConstr[[#This Row],[Home Land]])+IF(TblConstr[[#This Row],[Hour]:[Hour]]&gt;12,OFFSET(TblExplore[[#This Row],[Hill Explore]],-12,0),0)</f>
        <v>0</v>
      </c>
      <c r="CU65" s="192">
        <f ca="1">-SUM(TblConstr[[#This Row],[Tow]:[WG]])+SUM(TblConstr[[#This Row],[Dest Tow]:[Dest WG]]) +Rezone!P65 + IF("Ch_" &amp; home_land=TblConstr[[#Headers],[Ch_Swamp]],TblConstr[[#This Row],[Home Land]])+IF(TblConstr[[#This Row],[Hour]:[Hour]]&gt;12,OFFSET(TblExplore[[#This Row],[Swamp Explore]],-12,0),0)</f>
        <v>0</v>
      </c>
      <c r="CV65" s="193">
        <f ca="1" xml:space="preserve"> - SUM(TblConstr[[#This Row],[DM]:[Sch]])+SUM(TblConstr[[#This Row],[Dest DM]:[Dest Sch]]) +Rezone!Q65 + IF("Ch_" &amp; home_land=TblConstr[[#Headers],[Ch_Cavern]],TblConstr[[#This Row],[Home Land]])+IF(TblConstr[[#This Row],[Hour]:[Hour]]&gt;12,OFFSET(TblExplore[[#This Row],[Cavern Explore]],-12,0),0)</f>
        <v>0</v>
      </c>
      <c r="CW65" s="194">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50"/>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83">
        <f>TblRezone[[#This Row],[Hour]]</f>
        <v>63</v>
      </c>
      <c r="B66" s="184">
        <f ca="1">SUM(TblConstr[[#This Row],[Plain]:[Water]])</f>
        <v>160</v>
      </c>
      <c r="C66" s="185">
        <f ca="1">SUM(TblConstr[[#This Row],[Tot Hom]:[Tot Doc]])</f>
        <v>90</v>
      </c>
      <c r="D66" s="185">
        <f t="shared" si="11"/>
        <v>0</v>
      </c>
      <c r="E66" s="186"/>
      <c r="F66" s="62">
        <f ca="1">TblConstr[[#This Row],[Barren]]+TblConstr[[#This Row],[Buildings]]+TblConstr[[#This Row],[Incoming]]</f>
        <v>250</v>
      </c>
      <c r="G66" s="195">
        <f ca="1">OFFSET(TblConstr[[#This Row],[Plain]],-1,0)+TblConstr[[#This Row],[Ch_Plain]]</f>
        <v>40</v>
      </c>
      <c r="H66" s="190">
        <f ca="1">OFFSET(TblConstr[[#This Row],[Forest]],-1,0)+TblConstr[[#This Row],[Ch_Forest]]</f>
        <v>20</v>
      </c>
      <c r="I66" s="390">
        <f ca="1">OFFSET(TblConstr[[#This Row],[Mountain]],-1,0)+TblConstr[[#This Row],[Ch_Mountain]]</f>
        <v>20</v>
      </c>
      <c r="J66" s="394">
        <f ca="1">OFFSET(TblConstr[[#This Row],[Hill]],-1,0)+TblConstr[[#This Row],[Ch_Hill]]</f>
        <v>20</v>
      </c>
      <c r="K66" s="398">
        <f ca="1">OFFSET(TblConstr[[#This Row],[Swamp]],-1,0)+TblConstr[[#This Row],[Ch_Swamp]]</f>
        <v>20</v>
      </c>
      <c r="L66" s="193">
        <f ca="1">OFFSET(TblConstr[[#This Row],[Cavern]],-1,0)+TblConstr[[#This Row],[Ch_Cavern]]</f>
        <v>20</v>
      </c>
      <c r="M66" s="194">
        <f ca="1">OFFSET(TblConstr[[#This Row],[Water]],-1,0)+TblConstr[[#This Row],[Ch_Water]]</f>
        <v>20</v>
      </c>
      <c r="N66" s="388">
        <f>TblRezone[[#This Row],[Hour]]</f>
        <v>63</v>
      </c>
      <c r="O66" s="187"/>
      <c r="P66" s="187"/>
      <c r="Q66" s="187"/>
      <c r="R66" s="187"/>
      <c r="S66" s="187"/>
      <c r="T66" s="187"/>
      <c r="U66" s="187"/>
      <c r="V66" s="187"/>
      <c r="W66" s="187"/>
      <c r="X66" s="187"/>
      <c r="Y66" s="187"/>
      <c r="Z66" s="187"/>
      <c r="AA66" s="187"/>
      <c r="AB66" s="187"/>
      <c r="AC66" s="187"/>
      <c r="AD66" s="187"/>
      <c r="AE66" s="187"/>
      <c r="AF66" s="187"/>
      <c r="AG66" s="187"/>
      <c r="AH66" s="53">
        <f ca="1">TblImps[[#This Row],[Time]]</f>
        <v>44813.333333333183</v>
      </c>
      <c r="AI66" s="188">
        <f ca="1">MIN(25%,(TblConstr[[#This Row],[Tot Fac]]+TblConstr[[#This Row],[Dest Fac]])/(TblConstr[[#This Row],[Land]]-TblExplore[[#This Row],[Land Bonus]]*20))</f>
        <v>0</v>
      </c>
      <c r="AJ66" s="188">
        <f ca="1">MIN(25%,(TblConstr[[#This Row],[Tot Fac]]+TblConstr[[#This Row],[Dest Fac]])/TblConstr[[#This Row],[Land]])</f>
        <v>0</v>
      </c>
      <c r="AK66" s="97">
        <f ca="1">TblProd[[#This Row],[Platinum]]</f>
        <v>441010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50"/>
      <c r="AV66" s="97">
        <f ca="1">ROUND((TblConstr[[#This Row],[Land]]-250 - IF(TblExplore[[#This Row],[Land Bonus]]&lt;&gt;0,20,0))*1.25 + 850 + 0,0)</f>
        <v>850</v>
      </c>
      <c r="AW66" s="97">
        <f ca="1">ROUND((TblConstr[[#This Row],[Land]]-250 - IF(TblExplore[[#This Row],[Land Bonus]]&lt;&gt;0,20,0))*0.285 + 87.5 + 0/4.25,0)</f>
        <v>88</v>
      </c>
      <c r="AX66" s="162"/>
      <c r="AY66" s="196" cm="1">
        <f t="array" aca="1" ref="AY66" ca="1">IF(TblConstr[[#This Row],[Hour]:[Hour]]&gt;12,OFFSET(TblConstr[[#This Row],[Hom]],-12,0),0)+OFFSET(TblConstr[[#This Row],[Tot Hom]],-1,0)-TblConstr[[#This Row],[Dest Hom]]</f>
        <v>10</v>
      </c>
      <c r="AZ66" s="197" cm="1">
        <f t="array" aca="1" ref="AZ66" ca="1">IF(TblConstr[[#This Row],[Hour]:[Hour]]&gt;12,OFFSET(TblConstr[[#This Row],[Alc]],-12,0),0)+OFFSET(TblConstr[[#This Row],[Tot Alc]],-1,0)-TblConstr[[#This Row],[Dest Alc]]</f>
        <v>30</v>
      </c>
      <c r="BA66" s="197" cm="1">
        <f t="array" aca="1" ref="BA66" ca="1">IF(TblConstr[[#This Row],[Hour]:[Hour]]&gt;12,OFFSET(TblConstr[[#This Row],[Far]],-12,0),0)+OFFSET(TblConstr[[#This Row],[Tot Farm]],-1,0)-TblConstr[[#This Row],[Dest Farm]]</f>
        <v>30</v>
      </c>
      <c r="BB66" s="197" cm="1">
        <f t="array" aca="1" ref="BB66" ca="1">IF(TblConstr[[#This Row],[Hour]:[Hour]]&gt;12,OFFSET(TblConstr[[#This Row],[Smi]],-12,0),0)+OFFSET(TblConstr[[#This Row],[Tot Smi]],-1,0)-TblConstr[[#This Row],[Dest Smi]]</f>
        <v>0</v>
      </c>
      <c r="BC66" s="197" cm="1">
        <f t="array" aca="1" ref="BC66" ca="1">IF(TblConstr[[#This Row],[Hour]:[Hour]]&gt;12,OFFSET(TblConstr[[#This Row],[Mas]],-12,0),0)+OFFSET(TblConstr[[#This Row],[Tot Mas]],-1,0)-TblConstr[[#This Row],[Dest Mas]]</f>
        <v>0</v>
      </c>
      <c r="BD66" s="198" cm="1">
        <f t="array" aca="1" ref="BD66" ca="1">IF(TblConstr[[#This Row],[Hour]:[Hour]]&gt;12,OFFSET(TblConstr[[#This Row],[Ly]],-12,0),0)+OFFSET(TblConstr[[#This Row],[Tot Ly]],-1,0)-TblConstr[[#This Row],[Dest Ly]]</f>
        <v>20</v>
      </c>
      <c r="BE66" s="198" cm="1">
        <f t="array" aca="1" ref="BE66" ca="1">IF(TblConstr[[#This Row],[Hour]:[Hour]]&gt;12,OFFSET(TblConstr[[#This Row],[Hav]],-12,0),0)+OFFSET(TblConstr[[#This Row],[Tot Hav]],-1,0)-TblConstr[[#This Row],[Dest Hav]]</f>
        <v>0</v>
      </c>
      <c r="BF66" s="392" cm="1">
        <f t="array" aca="1" ref="BF66" ca="1">IF(TblConstr[[#This Row],[Hour]:[Hour]]&gt;12,OFFSET(TblConstr[[#This Row],[OM]],-12,0),0)+OFFSET(TblConstr[[#This Row],[Tot OM]],-1,0)-TblConstr[[#This Row],[Dest OM]]</f>
        <v>0</v>
      </c>
      <c r="BG66" s="392" cm="1">
        <f t="array" aca="1" ref="BG66" ca="1">IF(TblConstr[[#This Row],[Hour]:[Hour]]&gt;12,OFFSET(TblConstr[[#This Row],[GN]],-12,0),0)+OFFSET(TblConstr[[#This Row],[Tot GN]],-1,0)-TblConstr[[#This Row],[Dest GN]]</f>
        <v>0</v>
      </c>
      <c r="BH66" s="396" cm="1">
        <f t="array" aca="1" ref="BH66" ca="1">IF(TblConstr[[#This Row],[Hour]:[Hour]]&gt;12,OFFSET(TblConstr[[#This Row],[Fac]],-12,0),0)+OFFSET(TblConstr[[#This Row],[Tot Fac]],-1,0)-TblConstr[[#This Row],[Dest Fac]]</f>
        <v>0</v>
      </c>
      <c r="BI66" s="396" cm="1">
        <f t="array" aca="1" ref="BI66" ca="1">IF(TblConstr[[#This Row],[Hour]:[Hour]]&gt;12,OFFSET(TblConstr[[#This Row],[GT]],-12,0),0)+OFFSET(TblConstr[[#This Row],[Tot GT]],-1,0)-TblConstr[[#This Row],[Dest GT]]</f>
        <v>0</v>
      </c>
      <c r="BJ66" s="396" cm="1">
        <f t="array" aca="1" ref="BJ66" ca="1">IF(TblConstr[[#This Row],[Hour]:[Hour]]&gt;12,OFFSET(TblConstr[[#This Row],[Bar]],-12,0),0)+OFFSET(TblConstr[[#This Row],[Tot Bar]],-1,0)-TblConstr[[#This Row],[Dest Bar]]</f>
        <v>0</v>
      </c>
      <c r="BK66" s="396" cm="1">
        <f t="array" aca="1" ref="BK66" ca="1">IF(TblConstr[[#This Row],[Hour]:[Hour]]&gt;12,OFFSET(TblConstr[[#This Row],[Shr]],-12,0),0)+OFFSET(TblConstr[[#This Row],[Tot Shr]],-1,0)-TblConstr[[#This Row],[Dest Shr]]</f>
        <v>0</v>
      </c>
      <c r="BL66" s="400" cm="1">
        <f t="array" aca="1" ref="BL66" ca="1">IF(TblConstr[[#This Row],[Hour]:[Hour]]&gt;12,OFFSET(TblConstr[[#This Row],[Tow]],-12,0),0)+OFFSET(TblConstr[[#This Row],[Tot Tow]],-1,0)-TblConstr[[#This Row],[Dest Tow]]</f>
        <v>0</v>
      </c>
      <c r="BM66" s="400" cm="1">
        <f t="array" aca="1" ref="BM66" ca="1">IF(TblConstr[[#This Row],[Hour]:[Hour]]&gt;12,OFFSET(TblConstr[[#This Row],[Tem]],-12,0),0)+OFFSET(TblConstr[[#This Row],[Tot Tem]],-1,0)-TblConstr[[#This Row],[Dest Tem]]</f>
        <v>0</v>
      </c>
      <c r="BN66" s="400" cm="1">
        <f t="array" aca="1" ref="BN66" ca="1">IF(TblConstr[[#This Row],[Hour]:[Hour]]&gt;12,OFFSET(TblConstr[[#This Row],[WG]],-12,0),0)+OFFSET(TblConstr[[#This Row],[Tot WG]],-1,0)-TblConstr[[#This Row],[Dest WG]]</f>
        <v>0</v>
      </c>
      <c r="BO66" s="199" cm="1">
        <f t="array" aca="1" ref="BO66" ca="1">IF(TblConstr[[#This Row],[Hour]:[Hour]]&gt;12,OFFSET(TblConstr[[#This Row],[DM]],-12,0),0)+OFFSET(TblConstr[[#This Row],[Tot DM]],-1,0)-TblConstr[[#This Row],[Dest DM]]</f>
        <v>0</v>
      </c>
      <c r="BP66" s="199" cm="1">
        <f t="array" aca="1" ref="BP66" ca="1">IF(TblConstr[[#This Row],[Hour]:[Hour]]&gt;12,OFFSET(TblConstr[[#This Row],[Sch]],-12,0),0)+OFFSET(TblConstr[[#This Row],[Tot Sch]],-1,0)-TblConstr[[#This Row],[Dest Sch]]</f>
        <v>0</v>
      </c>
      <c r="BQ66" s="200" cm="1">
        <f t="array" aca="1" ref="BQ66" ca="1">IF(TblConstr[[#This Row],[Hour]:[Hour]]&gt;12,OFFSET(TblConstr[[#This Row],[Doc]],-12,0),0)+OFFSET(TblConstr[[#This Row],[Tot Doc]],-1,0)-TblConstr[[#This Row],[Dest Doc]]</f>
        <v>0</v>
      </c>
      <c r="BR66" s="150"/>
      <c r="BS66" s="162"/>
      <c r="BT66" s="97">
        <f ca="1">TblConstr[[#This Row],[Land]]</f>
        <v>250</v>
      </c>
      <c r="BU66" s="167">
        <f ca="1">TblImps[[#This Row],[Time]]</f>
        <v>44813.333333333183</v>
      </c>
      <c r="BV66" s="150"/>
      <c r="BW66" s="187"/>
      <c r="BX66" s="187"/>
      <c r="BY66" s="187"/>
      <c r="BZ66" s="187"/>
      <c r="CA66" s="187"/>
      <c r="CB66" s="187"/>
      <c r="CC66" s="187"/>
      <c r="CD66" s="187"/>
      <c r="CE66" s="187"/>
      <c r="CF66" s="187"/>
      <c r="CG66" s="187"/>
      <c r="CH66" s="187"/>
      <c r="CI66" s="187"/>
      <c r="CJ66" s="187"/>
      <c r="CK66" s="187"/>
      <c r="CL66" s="187"/>
      <c r="CM66" s="187"/>
      <c r="CN66" s="187"/>
      <c r="CO66" s="187"/>
      <c r="CP66" s="150"/>
      <c r="CQ66" s="189">
        <f ca="1">-SUM(TblConstr[[#This Row],[Alc]:[Mas]])+SUM(TblConstr[[#This Row],[Dest Alc]:[Dest Mas]])+Rezone!L66+IF("Ch_"&amp; home_land=TblConstr[[#Headers],[Ch_Plain]],TblConstr[[#This Row],[Home Land]])+IF(TblConstr[[#This Row],[Hour]:[Hour]]&gt;12,OFFSET(TblExplore[[#This Row],[Plains Explore]],-12,0),0)</f>
        <v>0</v>
      </c>
      <c r="CR66" s="190">
        <f ca="1">-SUM(TblConstr[[#This Row],[Ly]:[Hav]])+SUM(TblConstr[[#This Row],[Dest Ly]:[Dest Hav]]) +Rezone!M66 + IF("Ch_"&amp; home_land=TblConstr[[#Headers],[Ch_Forest]],TblConstr[[#This Row],[Home Land]])+IF(TblConstr[[#This Row],[Hour]:[Hour]]&gt;12,OFFSET(TblExplore[[#This Row],[Forest Explore]],-12,0),0)</f>
        <v>0</v>
      </c>
      <c r="CS66" s="390">
        <f ca="1">-SUM(TblConstr[[#This Row],[OM]:[GN]])+SUM(TblConstr[[#This Row],[Dest OM]:[Dest GN]]) +Rezone!N66 + IF("Ch_"&amp; home_land=TblConstr[[#Headers],[Ch_Mountain]],TblConstr[[#This Row],[Home Land]])+IF(TblConstr[[#This Row],[Hour]:[Hour]]&gt;12,OFFSET(TblExplore[[#This Row],[Mountain Explore]],-12,0),0)</f>
        <v>0</v>
      </c>
      <c r="CT66" s="191">
        <f ca="1">-SUM(TblConstr[[#This Row],[Fac]:[Shr]])+SUM(TblConstr[[#This Row],[Dest Fac]:[Dest Shr]]) +Rezone!O66 + IF("Ch_" &amp; home_land=TblConstr[[#Headers],[Ch_Hill]],TblConstr[[#This Row],[Home Land]])+IF(TblConstr[[#This Row],[Hour]:[Hour]]&gt;12,OFFSET(TblExplore[[#This Row],[Hill Explore]],-12,0),0)</f>
        <v>0</v>
      </c>
      <c r="CU66" s="192">
        <f ca="1">-SUM(TblConstr[[#This Row],[Tow]:[WG]])+SUM(TblConstr[[#This Row],[Dest Tow]:[Dest WG]]) +Rezone!P66 + IF("Ch_" &amp; home_land=TblConstr[[#Headers],[Ch_Swamp]],TblConstr[[#This Row],[Home Land]])+IF(TblConstr[[#This Row],[Hour]:[Hour]]&gt;12,OFFSET(TblExplore[[#This Row],[Swamp Explore]],-12,0),0)</f>
        <v>0</v>
      </c>
      <c r="CV66" s="193">
        <f ca="1" xml:space="preserve"> - SUM(TblConstr[[#This Row],[DM]:[Sch]])+SUM(TblConstr[[#This Row],[Dest DM]:[Dest Sch]]) +Rezone!Q66 + IF("Ch_" &amp; home_land=TblConstr[[#Headers],[Ch_Cavern]],TblConstr[[#This Row],[Home Land]])+IF(TblConstr[[#This Row],[Hour]:[Hour]]&gt;12,OFFSET(TblExplore[[#This Row],[Cavern Explore]],-12,0),0)</f>
        <v>0</v>
      </c>
      <c r="CW66" s="194">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50"/>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83">
        <f>TblRezone[[#This Row],[Hour]]</f>
        <v>64</v>
      </c>
      <c r="B67" s="184">
        <f ca="1">SUM(TblConstr[[#This Row],[Plain]:[Water]])</f>
        <v>160</v>
      </c>
      <c r="C67" s="185">
        <f ca="1">SUM(TblConstr[[#This Row],[Tot Hom]:[Tot Doc]])</f>
        <v>90</v>
      </c>
      <c r="D67" s="185">
        <f t="shared" si="11"/>
        <v>0</v>
      </c>
      <c r="E67" s="186"/>
      <c r="F67" s="62">
        <f ca="1">TblConstr[[#This Row],[Barren]]+TblConstr[[#This Row],[Buildings]]+TblConstr[[#This Row],[Incoming]]</f>
        <v>250</v>
      </c>
      <c r="G67" s="195">
        <f ca="1">OFFSET(TblConstr[[#This Row],[Plain]],-1,0)+TblConstr[[#This Row],[Ch_Plain]]</f>
        <v>40</v>
      </c>
      <c r="H67" s="190">
        <f ca="1">OFFSET(TblConstr[[#This Row],[Forest]],-1,0)+TblConstr[[#This Row],[Ch_Forest]]</f>
        <v>20</v>
      </c>
      <c r="I67" s="390">
        <f ca="1">OFFSET(TblConstr[[#This Row],[Mountain]],-1,0)+TblConstr[[#This Row],[Ch_Mountain]]</f>
        <v>20</v>
      </c>
      <c r="J67" s="394">
        <f ca="1">OFFSET(TblConstr[[#This Row],[Hill]],-1,0)+TblConstr[[#This Row],[Ch_Hill]]</f>
        <v>20</v>
      </c>
      <c r="K67" s="398">
        <f ca="1">OFFSET(TblConstr[[#This Row],[Swamp]],-1,0)+TblConstr[[#This Row],[Ch_Swamp]]</f>
        <v>20</v>
      </c>
      <c r="L67" s="193">
        <f ca="1">OFFSET(TblConstr[[#This Row],[Cavern]],-1,0)+TblConstr[[#This Row],[Ch_Cavern]]</f>
        <v>20</v>
      </c>
      <c r="M67" s="194">
        <f ca="1">OFFSET(TblConstr[[#This Row],[Water]],-1,0)+TblConstr[[#This Row],[Ch_Water]]</f>
        <v>20</v>
      </c>
      <c r="N67" s="388">
        <f>TblRezone[[#This Row],[Hour]]</f>
        <v>64</v>
      </c>
      <c r="O67" s="187"/>
      <c r="P67" s="187"/>
      <c r="Q67" s="187"/>
      <c r="R67" s="187"/>
      <c r="S67" s="187"/>
      <c r="T67" s="187"/>
      <c r="U67" s="187"/>
      <c r="V67" s="187"/>
      <c r="W67" s="187"/>
      <c r="X67" s="187"/>
      <c r="Y67" s="187"/>
      <c r="Z67" s="187"/>
      <c r="AA67" s="187"/>
      <c r="AB67" s="187"/>
      <c r="AC67" s="187"/>
      <c r="AD67" s="187"/>
      <c r="AE67" s="187"/>
      <c r="AF67" s="187"/>
      <c r="AG67" s="187"/>
      <c r="AH67" s="53">
        <f ca="1">TblImps[[#This Row],[Time]]</f>
        <v>44813.374999999847</v>
      </c>
      <c r="AI67" s="188">
        <f ca="1">MIN(25%,(TblConstr[[#This Row],[Tot Fac]]+TblConstr[[#This Row],[Dest Fac]])/(TblConstr[[#This Row],[Land]]-TblExplore[[#This Row],[Land Bonus]]*20))</f>
        <v>0</v>
      </c>
      <c r="AJ67" s="188">
        <f ca="1">MIN(25%,(TblConstr[[#This Row],[Tot Fac]]+TblConstr[[#This Row],[Dest Fac]])/TblConstr[[#This Row],[Land]])</f>
        <v>0</v>
      </c>
      <c r="AK67" s="97">
        <f ca="1">TblProd[[#This Row],[Platinum]]</f>
        <v>446496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50"/>
      <c r="AV67" s="97">
        <f ca="1">ROUND((TblConstr[[#This Row],[Land]]-250 - IF(TblExplore[[#This Row],[Land Bonus]]&lt;&gt;0,20,0))*1.25 + 850 + 0,0)</f>
        <v>850</v>
      </c>
      <c r="AW67" s="97">
        <f ca="1">ROUND((TblConstr[[#This Row],[Land]]-250 - IF(TblExplore[[#This Row],[Land Bonus]]&lt;&gt;0,20,0))*0.285 + 87.5 + 0/4.25,0)</f>
        <v>88</v>
      </c>
      <c r="AX67" s="162"/>
      <c r="AY67" s="196" cm="1">
        <f t="array" aca="1" ref="AY67" ca="1">IF(TblConstr[[#This Row],[Hour]:[Hour]]&gt;12,OFFSET(TblConstr[[#This Row],[Hom]],-12,0),0)+OFFSET(TblConstr[[#This Row],[Tot Hom]],-1,0)-TblConstr[[#This Row],[Dest Hom]]</f>
        <v>10</v>
      </c>
      <c r="AZ67" s="197" cm="1">
        <f t="array" aca="1" ref="AZ67" ca="1">IF(TblConstr[[#This Row],[Hour]:[Hour]]&gt;12,OFFSET(TblConstr[[#This Row],[Alc]],-12,0),0)+OFFSET(TblConstr[[#This Row],[Tot Alc]],-1,0)-TblConstr[[#This Row],[Dest Alc]]</f>
        <v>30</v>
      </c>
      <c r="BA67" s="197" cm="1">
        <f t="array" aca="1" ref="BA67" ca="1">IF(TblConstr[[#This Row],[Hour]:[Hour]]&gt;12,OFFSET(TblConstr[[#This Row],[Far]],-12,0),0)+OFFSET(TblConstr[[#This Row],[Tot Farm]],-1,0)-TblConstr[[#This Row],[Dest Farm]]</f>
        <v>30</v>
      </c>
      <c r="BB67" s="197" cm="1">
        <f t="array" aca="1" ref="BB67" ca="1">IF(TblConstr[[#This Row],[Hour]:[Hour]]&gt;12,OFFSET(TblConstr[[#This Row],[Smi]],-12,0),0)+OFFSET(TblConstr[[#This Row],[Tot Smi]],-1,0)-TblConstr[[#This Row],[Dest Smi]]</f>
        <v>0</v>
      </c>
      <c r="BC67" s="197" cm="1">
        <f t="array" aca="1" ref="BC67" ca="1">IF(TblConstr[[#This Row],[Hour]:[Hour]]&gt;12,OFFSET(TblConstr[[#This Row],[Mas]],-12,0),0)+OFFSET(TblConstr[[#This Row],[Tot Mas]],-1,0)-TblConstr[[#This Row],[Dest Mas]]</f>
        <v>0</v>
      </c>
      <c r="BD67" s="198" cm="1">
        <f t="array" aca="1" ref="BD67" ca="1">IF(TblConstr[[#This Row],[Hour]:[Hour]]&gt;12,OFFSET(TblConstr[[#This Row],[Ly]],-12,0),0)+OFFSET(TblConstr[[#This Row],[Tot Ly]],-1,0)-TblConstr[[#This Row],[Dest Ly]]</f>
        <v>20</v>
      </c>
      <c r="BE67" s="198" cm="1">
        <f t="array" aca="1" ref="BE67" ca="1">IF(TblConstr[[#This Row],[Hour]:[Hour]]&gt;12,OFFSET(TblConstr[[#This Row],[Hav]],-12,0),0)+OFFSET(TblConstr[[#This Row],[Tot Hav]],-1,0)-TblConstr[[#This Row],[Dest Hav]]</f>
        <v>0</v>
      </c>
      <c r="BF67" s="392" cm="1">
        <f t="array" aca="1" ref="BF67" ca="1">IF(TblConstr[[#This Row],[Hour]:[Hour]]&gt;12,OFFSET(TblConstr[[#This Row],[OM]],-12,0),0)+OFFSET(TblConstr[[#This Row],[Tot OM]],-1,0)-TblConstr[[#This Row],[Dest OM]]</f>
        <v>0</v>
      </c>
      <c r="BG67" s="392" cm="1">
        <f t="array" aca="1" ref="BG67" ca="1">IF(TblConstr[[#This Row],[Hour]:[Hour]]&gt;12,OFFSET(TblConstr[[#This Row],[GN]],-12,0),0)+OFFSET(TblConstr[[#This Row],[Tot GN]],-1,0)-TblConstr[[#This Row],[Dest GN]]</f>
        <v>0</v>
      </c>
      <c r="BH67" s="396" cm="1">
        <f t="array" aca="1" ref="BH67" ca="1">IF(TblConstr[[#This Row],[Hour]:[Hour]]&gt;12,OFFSET(TblConstr[[#This Row],[Fac]],-12,0),0)+OFFSET(TblConstr[[#This Row],[Tot Fac]],-1,0)-TblConstr[[#This Row],[Dest Fac]]</f>
        <v>0</v>
      </c>
      <c r="BI67" s="396" cm="1">
        <f t="array" aca="1" ref="BI67" ca="1">IF(TblConstr[[#This Row],[Hour]:[Hour]]&gt;12,OFFSET(TblConstr[[#This Row],[GT]],-12,0),0)+OFFSET(TblConstr[[#This Row],[Tot GT]],-1,0)-TblConstr[[#This Row],[Dest GT]]</f>
        <v>0</v>
      </c>
      <c r="BJ67" s="396" cm="1">
        <f t="array" aca="1" ref="BJ67" ca="1">IF(TblConstr[[#This Row],[Hour]:[Hour]]&gt;12,OFFSET(TblConstr[[#This Row],[Bar]],-12,0),0)+OFFSET(TblConstr[[#This Row],[Tot Bar]],-1,0)-TblConstr[[#This Row],[Dest Bar]]</f>
        <v>0</v>
      </c>
      <c r="BK67" s="396" cm="1">
        <f t="array" aca="1" ref="BK67" ca="1">IF(TblConstr[[#This Row],[Hour]:[Hour]]&gt;12,OFFSET(TblConstr[[#This Row],[Shr]],-12,0),0)+OFFSET(TblConstr[[#This Row],[Tot Shr]],-1,0)-TblConstr[[#This Row],[Dest Shr]]</f>
        <v>0</v>
      </c>
      <c r="BL67" s="400" cm="1">
        <f t="array" aca="1" ref="BL67" ca="1">IF(TblConstr[[#This Row],[Hour]:[Hour]]&gt;12,OFFSET(TblConstr[[#This Row],[Tow]],-12,0),0)+OFFSET(TblConstr[[#This Row],[Tot Tow]],-1,0)-TblConstr[[#This Row],[Dest Tow]]</f>
        <v>0</v>
      </c>
      <c r="BM67" s="400" cm="1">
        <f t="array" aca="1" ref="BM67" ca="1">IF(TblConstr[[#This Row],[Hour]:[Hour]]&gt;12,OFFSET(TblConstr[[#This Row],[Tem]],-12,0),0)+OFFSET(TblConstr[[#This Row],[Tot Tem]],-1,0)-TblConstr[[#This Row],[Dest Tem]]</f>
        <v>0</v>
      </c>
      <c r="BN67" s="400" cm="1">
        <f t="array" aca="1" ref="BN67" ca="1">IF(TblConstr[[#This Row],[Hour]:[Hour]]&gt;12,OFFSET(TblConstr[[#This Row],[WG]],-12,0),0)+OFFSET(TblConstr[[#This Row],[Tot WG]],-1,0)-TblConstr[[#This Row],[Dest WG]]</f>
        <v>0</v>
      </c>
      <c r="BO67" s="199" cm="1">
        <f t="array" aca="1" ref="BO67" ca="1">IF(TblConstr[[#This Row],[Hour]:[Hour]]&gt;12,OFFSET(TblConstr[[#This Row],[DM]],-12,0),0)+OFFSET(TblConstr[[#This Row],[Tot DM]],-1,0)-TblConstr[[#This Row],[Dest DM]]</f>
        <v>0</v>
      </c>
      <c r="BP67" s="199" cm="1">
        <f t="array" aca="1" ref="BP67" ca="1">IF(TblConstr[[#This Row],[Hour]:[Hour]]&gt;12,OFFSET(TblConstr[[#This Row],[Sch]],-12,0),0)+OFFSET(TblConstr[[#This Row],[Tot Sch]],-1,0)-TblConstr[[#This Row],[Dest Sch]]</f>
        <v>0</v>
      </c>
      <c r="BQ67" s="200" cm="1">
        <f t="array" aca="1" ref="BQ67" ca="1">IF(TblConstr[[#This Row],[Hour]:[Hour]]&gt;12,OFFSET(TblConstr[[#This Row],[Doc]],-12,0),0)+OFFSET(TblConstr[[#This Row],[Tot Doc]],-1,0)-TblConstr[[#This Row],[Dest Doc]]</f>
        <v>0</v>
      </c>
      <c r="BR67" s="150"/>
      <c r="BS67" s="162"/>
      <c r="BT67" s="97">
        <f ca="1">TblConstr[[#This Row],[Land]]</f>
        <v>250</v>
      </c>
      <c r="BU67" s="167">
        <f ca="1">TblImps[[#This Row],[Time]]</f>
        <v>44813.374999999847</v>
      </c>
      <c r="BV67" s="150"/>
      <c r="BW67" s="187"/>
      <c r="BX67" s="187"/>
      <c r="BY67" s="187"/>
      <c r="BZ67" s="187"/>
      <c r="CA67" s="187"/>
      <c r="CB67" s="187"/>
      <c r="CC67" s="187"/>
      <c r="CD67" s="187"/>
      <c r="CE67" s="187"/>
      <c r="CF67" s="187"/>
      <c r="CG67" s="187"/>
      <c r="CH67" s="187"/>
      <c r="CI67" s="187"/>
      <c r="CJ67" s="187"/>
      <c r="CK67" s="187"/>
      <c r="CL67" s="187"/>
      <c r="CM67" s="187"/>
      <c r="CN67" s="187"/>
      <c r="CO67" s="187"/>
      <c r="CP67" s="150"/>
      <c r="CQ67" s="189">
        <f ca="1">-SUM(TblConstr[[#This Row],[Alc]:[Mas]])+SUM(TblConstr[[#This Row],[Dest Alc]:[Dest Mas]])+Rezone!L67+IF("Ch_"&amp; home_land=TblConstr[[#Headers],[Ch_Plain]],TblConstr[[#This Row],[Home Land]])+IF(TblConstr[[#This Row],[Hour]:[Hour]]&gt;12,OFFSET(TblExplore[[#This Row],[Plains Explore]],-12,0),0)</f>
        <v>0</v>
      </c>
      <c r="CR67" s="190">
        <f ca="1">-SUM(TblConstr[[#This Row],[Ly]:[Hav]])+SUM(TblConstr[[#This Row],[Dest Ly]:[Dest Hav]]) +Rezone!M67 + IF("Ch_"&amp; home_land=TblConstr[[#Headers],[Ch_Forest]],TblConstr[[#This Row],[Home Land]])+IF(TblConstr[[#This Row],[Hour]:[Hour]]&gt;12,OFFSET(TblExplore[[#This Row],[Forest Explore]],-12,0),0)</f>
        <v>0</v>
      </c>
      <c r="CS67" s="390">
        <f ca="1">-SUM(TblConstr[[#This Row],[OM]:[GN]])+SUM(TblConstr[[#This Row],[Dest OM]:[Dest GN]]) +Rezone!N67 + IF("Ch_"&amp; home_land=TblConstr[[#Headers],[Ch_Mountain]],TblConstr[[#This Row],[Home Land]])+IF(TblConstr[[#This Row],[Hour]:[Hour]]&gt;12,OFFSET(TblExplore[[#This Row],[Mountain Explore]],-12,0),0)</f>
        <v>0</v>
      </c>
      <c r="CT67" s="191">
        <f ca="1">-SUM(TblConstr[[#This Row],[Fac]:[Shr]])+SUM(TblConstr[[#This Row],[Dest Fac]:[Dest Shr]]) +Rezone!O67 + IF("Ch_" &amp; home_land=TblConstr[[#Headers],[Ch_Hill]],TblConstr[[#This Row],[Home Land]])+IF(TblConstr[[#This Row],[Hour]:[Hour]]&gt;12,OFFSET(TblExplore[[#This Row],[Hill Explore]],-12,0),0)</f>
        <v>0</v>
      </c>
      <c r="CU67" s="192">
        <f ca="1">-SUM(TblConstr[[#This Row],[Tow]:[WG]])+SUM(TblConstr[[#This Row],[Dest Tow]:[Dest WG]]) +Rezone!P67 + IF("Ch_" &amp; home_land=TblConstr[[#Headers],[Ch_Swamp]],TblConstr[[#This Row],[Home Land]])+IF(TblConstr[[#This Row],[Hour]:[Hour]]&gt;12,OFFSET(TblExplore[[#This Row],[Swamp Explore]],-12,0),0)</f>
        <v>0</v>
      </c>
      <c r="CV67" s="193">
        <f ca="1" xml:space="preserve"> - SUM(TblConstr[[#This Row],[DM]:[Sch]])+SUM(TblConstr[[#This Row],[Dest DM]:[Dest Sch]]) +Rezone!Q67 + IF("Ch_" &amp; home_land=TblConstr[[#Headers],[Ch_Cavern]],TblConstr[[#This Row],[Home Land]])+IF(TblConstr[[#This Row],[Hour]:[Hour]]&gt;12,OFFSET(TblExplore[[#This Row],[Cavern Explore]],-12,0),0)</f>
        <v>0</v>
      </c>
      <c r="CW67" s="194">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50"/>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83">
        <f>TblRezone[[#This Row],[Hour]]</f>
        <v>65</v>
      </c>
      <c r="B68" s="184">
        <f ca="1">SUM(TblConstr[[#This Row],[Plain]:[Water]])</f>
        <v>160</v>
      </c>
      <c r="C68" s="185">
        <f ca="1">SUM(TblConstr[[#This Row],[Tot Hom]:[Tot Doc]])</f>
        <v>90</v>
      </c>
      <c r="D68" s="185">
        <f t="shared" si="11"/>
        <v>0</v>
      </c>
      <c r="E68" s="186"/>
      <c r="F68" s="62">
        <f ca="1">TblConstr[[#This Row],[Barren]]+TblConstr[[#This Row],[Buildings]]+TblConstr[[#This Row],[Incoming]]</f>
        <v>250</v>
      </c>
      <c r="G68" s="195">
        <f ca="1">OFFSET(TblConstr[[#This Row],[Plain]],-1,0)+TblConstr[[#This Row],[Ch_Plain]]</f>
        <v>40</v>
      </c>
      <c r="H68" s="190">
        <f ca="1">OFFSET(TblConstr[[#This Row],[Forest]],-1,0)+TblConstr[[#This Row],[Ch_Forest]]</f>
        <v>20</v>
      </c>
      <c r="I68" s="390">
        <f ca="1">OFFSET(TblConstr[[#This Row],[Mountain]],-1,0)+TblConstr[[#This Row],[Ch_Mountain]]</f>
        <v>20</v>
      </c>
      <c r="J68" s="394">
        <f ca="1">OFFSET(TblConstr[[#This Row],[Hill]],-1,0)+TblConstr[[#This Row],[Ch_Hill]]</f>
        <v>20</v>
      </c>
      <c r="K68" s="398">
        <f ca="1">OFFSET(TblConstr[[#This Row],[Swamp]],-1,0)+TblConstr[[#This Row],[Ch_Swamp]]</f>
        <v>20</v>
      </c>
      <c r="L68" s="193">
        <f ca="1">OFFSET(TblConstr[[#This Row],[Cavern]],-1,0)+TblConstr[[#This Row],[Ch_Cavern]]</f>
        <v>20</v>
      </c>
      <c r="M68" s="194">
        <f ca="1">OFFSET(TblConstr[[#This Row],[Water]],-1,0)+TblConstr[[#This Row],[Ch_Water]]</f>
        <v>20</v>
      </c>
      <c r="N68" s="388">
        <f>TblRezone[[#This Row],[Hour]]</f>
        <v>65</v>
      </c>
      <c r="O68" s="187"/>
      <c r="P68" s="187"/>
      <c r="Q68" s="187"/>
      <c r="R68" s="187"/>
      <c r="S68" s="187"/>
      <c r="T68" s="187"/>
      <c r="U68" s="187"/>
      <c r="V68" s="187"/>
      <c r="W68" s="187"/>
      <c r="X68" s="187"/>
      <c r="Y68" s="187"/>
      <c r="Z68" s="187"/>
      <c r="AA68" s="187"/>
      <c r="AB68" s="187"/>
      <c r="AC68" s="187"/>
      <c r="AD68" s="187"/>
      <c r="AE68" s="187"/>
      <c r="AF68" s="187"/>
      <c r="AG68" s="187"/>
      <c r="AH68" s="53">
        <f ca="1">TblImps[[#This Row],[Time]]</f>
        <v>44813.416666666511</v>
      </c>
      <c r="AI68" s="188">
        <f ca="1">MIN(25%,(TblConstr[[#This Row],[Tot Fac]]+TblConstr[[#This Row],[Dest Fac]])/(TblConstr[[#This Row],[Land]]-TblExplore[[#This Row],[Land Bonus]]*20))</f>
        <v>0</v>
      </c>
      <c r="AJ68" s="188">
        <f ca="1">MIN(25%,(TblConstr[[#This Row],[Tot Fac]]+TblConstr[[#This Row],[Dest Fac]])/TblConstr[[#This Row],[Land]])</f>
        <v>0</v>
      </c>
      <c r="AK68" s="97">
        <f ca="1">TblProd[[#This Row],[Platinum]]</f>
        <v>451982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50"/>
      <c r="AV68" s="97">
        <f ca="1">ROUND((TblConstr[[#This Row],[Land]]-250 - IF(TblExplore[[#This Row],[Land Bonus]]&lt;&gt;0,20,0))*1.25 + 850 + 0,0)</f>
        <v>850</v>
      </c>
      <c r="AW68" s="97">
        <f ca="1">ROUND((TblConstr[[#This Row],[Land]]-250 - IF(TblExplore[[#This Row],[Land Bonus]]&lt;&gt;0,20,0))*0.285 + 87.5 + 0/4.25,0)</f>
        <v>88</v>
      </c>
      <c r="AX68" s="162"/>
      <c r="AY68" s="196" cm="1">
        <f t="array" aca="1" ref="AY68" ca="1">IF(TblConstr[[#This Row],[Hour]:[Hour]]&gt;12,OFFSET(TblConstr[[#This Row],[Hom]],-12,0),0)+OFFSET(TblConstr[[#This Row],[Tot Hom]],-1,0)-TblConstr[[#This Row],[Dest Hom]]</f>
        <v>10</v>
      </c>
      <c r="AZ68" s="197" cm="1">
        <f t="array" aca="1" ref="AZ68" ca="1">IF(TblConstr[[#This Row],[Hour]:[Hour]]&gt;12,OFFSET(TblConstr[[#This Row],[Alc]],-12,0),0)+OFFSET(TblConstr[[#This Row],[Tot Alc]],-1,0)-TblConstr[[#This Row],[Dest Alc]]</f>
        <v>30</v>
      </c>
      <c r="BA68" s="197" cm="1">
        <f t="array" aca="1" ref="BA68" ca="1">IF(TblConstr[[#This Row],[Hour]:[Hour]]&gt;12,OFFSET(TblConstr[[#This Row],[Far]],-12,0),0)+OFFSET(TblConstr[[#This Row],[Tot Farm]],-1,0)-TblConstr[[#This Row],[Dest Farm]]</f>
        <v>30</v>
      </c>
      <c r="BB68" s="197" cm="1">
        <f t="array" aca="1" ref="BB68" ca="1">IF(TblConstr[[#This Row],[Hour]:[Hour]]&gt;12,OFFSET(TblConstr[[#This Row],[Smi]],-12,0),0)+OFFSET(TblConstr[[#This Row],[Tot Smi]],-1,0)-TblConstr[[#This Row],[Dest Smi]]</f>
        <v>0</v>
      </c>
      <c r="BC68" s="197" cm="1">
        <f t="array" aca="1" ref="BC68" ca="1">IF(TblConstr[[#This Row],[Hour]:[Hour]]&gt;12,OFFSET(TblConstr[[#This Row],[Mas]],-12,0),0)+OFFSET(TblConstr[[#This Row],[Tot Mas]],-1,0)-TblConstr[[#This Row],[Dest Mas]]</f>
        <v>0</v>
      </c>
      <c r="BD68" s="198" cm="1">
        <f t="array" aca="1" ref="BD68" ca="1">IF(TblConstr[[#This Row],[Hour]:[Hour]]&gt;12,OFFSET(TblConstr[[#This Row],[Ly]],-12,0),0)+OFFSET(TblConstr[[#This Row],[Tot Ly]],-1,0)-TblConstr[[#This Row],[Dest Ly]]</f>
        <v>20</v>
      </c>
      <c r="BE68" s="198" cm="1">
        <f t="array" aca="1" ref="BE68" ca="1">IF(TblConstr[[#This Row],[Hour]:[Hour]]&gt;12,OFFSET(TblConstr[[#This Row],[Hav]],-12,0),0)+OFFSET(TblConstr[[#This Row],[Tot Hav]],-1,0)-TblConstr[[#This Row],[Dest Hav]]</f>
        <v>0</v>
      </c>
      <c r="BF68" s="392" cm="1">
        <f t="array" aca="1" ref="BF68" ca="1">IF(TblConstr[[#This Row],[Hour]:[Hour]]&gt;12,OFFSET(TblConstr[[#This Row],[OM]],-12,0),0)+OFFSET(TblConstr[[#This Row],[Tot OM]],-1,0)-TblConstr[[#This Row],[Dest OM]]</f>
        <v>0</v>
      </c>
      <c r="BG68" s="392" cm="1">
        <f t="array" aca="1" ref="BG68" ca="1">IF(TblConstr[[#This Row],[Hour]:[Hour]]&gt;12,OFFSET(TblConstr[[#This Row],[GN]],-12,0),0)+OFFSET(TblConstr[[#This Row],[Tot GN]],-1,0)-TblConstr[[#This Row],[Dest GN]]</f>
        <v>0</v>
      </c>
      <c r="BH68" s="396" cm="1">
        <f t="array" aca="1" ref="BH68" ca="1">IF(TblConstr[[#This Row],[Hour]:[Hour]]&gt;12,OFFSET(TblConstr[[#This Row],[Fac]],-12,0),0)+OFFSET(TblConstr[[#This Row],[Tot Fac]],-1,0)-TblConstr[[#This Row],[Dest Fac]]</f>
        <v>0</v>
      </c>
      <c r="BI68" s="396" cm="1">
        <f t="array" aca="1" ref="BI68" ca="1">IF(TblConstr[[#This Row],[Hour]:[Hour]]&gt;12,OFFSET(TblConstr[[#This Row],[GT]],-12,0),0)+OFFSET(TblConstr[[#This Row],[Tot GT]],-1,0)-TblConstr[[#This Row],[Dest GT]]</f>
        <v>0</v>
      </c>
      <c r="BJ68" s="396" cm="1">
        <f t="array" aca="1" ref="BJ68" ca="1">IF(TblConstr[[#This Row],[Hour]:[Hour]]&gt;12,OFFSET(TblConstr[[#This Row],[Bar]],-12,0),0)+OFFSET(TblConstr[[#This Row],[Tot Bar]],-1,0)-TblConstr[[#This Row],[Dest Bar]]</f>
        <v>0</v>
      </c>
      <c r="BK68" s="396" cm="1">
        <f t="array" aca="1" ref="BK68" ca="1">IF(TblConstr[[#This Row],[Hour]:[Hour]]&gt;12,OFFSET(TblConstr[[#This Row],[Shr]],-12,0),0)+OFFSET(TblConstr[[#This Row],[Tot Shr]],-1,0)-TblConstr[[#This Row],[Dest Shr]]</f>
        <v>0</v>
      </c>
      <c r="BL68" s="400" cm="1">
        <f t="array" aca="1" ref="BL68" ca="1">IF(TblConstr[[#This Row],[Hour]:[Hour]]&gt;12,OFFSET(TblConstr[[#This Row],[Tow]],-12,0),0)+OFFSET(TblConstr[[#This Row],[Tot Tow]],-1,0)-TblConstr[[#This Row],[Dest Tow]]</f>
        <v>0</v>
      </c>
      <c r="BM68" s="400" cm="1">
        <f t="array" aca="1" ref="BM68" ca="1">IF(TblConstr[[#This Row],[Hour]:[Hour]]&gt;12,OFFSET(TblConstr[[#This Row],[Tem]],-12,0),0)+OFFSET(TblConstr[[#This Row],[Tot Tem]],-1,0)-TblConstr[[#This Row],[Dest Tem]]</f>
        <v>0</v>
      </c>
      <c r="BN68" s="400" cm="1">
        <f t="array" aca="1" ref="BN68" ca="1">IF(TblConstr[[#This Row],[Hour]:[Hour]]&gt;12,OFFSET(TblConstr[[#This Row],[WG]],-12,0),0)+OFFSET(TblConstr[[#This Row],[Tot WG]],-1,0)-TblConstr[[#This Row],[Dest WG]]</f>
        <v>0</v>
      </c>
      <c r="BO68" s="199" cm="1">
        <f t="array" aca="1" ref="BO68" ca="1">IF(TblConstr[[#This Row],[Hour]:[Hour]]&gt;12,OFFSET(TblConstr[[#This Row],[DM]],-12,0),0)+OFFSET(TblConstr[[#This Row],[Tot DM]],-1,0)-TblConstr[[#This Row],[Dest DM]]</f>
        <v>0</v>
      </c>
      <c r="BP68" s="199" cm="1">
        <f t="array" aca="1" ref="BP68" ca="1">IF(TblConstr[[#This Row],[Hour]:[Hour]]&gt;12,OFFSET(TblConstr[[#This Row],[Sch]],-12,0),0)+OFFSET(TblConstr[[#This Row],[Tot Sch]],-1,0)-TblConstr[[#This Row],[Dest Sch]]</f>
        <v>0</v>
      </c>
      <c r="BQ68" s="200" cm="1">
        <f t="array" aca="1" ref="BQ68" ca="1">IF(TblConstr[[#This Row],[Hour]:[Hour]]&gt;12,OFFSET(TblConstr[[#This Row],[Doc]],-12,0),0)+OFFSET(TblConstr[[#This Row],[Tot Doc]],-1,0)-TblConstr[[#This Row],[Dest Doc]]</f>
        <v>0</v>
      </c>
      <c r="BR68" s="150"/>
      <c r="BS68" s="162"/>
      <c r="BT68" s="97">
        <f ca="1">TblConstr[[#This Row],[Land]]</f>
        <v>250</v>
      </c>
      <c r="BU68" s="167">
        <f ca="1">TblImps[[#This Row],[Time]]</f>
        <v>44813.416666666511</v>
      </c>
      <c r="BV68" s="150"/>
      <c r="BW68" s="187"/>
      <c r="BX68" s="187"/>
      <c r="BY68" s="187"/>
      <c r="BZ68" s="187"/>
      <c r="CA68" s="187"/>
      <c r="CB68" s="187"/>
      <c r="CC68" s="187"/>
      <c r="CD68" s="187"/>
      <c r="CE68" s="187"/>
      <c r="CF68" s="187"/>
      <c r="CG68" s="187"/>
      <c r="CH68" s="187"/>
      <c r="CI68" s="187"/>
      <c r="CJ68" s="187"/>
      <c r="CK68" s="187"/>
      <c r="CL68" s="187"/>
      <c r="CM68" s="187"/>
      <c r="CN68" s="187"/>
      <c r="CO68" s="187"/>
      <c r="CP68" s="150"/>
      <c r="CQ68" s="189">
        <f ca="1">-SUM(TblConstr[[#This Row],[Alc]:[Mas]])+SUM(TblConstr[[#This Row],[Dest Alc]:[Dest Mas]])+Rezone!L68+IF("Ch_"&amp; home_land=TblConstr[[#Headers],[Ch_Plain]],TblConstr[[#This Row],[Home Land]])+IF(TblConstr[[#This Row],[Hour]:[Hour]]&gt;12,OFFSET(TblExplore[[#This Row],[Plains Explore]],-12,0),0)</f>
        <v>0</v>
      </c>
      <c r="CR68" s="190">
        <f ca="1">-SUM(TblConstr[[#This Row],[Ly]:[Hav]])+SUM(TblConstr[[#This Row],[Dest Ly]:[Dest Hav]]) +Rezone!M68 + IF("Ch_"&amp; home_land=TblConstr[[#Headers],[Ch_Forest]],TblConstr[[#This Row],[Home Land]])+IF(TblConstr[[#This Row],[Hour]:[Hour]]&gt;12,OFFSET(TblExplore[[#This Row],[Forest Explore]],-12,0),0)</f>
        <v>0</v>
      </c>
      <c r="CS68" s="390">
        <f ca="1">-SUM(TblConstr[[#This Row],[OM]:[GN]])+SUM(TblConstr[[#This Row],[Dest OM]:[Dest GN]]) +Rezone!N68 + IF("Ch_"&amp; home_land=TblConstr[[#Headers],[Ch_Mountain]],TblConstr[[#This Row],[Home Land]])+IF(TblConstr[[#This Row],[Hour]:[Hour]]&gt;12,OFFSET(TblExplore[[#This Row],[Mountain Explore]],-12,0),0)</f>
        <v>0</v>
      </c>
      <c r="CT68" s="191">
        <f ca="1">-SUM(TblConstr[[#This Row],[Fac]:[Shr]])+SUM(TblConstr[[#This Row],[Dest Fac]:[Dest Shr]]) +Rezone!O68 + IF("Ch_" &amp; home_land=TblConstr[[#Headers],[Ch_Hill]],TblConstr[[#This Row],[Home Land]])+IF(TblConstr[[#This Row],[Hour]:[Hour]]&gt;12,OFFSET(TblExplore[[#This Row],[Hill Explore]],-12,0),0)</f>
        <v>0</v>
      </c>
      <c r="CU68" s="192">
        <f ca="1">-SUM(TblConstr[[#This Row],[Tow]:[WG]])+SUM(TblConstr[[#This Row],[Dest Tow]:[Dest WG]]) +Rezone!P68 + IF("Ch_" &amp; home_land=TblConstr[[#Headers],[Ch_Swamp]],TblConstr[[#This Row],[Home Land]])+IF(TblConstr[[#This Row],[Hour]:[Hour]]&gt;12,OFFSET(TblExplore[[#This Row],[Swamp Explore]],-12,0),0)</f>
        <v>0</v>
      </c>
      <c r="CV68" s="193">
        <f ca="1" xml:space="preserve"> - SUM(TblConstr[[#This Row],[DM]:[Sch]])+SUM(TblConstr[[#This Row],[Dest DM]:[Dest Sch]]) +Rezone!Q68 + IF("Ch_" &amp; home_land=TblConstr[[#Headers],[Ch_Cavern]],TblConstr[[#This Row],[Home Land]])+IF(TblConstr[[#This Row],[Hour]:[Hour]]&gt;12,OFFSET(TblExplore[[#This Row],[Cavern Explore]],-12,0),0)</f>
        <v>0</v>
      </c>
      <c r="CW68" s="194">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50"/>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83">
        <f>TblRezone[[#This Row],[Hour]]</f>
        <v>66</v>
      </c>
      <c r="B69" s="184">
        <f ca="1">SUM(TblConstr[[#This Row],[Plain]:[Water]])</f>
        <v>160</v>
      </c>
      <c r="C69" s="185">
        <f ca="1">SUM(TblConstr[[#This Row],[Tot Hom]:[Tot Doc]])</f>
        <v>90</v>
      </c>
      <c r="D69" s="185">
        <f t="shared" si="11"/>
        <v>0</v>
      </c>
      <c r="E69" s="186"/>
      <c r="F69" s="62">
        <f ca="1">TblConstr[[#This Row],[Barren]]+TblConstr[[#This Row],[Buildings]]+TblConstr[[#This Row],[Incoming]]</f>
        <v>250</v>
      </c>
      <c r="G69" s="195">
        <f ca="1">OFFSET(TblConstr[[#This Row],[Plain]],-1,0)+TblConstr[[#This Row],[Ch_Plain]]</f>
        <v>40</v>
      </c>
      <c r="H69" s="190">
        <f ca="1">OFFSET(TblConstr[[#This Row],[Forest]],-1,0)+TblConstr[[#This Row],[Ch_Forest]]</f>
        <v>20</v>
      </c>
      <c r="I69" s="390">
        <f ca="1">OFFSET(TblConstr[[#This Row],[Mountain]],-1,0)+TblConstr[[#This Row],[Ch_Mountain]]</f>
        <v>20</v>
      </c>
      <c r="J69" s="394">
        <f ca="1">OFFSET(TblConstr[[#This Row],[Hill]],-1,0)+TblConstr[[#This Row],[Ch_Hill]]</f>
        <v>20</v>
      </c>
      <c r="K69" s="398">
        <f ca="1">OFFSET(TblConstr[[#This Row],[Swamp]],-1,0)+TblConstr[[#This Row],[Ch_Swamp]]</f>
        <v>20</v>
      </c>
      <c r="L69" s="193">
        <f ca="1">OFFSET(TblConstr[[#This Row],[Cavern]],-1,0)+TblConstr[[#This Row],[Ch_Cavern]]</f>
        <v>20</v>
      </c>
      <c r="M69" s="194">
        <f ca="1">OFFSET(TblConstr[[#This Row],[Water]],-1,0)+TblConstr[[#This Row],[Ch_Water]]</f>
        <v>20</v>
      </c>
      <c r="N69" s="388">
        <f>TblRezone[[#This Row],[Hour]]</f>
        <v>66</v>
      </c>
      <c r="O69" s="187"/>
      <c r="P69" s="187"/>
      <c r="Q69" s="187"/>
      <c r="R69" s="187"/>
      <c r="S69" s="187"/>
      <c r="T69" s="187"/>
      <c r="U69" s="187"/>
      <c r="V69" s="187"/>
      <c r="W69" s="187"/>
      <c r="X69" s="187"/>
      <c r="Y69" s="187"/>
      <c r="Z69" s="187"/>
      <c r="AA69" s="187"/>
      <c r="AB69" s="187"/>
      <c r="AC69" s="187"/>
      <c r="AD69" s="187"/>
      <c r="AE69" s="187"/>
      <c r="AF69" s="187"/>
      <c r="AG69" s="187"/>
      <c r="AH69" s="53">
        <f ca="1">TblImps[[#This Row],[Time]]</f>
        <v>44813.458333333176</v>
      </c>
      <c r="AI69" s="188">
        <f ca="1">MIN(25%,(TblConstr[[#This Row],[Tot Fac]]+TblConstr[[#This Row],[Dest Fac]])/(TblConstr[[#This Row],[Land]]-TblExplore[[#This Row],[Land Bonus]]*20))</f>
        <v>0</v>
      </c>
      <c r="AJ69" s="188">
        <f ca="1">MIN(25%,(TblConstr[[#This Row],[Tot Fac]]+TblConstr[[#This Row],[Dest Fac]])/TblConstr[[#This Row],[Land]])</f>
        <v>0</v>
      </c>
      <c r="AK69" s="97">
        <f ca="1">TblProd[[#This Row],[Platinum]]</f>
        <v>457468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50"/>
      <c r="AV69" s="97">
        <f ca="1">ROUND((TblConstr[[#This Row],[Land]]-250 - IF(TblExplore[[#This Row],[Land Bonus]]&lt;&gt;0,20,0))*1.25 + 850 + 0,0)</f>
        <v>850</v>
      </c>
      <c r="AW69" s="97">
        <f ca="1">ROUND((TblConstr[[#This Row],[Land]]-250 - IF(TblExplore[[#This Row],[Land Bonus]]&lt;&gt;0,20,0))*0.285 + 87.5 + 0/4.25,0)</f>
        <v>88</v>
      </c>
      <c r="AX69" s="162"/>
      <c r="AY69" s="196" cm="1">
        <f t="array" aca="1" ref="AY69" ca="1">IF(TblConstr[[#This Row],[Hour]:[Hour]]&gt;12,OFFSET(TblConstr[[#This Row],[Hom]],-12,0),0)+OFFSET(TblConstr[[#This Row],[Tot Hom]],-1,0)-TblConstr[[#This Row],[Dest Hom]]</f>
        <v>10</v>
      </c>
      <c r="AZ69" s="197" cm="1">
        <f t="array" aca="1" ref="AZ69" ca="1">IF(TblConstr[[#This Row],[Hour]:[Hour]]&gt;12,OFFSET(TblConstr[[#This Row],[Alc]],-12,0),0)+OFFSET(TblConstr[[#This Row],[Tot Alc]],-1,0)-TblConstr[[#This Row],[Dest Alc]]</f>
        <v>30</v>
      </c>
      <c r="BA69" s="197" cm="1">
        <f t="array" aca="1" ref="BA69" ca="1">IF(TblConstr[[#This Row],[Hour]:[Hour]]&gt;12,OFFSET(TblConstr[[#This Row],[Far]],-12,0),0)+OFFSET(TblConstr[[#This Row],[Tot Farm]],-1,0)-TblConstr[[#This Row],[Dest Farm]]</f>
        <v>30</v>
      </c>
      <c r="BB69" s="197" cm="1">
        <f t="array" aca="1" ref="BB69" ca="1">IF(TblConstr[[#This Row],[Hour]:[Hour]]&gt;12,OFFSET(TblConstr[[#This Row],[Smi]],-12,0),0)+OFFSET(TblConstr[[#This Row],[Tot Smi]],-1,0)-TblConstr[[#This Row],[Dest Smi]]</f>
        <v>0</v>
      </c>
      <c r="BC69" s="197" cm="1">
        <f t="array" aca="1" ref="BC69" ca="1">IF(TblConstr[[#This Row],[Hour]:[Hour]]&gt;12,OFFSET(TblConstr[[#This Row],[Mas]],-12,0),0)+OFFSET(TblConstr[[#This Row],[Tot Mas]],-1,0)-TblConstr[[#This Row],[Dest Mas]]</f>
        <v>0</v>
      </c>
      <c r="BD69" s="198" cm="1">
        <f t="array" aca="1" ref="BD69" ca="1">IF(TblConstr[[#This Row],[Hour]:[Hour]]&gt;12,OFFSET(TblConstr[[#This Row],[Ly]],-12,0),0)+OFFSET(TblConstr[[#This Row],[Tot Ly]],-1,0)-TblConstr[[#This Row],[Dest Ly]]</f>
        <v>20</v>
      </c>
      <c r="BE69" s="198" cm="1">
        <f t="array" aca="1" ref="BE69" ca="1">IF(TblConstr[[#This Row],[Hour]:[Hour]]&gt;12,OFFSET(TblConstr[[#This Row],[Hav]],-12,0),0)+OFFSET(TblConstr[[#This Row],[Tot Hav]],-1,0)-TblConstr[[#This Row],[Dest Hav]]</f>
        <v>0</v>
      </c>
      <c r="BF69" s="392" cm="1">
        <f t="array" aca="1" ref="BF69" ca="1">IF(TblConstr[[#This Row],[Hour]:[Hour]]&gt;12,OFFSET(TblConstr[[#This Row],[OM]],-12,0),0)+OFFSET(TblConstr[[#This Row],[Tot OM]],-1,0)-TblConstr[[#This Row],[Dest OM]]</f>
        <v>0</v>
      </c>
      <c r="BG69" s="392" cm="1">
        <f t="array" aca="1" ref="BG69" ca="1">IF(TblConstr[[#This Row],[Hour]:[Hour]]&gt;12,OFFSET(TblConstr[[#This Row],[GN]],-12,0),0)+OFFSET(TblConstr[[#This Row],[Tot GN]],-1,0)-TblConstr[[#This Row],[Dest GN]]</f>
        <v>0</v>
      </c>
      <c r="BH69" s="396" cm="1">
        <f t="array" aca="1" ref="BH69" ca="1">IF(TblConstr[[#This Row],[Hour]:[Hour]]&gt;12,OFFSET(TblConstr[[#This Row],[Fac]],-12,0),0)+OFFSET(TblConstr[[#This Row],[Tot Fac]],-1,0)-TblConstr[[#This Row],[Dest Fac]]</f>
        <v>0</v>
      </c>
      <c r="BI69" s="396" cm="1">
        <f t="array" aca="1" ref="BI69" ca="1">IF(TblConstr[[#This Row],[Hour]:[Hour]]&gt;12,OFFSET(TblConstr[[#This Row],[GT]],-12,0),0)+OFFSET(TblConstr[[#This Row],[Tot GT]],-1,0)-TblConstr[[#This Row],[Dest GT]]</f>
        <v>0</v>
      </c>
      <c r="BJ69" s="396" cm="1">
        <f t="array" aca="1" ref="BJ69" ca="1">IF(TblConstr[[#This Row],[Hour]:[Hour]]&gt;12,OFFSET(TblConstr[[#This Row],[Bar]],-12,0),0)+OFFSET(TblConstr[[#This Row],[Tot Bar]],-1,0)-TblConstr[[#This Row],[Dest Bar]]</f>
        <v>0</v>
      </c>
      <c r="BK69" s="396" cm="1">
        <f t="array" aca="1" ref="BK69" ca="1">IF(TblConstr[[#This Row],[Hour]:[Hour]]&gt;12,OFFSET(TblConstr[[#This Row],[Shr]],-12,0),0)+OFFSET(TblConstr[[#This Row],[Tot Shr]],-1,0)-TblConstr[[#This Row],[Dest Shr]]</f>
        <v>0</v>
      </c>
      <c r="BL69" s="400" cm="1">
        <f t="array" aca="1" ref="BL69" ca="1">IF(TblConstr[[#This Row],[Hour]:[Hour]]&gt;12,OFFSET(TblConstr[[#This Row],[Tow]],-12,0),0)+OFFSET(TblConstr[[#This Row],[Tot Tow]],-1,0)-TblConstr[[#This Row],[Dest Tow]]</f>
        <v>0</v>
      </c>
      <c r="BM69" s="400" cm="1">
        <f t="array" aca="1" ref="BM69" ca="1">IF(TblConstr[[#This Row],[Hour]:[Hour]]&gt;12,OFFSET(TblConstr[[#This Row],[Tem]],-12,0),0)+OFFSET(TblConstr[[#This Row],[Tot Tem]],-1,0)-TblConstr[[#This Row],[Dest Tem]]</f>
        <v>0</v>
      </c>
      <c r="BN69" s="400" cm="1">
        <f t="array" aca="1" ref="BN69" ca="1">IF(TblConstr[[#This Row],[Hour]:[Hour]]&gt;12,OFFSET(TblConstr[[#This Row],[WG]],-12,0),0)+OFFSET(TblConstr[[#This Row],[Tot WG]],-1,0)-TblConstr[[#This Row],[Dest WG]]</f>
        <v>0</v>
      </c>
      <c r="BO69" s="199" cm="1">
        <f t="array" aca="1" ref="BO69" ca="1">IF(TblConstr[[#This Row],[Hour]:[Hour]]&gt;12,OFFSET(TblConstr[[#This Row],[DM]],-12,0),0)+OFFSET(TblConstr[[#This Row],[Tot DM]],-1,0)-TblConstr[[#This Row],[Dest DM]]</f>
        <v>0</v>
      </c>
      <c r="BP69" s="199" cm="1">
        <f t="array" aca="1" ref="BP69" ca="1">IF(TblConstr[[#This Row],[Hour]:[Hour]]&gt;12,OFFSET(TblConstr[[#This Row],[Sch]],-12,0),0)+OFFSET(TblConstr[[#This Row],[Tot Sch]],-1,0)-TblConstr[[#This Row],[Dest Sch]]</f>
        <v>0</v>
      </c>
      <c r="BQ69" s="200" cm="1">
        <f t="array" aca="1" ref="BQ69" ca="1">IF(TblConstr[[#This Row],[Hour]:[Hour]]&gt;12,OFFSET(TblConstr[[#This Row],[Doc]],-12,0),0)+OFFSET(TblConstr[[#This Row],[Tot Doc]],-1,0)-TblConstr[[#This Row],[Dest Doc]]</f>
        <v>0</v>
      </c>
      <c r="BR69" s="150"/>
      <c r="BS69" s="162"/>
      <c r="BT69" s="97">
        <f ca="1">TblConstr[[#This Row],[Land]]</f>
        <v>250</v>
      </c>
      <c r="BU69" s="167">
        <f ca="1">TblImps[[#This Row],[Time]]</f>
        <v>44813.458333333176</v>
      </c>
      <c r="BV69" s="150"/>
      <c r="BW69" s="187"/>
      <c r="BX69" s="187"/>
      <c r="BY69" s="187"/>
      <c r="BZ69" s="187"/>
      <c r="CA69" s="187"/>
      <c r="CB69" s="187"/>
      <c r="CC69" s="187"/>
      <c r="CD69" s="187"/>
      <c r="CE69" s="187"/>
      <c r="CF69" s="187"/>
      <c r="CG69" s="187"/>
      <c r="CH69" s="187"/>
      <c r="CI69" s="187"/>
      <c r="CJ69" s="187"/>
      <c r="CK69" s="187"/>
      <c r="CL69" s="187"/>
      <c r="CM69" s="187"/>
      <c r="CN69" s="187"/>
      <c r="CO69" s="187"/>
      <c r="CP69" s="150"/>
      <c r="CQ69" s="189">
        <f ca="1">-SUM(TblConstr[[#This Row],[Alc]:[Mas]])+SUM(TblConstr[[#This Row],[Dest Alc]:[Dest Mas]])+Rezone!L69+IF("Ch_"&amp; home_land=TblConstr[[#Headers],[Ch_Plain]],TblConstr[[#This Row],[Home Land]])+IF(TblConstr[[#This Row],[Hour]:[Hour]]&gt;12,OFFSET(TblExplore[[#This Row],[Plains Explore]],-12,0),0)</f>
        <v>0</v>
      </c>
      <c r="CR69" s="190">
        <f ca="1">-SUM(TblConstr[[#This Row],[Ly]:[Hav]])+SUM(TblConstr[[#This Row],[Dest Ly]:[Dest Hav]]) +Rezone!M69 + IF("Ch_"&amp; home_land=TblConstr[[#Headers],[Ch_Forest]],TblConstr[[#This Row],[Home Land]])+IF(TblConstr[[#This Row],[Hour]:[Hour]]&gt;12,OFFSET(TblExplore[[#This Row],[Forest Explore]],-12,0),0)</f>
        <v>0</v>
      </c>
      <c r="CS69" s="390">
        <f ca="1">-SUM(TblConstr[[#This Row],[OM]:[GN]])+SUM(TblConstr[[#This Row],[Dest OM]:[Dest GN]]) +Rezone!N69 + IF("Ch_"&amp; home_land=TblConstr[[#Headers],[Ch_Mountain]],TblConstr[[#This Row],[Home Land]])+IF(TblConstr[[#This Row],[Hour]:[Hour]]&gt;12,OFFSET(TblExplore[[#This Row],[Mountain Explore]],-12,0),0)</f>
        <v>0</v>
      </c>
      <c r="CT69" s="191">
        <f ca="1">-SUM(TblConstr[[#This Row],[Fac]:[Shr]])+SUM(TblConstr[[#This Row],[Dest Fac]:[Dest Shr]]) +Rezone!O69 + IF("Ch_" &amp; home_land=TblConstr[[#Headers],[Ch_Hill]],TblConstr[[#This Row],[Home Land]])+IF(TblConstr[[#This Row],[Hour]:[Hour]]&gt;12,OFFSET(TblExplore[[#This Row],[Hill Explore]],-12,0),0)</f>
        <v>0</v>
      </c>
      <c r="CU69" s="192">
        <f ca="1">-SUM(TblConstr[[#This Row],[Tow]:[WG]])+SUM(TblConstr[[#This Row],[Dest Tow]:[Dest WG]]) +Rezone!P69 + IF("Ch_" &amp; home_land=TblConstr[[#Headers],[Ch_Swamp]],TblConstr[[#This Row],[Home Land]])+IF(TblConstr[[#This Row],[Hour]:[Hour]]&gt;12,OFFSET(TblExplore[[#This Row],[Swamp Explore]],-12,0),0)</f>
        <v>0</v>
      </c>
      <c r="CV69" s="193">
        <f ca="1" xml:space="preserve"> - SUM(TblConstr[[#This Row],[DM]:[Sch]])+SUM(TblConstr[[#This Row],[Dest DM]:[Dest Sch]]) +Rezone!Q69 + IF("Ch_" &amp; home_land=TblConstr[[#Headers],[Ch_Cavern]],TblConstr[[#This Row],[Home Land]])+IF(TblConstr[[#This Row],[Hour]:[Hour]]&gt;12,OFFSET(TblExplore[[#This Row],[Cavern Explore]],-12,0),0)</f>
        <v>0</v>
      </c>
      <c r="CW69" s="194">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50"/>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83">
        <f>TblRezone[[#This Row],[Hour]]</f>
        <v>67</v>
      </c>
      <c r="B70" s="184">
        <f ca="1">SUM(TblConstr[[#This Row],[Plain]:[Water]])</f>
        <v>160</v>
      </c>
      <c r="C70" s="185">
        <f ca="1">SUM(TblConstr[[#This Row],[Tot Hom]:[Tot Doc]])</f>
        <v>90</v>
      </c>
      <c r="D70" s="185">
        <f t="shared" si="11"/>
        <v>0</v>
      </c>
      <c r="E70" s="186"/>
      <c r="F70" s="62">
        <f ca="1">TblConstr[[#This Row],[Barren]]+TblConstr[[#This Row],[Buildings]]+TblConstr[[#This Row],[Incoming]]</f>
        <v>250</v>
      </c>
      <c r="G70" s="195">
        <f ca="1">OFFSET(TblConstr[[#This Row],[Plain]],-1,0)+TblConstr[[#This Row],[Ch_Plain]]</f>
        <v>40</v>
      </c>
      <c r="H70" s="190">
        <f ca="1">OFFSET(TblConstr[[#This Row],[Forest]],-1,0)+TblConstr[[#This Row],[Ch_Forest]]</f>
        <v>20</v>
      </c>
      <c r="I70" s="390">
        <f ca="1">OFFSET(TblConstr[[#This Row],[Mountain]],-1,0)+TblConstr[[#This Row],[Ch_Mountain]]</f>
        <v>20</v>
      </c>
      <c r="J70" s="394">
        <f ca="1">OFFSET(TblConstr[[#This Row],[Hill]],-1,0)+TblConstr[[#This Row],[Ch_Hill]]</f>
        <v>20</v>
      </c>
      <c r="K70" s="398">
        <f ca="1">OFFSET(TblConstr[[#This Row],[Swamp]],-1,0)+TblConstr[[#This Row],[Ch_Swamp]]</f>
        <v>20</v>
      </c>
      <c r="L70" s="193">
        <f ca="1">OFFSET(TblConstr[[#This Row],[Cavern]],-1,0)+TblConstr[[#This Row],[Ch_Cavern]]</f>
        <v>20</v>
      </c>
      <c r="M70" s="194">
        <f ca="1">OFFSET(TblConstr[[#This Row],[Water]],-1,0)+TblConstr[[#This Row],[Ch_Water]]</f>
        <v>20</v>
      </c>
      <c r="N70" s="388">
        <f>TblRezone[[#This Row],[Hour]]</f>
        <v>67</v>
      </c>
      <c r="O70" s="187"/>
      <c r="P70" s="187"/>
      <c r="Q70" s="187"/>
      <c r="R70" s="187"/>
      <c r="S70" s="187"/>
      <c r="T70" s="187"/>
      <c r="U70" s="187"/>
      <c r="V70" s="187"/>
      <c r="W70" s="187"/>
      <c r="X70" s="187"/>
      <c r="Y70" s="187"/>
      <c r="Z70" s="187"/>
      <c r="AA70" s="187"/>
      <c r="AB70" s="187"/>
      <c r="AC70" s="187"/>
      <c r="AD70" s="187"/>
      <c r="AE70" s="187"/>
      <c r="AF70" s="187"/>
      <c r="AG70" s="187"/>
      <c r="AH70" s="53">
        <f ca="1">TblImps[[#This Row],[Time]]</f>
        <v>44813.49999999984</v>
      </c>
      <c r="AI70" s="188">
        <f ca="1">MIN(25%,(TblConstr[[#This Row],[Tot Fac]]+TblConstr[[#This Row],[Dest Fac]])/(TblConstr[[#This Row],[Land]]-TblExplore[[#This Row],[Land Bonus]]*20))</f>
        <v>0</v>
      </c>
      <c r="AJ70" s="188">
        <f ca="1">MIN(25%,(TblConstr[[#This Row],[Tot Fac]]+TblConstr[[#This Row],[Dest Fac]])/TblConstr[[#This Row],[Land]])</f>
        <v>0</v>
      </c>
      <c r="AK70" s="97">
        <f ca="1">TblProd[[#This Row],[Platinum]]</f>
        <v>462954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50"/>
      <c r="AV70" s="97">
        <f ca="1">ROUND((TblConstr[[#This Row],[Land]]-250 - IF(TblExplore[[#This Row],[Land Bonus]]&lt;&gt;0,20,0))*1.25 + 850 + 0,0)</f>
        <v>850</v>
      </c>
      <c r="AW70" s="97">
        <f ca="1">ROUND((TblConstr[[#This Row],[Land]]-250 - IF(TblExplore[[#This Row],[Land Bonus]]&lt;&gt;0,20,0))*0.285 + 87.5 + 0/4.25,0)</f>
        <v>88</v>
      </c>
      <c r="AX70" s="162"/>
      <c r="AY70" s="196" cm="1">
        <f t="array" aca="1" ref="AY70" ca="1">IF(TblConstr[[#This Row],[Hour]:[Hour]]&gt;12,OFFSET(TblConstr[[#This Row],[Hom]],-12,0),0)+OFFSET(TblConstr[[#This Row],[Tot Hom]],-1,0)-TblConstr[[#This Row],[Dest Hom]]</f>
        <v>10</v>
      </c>
      <c r="AZ70" s="197" cm="1">
        <f t="array" aca="1" ref="AZ70" ca="1">IF(TblConstr[[#This Row],[Hour]:[Hour]]&gt;12,OFFSET(TblConstr[[#This Row],[Alc]],-12,0),0)+OFFSET(TblConstr[[#This Row],[Tot Alc]],-1,0)-TblConstr[[#This Row],[Dest Alc]]</f>
        <v>30</v>
      </c>
      <c r="BA70" s="197" cm="1">
        <f t="array" aca="1" ref="BA70" ca="1">IF(TblConstr[[#This Row],[Hour]:[Hour]]&gt;12,OFFSET(TblConstr[[#This Row],[Far]],-12,0),0)+OFFSET(TblConstr[[#This Row],[Tot Farm]],-1,0)-TblConstr[[#This Row],[Dest Farm]]</f>
        <v>30</v>
      </c>
      <c r="BB70" s="197" cm="1">
        <f t="array" aca="1" ref="BB70" ca="1">IF(TblConstr[[#This Row],[Hour]:[Hour]]&gt;12,OFFSET(TblConstr[[#This Row],[Smi]],-12,0),0)+OFFSET(TblConstr[[#This Row],[Tot Smi]],-1,0)-TblConstr[[#This Row],[Dest Smi]]</f>
        <v>0</v>
      </c>
      <c r="BC70" s="197" cm="1">
        <f t="array" aca="1" ref="BC70" ca="1">IF(TblConstr[[#This Row],[Hour]:[Hour]]&gt;12,OFFSET(TblConstr[[#This Row],[Mas]],-12,0),0)+OFFSET(TblConstr[[#This Row],[Tot Mas]],-1,0)-TblConstr[[#This Row],[Dest Mas]]</f>
        <v>0</v>
      </c>
      <c r="BD70" s="198" cm="1">
        <f t="array" aca="1" ref="BD70" ca="1">IF(TblConstr[[#This Row],[Hour]:[Hour]]&gt;12,OFFSET(TblConstr[[#This Row],[Ly]],-12,0),0)+OFFSET(TblConstr[[#This Row],[Tot Ly]],-1,0)-TblConstr[[#This Row],[Dest Ly]]</f>
        <v>20</v>
      </c>
      <c r="BE70" s="198" cm="1">
        <f t="array" aca="1" ref="BE70" ca="1">IF(TblConstr[[#This Row],[Hour]:[Hour]]&gt;12,OFFSET(TblConstr[[#This Row],[Hav]],-12,0),0)+OFFSET(TblConstr[[#This Row],[Tot Hav]],-1,0)-TblConstr[[#This Row],[Dest Hav]]</f>
        <v>0</v>
      </c>
      <c r="BF70" s="392" cm="1">
        <f t="array" aca="1" ref="BF70" ca="1">IF(TblConstr[[#This Row],[Hour]:[Hour]]&gt;12,OFFSET(TblConstr[[#This Row],[OM]],-12,0),0)+OFFSET(TblConstr[[#This Row],[Tot OM]],-1,0)-TblConstr[[#This Row],[Dest OM]]</f>
        <v>0</v>
      </c>
      <c r="BG70" s="392" cm="1">
        <f t="array" aca="1" ref="BG70" ca="1">IF(TblConstr[[#This Row],[Hour]:[Hour]]&gt;12,OFFSET(TblConstr[[#This Row],[GN]],-12,0),0)+OFFSET(TblConstr[[#This Row],[Tot GN]],-1,0)-TblConstr[[#This Row],[Dest GN]]</f>
        <v>0</v>
      </c>
      <c r="BH70" s="396" cm="1">
        <f t="array" aca="1" ref="BH70" ca="1">IF(TblConstr[[#This Row],[Hour]:[Hour]]&gt;12,OFFSET(TblConstr[[#This Row],[Fac]],-12,0),0)+OFFSET(TblConstr[[#This Row],[Tot Fac]],-1,0)-TblConstr[[#This Row],[Dest Fac]]</f>
        <v>0</v>
      </c>
      <c r="BI70" s="396" cm="1">
        <f t="array" aca="1" ref="BI70" ca="1">IF(TblConstr[[#This Row],[Hour]:[Hour]]&gt;12,OFFSET(TblConstr[[#This Row],[GT]],-12,0),0)+OFFSET(TblConstr[[#This Row],[Tot GT]],-1,0)-TblConstr[[#This Row],[Dest GT]]</f>
        <v>0</v>
      </c>
      <c r="BJ70" s="396" cm="1">
        <f t="array" aca="1" ref="BJ70" ca="1">IF(TblConstr[[#This Row],[Hour]:[Hour]]&gt;12,OFFSET(TblConstr[[#This Row],[Bar]],-12,0),0)+OFFSET(TblConstr[[#This Row],[Tot Bar]],-1,0)-TblConstr[[#This Row],[Dest Bar]]</f>
        <v>0</v>
      </c>
      <c r="BK70" s="396" cm="1">
        <f t="array" aca="1" ref="BK70" ca="1">IF(TblConstr[[#This Row],[Hour]:[Hour]]&gt;12,OFFSET(TblConstr[[#This Row],[Shr]],-12,0),0)+OFFSET(TblConstr[[#This Row],[Tot Shr]],-1,0)-TblConstr[[#This Row],[Dest Shr]]</f>
        <v>0</v>
      </c>
      <c r="BL70" s="400" cm="1">
        <f t="array" aca="1" ref="BL70" ca="1">IF(TblConstr[[#This Row],[Hour]:[Hour]]&gt;12,OFFSET(TblConstr[[#This Row],[Tow]],-12,0),0)+OFFSET(TblConstr[[#This Row],[Tot Tow]],-1,0)-TblConstr[[#This Row],[Dest Tow]]</f>
        <v>0</v>
      </c>
      <c r="BM70" s="400" cm="1">
        <f t="array" aca="1" ref="BM70" ca="1">IF(TblConstr[[#This Row],[Hour]:[Hour]]&gt;12,OFFSET(TblConstr[[#This Row],[Tem]],-12,0),0)+OFFSET(TblConstr[[#This Row],[Tot Tem]],-1,0)-TblConstr[[#This Row],[Dest Tem]]</f>
        <v>0</v>
      </c>
      <c r="BN70" s="400" cm="1">
        <f t="array" aca="1" ref="BN70" ca="1">IF(TblConstr[[#This Row],[Hour]:[Hour]]&gt;12,OFFSET(TblConstr[[#This Row],[WG]],-12,0),0)+OFFSET(TblConstr[[#This Row],[Tot WG]],-1,0)-TblConstr[[#This Row],[Dest WG]]</f>
        <v>0</v>
      </c>
      <c r="BO70" s="199" cm="1">
        <f t="array" aca="1" ref="BO70" ca="1">IF(TblConstr[[#This Row],[Hour]:[Hour]]&gt;12,OFFSET(TblConstr[[#This Row],[DM]],-12,0),0)+OFFSET(TblConstr[[#This Row],[Tot DM]],-1,0)-TblConstr[[#This Row],[Dest DM]]</f>
        <v>0</v>
      </c>
      <c r="BP70" s="199" cm="1">
        <f t="array" aca="1" ref="BP70" ca="1">IF(TblConstr[[#This Row],[Hour]:[Hour]]&gt;12,OFFSET(TblConstr[[#This Row],[Sch]],-12,0),0)+OFFSET(TblConstr[[#This Row],[Tot Sch]],-1,0)-TblConstr[[#This Row],[Dest Sch]]</f>
        <v>0</v>
      </c>
      <c r="BQ70" s="200" cm="1">
        <f t="array" aca="1" ref="BQ70" ca="1">IF(TblConstr[[#This Row],[Hour]:[Hour]]&gt;12,OFFSET(TblConstr[[#This Row],[Doc]],-12,0),0)+OFFSET(TblConstr[[#This Row],[Tot Doc]],-1,0)-TblConstr[[#This Row],[Dest Doc]]</f>
        <v>0</v>
      </c>
      <c r="BR70" s="150"/>
      <c r="BS70" s="162"/>
      <c r="BT70" s="97">
        <f ca="1">TblConstr[[#This Row],[Land]]</f>
        <v>250</v>
      </c>
      <c r="BU70" s="167">
        <f ca="1">TblImps[[#This Row],[Time]]</f>
        <v>44813.49999999984</v>
      </c>
      <c r="BV70" s="150"/>
      <c r="BW70" s="187"/>
      <c r="BX70" s="187"/>
      <c r="BY70" s="187"/>
      <c r="BZ70" s="187"/>
      <c r="CA70" s="187"/>
      <c r="CB70" s="187"/>
      <c r="CC70" s="187"/>
      <c r="CD70" s="187"/>
      <c r="CE70" s="187"/>
      <c r="CF70" s="187"/>
      <c r="CG70" s="187"/>
      <c r="CH70" s="187"/>
      <c r="CI70" s="187"/>
      <c r="CJ70" s="187"/>
      <c r="CK70" s="187"/>
      <c r="CL70" s="187"/>
      <c r="CM70" s="187"/>
      <c r="CN70" s="187"/>
      <c r="CO70" s="187"/>
      <c r="CP70" s="150"/>
      <c r="CQ70" s="189">
        <f ca="1">-SUM(TblConstr[[#This Row],[Alc]:[Mas]])+SUM(TblConstr[[#This Row],[Dest Alc]:[Dest Mas]])+Rezone!L70+IF("Ch_"&amp; home_land=TblConstr[[#Headers],[Ch_Plain]],TblConstr[[#This Row],[Home Land]])+IF(TblConstr[[#This Row],[Hour]:[Hour]]&gt;12,OFFSET(TblExplore[[#This Row],[Plains Explore]],-12,0),0)</f>
        <v>0</v>
      </c>
      <c r="CR70" s="190">
        <f ca="1">-SUM(TblConstr[[#This Row],[Ly]:[Hav]])+SUM(TblConstr[[#This Row],[Dest Ly]:[Dest Hav]]) +Rezone!M70 + IF("Ch_"&amp; home_land=TblConstr[[#Headers],[Ch_Forest]],TblConstr[[#This Row],[Home Land]])+IF(TblConstr[[#This Row],[Hour]:[Hour]]&gt;12,OFFSET(TblExplore[[#This Row],[Forest Explore]],-12,0),0)</f>
        <v>0</v>
      </c>
      <c r="CS70" s="390">
        <f ca="1">-SUM(TblConstr[[#This Row],[OM]:[GN]])+SUM(TblConstr[[#This Row],[Dest OM]:[Dest GN]]) +Rezone!N70 + IF("Ch_"&amp; home_land=TblConstr[[#Headers],[Ch_Mountain]],TblConstr[[#This Row],[Home Land]])+IF(TblConstr[[#This Row],[Hour]:[Hour]]&gt;12,OFFSET(TblExplore[[#This Row],[Mountain Explore]],-12,0),0)</f>
        <v>0</v>
      </c>
      <c r="CT70" s="191">
        <f ca="1">-SUM(TblConstr[[#This Row],[Fac]:[Shr]])+SUM(TblConstr[[#This Row],[Dest Fac]:[Dest Shr]]) +Rezone!O70 + IF("Ch_" &amp; home_land=TblConstr[[#Headers],[Ch_Hill]],TblConstr[[#This Row],[Home Land]])+IF(TblConstr[[#This Row],[Hour]:[Hour]]&gt;12,OFFSET(TblExplore[[#This Row],[Hill Explore]],-12,0),0)</f>
        <v>0</v>
      </c>
      <c r="CU70" s="192">
        <f ca="1">-SUM(TblConstr[[#This Row],[Tow]:[WG]])+SUM(TblConstr[[#This Row],[Dest Tow]:[Dest WG]]) +Rezone!P70 + IF("Ch_" &amp; home_land=TblConstr[[#Headers],[Ch_Swamp]],TblConstr[[#This Row],[Home Land]])+IF(TblConstr[[#This Row],[Hour]:[Hour]]&gt;12,OFFSET(TblExplore[[#This Row],[Swamp Explore]],-12,0),0)</f>
        <v>0</v>
      </c>
      <c r="CV70" s="193">
        <f ca="1" xml:space="preserve"> - SUM(TblConstr[[#This Row],[DM]:[Sch]])+SUM(TblConstr[[#This Row],[Dest DM]:[Dest Sch]]) +Rezone!Q70 + IF("Ch_" &amp; home_land=TblConstr[[#Headers],[Ch_Cavern]],TblConstr[[#This Row],[Home Land]])+IF(TblConstr[[#This Row],[Hour]:[Hour]]&gt;12,OFFSET(TblExplore[[#This Row],[Cavern Explore]],-12,0),0)</f>
        <v>0</v>
      </c>
      <c r="CW70" s="194">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50"/>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83">
        <f>TblRezone[[#This Row],[Hour]]</f>
        <v>68</v>
      </c>
      <c r="B71" s="184">
        <f ca="1">SUM(TblConstr[[#This Row],[Plain]:[Water]])</f>
        <v>160</v>
      </c>
      <c r="C71" s="185">
        <f ca="1">SUM(TblConstr[[#This Row],[Tot Hom]:[Tot Doc]])</f>
        <v>90</v>
      </c>
      <c r="D71" s="185">
        <f t="shared" si="11"/>
        <v>0</v>
      </c>
      <c r="E71" s="186"/>
      <c r="F71" s="62">
        <f ca="1">TblConstr[[#This Row],[Barren]]+TblConstr[[#This Row],[Buildings]]+TblConstr[[#This Row],[Incoming]]</f>
        <v>250</v>
      </c>
      <c r="G71" s="195">
        <f ca="1">OFFSET(TblConstr[[#This Row],[Plain]],-1,0)+TblConstr[[#This Row],[Ch_Plain]]</f>
        <v>40</v>
      </c>
      <c r="H71" s="190">
        <f ca="1">OFFSET(TblConstr[[#This Row],[Forest]],-1,0)+TblConstr[[#This Row],[Ch_Forest]]</f>
        <v>20</v>
      </c>
      <c r="I71" s="390">
        <f ca="1">OFFSET(TblConstr[[#This Row],[Mountain]],-1,0)+TblConstr[[#This Row],[Ch_Mountain]]</f>
        <v>20</v>
      </c>
      <c r="J71" s="394">
        <f ca="1">OFFSET(TblConstr[[#This Row],[Hill]],-1,0)+TblConstr[[#This Row],[Ch_Hill]]</f>
        <v>20</v>
      </c>
      <c r="K71" s="398">
        <f ca="1">OFFSET(TblConstr[[#This Row],[Swamp]],-1,0)+TblConstr[[#This Row],[Ch_Swamp]]</f>
        <v>20</v>
      </c>
      <c r="L71" s="193">
        <f ca="1">OFFSET(TblConstr[[#This Row],[Cavern]],-1,0)+TblConstr[[#This Row],[Ch_Cavern]]</f>
        <v>20</v>
      </c>
      <c r="M71" s="194">
        <f ca="1">OFFSET(TblConstr[[#This Row],[Water]],-1,0)+TblConstr[[#This Row],[Ch_Water]]</f>
        <v>20</v>
      </c>
      <c r="N71" s="388">
        <f>TblRezone[[#This Row],[Hour]]</f>
        <v>68</v>
      </c>
      <c r="O71" s="187"/>
      <c r="P71" s="187"/>
      <c r="Q71" s="187"/>
      <c r="R71" s="166"/>
      <c r="S71" s="187"/>
      <c r="T71" s="187"/>
      <c r="U71" s="187"/>
      <c r="V71" s="187"/>
      <c r="W71" s="187"/>
      <c r="X71" s="187"/>
      <c r="Y71" s="187"/>
      <c r="Z71" s="187"/>
      <c r="AA71" s="187"/>
      <c r="AB71" s="187"/>
      <c r="AC71" s="187"/>
      <c r="AD71" s="187"/>
      <c r="AE71" s="187"/>
      <c r="AF71" s="187"/>
      <c r="AG71" s="187"/>
      <c r="AH71" s="53">
        <f ca="1">TblImps[[#This Row],[Time]]</f>
        <v>44813.541666666504</v>
      </c>
      <c r="AI71" s="188">
        <f ca="1">MIN(25%,(TblConstr[[#This Row],[Tot Fac]]+TblConstr[[#This Row],[Dest Fac]])/(TblConstr[[#This Row],[Land]]-TblExplore[[#This Row],[Land Bonus]]*20))</f>
        <v>0</v>
      </c>
      <c r="AJ71" s="188">
        <f ca="1">MIN(25%,(TblConstr[[#This Row],[Tot Fac]]+TblConstr[[#This Row],[Dest Fac]])/TblConstr[[#This Row],[Land]])</f>
        <v>0</v>
      </c>
      <c r="AK71" s="97">
        <f ca="1">TblProd[[#This Row],[Platinum]]</f>
        <v>468440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50"/>
      <c r="AV71" s="97">
        <f ca="1">ROUND((TblConstr[[#This Row],[Land]]-250 - IF(TblExplore[[#This Row],[Land Bonus]]&lt;&gt;0,20,0))*1.25 + 850 + 0,0)</f>
        <v>850</v>
      </c>
      <c r="AW71" s="97">
        <f ca="1">ROUND((TblConstr[[#This Row],[Land]]-250 - IF(TblExplore[[#This Row],[Land Bonus]]&lt;&gt;0,20,0))*0.285 + 87.5 + 0/4.25,0)</f>
        <v>88</v>
      </c>
      <c r="AX71" s="162"/>
      <c r="AY71" s="196" cm="1">
        <f t="array" aca="1" ref="AY71" ca="1">IF(TblConstr[[#This Row],[Hour]:[Hour]]&gt;12,OFFSET(TblConstr[[#This Row],[Hom]],-12,0),0)+OFFSET(TblConstr[[#This Row],[Tot Hom]],-1,0)-TblConstr[[#This Row],[Dest Hom]]</f>
        <v>10</v>
      </c>
      <c r="AZ71" s="197" cm="1">
        <f t="array" aca="1" ref="AZ71" ca="1">IF(TblConstr[[#This Row],[Hour]:[Hour]]&gt;12,OFFSET(TblConstr[[#This Row],[Alc]],-12,0),0)+OFFSET(TblConstr[[#This Row],[Tot Alc]],-1,0)-TblConstr[[#This Row],[Dest Alc]]</f>
        <v>30</v>
      </c>
      <c r="BA71" s="197" cm="1">
        <f t="array" aca="1" ref="BA71" ca="1">IF(TblConstr[[#This Row],[Hour]:[Hour]]&gt;12,OFFSET(TblConstr[[#This Row],[Far]],-12,0),0)+OFFSET(TblConstr[[#This Row],[Tot Farm]],-1,0)-TblConstr[[#This Row],[Dest Farm]]</f>
        <v>30</v>
      </c>
      <c r="BB71" s="197" cm="1">
        <f t="array" aca="1" ref="BB71" ca="1">IF(TblConstr[[#This Row],[Hour]:[Hour]]&gt;12,OFFSET(TblConstr[[#This Row],[Smi]],-12,0),0)+OFFSET(TblConstr[[#This Row],[Tot Smi]],-1,0)-TblConstr[[#This Row],[Dest Smi]]</f>
        <v>0</v>
      </c>
      <c r="BC71" s="197" cm="1">
        <f t="array" aca="1" ref="BC71" ca="1">IF(TblConstr[[#This Row],[Hour]:[Hour]]&gt;12,OFFSET(TblConstr[[#This Row],[Mas]],-12,0),0)+OFFSET(TblConstr[[#This Row],[Tot Mas]],-1,0)-TblConstr[[#This Row],[Dest Mas]]</f>
        <v>0</v>
      </c>
      <c r="BD71" s="198" cm="1">
        <f t="array" aca="1" ref="BD71" ca="1">IF(TblConstr[[#This Row],[Hour]:[Hour]]&gt;12,OFFSET(TblConstr[[#This Row],[Ly]],-12,0),0)+OFFSET(TblConstr[[#This Row],[Tot Ly]],-1,0)-TblConstr[[#This Row],[Dest Ly]]</f>
        <v>20</v>
      </c>
      <c r="BE71" s="198" cm="1">
        <f t="array" aca="1" ref="BE71" ca="1">IF(TblConstr[[#This Row],[Hour]:[Hour]]&gt;12,OFFSET(TblConstr[[#This Row],[Hav]],-12,0),0)+OFFSET(TblConstr[[#This Row],[Tot Hav]],-1,0)-TblConstr[[#This Row],[Dest Hav]]</f>
        <v>0</v>
      </c>
      <c r="BF71" s="392" cm="1">
        <f t="array" aca="1" ref="BF71" ca="1">IF(TblConstr[[#This Row],[Hour]:[Hour]]&gt;12,OFFSET(TblConstr[[#This Row],[OM]],-12,0),0)+OFFSET(TblConstr[[#This Row],[Tot OM]],-1,0)-TblConstr[[#This Row],[Dest OM]]</f>
        <v>0</v>
      </c>
      <c r="BG71" s="392" cm="1">
        <f t="array" aca="1" ref="BG71" ca="1">IF(TblConstr[[#This Row],[Hour]:[Hour]]&gt;12,OFFSET(TblConstr[[#This Row],[GN]],-12,0),0)+OFFSET(TblConstr[[#This Row],[Tot GN]],-1,0)-TblConstr[[#This Row],[Dest GN]]</f>
        <v>0</v>
      </c>
      <c r="BH71" s="396" cm="1">
        <f t="array" aca="1" ref="BH71" ca="1">IF(TblConstr[[#This Row],[Hour]:[Hour]]&gt;12,OFFSET(TblConstr[[#This Row],[Fac]],-12,0),0)+OFFSET(TblConstr[[#This Row],[Tot Fac]],-1,0)-TblConstr[[#This Row],[Dest Fac]]</f>
        <v>0</v>
      </c>
      <c r="BI71" s="396" cm="1">
        <f t="array" aca="1" ref="BI71" ca="1">IF(TblConstr[[#This Row],[Hour]:[Hour]]&gt;12,OFFSET(TblConstr[[#This Row],[GT]],-12,0),0)+OFFSET(TblConstr[[#This Row],[Tot GT]],-1,0)-TblConstr[[#This Row],[Dest GT]]</f>
        <v>0</v>
      </c>
      <c r="BJ71" s="396" cm="1">
        <f t="array" aca="1" ref="BJ71" ca="1">IF(TblConstr[[#This Row],[Hour]:[Hour]]&gt;12,OFFSET(TblConstr[[#This Row],[Bar]],-12,0),0)+OFFSET(TblConstr[[#This Row],[Tot Bar]],-1,0)-TblConstr[[#This Row],[Dest Bar]]</f>
        <v>0</v>
      </c>
      <c r="BK71" s="396" cm="1">
        <f t="array" aca="1" ref="BK71" ca="1">IF(TblConstr[[#This Row],[Hour]:[Hour]]&gt;12,OFFSET(TblConstr[[#This Row],[Shr]],-12,0),0)+OFFSET(TblConstr[[#This Row],[Tot Shr]],-1,0)-TblConstr[[#This Row],[Dest Shr]]</f>
        <v>0</v>
      </c>
      <c r="BL71" s="400" cm="1">
        <f t="array" aca="1" ref="BL71" ca="1">IF(TblConstr[[#This Row],[Hour]:[Hour]]&gt;12,OFFSET(TblConstr[[#This Row],[Tow]],-12,0),0)+OFFSET(TblConstr[[#This Row],[Tot Tow]],-1,0)-TblConstr[[#This Row],[Dest Tow]]</f>
        <v>0</v>
      </c>
      <c r="BM71" s="400" cm="1">
        <f t="array" aca="1" ref="BM71" ca="1">IF(TblConstr[[#This Row],[Hour]:[Hour]]&gt;12,OFFSET(TblConstr[[#This Row],[Tem]],-12,0),0)+OFFSET(TblConstr[[#This Row],[Tot Tem]],-1,0)-TblConstr[[#This Row],[Dest Tem]]</f>
        <v>0</v>
      </c>
      <c r="BN71" s="400" cm="1">
        <f t="array" aca="1" ref="BN71" ca="1">IF(TblConstr[[#This Row],[Hour]:[Hour]]&gt;12,OFFSET(TblConstr[[#This Row],[WG]],-12,0),0)+OFFSET(TblConstr[[#This Row],[Tot WG]],-1,0)-TblConstr[[#This Row],[Dest WG]]</f>
        <v>0</v>
      </c>
      <c r="BO71" s="199" cm="1">
        <f t="array" aca="1" ref="BO71" ca="1">IF(TblConstr[[#This Row],[Hour]:[Hour]]&gt;12,OFFSET(TblConstr[[#This Row],[DM]],-12,0),0)+OFFSET(TblConstr[[#This Row],[Tot DM]],-1,0)-TblConstr[[#This Row],[Dest DM]]</f>
        <v>0</v>
      </c>
      <c r="BP71" s="199" cm="1">
        <f t="array" aca="1" ref="BP71" ca="1">IF(TblConstr[[#This Row],[Hour]:[Hour]]&gt;12,OFFSET(TblConstr[[#This Row],[Sch]],-12,0),0)+OFFSET(TblConstr[[#This Row],[Tot Sch]],-1,0)-TblConstr[[#This Row],[Dest Sch]]</f>
        <v>0</v>
      </c>
      <c r="BQ71" s="200" cm="1">
        <f t="array" aca="1" ref="BQ71" ca="1">IF(TblConstr[[#This Row],[Hour]:[Hour]]&gt;12,OFFSET(TblConstr[[#This Row],[Doc]],-12,0),0)+OFFSET(TblConstr[[#This Row],[Tot Doc]],-1,0)-TblConstr[[#This Row],[Dest Doc]]</f>
        <v>0</v>
      </c>
      <c r="BR71" s="150"/>
      <c r="BS71" s="162"/>
      <c r="BT71" s="97">
        <f ca="1">TblConstr[[#This Row],[Land]]</f>
        <v>250</v>
      </c>
      <c r="BU71" s="167">
        <f ca="1">TblImps[[#This Row],[Time]]</f>
        <v>44813.541666666504</v>
      </c>
      <c r="BV71" s="150"/>
      <c r="BW71" s="187"/>
      <c r="BX71" s="187"/>
      <c r="BY71" s="187"/>
      <c r="BZ71" s="187"/>
      <c r="CA71" s="187"/>
      <c r="CB71" s="187"/>
      <c r="CC71" s="187"/>
      <c r="CD71" s="187"/>
      <c r="CE71" s="187"/>
      <c r="CF71" s="187"/>
      <c r="CG71" s="187"/>
      <c r="CH71" s="187"/>
      <c r="CI71" s="187"/>
      <c r="CJ71" s="187"/>
      <c r="CK71" s="187"/>
      <c r="CL71" s="187"/>
      <c r="CM71" s="187"/>
      <c r="CN71" s="187"/>
      <c r="CO71" s="187"/>
      <c r="CP71" s="150"/>
      <c r="CQ71" s="189">
        <f ca="1">-SUM(TblConstr[[#This Row],[Alc]:[Mas]])+SUM(TblConstr[[#This Row],[Dest Alc]:[Dest Mas]])+Rezone!L71+IF("Ch_"&amp; home_land=TblConstr[[#Headers],[Ch_Plain]],TblConstr[[#This Row],[Home Land]])+IF(TblConstr[[#This Row],[Hour]:[Hour]]&gt;12,OFFSET(TblExplore[[#This Row],[Plains Explore]],-12,0),0)</f>
        <v>0</v>
      </c>
      <c r="CR71" s="190">
        <f ca="1">-SUM(TblConstr[[#This Row],[Ly]:[Hav]])+SUM(TblConstr[[#This Row],[Dest Ly]:[Dest Hav]]) +Rezone!M71 + IF("Ch_"&amp; home_land=TblConstr[[#Headers],[Ch_Forest]],TblConstr[[#This Row],[Home Land]])+IF(TblConstr[[#This Row],[Hour]:[Hour]]&gt;12,OFFSET(TblExplore[[#This Row],[Forest Explore]],-12,0),0)</f>
        <v>0</v>
      </c>
      <c r="CS71" s="390">
        <f ca="1">-SUM(TblConstr[[#This Row],[OM]:[GN]])+SUM(TblConstr[[#This Row],[Dest OM]:[Dest GN]]) +Rezone!N71 + IF("Ch_"&amp; home_land=TblConstr[[#Headers],[Ch_Mountain]],TblConstr[[#This Row],[Home Land]])+IF(TblConstr[[#This Row],[Hour]:[Hour]]&gt;12,OFFSET(TblExplore[[#This Row],[Mountain Explore]],-12,0),0)</f>
        <v>0</v>
      </c>
      <c r="CT71" s="191">
        <f ca="1">-SUM(TblConstr[[#This Row],[Fac]:[Shr]])+SUM(TblConstr[[#This Row],[Dest Fac]:[Dest Shr]]) +Rezone!O71 + IF("Ch_" &amp; home_land=TblConstr[[#Headers],[Ch_Hill]],TblConstr[[#This Row],[Home Land]])+IF(TblConstr[[#This Row],[Hour]:[Hour]]&gt;12,OFFSET(TblExplore[[#This Row],[Hill Explore]],-12,0),0)</f>
        <v>0</v>
      </c>
      <c r="CU71" s="192">
        <f ca="1">-SUM(TblConstr[[#This Row],[Tow]:[WG]])+SUM(TblConstr[[#This Row],[Dest Tow]:[Dest WG]]) +Rezone!P71 + IF("Ch_" &amp; home_land=TblConstr[[#Headers],[Ch_Swamp]],TblConstr[[#This Row],[Home Land]])+IF(TblConstr[[#This Row],[Hour]:[Hour]]&gt;12,OFFSET(TblExplore[[#This Row],[Swamp Explore]],-12,0),0)</f>
        <v>0</v>
      </c>
      <c r="CV71" s="193">
        <f ca="1" xml:space="preserve"> - SUM(TblConstr[[#This Row],[DM]:[Sch]])+SUM(TblConstr[[#This Row],[Dest DM]:[Dest Sch]]) +Rezone!Q71 + IF("Ch_" &amp; home_land=TblConstr[[#Headers],[Ch_Cavern]],TblConstr[[#This Row],[Home Land]])+IF(TblConstr[[#This Row],[Hour]:[Hour]]&gt;12,OFFSET(TblExplore[[#This Row],[Cavern Explore]],-12,0),0)</f>
        <v>0</v>
      </c>
      <c r="CW71" s="194">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50"/>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83">
        <f>TblRezone[[#This Row],[Hour]]</f>
        <v>69</v>
      </c>
      <c r="B72" s="184">
        <f ca="1">SUM(TblConstr[[#This Row],[Plain]:[Water]])</f>
        <v>160</v>
      </c>
      <c r="C72" s="185">
        <f ca="1">SUM(TblConstr[[#This Row],[Tot Hom]:[Tot Doc]])</f>
        <v>90</v>
      </c>
      <c r="D72" s="185">
        <f t="shared" si="11"/>
        <v>0</v>
      </c>
      <c r="E72" s="186"/>
      <c r="F72" s="62">
        <f ca="1">TblConstr[[#This Row],[Barren]]+TblConstr[[#This Row],[Buildings]]+TblConstr[[#This Row],[Incoming]]</f>
        <v>250</v>
      </c>
      <c r="G72" s="195">
        <f ca="1">OFFSET(TblConstr[[#This Row],[Plain]],-1,0)+TblConstr[[#This Row],[Ch_Plain]]</f>
        <v>40</v>
      </c>
      <c r="H72" s="190">
        <f ca="1">OFFSET(TblConstr[[#This Row],[Forest]],-1,0)+TblConstr[[#This Row],[Ch_Forest]]</f>
        <v>20</v>
      </c>
      <c r="I72" s="390">
        <f ca="1">OFFSET(TblConstr[[#This Row],[Mountain]],-1,0)+TblConstr[[#This Row],[Ch_Mountain]]</f>
        <v>20</v>
      </c>
      <c r="J72" s="394">
        <f ca="1">OFFSET(TblConstr[[#This Row],[Hill]],-1,0)+TblConstr[[#This Row],[Ch_Hill]]</f>
        <v>20</v>
      </c>
      <c r="K72" s="398">
        <f ca="1">OFFSET(TblConstr[[#This Row],[Swamp]],-1,0)+TblConstr[[#This Row],[Ch_Swamp]]</f>
        <v>20</v>
      </c>
      <c r="L72" s="193">
        <f ca="1">OFFSET(TblConstr[[#This Row],[Cavern]],-1,0)+TblConstr[[#This Row],[Ch_Cavern]]</f>
        <v>20</v>
      </c>
      <c r="M72" s="194">
        <f ca="1">OFFSET(TblConstr[[#This Row],[Water]],-1,0)+TblConstr[[#This Row],[Ch_Water]]</f>
        <v>20</v>
      </c>
      <c r="N72" s="388">
        <f>TblRezone[[#This Row],[Hour]]</f>
        <v>69</v>
      </c>
      <c r="O72" s="187"/>
      <c r="P72" s="187"/>
      <c r="Q72" s="187"/>
      <c r="R72" s="187"/>
      <c r="S72" s="187"/>
      <c r="T72" s="187"/>
      <c r="U72" s="187"/>
      <c r="V72" s="187"/>
      <c r="W72" s="187"/>
      <c r="X72" s="187"/>
      <c r="Y72" s="187"/>
      <c r="Z72" s="187"/>
      <c r="AA72" s="187"/>
      <c r="AB72" s="187"/>
      <c r="AC72" s="187"/>
      <c r="AD72" s="187"/>
      <c r="AE72" s="187"/>
      <c r="AF72" s="187"/>
      <c r="AG72" s="187"/>
      <c r="AH72" s="53">
        <f ca="1">TblImps[[#This Row],[Time]]</f>
        <v>44813.583333333168</v>
      </c>
      <c r="AI72" s="188">
        <f ca="1">MIN(25%,(TblConstr[[#This Row],[Tot Fac]]+TblConstr[[#This Row],[Dest Fac]])/(TblConstr[[#This Row],[Land]]-TblExplore[[#This Row],[Land Bonus]]*20))</f>
        <v>0</v>
      </c>
      <c r="AJ72" s="188">
        <f ca="1">MIN(25%,(TblConstr[[#This Row],[Tot Fac]]+TblConstr[[#This Row],[Dest Fac]])/TblConstr[[#This Row],[Land]])</f>
        <v>0</v>
      </c>
      <c r="AK72" s="97">
        <f ca="1">TblProd[[#This Row],[Platinum]]</f>
        <v>473926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50"/>
      <c r="AV72" s="97">
        <f ca="1">ROUND((TblConstr[[#This Row],[Land]]-250 - IF(TblExplore[[#This Row],[Land Bonus]]&lt;&gt;0,20,0))*1.25 + 850 + 0,0)</f>
        <v>850</v>
      </c>
      <c r="AW72" s="97">
        <f ca="1">ROUND((TblConstr[[#This Row],[Land]]-250 - IF(TblExplore[[#This Row],[Land Bonus]]&lt;&gt;0,20,0))*0.285 + 87.5 + 0/4.25,0)</f>
        <v>88</v>
      </c>
      <c r="AX72" s="162"/>
      <c r="AY72" s="196" cm="1">
        <f t="array" aca="1" ref="AY72" ca="1">IF(TblConstr[[#This Row],[Hour]:[Hour]]&gt;12,OFFSET(TblConstr[[#This Row],[Hom]],-12,0),0)+OFFSET(TblConstr[[#This Row],[Tot Hom]],-1,0)-TblConstr[[#This Row],[Dest Hom]]</f>
        <v>10</v>
      </c>
      <c r="AZ72" s="197" cm="1">
        <f t="array" aca="1" ref="AZ72" ca="1">IF(TblConstr[[#This Row],[Hour]:[Hour]]&gt;12,OFFSET(TblConstr[[#This Row],[Alc]],-12,0),0)+OFFSET(TblConstr[[#This Row],[Tot Alc]],-1,0)-TblConstr[[#This Row],[Dest Alc]]</f>
        <v>30</v>
      </c>
      <c r="BA72" s="197" cm="1">
        <f t="array" aca="1" ref="BA72" ca="1">IF(TblConstr[[#This Row],[Hour]:[Hour]]&gt;12,OFFSET(TblConstr[[#This Row],[Far]],-12,0),0)+OFFSET(TblConstr[[#This Row],[Tot Farm]],-1,0)-TblConstr[[#This Row],[Dest Farm]]</f>
        <v>30</v>
      </c>
      <c r="BB72" s="197" cm="1">
        <f t="array" aca="1" ref="BB72" ca="1">IF(TblConstr[[#This Row],[Hour]:[Hour]]&gt;12,OFFSET(TblConstr[[#This Row],[Smi]],-12,0),0)+OFFSET(TblConstr[[#This Row],[Tot Smi]],-1,0)-TblConstr[[#This Row],[Dest Smi]]</f>
        <v>0</v>
      </c>
      <c r="BC72" s="197" cm="1">
        <f t="array" aca="1" ref="BC72" ca="1">IF(TblConstr[[#This Row],[Hour]:[Hour]]&gt;12,OFFSET(TblConstr[[#This Row],[Mas]],-12,0),0)+OFFSET(TblConstr[[#This Row],[Tot Mas]],-1,0)-TblConstr[[#This Row],[Dest Mas]]</f>
        <v>0</v>
      </c>
      <c r="BD72" s="198" cm="1">
        <f t="array" aca="1" ref="BD72" ca="1">IF(TblConstr[[#This Row],[Hour]:[Hour]]&gt;12,OFFSET(TblConstr[[#This Row],[Ly]],-12,0),0)+OFFSET(TblConstr[[#This Row],[Tot Ly]],-1,0)-TblConstr[[#This Row],[Dest Ly]]</f>
        <v>20</v>
      </c>
      <c r="BE72" s="198" cm="1">
        <f t="array" aca="1" ref="BE72" ca="1">IF(TblConstr[[#This Row],[Hour]:[Hour]]&gt;12,OFFSET(TblConstr[[#This Row],[Hav]],-12,0),0)+OFFSET(TblConstr[[#This Row],[Tot Hav]],-1,0)-TblConstr[[#This Row],[Dest Hav]]</f>
        <v>0</v>
      </c>
      <c r="BF72" s="392" cm="1">
        <f t="array" aca="1" ref="BF72" ca="1">IF(TblConstr[[#This Row],[Hour]:[Hour]]&gt;12,OFFSET(TblConstr[[#This Row],[OM]],-12,0),0)+OFFSET(TblConstr[[#This Row],[Tot OM]],-1,0)-TblConstr[[#This Row],[Dest OM]]</f>
        <v>0</v>
      </c>
      <c r="BG72" s="392" cm="1">
        <f t="array" aca="1" ref="BG72" ca="1">IF(TblConstr[[#This Row],[Hour]:[Hour]]&gt;12,OFFSET(TblConstr[[#This Row],[GN]],-12,0),0)+OFFSET(TblConstr[[#This Row],[Tot GN]],-1,0)-TblConstr[[#This Row],[Dest GN]]</f>
        <v>0</v>
      </c>
      <c r="BH72" s="396" cm="1">
        <f t="array" aca="1" ref="BH72" ca="1">IF(TblConstr[[#This Row],[Hour]:[Hour]]&gt;12,OFFSET(TblConstr[[#This Row],[Fac]],-12,0),0)+OFFSET(TblConstr[[#This Row],[Tot Fac]],-1,0)-TblConstr[[#This Row],[Dest Fac]]</f>
        <v>0</v>
      </c>
      <c r="BI72" s="396" cm="1">
        <f t="array" aca="1" ref="BI72" ca="1">IF(TblConstr[[#This Row],[Hour]:[Hour]]&gt;12,OFFSET(TblConstr[[#This Row],[GT]],-12,0),0)+OFFSET(TblConstr[[#This Row],[Tot GT]],-1,0)-TblConstr[[#This Row],[Dest GT]]</f>
        <v>0</v>
      </c>
      <c r="BJ72" s="396" cm="1">
        <f t="array" aca="1" ref="BJ72" ca="1">IF(TblConstr[[#This Row],[Hour]:[Hour]]&gt;12,OFFSET(TblConstr[[#This Row],[Bar]],-12,0),0)+OFFSET(TblConstr[[#This Row],[Tot Bar]],-1,0)-TblConstr[[#This Row],[Dest Bar]]</f>
        <v>0</v>
      </c>
      <c r="BK72" s="396" cm="1">
        <f t="array" aca="1" ref="BK72" ca="1">IF(TblConstr[[#This Row],[Hour]:[Hour]]&gt;12,OFFSET(TblConstr[[#This Row],[Shr]],-12,0),0)+OFFSET(TblConstr[[#This Row],[Tot Shr]],-1,0)-TblConstr[[#This Row],[Dest Shr]]</f>
        <v>0</v>
      </c>
      <c r="BL72" s="400" cm="1">
        <f t="array" aca="1" ref="BL72" ca="1">IF(TblConstr[[#This Row],[Hour]:[Hour]]&gt;12,OFFSET(TblConstr[[#This Row],[Tow]],-12,0),0)+OFFSET(TblConstr[[#This Row],[Tot Tow]],-1,0)-TblConstr[[#This Row],[Dest Tow]]</f>
        <v>0</v>
      </c>
      <c r="BM72" s="400" cm="1">
        <f t="array" aca="1" ref="BM72" ca="1">IF(TblConstr[[#This Row],[Hour]:[Hour]]&gt;12,OFFSET(TblConstr[[#This Row],[Tem]],-12,0),0)+OFFSET(TblConstr[[#This Row],[Tot Tem]],-1,0)-TblConstr[[#This Row],[Dest Tem]]</f>
        <v>0</v>
      </c>
      <c r="BN72" s="400" cm="1">
        <f t="array" aca="1" ref="BN72" ca="1">IF(TblConstr[[#This Row],[Hour]:[Hour]]&gt;12,OFFSET(TblConstr[[#This Row],[WG]],-12,0),0)+OFFSET(TblConstr[[#This Row],[Tot WG]],-1,0)-TblConstr[[#This Row],[Dest WG]]</f>
        <v>0</v>
      </c>
      <c r="BO72" s="199" cm="1">
        <f t="array" aca="1" ref="BO72" ca="1">IF(TblConstr[[#This Row],[Hour]:[Hour]]&gt;12,OFFSET(TblConstr[[#This Row],[DM]],-12,0),0)+OFFSET(TblConstr[[#This Row],[Tot DM]],-1,0)-TblConstr[[#This Row],[Dest DM]]</f>
        <v>0</v>
      </c>
      <c r="BP72" s="199" cm="1">
        <f t="array" aca="1" ref="BP72" ca="1">IF(TblConstr[[#This Row],[Hour]:[Hour]]&gt;12,OFFSET(TblConstr[[#This Row],[Sch]],-12,0),0)+OFFSET(TblConstr[[#This Row],[Tot Sch]],-1,0)-TblConstr[[#This Row],[Dest Sch]]</f>
        <v>0</v>
      </c>
      <c r="BQ72" s="200" cm="1">
        <f t="array" aca="1" ref="BQ72" ca="1">IF(TblConstr[[#This Row],[Hour]:[Hour]]&gt;12,OFFSET(TblConstr[[#This Row],[Doc]],-12,0),0)+OFFSET(TblConstr[[#This Row],[Tot Doc]],-1,0)-TblConstr[[#This Row],[Dest Doc]]</f>
        <v>0</v>
      </c>
      <c r="BR72" s="150"/>
      <c r="BS72" s="162"/>
      <c r="BT72" s="97">
        <f ca="1">TblConstr[[#This Row],[Land]]</f>
        <v>250</v>
      </c>
      <c r="BU72" s="167">
        <f ca="1">TblImps[[#This Row],[Time]]</f>
        <v>44813.583333333168</v>
      </c>
      <c r="BV72" s="150"/>
      <c r="BW72" s="187"/>
      <c r="BX72" s="187"/>
      <c r="BY72" s="187"/>
      <c r="BZ72" s="187"/>
      <c r="CA72" s="187"/>
      <c r="CB72" s="187"/>
      <c r="CC72" s="187"/>
      <c r="CD72" s="187"/>
      <c r="CE72" s="187"/>
      <c r="CF72" s="187"/>
      <c r="CG72" s="187"/>
      <c r="CH72" s="187"/>
      <c r="CI72" s="187"/>
      <c r="CJ72" s="187"/>
      <c r="CK72" s="187"/>
      <c r="CL72" s="187"/>
      <c r="CM72" s="187"/>
      <c r="CN72" s="187"/>
      <c r="CO72" s="187"/>
      <c r="CP72" s="150"/>
      <c r="CQ72" s="189">
        <f ca="1">-SUM(TblConstr[[#This Row],[Alc]:[Mas]])+SUM(TblConstr[[#This Row],[Dest Alc]:[Dest Mas]])+Rezone!L72+IF("Ch_"&amp; home_land=TblConstr[[#Headers],[Ch_Plain]],TblConstr[[#This Row],[Home Land]])+IF(TblConstr[[#This Row],[Hour]:[Hour]]&gt;12,OFFSET(TblExplore[[#This Row],[Plains Explore]],-12,0),0)</f>
        <v>0</v>
      </c>
      <c r="CR72" s="190">
        <f ca="1">-SUM(TblConstr[[#This Row],[Ly]:[Hav]])+SUM(TblConstr[[#This Row],[Dest Ly]:[Dest Hav]]) +Rezone!M72 + IF("Ch_"&amp; home_land=TblConstr[[#Headers],[Ch_Forest]],TblConstr[[#This Row],[Home Land]])+IF(TblConstr[[#This Row],[Hour]:[Hour]]&gt;12,OFFSET(TblExplore[[#This Row],[Forest Explore]],-12,0),0)</f>
        <v>0</v>
      </c>
      <c r="CS72" s="390">
        <f ca="1">-SUM(TblConstr[[#This Row],[OM]:[GN]])+SUM(TblConstr[[#This Row],[Dest OM]:[Dest GN]]) +Rezone!N72 + IF("Ch_"&amp; home_land=TblConstr[[#Headers],[Ch_Mountain]],TblConstr[[#This Row],[Home Land]])+IF(TblConstr[[#This Row],[Hour]:[Hour]]&gt;12,OFFSET(TblExplore[[#This Row],[Mountain Explore]],-12,0),0)</f>
        <v>0</v>
      </c>
      <c r="CT72" s="191">
        <f ca="1">-SUM(TblConstr[[#This Row],[Fac]:[Shr]])+SUM(TblConstr[[#This Row],[Dest Fac]:[Dest Shr]]) +Rezone!O72 + IF("Ch_" &amp; home_land=TblConstr[[#Headers],[Ch_Hill]],TblConstr[[#This Row],[Home Land]])+IF(TblConstr[[#This Row],[Hour]:[Hour]]&gt;12,OFFSET(TblExplore[[#This Row],[Hill Explore]],-12,0),0)</f>
        <v>0</v>
      </c>
      <c r="CU72" s="192">
        <f ca="1">-SUM(TblConstr[[#This Row],[Tow]:[WG]])+SUM(TblConstr[[#This Row],[Dest Tow]:[Dest WG]]) +Rezone!P72 + IF("Ch_" &amp; home_land=TblConstr[[#Headers],[Ch_Swamp]],TblConstr[[#This Row],[Home Land]])+IF(TblConstr[[#This Row],[Hour]:[Hour]]&gt;12,OFFSET(TblExplore[[#This Row],[Swamp Explore]],-12,0),0)</f>
        <v>0</v>
      </c>
      <c r="CV72" s="193">
        <f ca="1" xml:space="preserve"> - SUM(TblConstr[[#This Row],[DM]:[Sch]])+SUM(TblConstr[[#This Row],[Dest DM]:[Dest Sch]]) +Rezone!Q72 + IF("Ch_" &amp; home_land=TblConstr[[#Headers],[Ch_Cavern]],TblConstr[[#This Row],[Home Land]])+IF(TblConstr[[#This Row],[Hour]:[Hour]]&gt;12,OFFSET(TblExplore[[#This Row],[Cavern Explore]],-12,0),0)</f>
        <v>0</v>
      </c>
      <c r="CW72" s="194">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50"/>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83">
        <f>TblRezone[[#This Row],[Hour]]</f>
        <v>70</v>
      </c>
      <c r="B73" s="184">
        <f ca="1">SUM(TblConstr[[#This Row],[Plain]:[Water]])</f>
        <v>160</v>
      </c>
      <c r="C73" s="185">
        <f ca="1">SUM(TblConstr[[#This Row],[Tot Hom]:[Tot Doc]])</f>
        <v>90</v>
      </c>
      <c r="D73" s="185">
        <f t="shared" si="11"/>
        <v>0</v>
      </c>
      <c r="E73" s="186"/>
      <c r="F73" s="62">
        <f ca="1">TblConstr[[#This Row],[Barren]]+TblConstr[[#This Row],[Buildings]]+TblConstr[[#This Row],[Incoming]]</f>
        <v>250</v>
      </c>
      <c r="G73" s="195">
        <f ca="1">OFFSET(TblConstr[[#This Row],[Plain]],-1,0)+TblConstr[[#This Row],[Ch_Plain]]</f>
        <v>40</v>
      </c>
      <c r="H73" s="190">
        <f ca="1">OFFSET(TblConstr[[#This Row],[Forest]],-1,0)+TblConstr[[#This Row],[Ch_Forest]]</f>
        <v>20</v>
      </c>
      <c r="I73" s="390">
        <f ca="1">OFFSET(TblConstr[[#This Row],[Mountain]],-1,0)+TblConstr[[#This Row],[Ch_Mountain]]</f>
        <v>20</v>
      </c>
      <c r="J73" s="394">
        <f ca="1">OFFSET(TblConstr[[#This Row],[Hill]],-1,0)+TblConstr[[#This Row],[Ch_Hill]]</f>
        <v>20</v>
      </c>
      <c r="K73" s="398">
        <f ca="1">OFFSET(TblConstr[[#This Row],[Swamp]],-1,0)+TblConstr[[#This Row],[Ch_Swamp]]</f>
        <v>20</v>
      </c>
      <c r="L73" s="193">
        <f ca="1">OFFSET(TblConstr[[#This Row],[Cavern]],-1,0)+TblConstr[[#This Row],[Ch_Cavern]]</f>
        <v>20</v>
      </c>
      <c r="M73" s="194">
        <f ca="1">OFFSET(TblConstr[[#This Row],[Water]],-1,0)+TblConstr[[#This Row],[Ch_Water]]</f>
        <v>20</v>
      </c>
      <c r="N73" s="388">
        <f>TblRezone[[#This Row],[Hour]]</f>
        <v>70</v>
      </c>
      <c r="O73" s="187"/>
      <c r="P73" s="187"/>
      <c r="Q73" s="187"/>
      <c r="R73" s="187"/>
      <c r="S73" s="187"/>
      <c r="T73" s="187"/>
      <c r="U73" s="187"/>
      <c r="V73" s="187"/>
      <c r="W73" s="187"/>
      <c r="X73" s="187"/>
      <c r="Y73" s="187"/>
      <c r="Z73" s="187"/>
      <c r="AA73" s="187"/>
      <c r="AB73" s="187"/>
      <c r="AC73" s="187"/>
      <c r="AD73" s="187"/>
      <c r="AE73" s="187"/>
      <c r="AF73" s="187"/>
      <c r="AG73" s="187"/>
      <c r="AH73" s="53">
        <f ca="1">TblImps[[#This Row],[Time]]</f>
        <v>44813.624999999833</v>
      </c>
      <c r="AI73" s="188">
        <f ca="1">MIN(25%,(TblConstr[[#This Row],[Tot Fac]]+TblConstr[[#This Row],[Dest Fac]])/(TblConstr[[#This Row],[Land]]-TblExplore[[#This Row],[Land Bonus]]*20))</f>
        <v>0</v>
      </c>
      <c r="AJ73" s="188">
        <f ca="1">MIN(25%,(TblConstr[[#This Row],[Tot Fac]]+TblConstr[[#This Row],[Dest Fac]])/TblConstr[[#This Row],[Land]])</f>
        <v>0</v>
      </c>
      <c r="AK73" s="97">
        <f ca="1">TblProd[[#This Row],[Platinum]]</f>
        <v>479412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50"/>
      <c r="AV73" s="97">
        <f ca="1">ROUND((TblConstr[[#This Row],[Land]]-250 - IF(TblExplore[[#This Row],[Land Bonus]]&lt;&gt;0,20,0))*1.25 + 850 + 0,0)</f>
        <v>850</v>
      </c>
      <c r="AW73" s="97">
        <f ca="1">ROUND((TblConstr[[#This Row],[Land]]-250 - IF(TblExplore[[#This Row],[Land Bonus]]&lt;&gt;0,20,0))*0.285 + 87.5 + 0/4.25,0)</f>
        <v>88</v>
      </c>
      <c r="AX73" s="162"/>
      <c r="AY73" s="196" cm="1">
        <f t="array" aca="1" ref="AY73" ca="1">IF(TblConstr[[#This Row],[Hour]:[Hour]]&gt;12,OFFSET(TblConstr[[#This Row],[Hom]],-12,0),0)+OFFSET(TblConstr[[#This Row],[Tot Hom]],-1,0)-TblConstr[[#This Row],[Dest Hom]]</f>
        <v>10</v>
      </c>
      <c r="AZ73" s="197" cm="1">
        <f t="array" aca="1" ref="AZ73" ca="1">IF(TblConstr[[#This Row],[Hour]:[Hour]]&gt;12,OFFSET(TblConstr[[#This Row],[Alc]],-12,0),0)+OFFSET(TblConstr[[#This Row],[Tot Alc]],-1,0)-TblConstr[[#This Row],[Dest Alc]]</f>
        <v>30</v>
      </c>
      <c r="BA73" s="197" cm="1">
        <f t="array" aca="1" ref="BA73" ca="1">IF(TblConstr[[#This Row],[Hour]:[Hour]]&gt;12,OFFSET(TblConstr[[#This Row],[Far]],-12,0),0)+OFFSET(TblConstr[[#This Row],[Tot Farm]],-1,0)-TblConstr[[#This Row],[Dest Farm]]</f>
        <v>30</v>
      </c>
      <c r="BB73" s="197" cm="1">
        <f t="array" aca="1" ref="BB73" ca="1">IF(TblConstr[[#This Row],[Hour]:[Hour]]&gt;12,OFFSET(TblConstr[[#This Row],[Smi]],-12,0),0)+OFFSET(TblConstr[[#This Row],[Tot Smi]],-1,0)-TblConstr[[#This Row],[Dest Smi]]</f>
        <v>0</v>
      </c>
      <c r="BC73" s="197" cm="1">
        <f t="array" aca="1" ref="BC73" ca="1">IF(TblConstr[[#This Row],[Hour]:[Hour]]&gt;12,OFFSET(TblConstr[[#This Row],[Mas]],-12,0),0)+OFFSET(TblConstr[[#This Row],[Tot Mas]],-1,0)-TblConstr[[#This Row],[Dest Mas]]</f>
        <v>0</v>
      </c>
      <c r="BD73" s="198" cm="1">
        <f t="array" aca="1" ref="BD73" ca="1">IF(TblConstr[[#This Row],[Hour]:[Hour]]&gt;12,OFFSET(TblConstr[[#This Row],[Ly]],-12,0),0)+OFFSET(TblConstr[[#This Row],[Tot Ly]],-1,0)-TblConstr[[#This Row],[Dest Ly]]</f>
        <v>20</v>
      </c>
      <c r="BE73" s="198" cm="1">
        <f t="array" aca="1" ref="BE73" ca="1">IF(TblConstr[[#This Row],[Hour]:[Hour]]&gt;12,OFFSET(TblConstr[[#This Row],[Hav]],-12,0),0)+OFFSET(TblConstr[[#This Row],[Tot Hav]],-1,0)-TblConstr[[#This Row],[Dest Hav]]</f>
        <v>0</v>
      </c>
      <c r="BF73" s="392" cm="1">
        <f t="array" aca="1" ref="BF73" ca="1">IF(TblConstr[[#This Row],[Hour]:[Hour]]&gt;12,OFFSET(TblConstr[[#This Row],[OM]],-12,0),0)+OFFSET(TblConstr[[#This Row],[Tot OM]],-1,0)-TblConstr[[#This Row],[Dest OM]]</f>
        <v>0</v>
      </c>
      <c r="BG73" s="392" cm="1">
        <f t="array" aca="1" ref="BG73" ca="1">IF(TblConstr[[#This Row],[Hour]:[Hour]]&gt;12,OFFSET(TblConstr[[#This Row],[GN]],-12,0),0)+OFFSET(TblConstr[[#This Row],[Tot GN]],-1,0)-TblConstr[[#This Row],[Dest GN]]</f>
        <v>0</v>
      </c>
      <c r="BH73" s="396" cm="1">
        <f t="array" aca="1" ref="BH73" ca="1">IF(TblConstr[[#This Row],[Hour]:[Hour]]&gt;12,OFFSET(TblConstr[[#This Row],[Fac]],-12,0),0)+OFFSET(TblConstr[[#This Row],[Tot Fac]],-1,0)-TblConstr[[#This Row],[Dest Fac]]</f>
        <v>0</v>
      </c>
      <c r="BI73" s="396" cm="1">
        <f t="array" aca="1" ref="BI73" ca="1">IF(TblConstr[[#This Row],[Hour]:[Hour]]&gt;12,OFFSET(TblConstr[[#This Row],[GT]],-12,0),0)+OFFSET(TblConstr[[#This Row],[Tot GT]],-1,0)-TblConstr[[#This Row],[Dest GT]]</f>
        <v>0</v>
      </c>
      <c r="BJ73" s="396" cm="1">
        <f t="array" aca="1" ref="BJ73" ca="1">IF(TblConstr[[#This Row],[Hour]:[Hour]]&gt;12,OFFSET(TblConstr[[#This Row],[Bar]],-12,0),0)+OFFSET(TblConstr[[#This Row],[Tot Bar]],-1,0)-TblConstr[[#This Row],[Dest Bar]]</f>
        <v>0</v>
      </c>
      <c r="BK73" s="396" cm="1">
        <f t="array" aca="1" ref="BK73" ca="1">IF(TblConstr[[#This Row],[Hour]:[Hour]]&gt;12,OFFSET(TblConstr[[#This Row],[Shr]],-12,0),0)+OFFSET(TblConstr[[#This Row],[Tot Shr]],-1,0)-TblConstr[[#This Row],[Dest Shr]]</f>
        <v>0</v>
      </c>
      <c r="BL73" s="400" cm="1">
        <f t="array" aca="1" ref="BL73" ca="1">IF(TblConstr[[#This Row],[Hour]:[Hour]]&gt;12,OFFSET(TblConstr[[#This Row],[Tow]],-12,0),0)+OFFSET(TblConstr[[#This Row],[Tot Tow]],-1,0)-TblConstr[[#This Row],[Dest Tow]]</f>
        <v>0</v>
      </c>
      <c r="BM73" s="400" cm="1">
        <f t="array" aca="1" ref="BM73" ca="1">IF(TblConstr[[#This Row],[Hour]:[Hour]]&gt;12,OFFSET(TblConstr[[#This Row],[Tem]],-12,0),0)+OFFSET(TblConstr[[#This Row],[Tot Tem]],-1,0)-TblConstr[[#This Row],[Dest Tem]]</f>
        <v>0</v>
      </c>
      <c r="BN73" s="400" cm="1">
        <f t="array" aca="1" ref="BN73" ca="1">IF(TblConstr[[#This Row],[Hour]:[Hour]]&gt;12,OFFSET(TblConstr[[#This Row],[WG]],-12,0),0)+OFFSET(TblConstr[[#This Row],[Tot WG]],-1,0)-TblConstr[[#This Row],[Dest WG]]</f>
        <v>0</v>
      </c>
      <c r="BO73" s="199" cm="1">
        <f t="array" aca="1" ref="BO73" ca="1">IF(TblConstr[[#This Row],[Hour]:[Hour]]&gt;12,OFFSET(TblConstr[[#This Row],[DM]],-12,0),0)+OFFSET(TblConstr[[#This Row],[Tot DM]],-1,0)-TblConstr[[#This Row],[Dest DM]]</f>
        <v>0</v>
      </c>
      <c r="BP73" s="199" cm="1">
        <f t="array" aca="1" ref="BP73" ca="1">IF(TblConstr[[#This Row],[Hour]:[Hour]]&gt;12,OFFSET(TblConstr[[#This Row],[Sch]],-12,0),0)+OFFSET(TblConstr[[#This Row],[Tot Sch]],-1,0)-TblConstr[[#This Row],[Dest Sch]]</f>
        <v>0</v>
      </c>
      <c r="BQ73" s="200" cm="1">
        <f t="array" aca="1" ref="BQ73" ca="1">IF(TblConstr[[#This Row],[Hour]:[Hour]]&gt;12,OFFSET(TblConstr[[#This Row],[Doc]],-12,0),0)+OFFSET(TblConstr[[#This Row],[Tot Doc]],-1,0)-TblConstr[[#This Row],[Dest Doc]]</f>
        <v>0</v>
      </c>
      <c r="BR73" s="150"/>
      <c r="BS73" s="162"/>
      <c r="BT73" s="97">
        <f ca="1">TblConstr[[#This Row],[Land]]</f>
        <v>250</v>
      </c>
      <c r="BU73" s="167">
        <f ca="1">TblImps[[#This Row],[Time]]</f>
        <v>44813.624999999833</v>
      </c>
      <c r="BV73" s="150"/>
      <c r="BW73" s="187"/>
      <c r="BX73" s="187"/>
      <c r="BY73" s="187"/>
      <c r="BZ73" s="187"/>
      <c r="CA73" s="187"/>
      <c r="CB73" s="187"/>
      <c r="CC73" s="187"/>
      <c r="CD73" s="187"/>
      <c r="CE73" s="187"/>
      <c r="CF73" s="187"/>
      <c r="CG73" s="187"/>
      <c r="CH73" s="187"/>
      <c r="CI73" s="187"/>
      <c r="CJ73" s="187"/>
      <c r="CK73" s="187"/>
      <c r="CL73" s="187"/>
      <c r="CM73" s="187"/>
      <c r="CN73" s="187"/>
      <c r="CO73" s="187"/>
      <c r="CP73" s="150"/>
      <c r="CQ73" s="189">
        <f ca="1">-SUM(TblConstr[[#This Row],[Alc]:[Mas]])+SUM(TblConstr[[#This Row],[Dest Alc]:[Dest Mas]])+Rezone!L73+IF("Ch_"&amp; home_land=TblConstr[[#Headers],[Ch_Plain]],TblConstr[[#This Row],[Home Land]])+IF(TblConstr[[#This Row],[Hour]:[Hour]]&gt;12,OFFSET(TblExplore[[#This Row],[Plains Explore]],-12,0),0)</f>
        <v>0</v>
      </c>
      <c r="CR73" s="190">
        <f ca="1">-SUM(TblConstr[[#This Row],[Ly]:[Hav]])+SUM(TblConstr[[#This Row],[Dest Ly]:[Dest Hav]]) +Rezone!M73 + IF("Ch_"&amp; home_land=TblConstr[[#Headers],[Ch_Forest]],TblConstr[[#This Row],[Home Land]])+IF(TblConstr[[#This Row],[Hour]:[Hour]]&gt;12,OFFSET(TblExplore[[#This Row],[Forest Explore]],-12,0),0)</f>
        <v>0</v>
      </c>
      <c r="CS73" s="390">
        <f ca="1">-SUM(TblConstr[[#This Row],[OM]:[GN]])+SUM(TblConstr[[#This Row],[Dest OM]:[Dest GN]]) +Rezone!N73 + IF("Ch_"&amp; home_land=TblConstr[[#Headers],[Ch_Mountain]],TblConstr[[#This Row],[Home Land]])+IF(TblConstr[[#This Row],[Hour]:[Hour]]&gt;12,OFFSET(TblExplore[[#This Row],[Mountain Explore]],-12,0),0)</f>
        <v>0</v>
      </c>
      <c r="CT73" s="191">
        <f ca="1">-SUM(TblConstr[[#This Row],[Fac]:[Shr]])+SUM(TblConstr[[#This Row],[Dest Fac]:[Dest Shr]]) +Rezone!O73 + IF("Ch_" &amp; home_land=TblConstr[[#Headers],[Ch_Hill]],TblConstr[[#This Row],[Home Land]])+IF(TblConstr[[#This Row],[Hour]:[Hour]]&gt;12,OFFSET(TblExplore[[#This Row],[Hill Explore]],-12,0),0)</f>
        <v>0</v>
      </c>
      <c r="CU73" s="192">
        <f ca="1">-SUM(TblConstr[[#This Row],[Tow]:[WG]])+SUM(TblConstr[[#This Row],[Dest Tow]:[Dest WG]]) +Rezone!P73 + IF("Ch_" &amp; home_land=TblConstr[[#Headers],[Ch_Swamp]],TblConstr[[#This Row],[Home Land]])+IF(TblConstr[[#This Row],[Hour]:[Hour]]&gt;12,OFFSET(TblExplore[[#This Row],[Swamp Explore]],-12,0),0)</f>
        <v>0</v>
      </c>
      <c r="CV73" s="193">
        <f ca="1" xml:space="preserve"> - SUM(TblConstr[[#This Row],[DM]:[Sch]])+SUM(TblConstr[[#This Row],[Dest DM]:[Dest Sch]]) +Rezone!Q73 + IF("Ch_" &amp; home_land=TblConstr[[#Headers],[Ch_Cavern]],TblConstr[[#This Row],[Home Land]])+IF(TblConstr[[#This Row],[Hour]:[Hour]]&gt;12,OFFSET(TblExplore[[#This Row],[Cavern Explore]],-12,0),0)</f>
        <v>0</v>
      </c>
      <c r="CW73" s="194">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50"/>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83">
        <f>TblRezone[[#This Row],[Hour]]</f>
        <v>71</v>
      </c>
      <c r="B74" s="184">
        <f ca="1">SUM(TblConstr[[#This Row],[Plain]:[Water]])</f>
        <v>160</v>
      </c>
      <c r="C74" s="185">
        <f ca="1">SUM(TblConstr[[#This Row],[Tot Hom]:[Tot Doc]])</f>
        <v>90</v>
      </c>
      <c r="D74" s="185">
        <f t="shared" si="11"/>
        <v>0</v>
      </c>
      <c r="E74" s="186"/>
      <c r="F74" s="62">
        <f ca="1">TblConstr[[#This Row],[Barren]]+TblConstr[[#This Row],[Buildings]]+TblConstr[[#This Row],[Incoming]]</f>
        <v>250</v>
      </c>
      <c r="G74" s="195">
        <f ca="1">OFFSET(TblConstr[[#This Row],[Plain]],-1,0)+TblConstr[[#This Row],[Ch_Plain]]</f>
        <v>40</v>
      </c>
      <c r="H74" s="190">
        <f ca="1">OFFSET(TblConstr[[#This Row],[Forest]],-1,0)+TblConstr[[#This Row],[Ch_Forest]]</f>
        <v>20</v>
      </c>
      <c r="I74" s="390">
        <f ca="1">OFFSET(TblConstr[[#This Row],[Mountain]],-1,0)+TblConstr[[#This Row],[Ch_Mountain]]</f>
        <v>20</v>
      </c>
      <c r="J74" s="394">
        <f ca="1">OFFSET(TblConstr[[#This Row],[Hill]],-1,0)+TblConstr[[#This Row],[Ch_Hill]]</f>
        <v>20</v>
      </c>
      <c r="K74" s="398">
        <f ca="1">OFFSET(TblConstr[[#This Row],[Swamp]],-1,0)+TblConstr[[#This Row],[Ch_Swamp]]</f>
        <v>20</v>
      </c>
      <c r="L74" s="193">
        <f ca="1">OFFSET(TblConstr[[#This Row],[Cavern]],-1,0)+TblConstr[[#This Row],[Ch_Cavern]]</f>
        <v>20</v>
      </c>
      <c r="M74" s="194">
        <f ca="1">OFFSET(TblConstr[[#This Row],[Water]],-1,0)+TblConstr[[#This Row],[Ch_Water]]</f>
        <v>20</v>
      </c>
      <c r="N74" s="388">
        <f>TblRezone[[#This Row],[Hour]]</f>
        <v>71</v>
      </c>
      <c r="O74" s="187"/>
      <c r="P74" s="187"/>
      <c r="Q74" s="187"/>
      <c r="R74" s="187"/>
      <c r="S74" s="187"/>
      <c r="T74" s="187"/>
      <c r="U74" s="187"/>
      <c r="V74" s="187"/>
      <c r="W74" s="187"/>
      <c r="X74" s="187"/>
      <c r="Y74" s="187"/>
      <c r="Z74" s="187"/>
      <c r="AA74" s="187"/>
      <c r="AB74" s="187"/>
      <c r="AC74" s="187"/>
      <c r="AD74" s="187"/>
      <c r="AE74" s="187"/>
      <c r="AF74" s="187"/>
      <c r="AG74" s="187"/>
      <c r="AH74" s="53">
        <f ca="1">TblImps[[#This Row],[Time]]</f>
        <v>44813.666666666497</v>
      </c>
      <c r="AI74" s="188">
        <f ca="1">MIN(25%,(TblConstr[[#This Row],[Tot Fac]]+TblConstr[[#This Row],[Dest Fac]])/(TblConstr[[#This Row],[Land]]-TblExplore[[#This Row],[Land Bonus]]*20))</f>
        <v>0</v>
      </c>
      <c r="AJ74" s="188">
        <f ca="1">MIN(25%,(TblConstr[[#This Row],[Tot Fac]]+TblConstr[[#This Row],[Dest Fac]])/TblConstr[[#This Row],[Land]])</f>
        <v>0</v>
      </c>
      <c r="AK74" s="97">
        <f ca="1">TblProd[[#This Row],[Platinum]]</f>
        <v>484898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50"/>
      <c r="AV74" s="97">
        <f ca="1">ROUND((TblConstr[[#This Row],[Land]]-250 - IF(TblExplore[[#This Row],[Land Bonus]]&lt;&gt;0,20,0))*1.25 + 850 + 0,0)</f>
        <v>850</v>
      </c>
      <c r="AW74" s="97">
        <f ca="1">ROUND((TblConstr[[#This Row],[Land]]-250 - IF(TblExplore[[#This Row],[Land Bonus]]&lt;&gt;0,20,0))*0.285 + 87.5 + 0/4.25,0)</f>
        <v>88</v>
      </c>
      <c r="AX74" s="162"/>
      <c r="AY74" s="196" cm="1">
        <f t="array" aca="1" ref="AY74" ca="1">IF(TblConstr[[#This Row],[Hour]:[Hour]]&gt;12,OFFSET(TblConstr[[#This Row],[Hom]],-12,0),0)+OFFSET(TblConstr[[#This Row],[Tot Hom]],-1,0)-TblConstr[[#This Row],[Dest Hom]]</f>
        <v>10</v>
      </c>
      <c r="AZ74" s="197" cm="1">
        <f t="array" aca="1" ref="AZ74" ca="1">IF(TblConstr[[#This Row],[Hour]:[Hour]]&gt;12,OFFSET(TblConstr[[#This Row],[Alc]],-12,0),0)+OFFSET(TblConstr[[#This Row],[Tot Alc]],-1,0)-TblConstr[[#This Row],[Dest Alc]]</f>
        <v>30</v>
      </c>
      <c r="BA74" s="197" cm="1">
        <f t="array" aca="1" ref="BA74" ca="1">IF(TblConstr[[#This Row],[Hour]:[Hour]]&gt;12,OFFSET(TblConstr[[#This Row],[Far]],-12,0),0)+OFFSET(TblConstr[[#This Row],[Tot Farm]],-1,0)-TblConstr[[#This Row],[Dest Farm]]</f>
        <v>30</v>
      </c>
      <c r="BB74" s="197" cm="1">
        <f t="array" aca="1" ref="BB74" ca="1">IF(TblConstr[[#This Row],[Hour]:[Hour]]&gt;12,OFFSET(TblConstr[[#This Row],[Smi]],-12,0),0)+OFFSET(TblConstr[[#This Row],[Tot Smi]],-1,0)-TblConstr[[#This Row],[Dest Smi]]</f>
        <v>0</v>
      </c>
      <c r="BC74" s="197" cm="1">
        <f t="array" aca="1" ref="BC74" ca="1">IF(TblConstr[[#This Row],[Hour]:[Hour]]&gt;12,OFFSET(TblConstr[[#This Row],[Mas]],-12,0),0)+OFFSET(TblConstr[[#This Row],[Tot Mas]],-1,0)-TblConstr[[#This Row],[Dest Mas]]</f>
        <v>0</v>
      </c>
      <c r="BD74" s="198" cm="1">
        <f t="array" aca="1" ref="BD74" ca="1">IF(TblConstr[[#This Row],[Hour]:[Hour]]&gt;12,OFFSET(TblConstr[[#This Row],[Ly]],-12,0),0)+OFFSET(TblConstr[[#This Row],[Tot Ly]],-1,0)-TblConstr[[#This Row],[Dest Ly]]</f>
        <v>20</v>
      </c>
      <c r="BE74" s="198" cm="1">
        <f t="array" aca="1" ref="BE74" ca="1">IF(TblConstr[[#This Row],[Hour]:[Hour]]&gt;12,OFFSET(TblConstr[[#This Row],[Hav]],-12,0),0)+OFFSET(TblConstr[[#This Row],[Tot Hav]],-1,0)-TblConstr[[#This Row],[Dest Hav]]</f>
        <v>0</v>
      </c>
      <c r="BF74" s="392" cm="1">
        <f t="array" aca="1" ref="BF74" ca="1">IF(TblConstr[[#This Row],[Hour]:[Hour]]&gt;12,OFFSET(TblConstr[[#This Row],[OM]],-12,0),0)+OFFSET(TblConstr[[#This Row],[Tot OM]],-1,0)-TblConstr[[#This Row],[Dest OM]]</f>
        <v>0</v>
      </c>
      <c r="BG74" s="392" cm="1">
        <f t="array" aca="1" ref="BG74" ca="1">IF(TblConstr[[#This Row],[Hour]:[Hour]]&gt;12,OFFSET(TblConstr[[#This Row],[GN]],-12,0),0)+OFFSET(TblConstr[[#This Row],[Tot GN]],-1,0)-TblConstr[[#This Row],[Dest GN]]</f>
        <v>0</v>
      </c>
      <c r="BH74" s="396" cm="1">
        <f t="array" aca="1" ref="BH74" ca="1">IF(TblConstr[[#This Row],[Hour]:[Hour]]&gt;12,OFFSET(TblConstr[[#This Row],[Fac]],-12,0),0)+OFFSET(TblConstr[[#This Row],[Tot Fac]],-1,0)-TblConstr[[#This Row],[Dest Fac]]</f>
        <v>0</v>
      </c>
      <c r="BI74" s="396" cm="1">
        <f t="array" aca="1" ref="BI74" ca="1">IF(TblConstr[[#This Row],[Hour]:[Hour]]&gt;12,OFFSET(TblConstr[[#This Row],[GT]],-12,0),0)+OFFSET(TblConstr[[#This Row],[Tot GT]],-1,0)-TblConstr[[#This Row],[Dest GT]]</f>
        <v>0</v>
      </c>
      <c r="BJ74" s="396" cm="1">
        <f t="array" aca="1" ref="BJ74" ca="1">IF(TblConstr[[#This Row],[Hour]:[Hour]]&gt;12,OFFSET(TblConstr[[#This Row],[Bar]],-12,0),0)+OFFSET(TblConstr[[#This Row],[Tot Bar]],-1,0)-TblConstr[[#This Row],[Dest Bar]]</f>
        <v>0</v>
      </c>
      <c r="BK74" s="396" cm="1">
        <f t="array" aca="1" ref="BK74" ca="1">IF(TblConstr[[#This Row],[Hour]:[Hour]]&gt;12,OFFSET(TblConstr[[#This Row],[Shr]],-12,0),0)+OFFSET(TblConstr[[#This Row],[Tot Shr]],-1,0)-TblConstr[[#This Row],[Dest Shr]]</f>
        <v>0</v>
      </c>
      <c r="BL74" s="400" cm="1">
        <f t="array" aca="1" ref="BL74" ca="1">IF(TblConstr[[#This Row],[Hour]:[Hour]]&gt;12,OFFSET(TblConstr[[#This Row],[Tow]],-12,0),0)+OFFSET(TblConstr[[#This Row],[Tot Tow]],-1,0)-TblConstr[[#This Row],[Dest Tow]]</f>
        <v>0</v>
      </c>
      <c r="BM74" s="400" cm="1">
        <f t="array" aca="1" ref="BM74" ca="1">IF(TblConstr[[#This Row],[Hour]:[Hour]]&gt;12,OFFSET(TblConstr[[#This Row],[Tem]],-12,0),0)+OFFSET(TblConstr[[#This Row],[Tot Tem]],-1,0)-TblConstr[[#This Row],[Dest Tem]]</f>
        <v>0</v>
      </c>
      <c r="BN74" s="400" cm="1">
        <f t="array" aca="1" ref="BN74" ca="1">IF(TblConstr[[#This Row],[Hour]:[Hour]]&gt;12,OFFSET(TblConstr[[#This Row],[WG]],-12,0),0)+OFFSET(TblConstr[[#This Row],[Tot WG]],-1,0)-TblConstr[[#This Row],[Dest WG]]</f>
        <v>0</v>
      </c>
      <c r="BO74" s="199" cm="1">
        <f t="array" aca="1" ref="BO74" ca="1">IF(TblConstr[[#This Row],[Hour]:[Hour]]&gt;12,OFFSET(TblConstr[[#This Row],[DM]],-12,0),0)+OFFSET(TblConstr[[#This Row],[Tot DM]],-1,0)-TblConstr[[#This Row],[Dest DM]]</f>
        <v>0</v>
      </c>
      <c r="BP74" s="199" cm="1">
        <f t="array" aca="1" ref="BP74" ca="1">IF(TblConstr[[#This Row],[Hour]:[Hour]]&gt;12,OFFSET(TblConstr[[#This Row],[Sch]],-12,0),0)+OFFSET(TblConstr[[#This Row],[Tot Sch]],-1,0)-TblConstr[[#This Row],[Dest Sch]]</f>
        <v>0</v>
      </c>
      <c r="BQ74" s="200" cm="1">
        <f t="array" aca="1" ref="BQ74" ca="1">IF(TblConstr[[#This Row],[Hour]:[Hour]]&gt;12,OFFSET(TblConstr[[#This Row],[Doc]],-12,0),0)+OFFSET(TblConstr[[#This Row],[Tot Doc]],-1,0)-TblConstr[[#This Row],[Dest Doc]]</f>
        <v>0</v>
      </c>
      <c r="BR74" s="150"/>
      <c r="BS74" s="162"/>
      <c r="BT74" s="97">
        <f ca="1">TblConstr[[#This Row],[Land]]</f>
        <v>250</v>
      </c>
      <c r="BU74" s="167">
        <f ca="1">TblImps[[#This Row],[Time]]</f>
        <v>44813.666666666497</v>
      </c>
      <c r="BV74" s="150"/>
      <c r="BW74" s="187"/>
      <c r="BX74" s="187"/>
      <c r="BY74" s="187"/>
      <c r="BZ74" s="187"/>
      <c r="CA74" s="187"/>
      <c r="CB74" s="187"/>
      <c r="CC74" s="187"/>
      <c r="CD74" s="187"/>
      <c r="CE74" s="187"/>
      <c r="CF74" s="187"/>
      <c r="CG74" s="187"/>
      <c r="CH74" s="187"/>
      <c r="CI74" s="187"/>
      <c r="CJ74" s="187"/>
      <c r="CK74" s="187"/>
      <c r="CL74" s="187"/>
      <c r="CM74" s="187"/>
      <c r="CN74" s="187"/>
      <c r="CO74" s="187"/>
      <c r="CP74" s="150"/>
      <c r="CQ74" s="189">
        <f ca="1">-SUM(TblConstr[[#This Row],[Alc]:[Mas]])+SUM(TblConstr[[#This Row],[Dest Alc]:[Dest Mas]])+Rezone!L74+IF("Ch_"&amp; home_land=TblConstr[[#Headers],[Ch_Plain]],TblConstr[[#This Row],[Home Land]])+IF(TblConstr[[#This Row],[Hour]:[Hour]]&gt;12,OFFSET(TblExplore[[#This Row],[Plains Explore]],-12,0),0)</f>
        <v>0</v>
      </c>
      <c r="CR74" s="190">
        <f ca="1">-SUM(TblConstr[[#This Row],[Ly]:[Hav]])+SUM(TblConstr[[#This Row],[Dest Ly]:[Dest Hav]]) +Rezone!M74 + IF("Ch_"&amp; home_land=TblConstr[[#Headers],[Ch_Forest]],TblConstr[[#This Row],[Home Land]])+IF(TblConstr[[#This Row],[Hour]:[Hour]]&gt;12,OFFSET(TblExplore[[#This Row],[Forest Explore]],-12,0),0)</f>
        <v>0</v>
      </c>
      <c r="CS74" s="390">
        <f ca="1">-SUM(TblConstr[[#This Row],[OM]:[GN]])+SUM(TblConstr[[#This Row],[Dest OM]:[Dest GN]]) +Rezone!N74 + IF("Ch_"&amp; home_land=TblConstr[[#Headers],[Ch_Mountain]],TblConstr[[#This Row],[Home Land]])+IF(TblConstr[[#This Row],[Hour]:[Hour]]&gt;12,OFFSET(TblExplore[[#This Row],[Mountain Explore]],-12,0),0)</f>
        <v>0</v>
      </c>
      <c r="CT74" s="191">
        <f ca="1">-SUM(TblConstr[[#This Row],[Fac]:[Shr]])+SUM(TblConstr[[#This Row],[Dest Fac]:[Dest Shr]]) +Rezone!O74 + IF("Ch_" &amp; home_land=TblConstr[[#Headers],[Ch_Hill]],TblConstr[[#This Row],[Home Land]])+IF(TblConstr[[#This Row],[Hour]:[Hour]]&gt;12,OFFSET(TblExplore[[#This Row],[Hill Explore]],-12,0),0)</f>
        <v>0</v>
      </c>
      <c r="CU74" s="192">
        <f ca="1">-SUM(TblConstr[[#This Row],[Tow]:[WG]])+SUM(TblConstr[[#This Row],[Dest Tow]:[Dest WG]]) +Rezone!P74 + IF("Ch_" &amp; home_land=TblConstr[[#Headers],[Ch_Swamp]],TblConstr[[#This Row],[Home Land]])+IF(TblConstr[[#This Row],[Hour]:[Hour]]&gt;12,OFFSET(TblExplore[[#This Row],[Swamp Explore]],-12,0),0)</f>
        <v>0</v>
      </c>
      <c r="CV74" s="193">
        <f ca="1" xml:space="preserve"> - SUM(TblConstr[[#This Row],[DM]:[Sch]])+SUM(TblConstr[[#This Row],[Dest DM]:[Dest Sch]]) +Rezone!Q74 + IF("Ch_" &amp; home_land=TblConstr[[#Headers],[Ch_Cavern]],TblConstr[[#This Row],[Home Land]])+IF(TblConstr[[#This Row],[Hour]:[Hour]]&gt;12,OFFSET(TblExplore[[#This Row],[Cavern Explore]],-12,0),0)</f>
        <v>0</v>
      </c>
      <c r="CW74" s="194">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50"/>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83">
        <f>TblRezone[[#This Row],[Hour]]</f>
        <v>72</v>
      </c>
      <c r="B75" s="184">
        <f ca="1">SUM(TblConstr[[#This Row],[Plain]:[Water]])</f>
        <v>160</v>
      </c>
      <c r="C75" s="185">
        <f ca="1">SUM(TblConstr[[#This Row],[Tot Hom]:[Tot Doc]])</f>
        <v>90</v>
      </c>
      <c r="D75" s="185">
        <f t="shared" si="11"/>
        <v>0</v>
      </c>
      <c r="E75" s="186"/>
      <c r="F75" s="62">
        <f ca="1">TblConstr[[#This Row],[Barren]]+TblConstr[[#This Row],[Buildings]]+TblConstr[[#This Row],[Incoming]]</f>
        <v>250</v>
      </c>
      <c r="G75" s="195">
        <f ca="1">OFFSET(TblConstr[[#This Row],[Plain]],-1,0)+TblConstr[[#This Row],[Ch_Plain]]</f>
        <v>40</v>
      </c>
      <c r="H75" s="190">
        <f ca="1">OFFSET(TblConstr[[#This Row],[Forest]],-1,0)+TblConstr[[#This Row],[Ch_Forest]]</f>
        <v>20</v>
      </c>
      <c r="I75" s="390">
        <f ca="1">OFFSET(TblConstr[[#This Row],[Mountain]],-1,0)+TblConstr[[#This Row],[Ch_Mountain]]</f>
        <v>20</v>
      </c>
      <c r="J75" s="394">
        <f ca="1">OFFSET(TblConstr[[#This Row],[Hill]],-1,0)+TblConstr[[#This Row],[Ch_Hill]]</f>
        <v>20</v>
      </c>
      <c r="K75" s="398">
        <f ca="1">OFFSET(TblConstr[[#This Row],[Swamp]],-1,0)+TblConstr[[#This Row],[Ch_Swamp]]</f>
        <v>20</v>
      </c>
      <c r="L75" s="193">
        <f ca="1">OFFSET(TblConstr[[#This Row],[Cavern]],-1,0)+TblConstr[[#This Row],[Ch_Cavern]]</f>
        <v>20</v>
      </c>
      <c r="M75" s="194">
        <f ca="1">OFFSET(TblConstr[[#This Row],[Water]],-1,0)+TblConstr[[#This Row],[Ch_Water]]</f>
        <v>20</v>
      </c>
      <c r="N75" s="388">
        <f>TblRezone[[#This Row],[Hour]]</f>
        <v>72</v>
      </c>
      <c r="O75" s="187"/>
      <c r="P75" s="187"/>
      <c r="Q75" s="187"/>
      <c r="R75" s="187"/>
      <c r="S75" s="187"/>
      <c r="T75" s="187"/>
      <c r="U75" s="187"/>
      <c r="V75" s="187"/>
      <c r="W75" s="187"/>
      <c r="X75" s="187"/>
      <c r="Y75" s="187"/>
      <c r="Z75" s="187"/>
      <c r="AA75" s="187"/>
      <c r="AB75" s="187"/>
      <c r="AC75" s="187"/>
      <c r="AD75" s="187"/>
      <c r="AE75" s="187"/>
      <c r="AF75" s="187"/>
      <c r="AG75" s="187"/>
      <c r="AH75" s="53">
        <f ca="1">TblImps[[#This Row],[Time]]</f>
        <v>44813.708333333161</v>
      </c>
      <c r="AI75" s="188">
        <f ca="1">MIN(25%,(TblConstr[[#This Row],[Tot Fac]]+TblConstr[[#This Row],[Dest Fac]])/(TblConstr[[#This Row],[Land]]-TblExplore[[#This Row],[Land Bonus]]*20))</f>
        <v>0</v>
      </c>
      <c r="AJ75" s="188">
        <f ca="1">MIN(25%,(TblConstr[[#This Row],[Tot Fac]]+TblConstr[[#This Row],[Dest Fac]])/TblConstr[[#This Row],[Land]])</f>
        <v>0</v>
      </c>
      <c r="AK75" s="97">
        <f ca="1">TblProd[[#This Row],[Platinum]]</f>
        <v>490384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50"/>
      <c r="AV75" s="97">
        <f ca="1">ROUND((TblConstr[[#This Row],[Land]]-250 - IF(TblExplore[[#This Row],[Land Bonus]]&lt;&gt;0,20,0))*1.25 + 850 + 0,0)</f>
        <v>850</v>
      </c>
      <c r="AW75" s="97">
        <f ca="1">ROUND((TblConstr[[#This Row],[Land]]-250 - IF(TblExplore[[#This Row],[Land Bonus]]&lt;&gt;0,20,0))*0.285 + 87.5 + 0/4.25,0)</f>
        <v>88</v>
      </c>
      <c r="AX75" s="162"/>
      <c r="AY75" s="196" cm="1">
        <f t="array" aca="1" ref="AY75" ca="1">IF(TblConstr[[#This Row],[Hour]:[Hour]]&gt;12,OFFSET(TblConstr[[#This Row],[Hom]],-12,0),0)+OFFSET(TblConstr[[#This Row],[Tot Hom]],-1,0)-TblConstr[[#This Row],[Dest Hom]]</f>
        <v>10</v>
      </c>
      <c r="AZ75" s="197" cm="1">
        <f t="array" aca="1" ref="AZ75" ca="1">IF(TblConstr[[#This Row],[Hour]:[Hour]]&gt;12,OFFSET(TblConstr[[#This Row],[Alc]],-12,0),0)+OFFSET(TblConstr[[#This Row],[Tot Alc]],-1,0)-TblConstr[[#This Row],[Dest Alc]]</f>
        <v>30</v>
      </c>
      <c r="BA75" s="197" cm="1">
        <f t="array" aca="1" ref="BA75" ca="1">IF(TblConstr[[#This Row],[Hour]:[Hour]]&gt;12,OFFSET(TblConstr[[#This Row],[Far]],-12,0),0)+OFFSET(TblConstr[[#This Row],[Tot Farm]],-1,0)-TblConstr[[#This Row],[Dest Farm]]</f>
        <v>30</v>
      </c>
      <c r="BB75" s="197" cm="1">
        <f t="array" aca="1" ref="BB75" ca="1">IF(TblConstr[[#This Row],[Hour]:[Hour]]&gt;12,OFFSET(TblConstr[[#This Row],[Smi]],-12,0),0)+OFFSET(TblConstr[[#This Row],[Tot Smi]],-1,0)-TblConstr[[#This Row],[Dest Smi]]</f>
        <v>0</v>
      </c>
      <c r="BC75" s="197" cm="1">
        <f t="array" aca="1" ref="BC75" ca="1">IF(TblConstr[[#This Row],[Hour]:[Hour]]&gt;12,OFFSET(TblConstr[[#This Row],[Mas]],-12,0),0)+OFFSET(TblConstr[[#This Row],[Tot Mas]],-1,0)-TblConstr[[#This Row],[Dest Mas]]</f>
        <v>0</v>
      </c>
      <c r="BD75" s="198" cm="1">
        <f t="array" aca="1" ref="BD75" ca="1">IF(TblConstr[[#This Row],[Hour]:[Hour]]&gt;12,OFFSET(TblConstr[[#This Row],[Ly]],-12,0),0)+OFFSET(TblConstr[[#This Row],[Tot Ly]],-1,0)-TblConstr[[#This Row],[Dest Ly]]</f>
        <v>20</v>
      </c>
      <c r="BE75" s="198" cm="1">
        <f t="array" aca="1" ref="BE75" ca="1">IF(TblConstr[[#This Row],[Hour]:[Hour]]&gt;12,OFFSET(TblConstr[[#This Row],[Hav]],-12,0),0)+OFFSET(TblConstr[[#This Row],[Tot Hav]],-1,0)-TblConstr[[#This Row],[Dest Hav]]</f>
        <v>0</v>
      </c>
      <c r="BF75" s="392" cm="1">
        <f t="array" aca="1" ref="BF75" ca="1">IF(TblConstr[[#This Row],[Hour]:[Hour]]&gt;12,OFFSET(TblConstr[[#This Row],[OM]],-12,0),0)+OFFSET(TblConstr[[#This Row],[Tot OM]],-1,0)-TblConstr[[#This Row],[Dest OM]]</f>
        <v>0</v>
      </c>
      <c r="BG75" s="392" cm="1">
        <f t="array" aca="1" ref="BG75" ca="1">IF(TblConstr[[#This Row],[Hour]:[Hour]]&gt;12,OFFSET(TblConstr[[#This Row],[GN]],-12,0),0)+OFFSET(TblConstr[[#This Row],[Tot GN]],-1,0)-TblConstr[[#This Row],[Dest GN]]</f>
        <v>0</v>
      </c>
      <c r="BH75" s="396" cm="1">
        <f t="array" aca="1" ref="BH75" ca="1">IF(TblConstr[[#This Row],[Hour]:[Hour]]&gt;12,OFFSET(TblConstr[[#This Row],[Fac]],-12,0),0)+OFFSET(TblConstr[[#This Row],[Tot Fac]],-1,0)-TblConstr[[#This Row],[Dest Fac]]</f>
        <v>0</v>
      </c>
      <c r="BI75" s="396" cm="1">
        <f t="array" aca="1" ref="BI75" ca="1">IF(TblConstr[[#This Row],[Hour]:[Hour]]&gt;12,OFFSET(TblConstr[[#This Row],[GT]],-12,0),0)+OFFSET(TblConstr[[#This Row],[Tot GT]],-1,0)-TblConstr[[#This Row],[Dest GT]]</f>
        <v>0</v>
      </c>
      <c r="BJ75" s="396" cm="1">
        <f t="array" aca="1" ref="BJ75" ca="1">IF(TblConstr[[#This Row],[Hour]:[Hour]]&gt;12,OFFSET(TblConstr[[#This Row],[Bar]],-12,0),0)+OFFSET(TblConstr[[#This Row],[Tot Bar]],-1,0)-TblConstr[[#This Row],[Dest Bar]]</f>
        <v>0</v>
      </c>
      <c r="BK75" s="396" cm="1">
        <f t="array" aca="1" ref="BK75" ca="1">IF(TblConstr[[#This Row],[Hour]:[Hour]]&gt;12,OFFSET(TblConstr[[#This Row],[Shr]],-12,0),0)+OFFSET(TblConstr[[#This Row],[Tot Shr]],-1,0)-TblConstr[[#This Row],[Dest Shr]]</f>
        <v>0</v>
      </c>
      <c r="BL75" s="400" cm="1">
        <f t="array" aca="1" ref="BL75" ca="1">IF(TblConstr[[#This Row],[Hour]:[Hour]]&gt;12,OFFSET(TblConstr[[#This Row],[Tow]],-12,0),0)+OFFSET(TblConstr[[#This Row],[Tot Tow]],-1,0)-TblConstr[[#This Row],[Dest Tow]]</f>
        <v>0</v>
      </c>
      <c r="BM75" s="400" cm="1">
        <f t="array" aca="1" ref="BM75" ca="1">IF(TblConstr[[#This Row],[Hour]:[Hour]]&gt;12,OFFSET(TblConstr[[#This Row],[Tem]],-12,0),0)+OFFSET(TblConstr[[#This Row],[Tot Tem]],-1,0)-TblConstr[[#This Row],[Dest Tem]]</f>
        <v>0</v>
      </c>
      <c r="BN75" s="400" cm="1">
        <f t="array" aca="1" ref="BN75" ca="1">IF(TblConstr[[#This Row],[Hour]:[Hour]]&gt;12,OFFSET(TblConstr[[#This Row],[WG]],-12,0),0)+OFFSET(TblConstr[[#This Row],[Tot WG]],-1,0)-TblConstr[[#This Row],[Dest WG]]</f>
        <v>0</v>
      </c>
      <c r="BO75" s="199" cm="1">
        <f t="array" aca="1" ref="BO75" ca="1">IF(TblConstr[[#This Row],[Hour]:[Hour]]&gt;12,OFFSET(TblConstr[[#This Row],[DM]],-12,0),0)+OFFSET(TblConstr[[#This Row],[Tot DM]],-1,0)-TblConstr[[#This Row],[Dest DM]]</f>
        <v>0</v>
      </c>
      <c r="BP75" s="199" cm="1">
        <f t="array" aca="1" ref="BP75" ca="1">IF(TblConstr[[#This Row],[Hour]:[Hour]]&gt;12,OFFSET(TblConstr[[#This Row],[Sch]],-12,0),0)+OFFSET(TblConstr[[#This Row],[Tot Sch]],-1,0)-TblConstr[[#This Row],[Dest Sch]]</f>
        <v>0</v>
      </c>
      <c r="BQ75" s="200" cm="1">
        <f t="array" aca="1" ref="BQ75" ca="1">IF(TblConstr[[#This Row],[Hour]:[Hour]]&gt;12,OFFSET(TblConstr[[#This Row],[Doc]],-12,0),0)+OFFSET(TblConstr[[#This Row],[Tot Doc]],-1,0)-TblConstr[[#This Row],[Dest Doc]]</f>
        <v>0</v>
      </c>
      <c r="BR75" s="150"/>
      <c r="BS75" s="162"/>
      <c r="BT75" s="97">
        <f ca="1">TblConstr[[#This Row],[Land]]</f>
        <v>250</v>
      </c>
      <c r="BU75" s="167">
        <f ca="1">TblImps[[#This Row],[Time]]</f>
        <v>44813.708333333161</v>
      </c>
      <c r="BV75" s="150"/>
      <c r="BW75" s="187"/>
      <c r="BX75" s="187"/>
      <c r="BY75" s="187"/>
      <c r="BZ75" s="187"/>
      <c r="CA75" s="187"/>
      <c r="CB75" s="187"/>
      <c r="CC75" s="187"/>
      <c r="CD75" s="187"/>
      <c r="CE75" s="187"/>
      <c r="CF75" s="187"/>
      <c r="CG75" s="187"/>
      <c r="CH75" s="187"/>
      <c r="CI75" s="187"/>
      <c r="CJ75" s="187"/>
      <c r="CK75" s="187"/>
      <c r="CL75" s="187"/>
      <c r="CM75" s="187"/>
      <c r="CN75" s="187"/>
      <c r="CO75" s="187"/>
      <c r="CP75" s="150"/>
      <c r="CQ75" s="189">
        <f ca="1">-SUM(TblConstr[[#This Row],[Alc]:[Mas]])+SUM(TblConstr[[#This Row],[Dest Alc]:[Dest Mas]])+Rezone!L75+IF("Ch_"&amp; home_land=TblConstr[[#Headers],[Ch_Plain]],TblConstr[[#This Row],[Home Land]])+IF(TblConstr[[#This Row],[Hour]:[Hour]]&gt;12,OFFSET(TblExplore[[#This Row],[Plains Explore]],-12,0),0)</f>
        <v>0</v>
      </c>
      <c r="CR75" s="190">
        <f ca="1">-SUM(TblConstr[[#This Row],[Ly]:[Hav]])+SUM(TblConstr[[#This Row],[Dest Ly]:[Dest Hav]]) +Rezone!M75 + IF("Ch_"&amp; home_land=TblConstr[[#Headers],[Ch_Forest]],TblConstr[[#This Row],[Home Land]])+IF(TblConstr[[#This Row],[Hour]:[Hour]]&gt;12,OFFSET(TblExplore[[#This Row],[Forest Explore]],-12,0),0)</f>
        <v>0</v>
      </c>
      <c r="CS75" s="390">
        <f ca="1">-SUM(TblConstr[[#This Row],[OM]:[GN]])+SUM(TblConstr[[#This Row],[Dest OM]:[Dest GN]]) +Rezone!N75 + IF("Ch_"&amp; home_land=TblConstr[[#Headers],[Ch_Mountain]],TblConstr[[#This Row],[Home Land]])+IF(TblConstr[[#This Row],[Hour]:[Hour]]&gt;12,OFFSET(TblExplore[[#This Row],[Mountain Explore]],-12,0),0)</f>
        <v>0</v>
      </c>
      <c r="CT75" s="191">
        <f ca="1">-SUM(TblConstr[[#This Row],[Fac]:[Shr]])+SUM(TblConstr[[#This Row],[Dest Fac]:[Dest Shr]]) +Rezone!O75 + IF("Ch_" &amp; home_land=TblConstr[[#Headers],[Ch_Hill]],TblConstr[[#This Row],[Home Land]])+IF(TblConstr[[#This Row],[Hour]:[Hour]]&gt;12,OFFSET(TblExplore[[#This Row],[Hill Explore]],-12,0),0)</f>
        <v>0</v>
      </c>
      <c r="CU75" s="192">
        <f ca="1">-SUM(TblConstr[[#This Row],[Tow]:[WG]])+SUM(TblConstr[[#This Row],[Dest Tow]:[Dest WG]]) +Rezone!P75 + IF("Ch_" &amp; home_land=TblConstr[[#Headers],[Ch_Swamp]],TblConstr[[#This Row],[Home Land]])+IF(TblConstr[[#This Row],[Hour]:[Hour]]&gt;12,OFFSET(TblExplore[[#This Row],[Swamp Explore]],-12,0),0)</f>
        <v>0</v>
      </c>
      <c r="CV75" s="193">
        <f ca="1" xml:space="preserve"> - SUM(TblConstr[[#This Row],[DM]:[Sch]])+SUM(TblConstr[[#This Row],[Dest DM]:[Dest Sch]]) +Rezone!Q75 + IF("Ch_" &amp; home_land=TblConstr[[#Headers],[Ch_Cavern]],TblConstr[[#This Row],[Home Land]])+IF(TblConstr[[#This Row],[Hour]:[Hour]]&gt;12,OFFSET(TblExplore[[#This Row],[Cavern Explore]],-12,0),0)</f>
        <v>0</v>
      </c>
      <c r="CW75" s="194">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50"/>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201">
        <f>TblRezone[[#This Row],[Hour]]</f>
        <v>73</v>
      </c>
      <c r="B76" s="202">
        <f ca="1">SUM(TblConstr[[#This Row],[Plain]:[Water]])</f>
        <v>160</v>
      </c>
      <c r="C76" s="203">
        <f ca="1">SUM(TblConstr[[#This Row],[Tot Hom]:[Tot Doc]])</f>
        <v>90</v>
      </c>
      <c r="D76" s="203">
        <f t="shared" ref="D76:D131" si="21">SUM(O65:AG76)</f>
        <v>0</v>
      </c>
      <c r="E76" s="204"/>
      <c r="F76" s="205">
        <f ca="1">TblConstr[[#This Row],[Barren]]+TblConstr[[#This Row],[Buildings]]+TblConstr[[#This Row],[Incoming]]</f>
        <v>250</v>
      </c>
      <c r="G76" s="206">
        <f ca="1">OFFSET(TblConstr[[#This Row],[Plain]],-1,0)+TblConstr[[#This Row],[Ch_Plain]]</f>
        <v>40</v>
      </c>
      <c r="H76" s="207">
        <f ca="1">OFFSET(TblConstr[[#This Row],[Forest]],-1,0)+TblConstr[[#This Row],[Ch_Forest]]</f>
        <v>20</v>
      </c>
      <c r="I76" s="391">
        <f ca="1">OFFSET(TblConstr[[#This Row],[Mountain]],-1,0)+TblConstr[[#This Row],[Ch_Mountain]]</f>
        <v>20</v>
      </c>
      <c r="J76" s="395">
        <f ca="1">OFFSET(TblConstr[[#This Row],[Hill]],-1,0)+TblConstr[[#This Row],[Ch_Hill]]</f>
        <v>20</v>
      </c>
      <c r="K76" s="399">
        <f ca="1">OFFSET(TblConstr[[#This Row],[Swamp]],-1,0)+TblConstr[[#This Row],[Ch_Swamp]]</f>
        <v>20</v>
      </c>
      <c r="L76" s="210">
        <f ca="1">OFFSET(TblConstr[[#This Row],[Cavern]],-1,0)+TblConstr[[#This Row],[Ch_Cavern]]</f>
        <v>20</v>
      </c>
      <c r="M76" s="211">
        <f ca="1">OFFSET(TblConstr[[#This Row],[Water]],-1,0)+TblConstr[[#This Row],[Ch_Water]]</f>
        <v>20</v>
      </c>
      <c r="N76" s="389">
        <f>TblRezone[[#This Row],[Hour]]</f>
        <v>73</v>
      </c>
      <c r="O76" s="212"/>
      <c r="P76" s="212"/>
      <c r="Q76" s="212"/>
      <c r="R76" s="212"/>
      <c r="S76" s="212"/>
      <c r="T76" s="212"/>
      <c r="U76" s="212"/>
      <c r="V76" s="212"/>
      <c r="W76" s="212"/>
      <c r="X76" s="212"/>
      <c r="Y76" s="212"/>
      <c r="Z76" s="212"/>
      <c r="AA76" s="212"/>
      <c r="AB76" s="212"/>
      <c r="AC76" s="212"/>
      <c r="AD76" s="212"/>
      <c r="AE76" s="212"/>
      <c r="AF76" s="212"/>
      <c r="AG76" s="212"/>
      <c r="AH76" s="213">
        <f ca="1">TblImps[[#This Row],[Time]]</f>
        <v>44813.749999999825</v>
      </c>
      <c r="AI76" s="214">
        <f ca="1">MIN(25%,(TblConstr[[#This Row],[Tot Fac]]+TblConstr[[#This Row],[Dest Fac]])/(TblConstr[[#This Row],[Land]]-TblExplore[[#This Row],[Land Bonus]]*20))</f>
        <v>0</v>
      </c>
      <c r="AJ76" s="214">
        <f ca="1">MIN(25%,(TblConstr[[#This Row],[Tot Fac]]+TblConstr[[#This Row],[Dest Fac]])/TblConstr[[#This Row],[Land]])</f>
        <v>0</v>
      </c>
      <c r="AK76" s="215">
        <f ca="1">TblProd[[#This Row],[Platinum]]</f>
        <v>495870</v>
      </c>
      <c r="AL76" s="215">
        <f ca="1">TblProd[[#This Row],[Lumber]]</f>
        <v>58774</v>
      </c>
      <c r="AM76" s="21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5">
        <f ca="1">ROUNDDOWN( MAX(1 - MIN(facs_constr_factor*TblConstr[[#This Row],[Facs -DB]],facs_constr_max) + tech_1_11*TblTech[[#This Row],[11-1]] + tech_6_3_2*TblTech[[#This Row],[6-3]] + tech_5_2_3*TblTech[[#This Row],[5-2]], 1-global_constr_cap) * TblConstr[[#This Row],[RCPA Lumber]],0)</f>
        <v>88</v>
      </c>
      <c r="AO76" s="21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5">
        <f ca="1">ROUNDDOWN( MAX(1 - MIN(facs_constr_factor*TblConstr[[#This Row],[Facs DB]],facs_constr_max) + tech_1_11*TblTech[[#This Row],[1-11]] + tech_6_3_2*TblTech[[#This Row],[6-3]] + tech_5_2_3*TblTech[[#This Row],[5-2]], 1-global_constr_cap) * ROUND((TblConstr[[#This Row],[Land]]-250)*0.285 + 87.5 + 0/4.25,0),0)</f>
        <v>88</v>
      </c>
      <c r="AQ76" s="216">
        <f ca="1">TblConstr[[#This Row],[build -db]]*TblConstr[[#This Row],[CPA Platinum -DB]] + TblConstr[[#This Row],[build db]]*TblConstr[[#This Row],[CPA Platinum DB]]</f>
        <v>0</v>
      </c>
      <c r="AR76" s="216">
        <f ca="1">TblConstr[[#This Row],[build -db]]*TblConstr[[#This Row],[CPA Lumber -DB]]+TblConstr[[#This Row],[build db]]*TblConstr[[#This Row],[CPA Lumber DB]]</f>
        <v>0</v>
      </c>
      <c r="AS76" s="215">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7"/>
      <c r="AV76" s="215">
        <f ca="1">ROUND((TblConstr[[#This Row],[Land]]-250 - IF(TblExplore[[#This Row],[Land Bonus]]&lt;&gt;0,20,0))*1.25 + 850 + 0,0)</f>
        <v>850</v>
      </c>
      <c r="AW76" s="215">
        <f ca="1">ROUND((TblConstr[[#This Row],[Land]]-250 - IF(TblExplore[[#This Row],[Land Bonus]]&lt;&gt;0,20,0))*0.285 + 87.5 + 0/4.25,0)</f>
        <v>88</v>
      </c>
      <c r="AX76" s="170"/>
      <c r="AY76" s="217" cm="1">
        <f t="array" aca="1" ref="AY76" ca="1">IF(TblConstr[[#This Row],[Hour]:[Hour]]&gt;12,OFFSET(TblConstr[[#This Row],[Hom]],-12,0),0)+OFFSET(TblConstr[[#This Row],[Tot Hom]],-1,0)-TblConstr[[#This Row],[Dest Hom]]</f>
        <v>10</v>
      </c>
      <c r="AZ76" s="218" cm="1">
        <f t="array" aca="1" ref="AZ76" ca="1">IF(TblConstr[[#This Row],[Hour]:[Hour]]&gt;12,OFFSET(TblConstr[[#This Row],[Alc]],-12,0),0)+OFFSET(TblConstr[[#This Row],[Tot Alc]],-1,0)-TblConstr[[#This Row],[Dest Alc]]</f>
        <v>30</v>
      </c>
      <c r="BA76" s="218" cm="1">
        <f t="array" aca="1" ref="BA76" ca="1">IF(TblConstr[[#This Row],[Hour]:[Hour]]&gt;12,OFFSET(TblConstr[[#This Row],[Far]],-12,0),0)+OFFSET(TblConstr[[#This Row],[Tot Farm]],-1,0)-TblConstr[[#This Row],[Dest Farm]]</f>
        <v>30</v>
      </c>
      <c r="BB76" s="218" cm="1">
        <f t="array" aca="1" ref="BB76" ca="1">IF(TblConstr[[#This Row],[Hour]:[Hour]]&gt;12,OFFSET(TblConstr[[#This Row],[Smi]],-12,0),0)+OFFSET(TblConstr[[#This Row],[Tot Smi]],-1,0)-TblConstr[[#This Row],[Dest Smi]]</f>
        <v>0</v>
      </c>
      <c r="BC76" s="218" cm="1">
        <f t="array" aca="1" ref="BC76" ca="1">IF(TblConstr[[#This Row],[Hour]:[Hour]]&gt;12,OFFSET(TblConstr[[#This Row],[Mas]],-12,0),0)+OFFSET(TblConstr[[#This Row],[Tot Mas]],-1,0)-TblConstr[[#This Row],[Dest Mas]]</f>
        <v>0</v>
      </c>
      <c r="BD76" s="219" cm="1">
        <f t="array" aca="1" ref="BD76" ca="1">IF(TblConstr[[#This Row],[Hour]:[Hour]]&gt;12,OFFSET(TblConstr[[#This Row],[Ly]],-12,0),0)+OFFSET(TblConstr[[#This Row],[Tot Ly]],-1,0)-TblConstr[[#This Row],[Dest Ly]]</f>
        <v>20</v>
      </c>
      <c r="BE76" s="219" cm="1">
        <f t="array" aca="1" ref="BE76" ca="1">IF(TblConstr[[#This Row],[Hour]:[Hour]]&gt;12,OFFSET(TblConstr[[#This Row],[Hav]],-12,0),0)+OFFSET(TblConstr[[#This Row],[Tot Hav]],-1,0)-TblConstr[[#This Row],[Dest Hav]]</f>
        <v>0</v>
      </c>
      <c r="BF76" s="393" cm="1">
        <f t="array" aca="1" ref="BF76" ca="1">IF(TblConstr[[#This Row],[Hour]:[Hour]]&gt;12,OFFSET(TblConstr[[#This Row],[OM]],-12,0),0)+OFFSET(TblConstr[[#This Row],[Tot OM]],-1,0)-TblConstr[[#This Row],[Dest OM]]</f>
        <v>0</v>
      </c>
      <c r="BG76" s="392" cm="1">
        <f t="array" aca="1" ref="BG76" ca="1">IF(TblConstr[[#This Row],[Hour]:[Hour]]&gt;12,OFFSET(TblConstr[[#This Row],[GN]],-12,0),0)+OFFSET(TblConstr[[#This Row],[Tot GN]],-1,0)-TblConstr[[#This Row],[Dest GN]]</f>
        <v>0</v>
      </c>
      <c r="BH76" s="397" cm="1">
        <f t="array" aca="1" ref="BH76" ca="1">IF(TblConstr[[#This Row],[Hour]:[Hour]]&gt;12,OFFSET(TblConstr[[#This Row],[Fac]],-12,0),0)+OFFSET(TblConstr[[#This Row],[Tot Fac]],-1,0)-TblConstr[[#This Row],[Dest Fac]]</f>
        <v>0</v>
      </c>
      <c r="BI76" s="397" cm="1">
        <f t="array" aca="1" ref="BI76" ca="1">IF(TblConstr[[#This Row],[Hour]:[Hour]]&gt;12,OFFSET(TblConstr[[#This Row],[GT]],-12,0),0)+OFFSET(TblConstr[[#This Row],[Tot GT]],-1,0)-TblConstr[[#This Row],[Dest GT]]</f>
        <v>0</v>
      </c>
      <c r="BJ76" s="397" cm="1">
        <f t="array" aca="1" ref="BJ76" ca="1">IF(TblConstr[[#This Row],[Hour]:[Hour]]&gt;12,OFFSET(TblConstr[[#This Row],[Bar]],-12,0),0)+OFFSET(TblConstr[[#This Row],[Tot Bar]],-1,0)-TblConstr[[#This Row],[Dest Bar]]</f>
        <v>0</v>
      </c>
      <c r="BK76" s="397" cm="1">
        <f t="array" aca="1" ref="BK76" ca="1">IF(TblConstr[[#This Row],[Hour]:[Hour]]&gt;12,OFFSET(TblConstr[[#This Row],[Shr]],-12,0),0)+OFFSET(TblConstr[[#This Row],[Tot Shr]],-1,0)-TblConstr[[#This Row],[Dest Shr]]</f>
        <v>0</v>
      </c>
      <c r="BL76" s="401" cm="1">
        <f t="array" aca="1" ref="BL76" ca="1">IF(TblConstr[[#This Row],[Hour]:[Hour]]&gt;12,OFFSET(TblConstr[[#This Row],[Tow]],-12,0),0)+OFFSET(TblConstr[[#This Row],[Tot Tow]],-1,0)-TblConstr[[#This Row],[Dest Tow]]</f>
        <v>0</v>
      </c>
      <c r="BM76" s="401" cm="1">
        <f t="array" aca="1" ref="BM76" ca="1">IF(TblConstr[[#This Row],[Hour]:[Hour]]&gt;12,OFFSET(TblConstr[[#This Row],[Tem]],-12,0),0)+OFFSET(TblConstr[[#This Row],[Tot Tem]],-1,0)-TblConstr[[#This Row],[Dest Tem]]</f>
        <v>0</v>
      </c>
      <c r="BN76" s="401" cm="1">
        <f t="array" aca="1" ref="BN76" ca="1">IF(TblConstr[[#This Row],[Hour]:[Hour]]&gt;12,OFFSET(TblConstr[[#This Row],[WG]],-12,0),0)+OFFSET(TblConstr[[#This Row],[Tot WG]],-1,0)-TblConstr[[#This Row],[Dest WG]]</f>
        <v>0</v>
      </c>
      <c r="BO76" s="220" cm="1">
        <f t="array" aca="1" ref="BO76" ca="1">IF(TblConstr[[#This Row],[Hour]:[Hour]]&gt;12,OFFSET(TblConstr[[#This Row],[DM]],-12,0),0)+OFFSET(TblConstr[[#This Row],[Tot DM]],-1,0)-TblConstr[[#This Row],[Dest DM]]</f>
        <v>0</v>
      </c>
      <c r="BP76" s="220" cm="1">
        <f t="array" aca="1" ref="BP76" ca="1">IF(TblConstr[[#This Row],[Hour]:[Hour]]&gt;12,OFFSET(TblConstr[[#This Row],[Sch]],-12,0),0)+OFFSET(TblConstr[[#This Row],[Tot Sch]],-1,0)-TblConstr[[#This Row],[Dest Sch]]</f>
        <v>0</v>
      </c>
      <c r="BQ76" s="221" cm="1">
        <f t="array" aca="1" ref="BQ76" ca="1">IF(TblConstr[[#This Row],[Hour]:[Hour]]&gt;12,OFFSET(TblConstr[[#This Row],[Doc]],-12,0),0)+OFFSET(TblConstr[[#This Row],[Tot Doc]],-1,0)-TblConstr[[#This Row],[Dest Doc]]</f>
        <v>0</v>
      </c>
      <c r="BR76" s="157"/>
      <c r="BS76" s="170"/>
      <c r="BT76" s="215">
        <f ca="1">TblConstr[[#This Row],[Land]]</f>
        <v>250</v>
      </c>
      <c r="BU76" s="222">
        <f ca="1">TblImps[[#This Row],[Time]]</f>
        <v>44813.749999999825</v>
      </c>
      <c r="BV76" s="157"/>
      <c r="BW76" s="212"/>
      <c r="BX76" s="212"/>
      <c r="BY76" s="212"/>
      <c r="BZ76" s="212"/>
      <c r="CA76" s="212"/>
      <c r="CB76" s="212"/>
      <c r="CC76" s="212"/>
      <c r="CD76" s="212"/>
      <c r="CE76" s="212"/>
      <c r="CF76" s="212"/>
      <c r="CG76" s="212"/>
      <c r="CH76" s="212"/>
      <c r="CI76" s="212"/>
      <c r="CJ76" s="212"/>
      <c r="CK76" s="212"/>
      <c r="CL76" s="212"/>
      <c r="CM76" s="212"/>
      <c r="CN76" s="212"/>
      <c r="CO76" s="212"/>
      <c r="CP76" s="157"/>
      <c r="CQ76" s="223">
        <f ca="1">-SUM(TblConstr[[#This Row],[Alc]:[Mas]])+SUM(TblConstr[[#This Row],[Dest Alc]:[Dest Mas]])+Rezone!L76+IF("Ch_"&amp; home_land=TblConstr[[#Headers],[Ch_Plain]],TblConstr[[#This Row],[Home Land]])+IF(TblConstr[[#This Row],[Hour]:[Hour]]&gt;12,OFFSET(TblExplore[[#This Row],[Plains Explore]],-12,0),0)</f>
        <v>0</v>
      </c>
      <c r="CR76" s="207">
        <f ca="1">-SUM(TblConstr[[#This Row],[Ly]:[Hav]])+SUM(TblConstr[[#This Row],[Dest Ly]:[Dest Hav]]) +Rezone!M76 + IF("Ch_"&amp; home_land=TblConstr[[#Headers],[Ch_Forest]],TblConstr[[#This Row],[Home Land]])+IF(TblConstr[[#This Row],[Hour]:[Hour]]&gt;12,OFFSET(TblExplore[[#This Row],[Forest Explore]],-12,0),0)</f>
        <v>0</v>
      </c>
      <c r="CS76" s="391">
        <f ca="1">-SUM(TblConstr[[#This Row],[OM]:[GN]])+SUM(TblConstr[[#This Row],[Dest OM]:[Dest GN]]) +Rezone!N76 + IF("Ch_"&amp; home_land=TblConstr[[#Headers],[Ch_Mountain]],TblConstr[[#This Row],[Home Land]])+IF(TblConstr[[#This Row],[Hour]:[Hour]]&gt;12,OFFSET(TblExplore[[#This Row],[Mountain Explore]],-12,0),0)</f>
        <v>0</v>
      </c>
      <c r="CT76" s="208">
        <f ca="1">-SUM(TblConstr[[#This Row],[Fac]:[Shr]])+SUM(TblConstr[[#This Row],[Dest Fac]:[Dest Shr]]) +Rezone!O76 + IF("Ch_" &amp; home_land=TblConstr[[#Headers],[Ch_Hill]],TblConstr[[#This Row],[Home Land]])+IF(TblConstr[[#This Row],[Hour]:[Hour]]&gt;12,OFFSET(TblExplore[[#This Row],[Hill Explore]],-12,0),0)</f>
        <v>0</v>
      </c>
      <c r="CU76" s="209">
        <f ca="1">-SUM(TblConstr[[#This Row],[Tow]:[WG]])+SUM(TblConstr[[#This Row],[Dest Tow]:[Dest WG]]) +Rezone!P76 + IF("Ch_" &amp; home_land=TblConstr[[#Headers],[Ch_Swamp]],TblConstr[[#This Row],[Home Land]])+IF(TblConstr[[#This Row],[Hour]:[Hour]]&gt;12,OFFSET(TblExplore[[#This Row],[Swamp Explore]],-12,0),0)</f>
        <v>0</v>
      </c>
      <c r="CV76" s="210">
        <f ca="1" xml:space="preserve"> - SUM(TblConstr[[#This Row],[DM]:[Sch]])+SUM(TblConstr[[#This Row],[Dest DM]:[Dest Sch]]) +Rezone!Q76 + IF("Ch_" &amp; home_land=TblConstr[[#Headers],[Ch_Cavern]],TblConstr[[#This Row],[Home Land]])+IF(TblConstr[[#This Row],[Hour]:[Hour]]&gt;12,OFFSET(TblExplore[[#This Row],[Cavern Explore]],-12,0),0)</f>
        <v>0</v>
      </c>
      <c r="CW76" s="211">
        <f ca="1">-TblConstr[[#This Row],[Doc]]+TblConstr[[#This Row],[Dest Doc]] +Rezone!R76 + IF("Ch_" &amp; home_land=TblConstr[[#Headers],[Ch_Water]],TblConstr[[#This Row],[Home Land]])+IF(TblConstr[[#This Row],[Hour]:[Hour]]&gt;12,OFFSET(TblExplore[[#This Row],[Water Explore]],-12,0),0)</f>
        <v>0</v>
      </c>
      <c r="CX76" s="216">
        <f>IF(Explore!S76=1,20) - TblConstr[[#This Row],[Hom]] + TblConstr[[#This Row],[Dest Hom]]</f>
        <v>0</v>
      </c>
      <c r="CY76" s="157"/>
      <c r="CZ76" s="215">
        <f t="shared" ca="1" si="12"/>
        <v>100</v>
      </c>
      <c r="DA76" s="215">
        <f t="shared" ca="1" si="13"/>
        <v>40</v>
      </c>
      <c r="DB76" s="216">
        <f t="shared" ca="1" si="14"/>
        <v>20</v>
      </c>
      <c r="DC76" s="215">
        <f t="shared" ca="1" si="15"/>
        <v>20</v>
      </c>
      <c r="DD76" s="215">
        <f t="shared" ca="1" si="16"/>
        <v>20</v>
      </c>
      <c r="DE76" s="216">
        <f t="shared" ca="1" si="17"/>
        <v>20</v>
      </c>
      <c r="DF76" s="215">
        <f t="shared" ca="1" si="18"/>
        <v>20</v>
      </c>
      <c r="DG76" s="215" cm="1">
        <f t="array" aca="1" ref="DG76" ca="1">INDEX(TblConstr[[Total Plain]:[Total Water]],ROW()-ROW(TblConstr[#Headers]),MATCH("Total "&amp;home_land,TblConstr[[#Headers],[Total Plain]:[Total Water]],0))+TblConstr[[#This Row],[Homes]]</f>
        <v>110</v>
      </c>
      <c r="DH76" s="216">
        <f t="shared" ref="DH76:DH131" ca="1" si="22">SUM(O65:O76)+AY76</f>
        <v>10</v>
      </c>
      <c r="DI76" s="216">
        <f t="shared" ca="1" si="19"/>
        <v>0</v>
      </c>
      <c r="DJ76" s="216">
        <f t="shared" ca="1" si="20"/>
        <v>0</v>
      </c>
    </row>
    <row r="77" spans="1:114" x14ac:dyDescent="0.2">
      <c r="A77" s="183">
        <f>TblRezone[[#This Row],[Hour]]</f>
        <v>74</v>
      </c>
      <c r="B77" s="184">
        <f ca="1">SUM(TblConstr[[#This Row],[Plain]:[Water]])</f>
        <v>160</v>
      </c>
      <c r="C77" s="185">
        <f ca="1">SUM(TblConstr[[#This Row],[Tot Hom]:[Tot Doc]])</f>
        <v>90</v>
      </c>
      <c r="D77" s="185">
        <f t="shared" si="21"/>
        <v>0</v>
      </c>
      <c r="E77" s="186"/>
      <c r="F77" s="62">
        <f ca="1">TblConstr[[#This Row],[Barren]]+TblConstr[[#This Row],[Buildings]]+TblConstr[[#This Row],[Incoming]]</f>
        <v>250</v>
      </c>
      <c r="G77" s="195">
        <f ca="1">OFFSET(TblConstr[[#This Row],[Plain]],-1,0)+TblConstr[[#This Row],[Ch_Plain]]</f>
        <v>40</v>
      </c>
      <c r="H77" s="190">
        <f ca="1">OFFSET(TblConstr[[#This Row],[Forest]],-1,0)+TblConstr[[#This Row],[Ch_Forest]]</f>
        <v>20</v>
      </c>
      <c r="I77" s="390">
        <f ca="1">OFFSET(TblConstr[[#This Row],[Mountain]],-1,0)+TblConstr[[#This Row],[Ch_Mountain]]</f>
        <v>20</v>
      </c>
      <c r="J77" s="394">
        <f ca="1">OFFSET(TblConstr[[#This Row],[Hill]],-1,0)+TblConstr[[#This Row],[Ch_Hill]]</f>
        <v>20</v>
      </c>
      <c r="K77" s="398">
        <f ca="1">OFFSET(TblConstr[[#This Row],[Swamp]],-1,0)+TblConstr[[#This Row],[Ch_Swamp]]</f>
        <v>20</v>
      </c>
      <c r="L77" s="193">
        <f ca="1">OFFSET(TblConstr[[#This Row],[Cavern]],-1,0)+TblConstr[[#This Row],[Ch_Cavern]]</f>
        <v>20</v>
      </c>
      <c r="M77" s="194">
        <f ca="1">OFFSET(TblConstr[[#This Row],[Water]],-1,0)+TblConstr[[#This Row],[Ch_Water]]</f>
        <v>20</v>
      </c>
      <c r="N77" s="388">
        <f>TblRezone[[#This Row],[Hour]]</f>
        <v>74</v>
      </c>
      <c r="O77" s="187"/>
      <c r="P77" s="187"/>
      <c r="Q77" s="187"/>
      <c r="R77" s="187"/>
      <c r="S77" s="187"/>
      <c r="T77" s="187"/>
      <c r="U77" s="187"/>
      <c r="V77" s="187"/>
      <c r="W77" s="187"/>
      <c r="X77" s="187"/>
      <c r="Y77" s="187"/>
      <c r="Z77" s="187"/>
      <c r="AA77" s="187"/>
      <c r="AB77" s="187"/>
      <c r="AC77" s="187"/>
      <c r="AD77" s="187"/>
      <c r="AE77" s="187"/>
      <c r="AF77" s="187"/>
      <c r="AG77" s="187"/>
      <c r="AH77" s="53">
        <f ca="1">TblImps[[#This Row],[Time]]</f>
        <v>44813.79166666649</v>
      </c>
      <c r="AI77" s="188">
        <f ca="1">MIN(25%,(TblConstr[[#This Row],[Tot Fac]]+TblConstr[[#This Row],[Dest Fac]])/(TblConstr[[#This Row],[Land]]-TblExplore[[#This Row],[Land Bonus]]*20))</f>
        <v>0</v>
      </c>
      <c r="AJ77" s="188">
        <f ca="1">MIN(25%,(TblConstr[[#This Row],[Tot Fac]]+TblConstr[[#This Row],[Dest Fac]])/TblConstr[[#This Row],[Land]])</f>
        <v>0</v>
      </c>
      <c r="AK77" s="97">
        <f ca="1">TblProd[[#This Row],[Platinum]]</f>
        <v>501356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50"/>
      <c r="AV77" s="97">
        <f ca="1">ROUND((TblConstr[[#This Row],[Land]]-250 - IF(TblExplore[[#This Row],[Land Bonus]]&lt;&gt;0,20,0))*1.25 + 850 + 0,0)</f>
        <v>850</v>
      </c>
      <c r="AW77" s="97">
        <f ca="1">ROUND((TblConstr[[#This Row],[Land]]-250 - IF(TblExplore[[#This Row],[Land Bonus]]&lt;&gt;0,20,0))*0.285 + 87.5 + 0/4.25,0)</f>
        <v>88</v>
      </c>
      <c r="AX77" s="162"/>
      <c r="AY77" s="196" cm="1">
        <f t="array" aca="1" ref="AY77" ca="1">IF(TblConstr[[#This Row],[Hour]:[Hour]]&gt;12,OFFSET(TblConstr[[#This Row],[Hom]],-12,0),0)+OFFSET(TblConstr[[#This Row],[Tot Hom]],-1,0)-TblConstr[[#This Row],[Dest Hom]]</f>
        <v>10</v>
      </c>
      <c r="AZ77" s="197" cm="1">
        <f t="array" aca="1" ref="AZ77" ca="1">IF(TblConstr[[#This Row],[Hour]:[Hour]]&gt;12,OFFSET(TblConstr[[#This Row],[Alc]],-12,0),0)+OFFSET(TblConstr[[#This Row],[Tot Alc]],-1,0)-TblConstr[[#This Row],[Dest Alc]]</f>
        <v>30</v>
      </c>
      <c r="BA77" s="197" cm="1">
        <f t="array" aca="1" ref="BA77" ca="1">IF(TblConstr[[#This Row],[Hour]:[Hour]]&gt;12,OFFSET(TblConstr[[#This Row],[Far]],-12,0),0)+OFFSET(TblConstr[[#This Row],[Tot Farm]],-1,0)-TblConstr[[#This Row],[Dest Farm]]</f>
        <v>30</v>
      </c>
      <c r="BB77" s="197" cm="1">
        <f t="array" aca="1" ref="BB77" ca="1">IF(TblConstr[[#This Row],[Hour]:[Hour]]&gt;12,OFFSET(TblConstr[[#This Row],[Smi]],-12,0),0)+OFFSET(TblConstr[[#This Row],[Tot Smi]],-1,0)-TblConstr[[#This Row],[Dest Smi]]</f>
        <v>0</v>
      </c>
      <c r="BC77" s="197" cm="1">
        <f t="array" aca="1" ref="BC77" ca="1">IF(TblConstr[[#This Row],[Hour]:[Hour]]&gt;12,OFFSET(TblConstr[[#This Row],[Mas]],-12,0),0)+OFFSET(TblConstr[[#This Row],[Tot Mas]],-1,0)-TblConstr[[#This Row],[Dest Mas]]</f>
        <v>0</v>
      </c>
      <c r="BD77" s="198" cm="1">
        <f t="array" aca="1" ref="BD77" ca="1">IF(TblConstr[[#This Row],[Hour]:[Hour]]&gt;12,OFFSET(TblConstr[[#This Row],[Ly]],-12,0),0)+OFFSET(TblConstr[[#This Row],[Tot Ly]],-1,0)-TblConstr[[#This Row],[Dest Ly]]</f>
        <v>20</v>
      </c>
      <c r="BE77" s="198" cm="1">
        <f t="array" aca="1" ref="BE77" ca="1">IF(TblConstr[[#This Row],[Hour]:[Hour]]&gt;12,OFFSET(TblConstr[[#This Row],[Hav]],-12,0),0)+OFFSET(TblConstr[[#This Row],[Tot Hav]],-1,0)-TblConstr[[#This Row],[Dest Hav]]</f>
        <v>0</v>
      </c>
      <c r="BF77" s="392" cm="1">
        <f t="array" aca="1" ref="BF77" ca="1">IF(TblConstr[[#This Row],[Hour]:[Hour]]&gt;12,OFFSET(TblConstr[[#This Row],[OM]],-12,0),0)+OFFSET(TblConstr[[#This Row],[Tot OM]],-1,0)-TblConstr[[#This Row],[Dest OM]]</f>
        <v>0</v>
      </c>
      <c r="BG77" s="392" cm="1">
        <f t="array" aca="1" ref="BG77" ca="1">IF(TblConstr[[#This Row],[Hour]:[Hour]]&gt;12,OFFSET(TblConstr[[#This Row],[GN]],-12,0),0)+OFFSET(TblConstr[[#This Row],[Tot GN]],-1,0)-TblConstr[[#This Row],[Dest GN]]</f>
        <v>0</v>
      </c>
      <c r="BH77" s="396" cm="1">
        <f t="array" aca="1" ref="BH77" ca="1">IF(TblConstr[[#This Row],[Hour]:[Hour]]&gt;12,OFFSET(TblConstr[[#This Row],[Fac]],-12,0),0)+OFFSET(TblConstr[[#This Row],[Tot Fac]],-1,0)-TblConstr[[#This Row],[Dest Fac]]</f>
        <v>0</v>
      </c>
      <c r="BI77" s="396" cm="1">
        <f t="array" aca="1" ref="BI77" ca="1">IF(TblConstr[[#This Row],[Hour]:[Hour]]&gt;12,OFFSET(TblConstr[[#This Row],[GT]],-12,0),0)+OFFSET(TblConstr[[#This Row],[Tot GT]],-1,0)-TblConstr[[#This Row],[Dest GT]]</f>
        <v>0</v>
      </c>
      <c r="BJ77" s="396" cm="1">
        <f t="array" aca="1" ref="BJ77" ca="1">IF(TblConstr[[#This Row],[Hour]:[Hour]]&gt;12,OFFSET(TblConstr[[#This Row],[Bar]],-12,0),0)+OFFSET(TblConstr[[#This Row],[Tot Bar]],-1,0)-TblConstr[[#This Row],[Dest Bar]]</f>
        <v>0</v>
      </c>
      <c r="BK77" s="396" cm="1">
        <f t="array" aca="1" ref="BK77" ca="1">IF(TblConstr[[#This Row],[Hour]:[Hour]]&gt;12,OFFSET(TblConstr[[#This Row],[Shr]],-12,0),0)+OFFSET(TblConstr[[#This Row],[Tot Shr]],-1,0)-TblConstr[[#This Row],[Dest Shr]]</f>
        <v>0</v>
      </c>
      <c r="BL77" s="400" cm="1">
        <f t="array" aca="1" ref="BL77" ca="1">IF(TblConstr[[#This Row],[Hour]:[Hour]]&gt;12,OFFSET(TblConstr[[#This Row],[Tow]],-12,0),0)+OFFSET(TblConstr[[#This Row],[Tot Tow]],-1,0)-TblConstr[[#This Row],[Dest Tow]]</f>
        <v>0</v>
      </c>
      <c r="BM77" s="400" cm="1">
        <f t="array" aca="1" ref="BM77" ca="1">IF(TblConstr[[#This Row],[Hour]:[Hour]]&gt;12,OFFSET(TblConstr[[#This Row],[Tem]],-12,0),0)+OFFSET(TblConstr[[#This Row],[Tot Tem]],-1,0)-TblConstr[[#This Row],[Dest Tem]]</f>
        <v>0</v>
      </c>
      <c r="BN77" s="400" cm="1">
        <f t="array" aca="1" ref="BN77" ca="1">IF(TblConstr[[#This Row],[Hour]:[Hour]]&gt;12,OFFSET(TblConstr[[#This Row],[WG]],-12,0),0)+OFFSET(TblConstr[[#This Row],[Tot WG]],-1,0)-TblConstr[[#This Row],[Dest WG]]</f>
        <v>0</v>
      </c>
      <c r="BO77" s="199" cm="1">
        <f t="array" aca="1" ref="BO77" ca="1">IF(TblConstr[[#This Row],[Hour]:[Hour]]&gt;12,OFFSET(TblConstr[[#This Row],[DM]],-12,0),0)+OFFSET(TblConstr[[#This Row],[Tot DM]],-1,0)-TblConstr[[#This Row],[Dest DM]]</f>
        <v>0</v>
      </c>
      <c r="BP77" s="199" cm="1">
        <f t="array" aca="1" ref="BP77" ca="1">IF(TblConstr[[#This Row],[Hour]:[Hour]]&gt;12,OFFSET(TblConstr[[#This Row],[Sch]],-12,0),0)+OFFSET(TblConstr[[#This Row],[Tot Sch]],-1,0)-TblConstr[[#This Row],[Dest Sch]]</f>
        <v>0</v>
      </c>
      <c r="BQ77" s="200" cm="1">
        <f t="array" aca="1" ref="BQ77" ca="1">IF(TblConstr[[#This Row],[Hour]:[Hour]]&gt;12,OFFSET(TblConstr[[#This Row],[Doc]],-12,0),0)+OFFSET(TblConstr[[#This Row],[Tot Doc]],-1,0)-TblConstr[[#This Row],[Dest Doc]]</f>
        <v>0</v>
      </c>
      <c r="BR77" s="150"/>
      <c r="BS77" s="162"/>
      <c r="BT77" s="97">
        <f ca="1">TblConstr[[#This Row],[Land]]</f>
        <v>250</v>
      </c>
      <c r="BU77" s="167">
        <f ca="1">TblImps[[#This Row],[Time]]</f>
        <v>44813.79166666649</v>
      </c>
      <c r="BV77" s="150"/>
      <c r="BW77" s="187"/>
      <c r="BX77" s="187"/>
      <c r="BY77" s="187"/>
      <c r="BZ77" s="187"/>
      <c r="CA77" s="187"/>
      <c r="CB77" s="187"/>
      <c r="CC77" s="187"/>
      <c r="CD77" s="187"/>
      <c r="CE77" s="187"/>
      <c r="CF77" s="187"/>
      <c r="CG77" s="187"/>
      <c r="CH77" s="187"/>
      <c r="CI77" s="187"/>
      <c r="CJ77" s="187"/>
      <c r="CK77" s="187"/>
      <c r="CL77" s="187"/>
      <c r="CM77" s="187"/>
      <c r="CN77" s="187"/>
      <c r="CO77" s="187"/>
      <c r="CP77" s="150"/>
      <c r="CQ77" s="189">
        <f ca="1">-SUM(TblConstr[[#This Row],[Alc]:[Mas]])+SUM(TblConstr[[#This Row],[Dest Alc]:[Dest Mas]])+Rezone!L77+IF("Ch_"&amp; home_land=TblConstr[[#Headers],[Ch_Plain]],TblConstr[[#This Row],[Home Land]])+IF(TblConstr[[#This Row],[Hour]:[Hour]]&gt;12,OFFSET(TblExplore[[#This Row],[Plains Explore]],-12,0),0)</f>
        <v>0</v>
      </c>
      <c r="CR77" s="190">
        <f ca="1">-SUM(TblConstr[[#This Row],[Ly]:[Hav]])+SUM(TblConstr[[#This Row],[Dest Ly]:[Dest Hav]]) +Rezone!M77 + IF("Ch_"&amp; home_land=TblConstr[[#Headers],[Ch_Forest]],TblConstr[[#This Row],[Home Land]])+IF(TblConstr[[#This Row],[Hour]:[Hour]]&gt;12,OFFSET(TblExplore[[#This Row],[Forest Explore]],-12,0),0)</f>
        <v>0</v>
      </c>
      <c r="CS77" s="390">
        <f ca="1">-SUM(TblConstr[[#This Row],[OM]:[GN]])+SUM(TblConstr[[#This Row],[Dest OM]:[Dest GN]]) +Rezone!N77 + IF("Ch_"&amp; home_land=TblConstr[[#Headers],[Ch_Mountain]],TblConstr[[#This Row],[Home Land]])+IF(TblConstr[[#This Row],[Hour]:[Hour]]&gt;12,OFFSET(TblExplore[[#This Row],[Mountain Explore]],-12,0),0)</f>
        <v>0</v>
      </c>
      <c r="CT77" s="191">
        <f ca="1">-SUM(TblConstr[[#This Row],[Fac]:[Shr]])+SUM(TblConstr[[#This Row],[Dest Fac]:[Dest Shr]]) +Rezone!O77 + IF("Ch_" &amp; home_land=TblConstr[[#Headers],[Ch_Hill]],TblConstr[[#This Row],[Home Land]])+IF(TblConstr[[#This Row],[Hour]:[Hour]]&gt;12,OFFSET(TblExplore[[#This Row],[Hill Explore]],-12,0),0)</f>
        <v>0</v>
      </c>
      <c r="CU77" s="192">
        <f ca="1">-SUM(TblConstr[[#This Row],[Tow]:[WG]])+SUM(TblConstr[[#This Row],[Dest Tow]:[Dest WG]]) +Rezone!P77 + IF("Ch_" &amp; home_land=TblConstr[[#Headers],[Ch_Swamp]],TblConstr[[#This Row],[Home Land]])+IF(TblConstr[[#This Row],[Hour]:[Hour]]&gt;12,OFFSET(TblExplore[[#This Row],[Swamp Explore]],-12,0),0)</f>
        <v>0</v>
      </c>
      <c r="CV77" s="193">
        <f ca="1" xml:space="preserve"> - SUM(TblConstr[[#This Row],[DM]:[Sch]])+SUM(TblConstr[[#This Row],[Dest DM]:[Dest Sch]]) +Rezone!Q77 + IF("Ch_" &amp; home_land=TblConstr[[#Headers],[Ch_Cavern]],TblConstr[[#This Row],[Home Land]])+IF(TblConstr[[#This Row],[Hour]:[Hour]]&gt;12,OFFSET(TblExplore[[#This Row],[Cavern Explore]],-12,0),0)</f>
        <v>0</v>
      </c>
      <c r="CW77" s="194">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50"/>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83">
        <f>TblRezone[[#This Row],[Hour]]</f>
        <v>75</v>
      </c>
      <c r="B78" s="184">
        <f ca="1">SUM(TblConstr[[#This Row],[Plain]:[Water]])</f>
        <v>160</v>
      </c>
      <c r="C78" s="185">
        <f ca="1">SUM(TblConstr[[#This Row],[Tot Hom]:[Tot Doc]])</f>
        <v>90</v>
      </c>
      <c r="D78" s="185">
        <f t="shared" si="21"/>
        <v>0</v>
      </c>
      <c r="E78" s="186"/>
      <c r="F78" s="62">
        <f ca="1">TblConstr[[#This Row],[Barren]]+TblConstr[[#This Row],[Buildings]]+TblConstr[[#This Row],[Incoming]]</f>
        <v>250</v>
      </c>
      <c r="G78" s="195">
        <f ca="1">OFFSET(TblConstr[[#This Row],[Plain]],-1,0)+TblConstr[[#This Row],[Ch_Plain]]</f>
        <v>40</v>
      </c>
      <c r="H78" s="190">
        <f ca="1">OFFSET(TblConstr[[#This Row],[Forest]],-1,0)+TblConstr[[#This Row],[Ch_Forest]]</f>
        <v>20</v>
      </c>
      <c r="I78" s="390">
        <f ca="1">OFFSET(TblConstr[[#This Row],[Mountain]],-1,0)+TblConstr[[#This Row],[Ch_Mountain]]</f>
        <v>20</v>
      </c>
      <c r="J78" s="394">
        <f ca="1">OFFSET(TblConstr[[#This Row],[Hill]],-1,0)+TblConstr[[#This Row],[Ch_Hill]]</f>
        <v>20</v>
      </c>
      <c r="K78" s="398">
        <f ca="1">OFFSET(TblConstr[[#This Row],[Swamp]],-1,0)+TblConstr[[#This Row],[Ch_Swamp]]</f>
        <v>20</v>
      </c>
      <c r="L78" s="193">
        <f ca="1">OFFSET(TblConstr[[#This Row],[Cavern]],-1,0)+TblConstr[[#This Row],[Ch_Cavern]]</f>
        <v>20</v>
      </c>
      <c r="M78" s="194">
        <f ca="1">OFFSET(TblConstr[[#This Row],[Water]],-1,0)+TblConstr[[#This Row],[Ch_Water]]</f>
        <v>20</v>
      </c>
      <c r="N78" s="388">
        <f>TblRezone[[#This Row],[Hour]]</f>
        <v>75</v>
      </c>
      <c r="O78" s="187"/>
      <c r="P78" s="187"/>
      <c r="Q78" s="187"/>
      <c r="R78" s="187"/>
      <c r="S78" s="187"/>
      <c r="T78" s="187"/>
      <c r="U78" s="187"/>
      <c r="V78" s="187"/>
      <c r="W78" s="187"/>
      <c r="X78" s="187"/>
      <c r="Y78" s="187"/>
      <c r="Z78" s="187"/>
      <c r="AA78" s="187"/>
      <c r="AB78" s="187"/>
      <c r="AC78" s="187"/>
      <c r="AD78" s="187"/>
      <c r="AE78" s="187"/>
      <c r="AF78" s="187"/>
      <c r="AG78" s="187"/>
      <c r="AH78" s="53">
        <f ca="1">TblImps[[#This Row],[Time]]</f>
        <v>44813.833333333154</v>
      </c>
      <c r="AI78" s="188">
        <f ca="1">MIN(25%,(TblConstr[[#This Row],[Tot Fac]]+TblConstr[[#This Row],[Dest Fac]])/(TblConstr[[#This Row],[Land]]-TblExplore[[#This Row],[Land Bonus]]*20))</f>
        <v>0</v>
      </c>
      <c r="AJ78" s="188">
        <f ca="1">MIN(25%,(TblConstr[[#This Row],[Tot Fac]]+TblConstr[[#This Row],[Dest Fac]])/TblConstr[[#This Row],[Land]])</f>
        <v>0</v>
      </c>
      <c r="AK78" s="97">
        <f ca="1">TblProd[[#This Row],[Platinum]]</f>
        <v>506842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50"/>
      <c r="AV78" s="97">
        <f ca="1">ROUND((TblConstr[[#This Row],[Land]]-250 - IF(TblExplore[[#This Row],[Land Bonus]]&lt;&gt;0,20,0))*1.25 + 850 + 0,0)</f>
        <v>850</v>
      </c>
      <c r="AW78" s="97">
        <f ca="1">ROUND((TblConstr[[#This Row],[Land]]-250 - IF(TblExplore[[#This Row],[Land Bonus]]&lt;&gt;0,20,0))*0.285 + 87.5 + 0/4.25,0)</f>
        <v>88</v>
      </c>
      <c r="AX78" s="162"/>
      <c r="AY78" s="196" cm="1">
        <f t="array" aca="1" ref="AY78" ca="1">IF(TblConstr[[#This Row],[Hour]:[Hour]]&gt;12,OFFSET(TblConstr[[#This Row],[Hom]],-12,0),0)+OFFSET(TblConstr[[#This Row],[Tot Hom]],-1,0)-TblConstr[[#This Row],[Dest Hom]]</f>
        <v>10</v>
      </c>
      <c r="AZ78" s="197" cm="1">
        <f t="array" aca="1" ref="AZ78" ca="1">IF(TblConstr[[#This Row],[Hour]:[Hour]]&gt;12,OFFSET(TblConstr[[#This Row],[Alc]],-12,0),0)+OFFSET(TblConstr[[#This Row],[Tot Alc]],-1,0)-TblConstr[[#This Row],[Dest Alc]]</f>
        <v>30</v>
      </c>
      <c r="BA78" s="197" cm="1">
        <f t="array" aca="1" ref="BA78" ca="1">IF(TblConstr[[#This Row],[Hour]:[Hour]]&gt;12,OFFSET(TblConstr[[#This Row],[Far]],-12,0),0)+OFFSET(TblConstr[[#This Row],[Tot Farm]],-1,0)-TblConstr[[#This Row],[Dest Farm]]</f>
        <v>30</v>
      </c>
      <c r="BB78" s="197" cm="1">
        <f t="array" aca="1" ref="BB78" ca="1">IF(TblConstr[[#This Row],[Hour]:[Hour]]&gt;12,OFFSET(TblConstr[[#This Row],[Smi]],-12,0),0)+OFFSET(TblConstr[[#This Row],[Tot Smi]],-1,0)-TblConstr[[#This Row],[Dest Smi]]</f>
        <v>0</v>
      </c>
      <c r="BC78" s="197" cm="1">
        <f t="array" aca="1" ref="BC78" ca="1">IF(TblConstr[[#This Row],[Hour]:[Hour]]&gt;12,OFFSET(TblConstr[[#This Row],[Mas]],-12,0),0)+OFFSET(TblConstr[[#This Row],[Tot Mas]],-1,0)-TblConstr[[#This Row],[Dest Mas]]</f>
        <v>0</v>
      </c>
      <c r="BD78" s="198" cm="1">
        <f t="array" aca="1" ref="BD78" ca="1">IF(TblConstr[[#This Row],[Hour]:[Hour]]&gt;12,OFFSET(TblConstr[[#This Row],[Ly]],-12,0),0)+OFFSET(TblConstr[[#This Row],[Tot Ly]],-1,0)-TblConstr[[#This Row],[Dest Ly]]</f>
        <v>20</v>
      </c>
      <c r="BE78" s="198" cm="1">
        <f t="array" aca="1" ref="BE78" ca="1">IF(TblConstr[[#This Row],[Hour]:[Hour]]&gt;12,OFFSET(TblConstr[[#This Row],[Hav]],-12,0),0)+OFFSET(TblConstr[[#This Row],[Tot Hav]],-1,0)-TblConstr[[#This Row],[Dest Hav]]</f>
        <v>0</v>
      </c>
      <c r="BF78" s="392" cm="1">
        <f t="array" aca="1" ref="BF78" ca="1">IF(TblConstr[[#This Row],[Hour]:[Hour]]&gt;12,OFFSET(TblConstr[[#This Row],[OM]],-12,0),0)+OFFSET(TblConstr[[#This Row],[Tot OM]],-1,0)-TblConstr[[#This Row],[Dest OM]]</f>
        <v>0</v>
      </c>
      <c r="BG78" s="392" cm="1">
        <f t="array" aca="1" ref="BG78" ca="1">IF(TblConstr[[#This Row],[Hour]:[Hour]]&gt;12,OFFSET(TblConstr[[#This Row],[GN]],-12,0),0)+OFFSET(TblConstr[[#This Row],[Tot GN]],-1,0)-TblConstr[[#This Row],[Dest GN]]</f>
        <v>0</v>
      </c>
      <c r="BH78" s="396" cm="1">
        <f t="array" aca="1" ref="BH78" ca="1">IF(TblConstr[[#This Row],[Hour]:[Hour]]&gt;12,OFFSET(TblConstr[[#This Row],[Fac]],-12,0),0)+OFFSET(TblConstr[[#This Row],[Tot Fac]],-1,0)-TblConstr[[#This Row],[Dest Fac]]</f>
        <v>0</v>
      </c>
      <c r="BI78" s="396" cm="1">
        <f t="array" aca="1" ref="BI78" ca="1">IF(TblConstr[[#This Row],[Hour]:[Hour]]&gt;12,OFFSET(TblConstr[[#This Row],[GT]],-12,0),0)+OFFSET(TblConstr[[#This Row],[Tot GT]],-1,0)-TblConstr[[#This Row],[Dest GT]]</f>
        <v>0</v>
      </c>
      <c r="BJ78" s="396" cm="1">
        <f t="array" aca="1" ref="BJ78" ca="1">IF(TblConstr[[#This Row],[Hour]:[Hour]]&gt;12,OFFSET(TblConstr[[#This Row],[Bar]],-12,0),0)+OFFSET(TblConstr[[#This Row],[Tot Bar]],-1,0)-TblConstr[[#This Row],[Dest Bar]]</f>
        <v>0</v>
      </c>
      <c r="BK78" s="396" cm="1">
        <f t="array" aca="1" ref="BK78" ca="1">IF(TblConstr[[#This Row],[Hour]:[Hour]]&gt;12,OFFSET(TblConstr[[#This Row],[Shr]],-12,0),0)+OFFSET(TblConstr[[#This Row],[Tot Shr]],-1,0)-TblConstr[[#This Row],[Dest Shr]]</f>
        <v>0</v>
      </c>
      <c r="BL78" s="400" cm="1">
        <f t="array" aca="1" ref="BL78" ca="1">IF(TblConstr[[#This Row],[Hour]:[Hour]]&gt;12,OFFSET(TblConstr[[#This Row],[Tow]],-12,0),0)+OFFSET(TblConstr[[#This Row],[Tot Tow]],-1,0)-TblConstr[[#This Row],[Dest Tow]]</f>
        <v>0</v>
      </c>
      <c r="BM78" s="400" cm="1">
        <f t="array" aca="1" ref="BM78" ca="1">IF(TblConstr[[#This Row],[Hour]:[Hour]]&gt;12,OFFSET(TblConstr[[#This Row],[Tem]],-12,0),0)+OFFSET(TblConstr[[#This Row],[Tot Tem]],-1,0)-TblConstr[[#This Row],[Dest Tem]]</f>
        <v>0</v>
      </c>
      <c r="BN78" s="400" cm="1">
        <f t="array" aca="1" ref="BN78" ca="1">IF(TblConstr[[#This Row],[Hour]:[Hour]]&gt;12,OFFSET(TblConstr[[#This Row],[WG]],-12,0),0)+OFFSET(TblConstr[[#This Row],[Tot WG]],-1,0)-TblConstr[[#This Row],[Dest WG]]</f>
        <v>0</v>
      </c>
      <c r="BO78" s="199" cm="1">
        <f t="array" aca="1" ref="BO78" ca="1">IF(TblConstr[[#This Row],[Hour]:[Hour]]&gt;12,OFFSET(TblConstr[[#This Row],[DM]],-12,0),0)+OFFSET(TblConstr[[#This Row],[Tot DM]],-1,0)-TblConstr[[#This Row],[Dest DM]]</f>
        <v>0</v>
      </c>
      <c r="BP78" s="199" cm="1">
        <f t="array" aca="1" ref="BP78" ca="1">IF(TblConstr[[#This Row],[Hour]:[Hour]]&gt;12,OFFSET(TblConstr[[#This Row],[Sch]],-12,0),0)+OFFSET(TblConstr[[#This Row],[Tot Sch]],-1,0)-TblConstr[[#This Row],[Dest Sch]]</f>
        <v>0</v>
      </c>
      <c r="BQ78" s="200" cm="1">
        <f t="array" aca="1" ref="BQ78" ca="1">IF(TblConstr[[#This Row],[Hour]:[Hour]]&gt;12,OFFSET(TblConstr[[#This Row],[Doc]],-12,0),0)+OFFSET(TblConstr[[#This Row],[Tot Doc]],-1,0)-TblConstr[[#This Row],[Dest Doc]]</f>
        <v>0</v>
      </c>
      <c r="BR78" s="150"/>
      <c r="BS78" s="162"/>
      <c r="BT78" s="97">
        <f ca="1">TblConstr[[#This Row],[Land]]</f>
        <v>250</v>
      </c>
      <c r="BU78" s="167">
        <f ca="1">TblImps[[#This Row],[Time]]</f>
        <v>44813.833333333154</v>
      </c>
      <c r="BV78" s="150"/>
      <c r="BW78" s="187"/>
      <c r="BX78" s="187"/>
      <c r="BY78" s="187"/>
      <c r="BZ78" s="187"/>
      <c r="CA78" s="187"/>
      <c r="CB78" s="187"/>
      <c r="CC78" s="187"/>
      <c r="CD78" s="187"/>
      <c r="CE78" s="187"/>
      <c r="CF78" s="187"/>
      <c r="CG78" s="187"/>
      <c r="CH78" s="187"/>
      <c r="CI78" s="187"/>
      <c r="CJ78" s="187"/>
      <c r="CK78" s="187"/>
      <c r="CL78" s="187"/>
      <c r="CM78" s="187"/>
      <c r="CN78" s="187"/>
      <c r="CO78" s="187"/>
      <c r="CP78" s="150"/>
      <c r="CQ78" s="189">
        <f ca="1">-SUM(TblConstr[[#This Row],[Alc]:[Mas]])+SUM(TblConstr[[#This Row],[Dest Alc]:[Dest Mas]])+Rezone!L78+IF("Ch_"&amp; home_land=TblConstr[[#Headers],[Ch_Plain]],TblConstr[[#This Row],[Home Land]])+IF(TblConstr[[#This Row],[Hour]:[Hour]]&gt;12,OFFSET(TblExplore[[#This Row],[Plains Explore]],-12,0),0)</f>
        <v>0</v>
      </c>
      <c r="CR78" s="190">
        <f ca="1">-SUM(TblConstr[[#This Row],[Ly]:[Hav]])+SUM(TblConstr[[#This Row],[Dest Ly]:[Dest Hav]]) +Rezone!M78 + IF("Ch_"&amp; home_land=TblConstr[[#Headers],[Ch_Forest]],TblConstr[[#This Row],[Home Land]])+IF(TblConstr[[#This Row],[Hour]:[Hour]]&gt;12,OFFSET(TblExplore[[#This Row],[Forest Explore]],-12,0),0)</f>
        <v>0</v>
      </c>
      <c r="CS78" s="390">
        <f ca="1">-SUM(TblConstr[[#This Row],[OM]:[GN]])+SUM(TblConstr[[#This Row],[Dest OM]:[Dest GN]]) +Rezone!N78 + IF("Ch_"&amp; home_land=TblConstr[[#Headers],[Ch_Mountain]],TblConstr[[#This Row],[Home Land]])+IF(TblConstr[[#This Row],[Hour]:[Hour]]&gt;12,OFFSET(TblExplore[[#This Row],[Mountain Explore]],-12,0),0)</f>
        <v>0</v>
      </c>
      <c r="CT78" s="191">
        <f ca="1">-SUM(TblConstr[[#This Row],[Fac]:[Shr]])+SUM(TblConstr[[#This Row],[Dest Fac]:[Dest Shr]]) +Rezone!O78 + IF("Ch_" &amp; home_land=TblConstr[[#Headers],[Ch_Hill]],TblConstr[[#This Row],[Home Land]])+IF(TblConstr[[#This Row],[Hour]:[Hour]]&gt;12,OFFSET(TblExplore[[#This Row],[Hill Explore]],-12,0),0)</f>
        <v>0</v>
      </c>
      <c r="CU78" s="192">
        <f ca="1">-SUM(TblConstr[[#This Row],[Tow]:[WG]])+SUM(TblConstr[[#This Row],[Dest Tow]:[Dest WG]]) +Rezone!P78 + IF("Ch_" &amp; home_land=TblConstr[[#Headers],[Ch_Swamp]],TblConstr[[#This Row],[Home Land]])+IF(TblConstr[[#This Row],[Hour]:[Hour]]&gt;12,OFFSET(TblExplore[[#This Row],[Swamp Explore]],-12,0),0)</f>
        <v>0</v>
      </c>
      <c r="CV78" s="193">
        <f ca="1" xml:space="preserve"> - SUM(TblConstr[[#This Row],[DM]:[Sch]])+SUM(TblConstr[[#This Row],[Dest DM]:[Dest Sch]]) +Rezone!Q78 + IF("Ch_" &amp; home_land=TblConstr[[#Headers],[Ch_Cavern]],TblConstr[[#This Row],[Home Land]])+IF(TblConstr[[#This Row],[Hour]:[Hour]]&gt;12,OFFSET(TblExplore[[#This Row],[Cavern Explore]],-12,0),0)</f>
        <v>0</v>
      </c>
      <c r="CW78" s="194">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50"/>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83">
        <f>TblRezone[[#This Row],[Hour]]</f>
        <v>76</v>
      </c>
      <c r="B79" s="184">
        <f ca="1">SUM(TblConstr[[#This Row],[Plain]:[Water]])</f>
        <v>160</v>
      </c>
      <c r="C79" s="185">
        <f ca="1">SUM(TblConstr[[#This Row],[Tot Hom]:[Tot Doc]])</f>
        <v>90</v>
      </c>
      <c r="D79" s="185">
        <f t="shared" si="21"/>
        <v>0</v>
      </c>
      <c r="E79" s="186"/>
      <c r="F79" s="62">
        <f ca="1">TblConstr[[#This Row],[Barren]]+TblConstr[[#This Row],[Buildings]]+TblConstr[[#This Row],[Incoming]]</f>
        <v>250</v>
      </c>
      <c r="G79" s="195">
        <f ca="1">OFFSET(TblConstr[[#This Row],[Plain]],-1,0)+TblConstr[[#This Row],[Ch_Plain]]</f>
        <v>40</v>
      </c>
      <c r="H79" s="190">
        <f ca="1">OFFSET(TblConstr[[#This Row],[Forest]],-1,0)+TblConstr[[#This Row],[Ch_Forest]]</f>
        <v>20</v>
      </c>
      <c r="I79" s="390">
        <f ca="1">OFFSET(TblConstr[[#This Row],[Mountain]],-1,0)+TblConstr[[#This Row],[Ch_Mountain]]</f>
        <v>20</v>
      </c>
      <c r="J79" s="394">
        <f ca="1">OFFSET(TblConstr[[#This Row],[Hill]],-1,0)+TblConstr[[#This Row],[Ch_Hill]]</f>
        <v>20</v>
      </c>
      <c r="K79" s="398">
        <f ca="1">OFFSET(TblConstr[[#This Row],[Swamp]],-1,0)+TblConstr[[#This Row],[Ch_Swamp]]</f>
        <v>20</v>
      </c>
      <c r="L79" s="193">
        <f ca="1">OFFSET(TblConstr[[#This Row],[Cavern]],-1,0)+TblConstr[[#This Row],[Ch_Cavern]]</f>
        <v>20</v>
      </c>
      <c r="M79" s="194">
        <f ca="1">OFFSET(TblConstr[[#This Row],[Water]],-1,0)+TblConstr[[#This Row],[Ch_Water]]</f>
        <v>20</v>
      </c>
      <c r="N79" s="388">
        <f>TblRezone[[#This Row],[Hour]]</f>
        <v>76</v>
      </c>
      <c r="O79" s="187"/>
      <c r="P79" s="187"/>
      <c r="Q79" s="187"/>
      <c r="R79" s="187"/>
      <c r="S79" s="187"/>
      <c r="T79" s="187"/>
      <c r="U79" s="187"/>
      <c r="V79" s="187"/>
      <c r="W79" s="187"/>
      <c r="X79" s="187"/>
      <c r="Y79" s="187"/>
      <c r="Z79" s="187"/>
      <c r="AA79" s="187"/>
      <c r="AB79" s="187"/>
      <c r="AC79" s="187"/>
      <c r="AD79" s="187"/>
      <c r="AE79" s="187"/>
      <c r="AF79" s="187"/>
      <c r="AG79" s="187"/>
      <c r="AH79" s="53">
        <f ca="1">TblImps[[#This Row],[Time]]</f>
        <v>44813.874999999818</v>
      </c>
      <c r="AI79" s="188">
        <f ca="1">MIN(25%,(TblConstr[[#This Row],[Tot Fac]]+TblConstr[[#This Row],[Dest Fac]])/(TblConstr[[#This Row],[Land]]-TblExplore[[#This Row],[Land Bonus]]*20))</f>
        <v>0</v>
      </c>
      <c r="AJ79" s="188">
        <f ca="1">MIN(25%,(TblConstr[[#This Row],[Tot Fac]]+TblConstr[[#This Row],[Dest Fac]])/TblConstr[[#This Row],[Land]])</f>
        <v>0</v>
      </c>
      <c r="AK79" s="97">
        <f ca="1">TblProd[[#This Row],[Platinum]]</f>
        <v>512328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50"/>
      <c r="AV79" s="97">
        <f ca="1">ROUND((TblConstr[[#This Row],[Land]]-250 - IF(TblExplore[[#This Row],[Land Bonus]]&lt;&gt;0,20,0))*1.25 + 850 + 0,0)</f>
        <v>850</v>
      </c>
      <c r="AW79" s="97">
        <f ca="1">ROUND((TblConstr[[#This Row],[Land]]-250 - IF(TblExplore[[#This Row],[Land Bonus]]&lt;&gt;0,20,0))*0.285 + 87.5 + 0/4.25,0)</f>
        <v>88</v>
      </c>
      <c r="AX79" s="162"/>
      <c r="AY79" s="196" cm="1">
        <f t="array" aca="1" ref="AY79" ca="1">IF(TblConstr[[#This Row],[Hour]:[Hour]]&gt;12,OFFSET(TblConstr[[#This Row],[Hom]],-12,0),0)+OFFSET(TblConstr[[#This Row],[Tot Hom]],-1,0)-TblConstr[[#This Row],[Dest Hom]]</f>
        <v>10</v>
      </c>
      <c r="AZ79" s="197" cm="1">
        <f t="array" aca="1" ref="AZ79" ca="1">IF(TblConstr[[#This Row],[Hour]:[Hour]]&gt;12,OFFSET(TblConstr[[#This Row],[Alc]],-12,0),0)+OFFSET(TblConstr[[#This Row],[Tot Alc]],-1,0)-TblConstr[[#This Row],[Dest Alc]]</f>
        <v>30</v>
      </c>
      <c r="BA79" s="197" cm="1">
        <f t="array" aca="1" ref="BA79" ca="1">IF(TblConstr[[#This Row],[Hour]:[Hour]]&gt;12,OFFSET(TblConstr[[#This Row],[Far]],-12,0),0)+OFFSET(TblConstr[[#This Row],[Tot Farm]],-1,0)-TblConstr[[#This Row],[Dest Farm]]</f>
        <v>30</v>
      </c>
      <c r="BB79" s="197" cm="1">
        <f t="array" aca="1" ref="BB79" ca="1">IF(TblConstr[[#This Row],[Hour]:[Hour]]&gt;12,OFFSET(TblConstr[[#This Row],[Smi]],-12,0),0)+OFFSET(TblConstr[[#This Row],[Tot Smi]],-1,0)-TblConstr[[#This Row],[Dest Smi]]</f>
        <v>0</v>
      </c>
      <c r="BC79" s="197" cm="1">
        <f t="array" aca="1" ref="BC79" ca="1">IF(TblConstr[[#This Row],[Hour]:[Hour]]&gt;12,OFFSET(TblConstr[[#This Row],[Mas]],-12,0),0)+OFFSET(TblConstr[[#This Row],[Tot Mas]],-1,0)-TblConstr[[#This Row],[Dest Mas]]</f>
        <v>0</v>
      </c>
      <c r="BD79" s="198" cm="1">
        <f t="array" aca="1" ref="BD79" ca="1">IF(TblConstr[[#This Row],[Hour]:[Hour]]&gt;12,OFFSET(TblConstr[[#This Row],[Ly]],-12,0),0)+OFFSET(TblConstr[[#This Row],[Tot Ly]],-1,0)-TblConstr[[#This Row],[Dest Ly]]</f>
        <v>20</v>
      </c>
      <c r="BE79" s="198" cm="1">
        <f t="array" aca="1" ref="BE79" ca="1">IF(TblConstr[[#This Row],[Hour]:[Hour]]&gt;12,OFFSET(TblConstr[[#This Row],[Hav]],-12,0),0)+OFFSET(TblConstr[[#This Row],[Tot Hav]],-1,0)-TblConstr[[#This Row],[Dest Hav]]</f>
        <v>0</v>
      </c>
      <c r="BF79" s="392" cm="1">
        <f t="array" aca="1" ref="BF79" ca="1">IF(TblConstr[[#This Row],[Hour]:[Hour]]&gt;12,OFFSET(TblConstr[[#This Row],[OM]],-12,0),0)+OFFSET(TblConstr[[#This Row],[Tot OM]],-1,0)-TblConstr[[#This Row],[Dest OM]]</f>
        <v>0</v>
      </c>
      <c r="BG79" s="392" cm="1">
        <f t="array" aca="1" ref="BG79" ca="1">IF(TblConstr[[#This Row],[Hour]:[Hour]]&gt;12,OFFSET(TblConstr[[#This Row],[GN]],-12,0),0)+OFFSET(TblConstr[[#This Row],[Tot GN]],-1,0)-TblConstr[[#This Row],[Dest GN]]</f>
        <v>0</v>
      </c>
      <c r="BH79" s="396" cm="1">
        <f t="array" aca="1" ref="BH79" ca="1">IF(TblConstr[[#This Row],[Hour]:[Hour]]&gt;12,OFFSET(TblConstr[[#This Row],[Fac]],-12,0),0)+OFFSET(TblConstr[[#This Row],[Tot Fac]],-1,0)-TblConstr[[#This Row],[Dest Fac]]</f>
        <v>0</v>
      </c>
      <c r="BI79" s="396" cm="1">
        <f t="array" aca="1" ref="BI79" ca="1">IF(TblConstr[[#This Row],[Hour]:[Hour]]&gt;12,OFFSET(TblConstr[[#This Row],[GT]],-12,0),0)+OFFSET(TblConstr[[#This Row],[Tot GT]],-1,0)-TblConstr[[#This Row],[Dest GT]]</f>
        <v>0</v>
      </c>
      <c r="BJ79" s="396" cm="1">
        <f t="array" aca="1" ref="BJ79" ca="1">IF(TblConstr[[#This Row],[Hour]:[Hour]]&gt;12,OFFSET(TblConstr[[#This Row],[Bar]],-12,0),0)+OFFSET(TblConstr[[#This Row],[Tot Bar]],-1,0)-TblConstr[[#This Row],[Dest Bar]]</f>
        <v>0</v>
      </c>
      <c r="BK79" s="396" cm="1">
        <f t="array" aca="1" ref="BK79" ca="1">IF(TblConstr[[#This Row],[Hour]:[Hour]]&gt;12,OFFSET(TblConstr[[#This Row],[Shr]],-12,0),0)+OFFSET(TblConstr[[#This Row],[Tot Shr]],-1,0)-TblConstr[[#This Row],[Dest Shr]]</f>
        <v>0</v>
      </c>
      <c r="BL79" s="400" cm="1">
        <f t="array" aca="1" ref="BL79" ca="1">IF(TblConstr[[#This Row],[Hour]:[Hour]]&gt;12,OFFSET(TblConstr[[#This Row],[Tow]],-12,0),0)+OFFSET(TblConstr[[#This Row],[Tot Tow]],-1,0)-TblConstr[[#This Row],[Dest Tow]]</f>
        <v>0</v>
      </c>
      <c r="BM79" s="400" cm="1">
        <f t="array" aca="1" ref="BM79" ca="1">IF(TblConstr[[#This Row],[Hour]:[Hour]]&gt;12,OFFSET(TblConstr[[#This Row],[Tem]],-12,0),0)+OFFSET(TblConstr[[#This Row],[Tot Tem]],-1,0)-TblConstr[[#This Row],[Dest Tem]]</f>
        <v>0</v>
      </c>
      <c r="BN79" s="400" cm="1">
        <f t="array" aca="1" ref="BN79" ca="1">IF(TblConstr[[#This Row],[Hour]:[Hour]]&gt;12,OFFSET(TblConstr[[#This Row],[WG]],-12,0),0)+OFFSET(TblConstr[[#This Row],[Tot WG]],-1,0)-TblConstr[[#This Row],[Dest WG]]</f>
        <v>0</v>
      </c>
      <c r="BO79" s="199" cm="1">
        <f t="array" aca="1" ref="BO79" ca="1">IF(TblConstr[[#This Row],[Hour]:[Hour]]&gt;12,OFFSET(TblConstr[[#This Row],[DM]],-12,0),0)+OFFSET(TblConstr[[#This Row],[Tot DM]],-1,0)-TblConstr[[#This Row],[Dest DM]]</f>
        <v>0</v>
      </c>
      <c r="BP79" s="199" cm="1">
        <f t="array" aca="1" ref="BP79" ca="1">IF(TblConstr[[#This Row],[Hour]:[Hour]]&gt;12,OFFSET(TblConstr[[#This Row],[Sch]],-12,0),0)+OFFSET(TblConstr[[#This Row],[Tot Sch]],-1,0)-TblConstr[[#This Row],[Dest Sch]]</f>
        <v>0</v>
      </c>
      <c r="BQ79" s="200" cm="1">
        <f t="array" aca="1" ref="BQ79" ca="1">IF(TblConstr[[#This Row],[Hour]:[Hour]]&gt;12,OFFSET(TblConstr[[#This Row],[Doc]],-12,0),0)+OFFSET(TblConstr[[#This Row],[Tot Doc]],-1,0)-TblConstr[[#This Row],[Dest Doc]]</f>
        <v>0</v>
      </c>
      <c r="BR79" s="150"/>
      <c r="BS79" s="162"/>
      <c r="BT79" s="97">
        <f ca="1">TblConstr[[#This Row],[Land]]</f>
        <v>250</v>
      </c>
      <c r="BU79" s="167">
        <f ca="1">TblImps[[#This Row],[Time]]</f>
        <v>44813.874999999818</v>
      </c>
      <c r="BV79" s="150"/>
      <c r="BW79" s="187"/>
      <c r="BX79" s="187"/>
      <c r="BY79" s="187"/>
      <c r="BZ79" s="187"/>
      <c r="CA79" s="187"/>
      <c r="CB79" s="187"/>
      <c r="CC79" s="187"/>
      <c r="CD79" s="187"/>
      <c r="CE79" s="187"/>
      <c r="CF79" s="187"/>
      <c r="CG79" s="187"/>
      <c r="CH79" s="187"/>
      <c r="CI79" s="187"/>
      <c r="CJ79" s="187"/>
      <c r="CK79" s="187"/>
      <c r="CL79" s="187"/>
      <c r="CM79" s="187"/>
      <c r="CN79" s="187"/>
      <c r="CO79" s="187"/>
      <c r="CP79" s="150"/>
      <c r="CQ79" s="189">
        <f ca="1">-SUM(TblConstr[[#This Row],[Alc]:[Mas]])+SUM(TblConstr[[#This Row],[Dest Alc]:[Dest Mas]])+Rezone!L79+IF("Ch_"&amp; home_land=TblConstr[[#Headers],[Ch_Plain]],TblConstr[[#This Row],[Home Land]])+IF(TblConstr[[#This Row],[Hour]:[Hour]]&gt;12,OFFSET(TblExplore[[#This Row],[Plains Explore]],-12,0),0)</f>
        <v>0</v>
      </c>
      <c r="CR79" s="190">
        <f ca="1">-SUM(TblConstr[[#This Row],[Ly]:[Hav]])+SUM(TblConstr[[#This Row],[Dest Ly]:[Dest Hav]]) +Rezone!M79 + IF("Ch_"&amp; home_land=TblConstr[[#Headers],[Ch_Forest]],TblConstr[[#This Row],[Home Land]])+IF(TblConstr[[#This Row],[Hour]:[Hour]]&gt;12,OFFSET(TblExplore[[#This Row],[Forest Explore]],-12,0),0)</f>
        <v>0</v>
      </c>
      <c r="CS79" s="390">
        <f ca="1">-SUM(TblConstr[[#This Row],[OM]:[GN]])+SUM(TblConstr[[#This Row],[Dest OM]:[Dest GN]]) +Rezone!N79 + IF("Ch_"&amp; home_land=TblConstr[[#Headers],[Ch_Mountain]],TblConstr[[#This Row],[Home Land]])+IF(TblConstr[[#This Row],[Hour]:[Hour]]&gt;12,OFFSET(TblExplore[[#This Row],[Mountain Explore]],-12,0),0)</f>
        <v>0</v>
      </c>
      <c r="CT79" s="191">
        <f ca="1">-SUM(TblConstr[[#This Row],[Fac]:[Shr]])+SUM(TblConstr[[#This Row],[Dest Fac]:[Dest Shr]]) +Rezone!O79 + IF("Ch_" &amp; home_land=TblConstr[[#Headers],[Ch_Hill]],TblConstr[[#This Row],[Home Land]])+IF(TblConstr[[#This Row],[Hour]:[Hour]]&gt;12,OFFSET(TblExplore[[#This Row],[Hill Explore]],-12,0),0)</f>
        <v>0</v>
      </c>
      <c r="CU79" s="192">
        <f ca="1">-SUM(TblConstr[[#This Row],[Tow]:[WG]])+SUM(TblConstr[[#This Row],[Dest Tow]:[Dest WG]]) +Rezone!P79 + IF("Ch_" &amp; home_land=TblConstr[[#Headers],[Ch_Swamp]],TblConstr[[#This Row],[Home Land]])+IF(TblConstr[[#This Row],[Hour]:[Hour]]&gt;12,OFFSET(TblExplore[[#This Row],[Swamp Explore]],-12,0),0)</f>
        <v>0</v>
      </c>
      <c r="CV79" s="193">
        <f ca="1" xml:space="preserve"> - SUM(TblConstr[[#This Row],[DM]:[Sch]])+SUM(TblConstr[[#This Row],[Dest DM]:[Dest Sch]]) +Rezone!Q79 + IF("Ch_" &amp; home_land=TblConstr[[#Headers],[Ch_Cavern]],TblConstr[[#This Row],[Home Land]])+IF(TblConstr[[#This Row],[Hour]:[Hour]]&gt;12,OFFSET(TblExplore[[#This Row],[Cavern Explore]],-12,0),0)</f>
        <v>0</v>
      </c>
      <c r="CW79" s="194">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50"/>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83">
        <f>TblRezone[[#This Row],[Hour]]</f>
        <v>77</v>
      </c>
      <c r="B80" s="184">
        <f ca="1">SUM(TblConstr[[#This Row],[Plain]:[Water]])</f>
        <v>160</v>
      </c>
      <c r="C80" s="185">
        <f ca="1">SUM(TblConstr[[#This Row],[Tot Hom]:[Tot Doc]])</f>
        <v>90</v>
      </c>
      <c r="D80" s="185">
        <f t="shared" si="21"/>
        <v>0</v>
      </c>
      <c r="E80" s="186"/>
      <c r="F80" s="62">
        <f ca="1">TblConstr[[#This Row],[Barren]]+TblConstr[[#This Row],[Buildings]]+TblConstr[[#This Row],[Incoming]]</f>
        <v>250</v>
      </c>
      <c r="G80" s="195">
        <f ca="1">OFFSET(TblConstr[[#This Row],[Plain]],-1,0)+TblConstr[[#This Row],[Ch_Plain]]</f>
        <v>40</v>
      </c>
      <c r="H80" s="190">
        <f ca="1">OFFSET(TblConstr[[#This Row],[Forest]],-1,0)+TblConstr[[#This Row],[Ch_Forest]]</f>
        <v>20</v>
      </c>
      <c r="I80" s="390">
        <f ca="1">OFFSET(TblConstr[[#This Row],[Mountain]],-1,0)+TblConstr[[#This Row],[Ch_Mountain]]</f>
        <v>20</v>
      </c>
      <c r="J80" s="394">
        <f ca="1">OFFSET(TblConstr[[#This Row],[Hill]],-1,0)+TblConstr[[#This Row],[Ch_Hill]]</f>
        <v>20</v>
      </c>
      <c r="K80" s="398">
        <f ca="1">OFFSET(TblConstr[[#This Row],[Swamp]],-1,0)+TblConstr[[#This Row],[Ch_Swamp]]</f>
        <v>20</v>
      </c>
      <c r="L80" s="193">
        <f ca="1">OFFSET(TblConstr[[#This Row],[Cavern]],-1,0)+TblConstr[[#This Row],[Ch_Cavern]]</f>
        <v>20</v>
      </c>
      <c r="M80" s="194">
        <f ca="1">OFFSET(TblConstr[[#This Row],[Water]],-1,0)+TblConstr[[#This Row],[Ch_Water]]</f>
        <v>20</v>
      </c>
      <c r="N80" s="388">
        <f>TblRezone[[#This Row],[Hour]]</f>
        <v>77</v>
      </c>
      <c r="O80" s="187"/>
      <c r="P80" s="187"/>
      <c r="Q80" s="187"/>
      <c r="R80" s="187"/>
      <c r="S80" s="187"/>
      <c r="T80" s="187"/>
      <c r="U80" s="187"/>
      <c r="V80" s="187"/>
      <c r="W80" s="187"/>
      <c r="X80" s="187"/>
      <c r="Y80" s="187"/>
      <c r="Z80" s="187"/>
      <c r="AA80" s="187"/>
      <c r="AB80" s="187"/>
      <c r="AC80" s="187"/>
      <c r="AD80" s="187"/>
      <c r="AE80" s="187"/>
      <c r="AF80" s="187"/>
      <c r="AG80" s="187"/>
      <c r="AH80" s="53">
        <f ca="1">TblImps[[#This Row],[Time]]</f>
        <v>44813.916666666482</v>
      </c>
      <c r="AI80" s="188">
        <f ca="1">MIN(25%,(TblConstr[[#This Row],[Tot Fac]]+TblConstr[[#This Row],[Dest Fac]])/(TblConstr[[#This Row],[Land]]-TblExplore[[#This Row],[Land Bonus]]*20))</f>
        <v>0</v>
      </c>
      <c r="AJ80" s="188">
        <f ca="1">MIN(25%,(TblConstr[[#This Row],[Tot Fac]]+TblConstr[[#This Row],[Dest Fac]])/TblConstr[[#This Row],[Land]])</f>
        <v>0</v>
      </c>
      <c r="AK80" s="97">
        <f ca="1">TblProd[[#This Row],[Platinum]]</f>
        <v>517814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50"/>
      <c r="AV80" s="97">
        <f ca="1">ROUND((TblConstr[[#This Row],[Land]]-250 - IF(TblExplore[[#This Row],[Land Bonus]]&lt;&gt;0,20,0))*1.25 + 850 + 0,0)</f>
        <v>850</v>
      </c>
      <c r="AW80" s="97">
        <f ca="1">ROUND((TblConstr[[#This Row],[Land]]-250 - IF(TblExplore[[#This Row],[Land Bonus]]&lt;&gt;0,20,0))*0.285 + 87.5 + 0/4.25,0)</f>
        <v>88</v>
      </c>
      <c r="AX80" s="162"/>
      <c r="AY80" s="196" cm="1">
        <f t="array" aca="1" ref="AY80" ca="1">IF(TblConstr[[#This Row],[Hour]:[Hour]]&gt;12,OFFSET(TblConstr[[#This Row],[Hom]],-12,0),0)+OFFSET(TblConstr[[#This Row],[Tot Hom]],-1,0)-TblConstr[[#This Row],[Dest Hom]]</f>
        <v>10</v>
      </c>
      <c r="AZ80" s="197" cm="1">
        <f t="array" aca="1" ref="AZ80" ca="1">IF(TblConstr[[#This Row],[Hour]:[Hour]]&gt;12,OFFSET(TblConstr[[#This Row],[Alc]],-12,0),0)+OFFSET(TblConstr[[#This Row],[Tot Alc]],-1,0)-TblConstr[[#This Row],[Dest Alc]]</f>
        <v>30</v>
      </c>
      <c r="BA80" s="197" cm="1">
        <f t="array" aca="1" ref="BA80" ca="1">IF(TblConstr[[#This Row],[Hour]:[Hour]]&gt;12,OFFSET(TblConstr[[#This Row],[Far]],-12,0),0)+OFFSET(TblConstr[[#This Row],[Tot Farm]],-1,0)-TblConstr[[#This Row],[Dest Farm]]</f>
        <v>30</v>
      </c>
      <c r="BB80" s="197" cm="1">
        <f t="array" aca="1" ref="BB80" ca="1">IF(TblConstr[[#This Row],[Hour]:[Hour]]&gt;12,OFFSET(TblConstr[[#This Row],[Smi]],-12,0),0)+OFFSET(TblConstr[[#This Row],[Tot Smi]],-1,0)-TblConstr[[#This Row],[Dest Smi]]</f>
        <v>0</v>
      </c>
      <c r="BC80" s="197" cm="1">
        <f t="array" aca="1" ref="BC80" ca="1">IF(TblConstr[[#This Row],[Hour]:[Hour]]&gt;12,OFFSET(TblConstr[[#This Row],[Mas]],-12,0),0)+OFFSET(TblConstr[[#This Row],[Tot Mas]],-1,0)-TblConstr[[#This Row],[Dest Mas]]</f>
        <v>0</v>
      </c>
      <c r="BD80" s="198" cm="1">
        <f t="array" aca="1" ref="BD80" ca="1">IF(TblConstr[[#This Row],[Hour]:[Hour]]&gt;12,OFFSET(TblConstr[[#This Row],[Ly]],-12,0),0)+OFFSET(TblConstr[[#This Row],[Tot Ly]],-1,0)-TblConstr[[#This Row],[Dest Ly]]</f>
        <v>20</v>
      </c>
      <c r="BE80" s="198" cm="1">
        <f t="array" aca="1" ref="BE80" ca="1">IF(TblConstr[[#This Row],[Hour]:[Hour]]&gt;12,OFFSET(TblConstr[[#This Row],[Hav]],-12,0),0)+OFFSET(TblConstr[[#This Row],[Tot Hav]],-1,0)-TblConstr[[#This Row],[Dest Hav]]</f>
        <v>0</v>
      </c>
      <c r="BF80" s="392" cm="1">
        <f t="array" aca="1" ref="BF80" ca="1">IF(TblConstr[[#This Row],[Hour]:[Hour]]&gt;12,OFFSET(TblConstr[[#This Row],[OM]],-12,0),0)+OFFSET(TblConstr[[#This Row],[Tot OM]],-1,0)-TblConstr[[#This Row],[Dest OM]]</f>
        <v>0</v>
      </c>
      <c r="BG80" s="392" cm="1">
        <f t="array" aca="1" ref="BG80" ca="1">IF(TblConstr[[#This Row],[Hour]:[Hour]]&gt;12,OFFSET(TblConstr[[#This Row],[GN]],-12,0),0)+OFFSET(TblConstr[[#This Row],[Tot GN]],-1,0)-TblConstr[[#This Row],[Dest GN]]</f>
        <v>0</v>
      </c>
      <c r="BH80" s="396" cm="1">
        <f t="array" aca="1" ref="BH80" ca="1">IF(TblConstr[[#This Row],[Hour]:[Hour]]&gt;12,OFFSET(TblConstr[[#This Row],[Fac]],-12,0),0)+OFFSET(TblConstr[[#This Row],[Tot Fac]],-1,0)-TblConstr[[#This Row],[Dest Fac]]</f>
        <v>0</v>
      </c>
      <c r="BI80" s="396" cm="1">
        <f t="array" aca="1" ref="BI80" ca="1">IF(TblConstr[[#This Row],[Hour]:[Hour]]&gt;12,OFFSET(TblConstr[[#This Row],[GT]],-12,0),0)+OFFSET(TblConstr[[#This Row],[Tot GT]],-1,0)-TblConstr[[#This Row],[Dest GT]]</f>
        <v>0</v>
      </c>
      <c r="BJ80" s="396" cm="1">
        <f t="array" aca="1" ref="BJ80" ca="1">IF(TblConstr[[#This Row],[Hour]:[Hour]]&gt;12,OFFSET(TblConstr[[#This Row],[Bar]],-12,0),0)+OFFSET(TblConstr[[#This Row],[Tot Bar]],-1,0)-TblConstr[[#This Row],[Dest Bar]]</f>
        <v>0</v>
      </c>
      <c r="BK80" s="396" cm="1">
        <f t="array" aca="1" ref="BK80" ca="1">IF(TblConstr[[#This Row],[Hour]:[Hour]]&gt;12,OFFSET(TblConstr[[#This Row],[Shr]],-12,0),0)+OFFSET(TblConstr[[#This Row],[Tot Shr]],-1,0)-TblConstr[[#This Row],[Dest Shr]]</f>
        <v>0</v>
      </c>
      <c r="BL80" s="400" cm="1">
        <f t="array" aca="1" ref="BL80" ca="1">IF(TblConstr[[#This Row],[Hour]:[Hour]]&gt;12,OFFSET(TblConstr[[#This Row],[Tow]],-12,0),0)+OFFSET(TblConstr[[#This Row],[Tot Tow]],-1,0)-TblConstr[[#This Row],[Dest Tow]]</f>
        <v>0</v>
      </c>
      <c r="BM80" s="400" cm="1">
        <f t="array" aca="1" ref="BM80" ca="1">IF(TblConstr[[#This Row],[Hour]:[Hour]]&gt;12,OFFSET(TblConstr[[#This Row],[Tem]],-12,0),0)+OFFSET(TblConstr[[#This Row],[Tot Tem]],-1,0)-TblConstr[[#This Row],[Dest Tem]]</f>
        <v>0</v>
      </c>
      <c r="BN80" s="400" cm="1">
        <f t="array" aca="1" ref="BN80" ca="1">IF(TblConstr[[#This Row],[Hour]:[Hour]]&gt;12,OFFSET(TblConstr[[#This Row],[WG]],-12,0),0)+OFFSET(TblConstr[[#This Row],[Tot WG]],-1,0)-TblConstr[[#This Row],[Dest WG]]</f>
        <v>0</v>
      </c>
      <c r="BO80" s="199" cm="1">
        <f t="array" aca="1" ref="BO80" ca="1">IF(TblConstr[[#This Row],[Hour]:[Hour]]&gt;12,OFFSET(TblConstr[[#This Row],[DM]],-12,0),0)+OFFSET(TblConstr[[#This Row],[Tot DM]],-1,0)-TblConstr[[#This Row],[Dest DM]]</f>
        <v>0</v>
      </c>
      <c r="BP80" s="199" cm="1">
        <f t="array" aca="1" ref="BP80" ca="1">IF(TblConstr[[#This Row],[Hour]:[Hour]]&gt;12,OFFSET(TblConstr[[#This Row],[Sch]],-12,0),0)+OFFSET(TblConstr[[#This Row],[Tot Sch]],-1,0)-TblConstr[[#This Row],[Dest Sch]]</f>
        <v>0</v>
      </c>
      <c r="BQ80" s="200" cm="1">
        <f t="array" aca="1" ref="BQ80" ca="1">IF(TblConstr[[#This Row],[Hour]:[Hour]]&gt;12,OFFSET(TblConstr[[#This Row],[Doc]],-12,0),0)+OFFSET(TblConstr[[#This Row],[Tot Doc]],-1,0)-TblConstr[[#This Row],[Dest Doc]]</f>
        <v>0</v>
      </c>
      <c r="BR80" s="150"/>
      <c r="BS80" s="162"/>
      <c r="BT80" s="97">
        <f ca="1">TblConstr[[#This Row],[Land]]</f>
        <v>250</v>
      </c>
      <c r="BU80" s="167">
        <f ca="1">TblImps[[#This Row],[Time]]</f>
        <v>44813.916666666482</v>
      </c>
      <c r="BV80" s="150"/>
      <c r="BW80" s="187"/>
      <c r="BX80" s="187"/>
      <c r="BY80" s="187"/>
      <c r="BZ80" s="187"/>
      <c r="CA80" s="187"/>
      <c r="CB80" s="187"/>
      <c r="CC80" s="187"/>
      <c r="CD80" s="187"/>
      <c r="CE80" s="187"/>
      <c r="CF80" s="187"/>
      <c r="CG80" s="187"/>
      <c r="CH80" s="187"/>
      <c r="CI80" s="187"/>
      <c r="CJ80" s="187"/>
      <c r="CK80" s="187"/>
      <c r="CL80" s="187"/>
      <c r="CM80" s="187"/>
      <c r="CN80" s="187"/>
      <c r="CO80" s="187"/>
      <c r="CP80" s="150"/>
      <c r="CQ80" s="189">
        <f ca="1">-SUM(TblConstr[[#This Row],[Alc]:[Mas]])+SUM(TblConstr[[#This Row],[Dest Alc]:[Dest Mas]])+Rezone!L80+IF("Ch_"&amp; home_land=TblConstr[[#Headers],[Ch_Plain]],TblConstr[[#This Row],[Home Land]])+IF(TblConstr[[#This Row],[Hour]:[Hour]]&gt;12,OFFSET(TblExplore[[#This Row],[Plains Explore]],-12,0),0)</f>
        <v>0</v>
      </c>
      <c r="CR80" s="190">
        <f ca="1">-SUM(TblConstr[[#This Row],[Ly]:[Hav]])+SUM(TblConstr[[#This Row],[Dest Ly]:[Dest Hav]]) +Rezone!M80 + IF("Ch_"&amp; home_land=TblConstr[[#Headers],[Ch_Forest]],TblConstr[[#This Row],[Home Land]])+IF(TblConstr[[#This Row],[Hour]:[Hour]]&gt;12,OFFSET(TblExplore[[#This Row],[Forest Explore]],-12,0),0)</f>
        <v>0</v>
      </c>
      <c r="CS80" s="390">
        <f ca="1">-SUM(TblConstr[[#This Row],[OM]:[GN]])+SUM(TblConstr[[#This Row],[Dest OM]:[Dest GN]]) +Rezone!N80 + IF("Ch_"&amp; home_land=TblConstr[[#Headers],[Ch_Mountain]],TblConstr[[#This Row],[Home Land]])+IF(TblConstr[[#This Row],[Hour]:[Hour]]&gt;12,OFFSET(TblExplore[[#This Row],[Mountain Explore]],-12,0),0)</f>
        <v>0</v>
      </c>
      <c r="CT80" s="191">
        <f ca="1">-SUM(TblConstr[[#This Row],[Fac]:[Shr]])+SUM(TblConstr[[#This Row],[Dest Fac]:[Dest Shr]]) +Rezone!O80 + IF("Ch_" &amp; home_land=TblConstr[[#Headers],[Ch_Hill]],TblConstr[[#This Row],[Home Land]])+IF(TblConstr[[#This Row],[Hour]:[Hour]]&gt;12,OFFSET(TblExplore[[#This Row],[Hill Explore]],-12,0),0)</f>
        <v>0</v>
      </c>
      <c r="CU80" s="192">
        <f ca="1">-SUM(TblConstr[[#This Row],[Tow]:[WG]])+SUM(TblConstr[[#This Row],[Dest Tow]:[Dest WG]]) +Rezone!P80 + IF("Ch_" &amp; home_land=TblConstr[[#Headers],[Ch_Swamp]],TblConstr[[#This Row],[Home Land]])+IF(TblConstr[[#This Row],[Hour]:[Hour]]&gt;12,OFFSET(TblExplore[[#This Row],[Swamp Explore]],-12,0),0)</f>
        <v>0</v>
      </c>
      <c r="CV80" s="193">
        <f ca="1" xml:space="preserve"> - SUM(TblConstr[[#This Row],[DM]:[Sch]])+SUM(TblConstr[[#This Row],[Dest DM]:[Dest Sch]]) +Rezone!Q80 + IF("Ch_" &amp; home_land=TblConstr[[#Headers],[Ch_Cavern]],TblConstr[[#This Row],[Home Land]])+IF(TblConstr[[#This Row],[Hour]:[Hour]]&gt;12,OFFSET(TblExplore[[#This Row],[Cavern Explore]],-12,0),0)</f>
        <v>0</v>
      </c>
      <c r="CW80" s="194">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50"/>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83">
        <f>TblRezone[[#This Row],[Hour]]</f>
        <v>78</v>
      </c>
      <c r="B81" s="184">
        <f ca="1">SUM(TblConstr[[#This Row],[Plain]:[Water]])</f>
        <v>160</v>
      </c>
      <c r="C81" s="185">
        <f ca="1">SUM(TblConstr[[#This Row],[Tot Hom]:[Tot Doc]])</f>
        <v>90</v>
      </c>
      <c r="D81" s="185">
        <f t="shared" si="21"/>
        <v>0</v>
      </c>
      <c r="E81" s="186"/>
      <c r="F81" s="62">
        <f ca="1">TblConstr[[#This Row],[Barren]]+TblConstr[[#This Row],[Buildings]]+TblConstr[[#This Row],[Incoming]]</f>
        <v>250</v>
      </c>
      <c r="G81" s="195">
        <f ca="1">OFFSET(TblConstr[[#This Row],[Plain]],-1,0)+TblConstr[[#This Row],[Ch_Plain]]</f>
        <v>40</v>
      </c>
      <c r="H81" s="190">
        <f ca="1">OFFSET(TblConstr[[#This Row],[Forest]],-1,0)+TblConstr[[#This Row],[Ch_Forest]]</f>
        <v>20</v>
      </c>
      <c r="I81" s="390">
        <f ca="1">OFFSET(TblConstr[[#This Row],[Mountain]],-1,0)+TblConstr[[#This Row],[Ch_Mountain]]</f>
        <v>20</v>
      </c>
      <c r="J81" s="394">
        <f ca="1">OFFSET(TblConstr[[#This Row],[Hill]],-1,0)+TblConstr[[#This Row],[Ch_Hill]]</f>
        <v>20</v>
      </c>
      <c r="K81" s="398">
        <f ca="1">OFFSET(TblConstr[[#This Row],[Swamp]],-1,0)+TblConstr[[#This Row],[Ch_Swamp]]</f>
        <v>20</v>
      </c>
      <c r="L81" s="193">
        <f ca="1">OFFSET(TblConstr[[#This Row],[Cavern]],-1,0)+TblConstr[[#This Row],[Ch_Cavern]]</f>
        <v>20</v>
      </c>
      <c r="M81" s="194">
        <f ca="1">OFFSET(TblConstr[[#This Row],[Water]],-1,0)+TblConstr[[#This Row],[Ch_Water]]</f>
        <v>20</v>
      </c>
      <c r="N81" s="388">
        <f>TblRezone[[#This Row],[Hour]]</f>
        <v>78</v>
      </c>
      <c r="O81" s="187"/>
      <c r="P81" s="187"/>
      <c r="Q81" s="187"/>
      <c r="R81" s="187"/>
      <c r="S81" s="187"/>
      <c r="T81" s="187"/>
      <c r="U81" s="187"/>
      <c r="V81" s="187"/>
      <c r="W81" s="187"/>
      <c r="X81" s="187"/>
      <c r="Y81" s="187"/>
      <c r="Z81" s="187"/>
      <c r="AA81" s="187"/>
      <c r="AB81" s="187"/>
      <c r="AC81" s="187"/>
      <c r="AD81" s="187"/>
      <c r="AE81" s="187"/>
      <c r="AF81" s="187"/>
      <c r="AG81" s="187"/>
      <c r="AH81" s="53">
        <f ca="1">TblImps[[#This Row],[Time]]</f>
        <v>44813.958333333147</v>
      </c>
      <c r="AI81" s="188">
        <f ca="1">MIN(25%,(TblConstr[[#This Row],[Tot Fac]]+TblConstr[[#This Row],[Dest Fac]])/(TblConstr[[#This Row],[Land]]-TblExplore[[#This Row],[Land Bonus]]*20))</f>
        <v>0</v>
      </c>
      <c r="AJ81" s="188">
        <f ca="1">MIN(25%,(TblConstr[[#This Row],[Tot Fac]]+TblConstr[[#This Row],[Dest Fac]])/TblConstr[[#This Row],[Land]])</f>
        <v>0</v>
      </c>
      <c r="AK81" s="97">
        <f ca="1">TblProd[[#This Row],[Platinum]]</f>
        <v>523300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50"/>
      <c r="AV81" s="97">
        <f ca="1">ROUND((TblConstr[[#This Row],[Land]]-250 - IF(TblExplore[[#This Row],[Land Bonus]]&lt;&gt;0,20,0))*1.25 + 850 + 0,0)</f>
        <v>850</v>
      </c>
      <c r="AW81" s="97">
        <f ca="1">ROUND((TblConstr[[#This Row],[Land]]-250 - IF(TblExplore[[#This Row],[Land Bonus]]&lt;&gt;0,20,0))*0.285 + 87.5 + 0/4.25,0)</f>
        <v>88</v>
      </c>
      <c r="AX81" s="162"/>
      <c r="AY81" s="196" cm="1">
        <f t="array" aca="1" ref="AY81" ca="1">IF(TblConstr[[#This Row],[Hour]:[Hour]]&gt;12,OFFSET(TblConstr[[#This Row],[Hom]],-12,0),0)+OFFSET(TblConstr[[#This Row],[Tot Hom]],-1,0)-TblConstr[[#This Row],[Dest Hom]]</f>
        <v>10</v>
      </c>
      <c r="AZ81" s="197" cm="1">
        <f t="array" aca="1" ref="AZ81" ca="1">IF(TblConstr[[#This Row],[Hour]:[Hour]]&gt;12,OFFSET(TblConstr[[#This Row],[Alc]],-12,0),0)+OFFSET(TblConstr[[#This Row],[Tot Alc]],-1,0)-TblConstr[[#This Row],[Dest Alc]]</f>
        <v>30</v>
      </c>
      <c r="BA81" s="197" cm="1">
        <f t="array" aca="1" ref="BA81" ca="1">IF(TblConstr[[#This Row],[Hour]:[Hour]]&gt;12,OFFSET(TblConstr[[#This Row],[Far]],-12,0),0)+OFFSET(TblConstr[[#This Row],[Tot Farm]],-1,0)-TblConstr[[#This Row],[Dest Farm]]</f>
        <v>30</v>
      </c>
      <c r="BB81" s="197" cm="1">
        <f t="array" aca="1" ref="BB81" ca="1">IF(TblConstr[[#This Row],[Hour]:[Hour]]&gt;12,OFFSET(TblConstr[[#This Row],[Smi]],-12,0),0)+OFFSET(TblConstr[[#This Row],[Tot Smi]],-1,0)-TblConstr[[#This Row],[Dest Smi]]</f>
        <v>0</v>
      </c>
      <c r="BC81" s="197" cm="1">
        <f t="array" aca="1" ref="BC81" ca="1">IF(TblConstr[[#This Row],[Hour]:[Hour]]&gt;12,OFFSET(TblConstr[[#This Row],[Mas]],-12,0),0)+OFFSET(TblConstr[[#This Row],[Tot Mas]],-1,0)-TblConstr[[#This Row],[Dest Mas]]</f>
        <v>0</v>
      </c>
      <c r="BD81" s="198" cm="1">
        <f t="array" aca="1" ref="BD81" ca="1">IF(TblConstr[[#This Row],[Hour]:[Hour]]&gt;12,OFFSET(TblConstr[[#This Row],[Ly]],-12,0),0)+OFFSET(TblConstr[[#This Row],[Tot Ly]],-1,0)-TblConstr[[#This Row],[Dest Ly]]</f>
        <v>20</v>
      </c>
      <c r="BE81" s="198" cm="1">
        <f t="array" aca="1" ref="BE81" ca="1">IF(TblConstr[[#This Row],[Hour]:[Hour]]&gt;12,OFFSET(TblConstr[[#This Row],[Hav]],-12,0),0)+OFFSET(TblConstr[[#This Row],[Tot Hav]],-1,0)-TblConstr[[#This Row],[Dest Hav]]</f>
        <v>0</v>
      </c>
      <c r="BF81" s="392" cm="1">
        <f t="array" aca="1" ref="BF81" ca="1">IF(TblConstr[[#This Row],[Hour]:[Hour]]&gt;12,OFFSET(TblConstr[[#This Row],[OM]],-12,0),0)+OFFSET(TblConstr[[#This Row],[Tot OM]],-1,0)-TblConstr[[#This Row],[Dest OM]]</f>
        <v>0</v>
      </c>
      <c r="BG81" s="392" cm="1">
        <f t="array" aca="1" ref="BG81" ca="1">IF(TblConstr[[#This Row],[Hour]:[Hour]]&gt;12,OFFSET(TblConstr[[#This Row],[GN]],-12,0),0)+OFFSET(TblConstr[[#This Row],[Tot GN]],-1,0)-TblConstr[[#This Row],[Dest GN]]</f>
        <v>0</v>
      </c>
      <c r="BH81" s="396" cm="1">
        <f t="array" aca="1" ref="BH81" ca="1">IF(TblConstr[[#This Row],[Hour]:[Hour]]&gt;12,OFFSET(TblConstr[[#This Row],[Fac]],-12,0),0)+OFFSET(TblConstr[[#This Row],[Tot Fac]],-1,0)-TblConstr[[#This Row],[Dest Fac]]</f>
        <v>0</v>
      </c>
      <c r="BI81" s="396" cm="1">
        <f t="array" aca="1" ref="BI81" ca="1">IF(TblConstr[[#This Row],[Hour]:[Hour]]&gt;12,OFFSET(TblConstr[[#This Row],[GT]],-12,0),0)+OFFSET(TblConstr[[#This Row],[Tot GT]],-1,0)-TblConstr[[#This Row],[Dest GT]]</f>
        <v>0</v>
      </c>
      <c r="BJ81" s="396" cm="1">
        <f t="array" aca="1" ref="BJ81" ca="1">IF(TblConstr[[#This Row],[Hour]:[Hour]]&gt;12,OFFSET(TblConstr[[#This Row],[Bar]],-12,0),0)+OFFSET(TblConstr[[#This Row],[Tot Bar]],-1,0)-TblConstr[[#This Row],[Dest Bar]]</f>
        <v>0</v>
      </c>
      <c r="BK81" s="396" cm="1">
        <f t="array" aca="1" ref="BK81" ca="1">IF(TblConstr[[#This Row],[Hour]:[Hour]]&gt;12,OFFSET(TblConstr[[#This Row],[Shr]],-12,0),0)+OFFSET(TblConstr[[#This Row],[Tot Shr]],-1,0)-TblConstr[[#This Row],[Dest Shr]]</f>
        <v>0</v>
      </c>
      <c r="BL81" s="400" cm="1">
        <f t="array" aca="1" ref="BL81" ca="1">IF(TblConstr[[#This Row],[Hour]:[Hour]]&gt;12,OFFSET(TblConstr[[#This Row],[Tow]],-12,0),0)+OFFSET(TblConstr[[#This Row],[Tot Tow]],-1,0)-TblConstr[[#This Row],[Dest Tow]]</f>
        <v>0</v>
      </c>
      <c r="BM81" s="400" cm="1">
        <f t="array" aca="1" ref="BM81" ca="1">IF(TblConstr[[#This Row],[Hour]:[Hour]]&gt;12,OFFSET(TblConstr[[#This Row],[Tem]],-12,0),0)+OFFSET(TblConstr[[#This Row],[Tot Tem]],-1,0)-TblConstr[[#This Row],[Dest Tem]]</f>
        <v>0</v>
      </c>
      <c r="BN81" s="400" cm="1">
        <f t="array" aca="1" ref="BN81" ca="1">IF(TblConstr[[#This Row],[Hour]:[Hour]]&gt;12,OFFSET(TblConstr[[#This Row],[WG]],-12,0),0)+OFFSET(TblConstr[[#This Row],[Tot WG]],-1,0)-TblConstr[[#This Row],[Dest WG]]</f>
        <v>0</v>
      </c>
      <c r="BO81" s="199" cm="1">
        <f t="array" aca="1" ref="BO81" ca="1">IF(TblConstr[[#This Row],[Hour]:[Hour]]&gt;12,OFFSET(TblConstr[[#This Row],[DM]],-12,0),0)+OFFSET(TblConstr[[#This Row],[Tot DM]],-1,0)-TblConstr[[#This Row],[Dest DM]]</f>
        <v>0</v>
      </c>
      <c r="BP81" s="199" cm="1">
        <f t="array" aca="1" ref="BP81" ca="1">IF(TblConstr[[#This Row],[Hour]:[Hour]]&gt;12,OFFSET(TblConstr[[#This Row],[Sch]],-12,0),0)+OFFSET(TblConstr[[#This Row],[Tot Sch]],-1,0)-TblConstr[[#This Row],[Dest Sch]]</f>
        <v>0</v>
      </c>
      <c r="BQ81" s="200" cm="1">
        <f t="array" aca="1" ref="BQ81" ca="1">IF(TblConstr[[#This Row],[Hour]:[Hour]]&gt;12,OFFSET(TblConstr[[#This Row],[Doc]],-12,0),0)+OFFSET(TblConstr[[#This Row],[Tot Doc]],-1,0)-TblConstr[[#This Row],[Dest Doc]]</f>
        <v>0</v>
      </c>
      <c r="BR81" s="150"/>
      <c r="BS81" s="162"/>
      <c r="BT81" s="97">
        <f ca="1">TblConstr[[#This Row],[Land]]</f>
        <v>250</v>
      </c>
      <c r="BU81" s="167">
        <f ca="1">TblImps[[#This Row],[Time]]</f>
        <v>44813.958333333147</v>
      </c>
      <c r="BV81" s="150"/>
      <c r="BW81" s="187"/>
      <c r="BX81" s="187"/>
      <c r="BY81" s="187"/>
      <c r="BZ81" s="187"/>
      <c r="CA81" s="187"/>
      <c r="CB81" s="187"/>
      <c r="CC81" s="187"/>
      <c r="CD81" s="187"/>
      <c r="CE81" s="187"/>
      <c r="CF81" s="187"/>
      <c r="CG81" s="187"/>
      <c r="CH81" s="187"/>
      <c r="CI81" s="187"/>
      <c r="CJ81" s="187"/>
      <c r="CK81" s="187"/>
      <c r="CL81" s="187"/>
      <c r="CM81" s="187"/>
      <c r="CN81" s="187"/>
      <c r="CO81" s="187"/>
      <c r="CP81" s="150"/>
      <c r="CQ81" s="189">
        <f ca="1">-SUM(TblConstr[[#This Row],[Alc]:[Mas]])+SUM(TblConstr[[#This Row],[Dest Alc]:[Dest Mas]])+Rezone!L81+IF("Ch_"&amp; home_land=TblConstr[[#Headers],[Ch_Plain]],TblConstr[[#This Row],[Home Land]])+IF(TblConstr[[#This Row],[Hour]:[Hour]]&gt;12,OFFSET(TblExplore[[#This Row],[Plains Explore]],-12,0),0)</f>
        <v>0</v>
      </c>
      <c r="CR81" s="190">
        <f ca="1">-SUM(TblConstr[[#This Row],[Ly]:[Hav]])+SUM(TblConstr[[#This Row],[Dest Ly]:[Dest Hav]]) +Rezone!M81 + IF("Ch_"&amp; home_land=TblConstr[[#Headers],[Ch_Forest]],TblConstr[[#This Row],[Home Land]])+IF(TblConstr[[#This Row],[Hour]:[Hour]]&gt;12,OFFSET(TblExplore[[#This Row],[Forest Explore]],-12,0),0)</f>
        <v>0</v>
      </c>
      <c r="CS81" s="390">
        <f ca="1">-SUM(TblConstr[[#This Row],[OM]:[GN]])+SUM(TblConstr[[#This Row],[Dest OM]:[Dest GN]]) +Rezone!N81 + IF("Ch_"&amp; home_land=TblConstr[[#Headers],[Ch_Mountain]],TblConstr[[#This Row],[Home Land]])+IF(TblConstr[[#This Row],[Hour]:[Hour]]&gt;12,OFFSET(TblExplore[[#This Row],[Mountain Explore]],-12,0),0)</f>
        <v>0</v>
      </c>
      <c r="CT81" s="191">
        <f ca="1">-SUM(TblConstr[[#This Row],[Fac]:[Shr]])+SUM(TblConstr[[#This Row],[Dest Fac]:[Dest Shr]]) +Rezone!O81 + IF("Ch_" &amp; home_land=TblConstr[[#Headers],[Ch_Hill]],TblConstr[[#This Row],[Home Land]])+IF(TblConstr[[#This Row],[Hour]:[Hour]]&gt;12,OFFSET(TblExplore[[#This Row],[Hill Explore]],-12,0),0)</f>
        <v>0</v>
      </c>
      <c r="CU81" s="192">
        <f ca="1">-SUM(TblConstr[[#This Row],[Tow]:[WG]])+SUM(TblConstr[[#This Row],[Dest Tow]:[Dest WG]]) +Rezone!P81 + IF("Ch_" &amp; home_land=TblConstr[[#Headers],[Ch_Swamp]],TblConstr[[#This Row],[Home Land]])+IF(TblConstr[[#This Row],[Hour]:[Hour]]&gt;12,OFFSET(TblExplore[[#This Row],[Swamp Explore]],-12,0),0)</f>
        <v>0</v>
      </c>
      <c r="CV81" s="193">
        <f ca="1" xml:space="preserve"> - SUM(TblConstr[[#This Row],[DM]:[Sch]])+SUM(TblConstr[[#This Row],[Dest DM]:[Dest Sch]]) +Rezone!Q81 + IF("Ch_" &amp; home_land=TblConstr[[#Headers],[Ch_Cavern]],TblConstr[[#This Row],[Home Land]])+IF(TblConstr[[#This Row],[Hour]:[Hour]]&gt;12,OFFSET(TblExplore[[#This Row],[Cavern Explore]],-12,0),0)</f>
        <v>0</v>
      </c>
      <c r="CW81" s="194">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50"/>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83">
        <f>TblRezone[[#This Row],[Hour]]</f>
        <v>79</v>
      </c>
      <c r="B82" s="184">
        <f ca="1">SUM(TblConstr[[#This Row],[Plain]:[Water]])</f>
        <v>160</v>
      </c>
      <c r="C82" s="185">
        <f ca="1">SUM(TblConstr[[#This Row],[Tot Hom]:[Tot Doc]])</f>
        <v>90</v>
      </c>
      <c r="D82" s="185">
        <f t="shared" si="21"/>
        <v>0</v>
      </c>
      <c r="E82" s="186"/>
      <c r="F82" s="62">
        <f ca="1">TblConstr[[#This Row],[Barren]]+TblConstr[[#This Row],[Buildings]]+TblConstr[[#This Row],[Incoming]]</f>
        <v>250</v>
      </c>
      <c r="G82" s="195">
        <f ca="1">OFFSET(TblConstr[[#This Row],[Plain]],-1,0)+TblConstr[[#This Row],[Ch_Plain]]</f>
        <v>40</v>
      </c>
      <c r="H82" s="190">
        <f ca="1">OFFSET(TblConstr[[#This Row],[Forest]],-1,0)+TblConstr[[#This Row],[Ch_Forest]]</f>
        <v>20</v>
      </c>
      <c r="I82" s="390">
        <f ca="1">OFFSET(TblConstr[[#This Row],[Mountain]],-1,0)+TblConstr[[#This Row],[Ch_Mountain]]</f>
        <v>20</v>
      </c>
      <c r="J82" s="394">
        <f ca="1">OFFSET(TblConstr[[#This Row],[Hill]],-1,0)+TblConstr[[#This Row],[Ch_Hill]]</f>
        <v>20</v>
      </c>
      <c r="K82" s="398">
        <f ca="1">OFFSET(TblConstr[[#This Row],[Swamp]],-1,0)+TblConstr[[#This Row],[Ch_Swamp]]</f>
        <v>20</v>
      </c>
      <c r="L82" s="193">
        <f ca="1">OFFSET(TblConstr[[#This Row],[Cavern]],-1,0)+TblConstr[[#This Row],[Ch_Cavern]]</f>
        <v>20</v>
      </c>
      <c r="M82" s="194">
        <f ca="1">OFFSET(TblConstr[[#This Row],[Water]],-1,0)+TblConstr[[#This Row],[Ch_Water]]</f>
        <v>20</v>
      </c>
      <c r="N82" s="388">
        <f>TblRezone[[#This Row],[Hour]]</f>
        <v>79</v>
      </c>
      <c r="O82" s="187"/>
      <c r="P82" s="187"/>
      <c r="Q82" s="187"/>
      <c r="R82" s="187"/>
      <c r="S82" s="187"/>
      <c r="T82" s="187"/>
      <c r="U82" s="187"/>
      <c r="V82" s="187"/>
      <c r="W82" s="187"/>
      <c r="X82" s="187"/>
      <c r="Y82" s="187"/>
      <c r="Z82" s="187"/>
      <c r="AA82" s="187"/>
      <c r="AB82" s="187"/>
      <c r="AC82" s="187"/>
      <c r="AD82" s="187"/>
      <c r="AE82" s="187"/>
      <c r="AF82" s="187"/>
      <c r="AG82" s="187"/>
      <c r="AH82" s="53">
        <f ca="1">TblImps[[#This Row],[Time]]</f>
        <v>44813.999999999811</v>
      </c>
      <c r="AI82" s="188">
        <f ca="1">MIN(25%,(TblConstr[[#This Row],[Tot Fac]]+TblConstr[[#This Row],[Dest Fac]])/(TblConstr[[#This Row],[Land]]-TblExplore[[#This Row],[Land Bonus]]*20))</f>
        <v>0</v>
      </c>
      <c r="AJ82" s="188">
        <f ca="1">MIN(25%,(TblConstr[[#This Row],[Tot Fac]]+TblConstr[[#This Row],[Dest Fac]])/TblConstr[[#This Row],[Land]])</f>
        <v>0</v>
      </c>
      <c r="AK82" s="97">
        <f ca="1">TblProd[[#This Row],[Platinum]]</f>
        <v>528786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50"/>
      <c r="AV82" s="97">
        <f ca="1">ROUND((TblConstr[[#This Row],[Land]]-250 - IF(TblExplore[[#This Row],[Land Bonus]]&lt;&gt;0,20,0))*1.25 + 850 + 0,0)</f>
        <v>850</v>
      </c>
      <c r="AW82" s="97">
        <f ca="1">ROUND((TblConstr[[#This Row],[Land]]-250 - IF(TblExplore[[#This Row],[Land Bonus]]&lt;&gt;0,20,0))*0.285 + 87.5 + 0/4.25,0)</f>
        <v>88</v>
      </c>
      <c r="AX82" s="162"/>
      <c r="AY82" s="196" cm="1">
        <f t="array" aca="1" ref="AY82" ca="1">IF(TblConstr[[#This Row],[Hour]:[Hour]]&gt;12,OFFSET(TblConstr[[#This Row],[Hom]],-12,0),0)+OFFSET(TblConstr[[#This Row],[Tot Hom]],-1,0)-TblConstr[[#This Row],[Dest Hom]]</f>
        <v>10</v>
      </c>
      <c r="AZ82" s="197" cm="1">
        <f t="array" aca="1" ref="AZ82" ca="1">IF(TblConstr[[#This Row],[Hour]:[Hour]]&gt;12,OFFSET(TblConstr[[#This Row],[Alc]],-12,0),0)+OFFSET(TblConstr[[#This Row],[Tot Alc]],-1,0)-TblConstr[[#This Row],[Dest Alc]]</f>
        <v>30</v>
      </c>
      <c r="BA82" s="197" cm="1">
        <f t="array" aca="1" ref="BA82" ca="1">IF(TblConstr[[#This Row],[Hour]:[Hour]]&gt;12,OFFSET(TblConstr[[#This Row],[Far]],-12,0),0)+OFFSET(TblConstr[[#This Row],[Tot Farm]],-1,0)-TblConstr[[#This Row],[Dest Farm]]</f>
        <v>30</v>
      </c>
      <c r="BB82" s="197" cm="1">
        <f t="array" aca="1" ref="BB82" ca="1">IF(TblConstr[[#This Row],[Hour]:[Hour]]&gt;12,OFFSET(TblConstr[[#This Row],[Smi]],-12,0),0)+OFFSET(TblConstr[[#This Row],[Tot Smi]],-1,0)-TblConstr[[#This Row],[Dest Smi]]</f>
        <v>0</v>
      </c>
      <c r="BC82" s="197" cm="1">
        <f t="array" aca="1" ref="BC82" ca="1">IF(TblConstr[[#This Row],[Hour]:[Hour]]&gt;12,OFFSET(TblConstr[[#This Row],[Mas]],-12,0),0)+OFFSET(TblConstr[[#This Row],[Tot Mas]],-1,0)-TblConstr[[#This Row],[Dest Mas]]</f>
        <v>0</v>
      </c>
      <c r="BD82" s="198" cm="1">
        <f t="array" aca="1" ref="BD82" ca="1">IF(TblConstr[[#This Row],[Hour]:[Hour]]&gt;12,OFFSET(TblConstr[[#This Row],[Ly]],-12,0),0)+OFFSET(TblConstr[[#This Row],[Tot Ly]],-1,0)-TblConstr[[#This Row],[Dest Ly]]</f>
        <v>20</v>
      </c>
      <c r="BE82" s="198" cm="1">
        <f t="array" aca="1" ref="BE82" ca="1">IF(TblConstr[[#This Row],[Hour]:[Hour]]&gt;12,OFFSET(TblConstr[[#This Row],[Hav]],-12,0),0)+OFFSET(TblConstr[[#This Row],[Tot Hav]],-1,0)-TblConstr[[#This Row],[Dest Hav]]</f>
        <v>0</v>
      </c>
      <c r="BF82" s="392" cm="1">
        <f t="array" aca="1" ref="BF82" ca="1">IF(TblConstr[[#This Row],[Hour]:[Hour]]&gt;12,OFFSET(TblConstr[[#This Row],[OM]],-12,0),0)+OFFSET(TblConstr[[#This Row],[Tot OM]],-1,0)-TblConstr[[#This Row],[Dest OM]]</f>
        <v>0</v>
      </c>
      <c r="BG82" s="392" cm="1">
        <f t="array" aca="1" ref="BG82" ca="1">IF(TblConstr[[#This Row],[Hour]:[Hour]]&gt;12,OFFSET(TblConstr[[#This Row],[GN]],-12,0),0)+OFFSET(TblConstr[[#This Row],[Tot GN]],-1,0)-TblConstr[[#This Row],[Dest GN]]</f>
        <v>0</v>
      </c>
      <c r="BH82" s="396" cm="1">
        <f t="array" aca="1" ref="BH82" ca="1">IF(TblConstr[[#This Row],[Hour]:[Hour]]&gt;12,OFFSET(TblConstr[[#This Row],[Fac]],-12,0),0)+OFFSET(TblConstr[[#This Row],[Tot Fac]],-1,0)-TblConstr[[#This Row],[Dest Fac]]</f>
        <v>0</v>
      </c>
      <c r="BI82" s="396" cm="1">
        <f t="array" aca="1" ref="BI82" ca="1">IF(TblConstr[[#This Row],[Hour]:[Hour]]&gt;12,OFFSET(TblConstr[[#This Row],[GT]],-12,0),0)+OFFSET(TblConstr[[#This Row],[Tot GT]],-1,0)-TblConstr[[#This Row],[Dest GT]]</f>
        <v>0</v>
      </c>
      <c r="BJ82" s="396" cm="1">
        <f t="array" aca="1" ref="BJ82" ca="1">IF(TblConstr[[#This Row],[Hour]:[Hour]]&gt;12,OFFSET(TblConstr[[#This Row],[Bar]],-12,0),0)+OFFSET(TblConstr[[#This Row],[Tot Bar]],-1,0)-TblConstr[[#This Row],[Dest Bar]]</f>
        <v>0</v>
      </c>
      <c r="BK82" s="396" cm="1">
        <f t="array" aca="1" ref="BK82" ca="1">IF(TblConstr[[#This Row],[Hour]:[Hour]]&gt;12,OFFSET(TblConstr[[#This Row],[Shr]],-12,0),0)+OFFSET(TblConstr[[#This Row],[Tot Shr]],-1,0)-TblConstr[[#This Row],[Dest Shr]]</f>
        <v>0</v>
      </c>
      <c r="BL82" s="400" cm="1">
        <f t="array" aca="1" ref="BL82" ca="1">IF(TblConstr[[#This Row],[Hour]:[Hour]]&gt;12,OFFSET(TblConstr[[#This Row],[Tow]],-12,0),0)+OFFSET(TblConstr[[#This Row],[Tot Tow]],-1,0)-TblConstr[[#This Row],[Dest Tow]]</f>
        <v>0</v>
      </c>
      <c r="BM82" s="400" cm="1">
        <f t="array" aca="1" ref="BM82" ca="1">IF(TblConstr[[#This Row],[Hour]:[Hour]]&gt;12,OFFSET(TblConstr[[#This Row],[Tem]],-12,0),0)+OFFSET(TblConstr[[#This Row],[Tot Tem]],-1,0)-TblConstr[[#This Row],[Dest Tem]]</f>
        <v>0</v>
      </c>
      <c r="BN82" s="400" cm="1">
        <f t="array" aca="1" ref="BN82" ca="1">IF(TblConstr[[#This Row],[Hour]:[Hour]]&gt;12,OFFSET(TblConstr[[#This Row],[WG]],-12,0),0)+OFFSET(TblConstr[[#This Row],[Tot WG]],-1,0)-TblConstr[[#This Row],[Dest WG]]</f>
        <v>0</v>
      </c>
      <c r="BO82" s="199" cm="1">
        <f t="array" aca="1" ref="BO82" ca="1">IF(TblConstr[[#This Row],[Hour]:[Hour]]&gt;12,OFFSET(TblConstr[[#This Row],[DM]],-12,0),0)+OFFSET(TblConstr[[#This Row],[Tot DM]],-1,0)-TblConstr[[#This Row],[Dest DM]]</f>
        <v>0</v>
      </c>
      <c r="BP82" s="199" cm="1">
        <f t="array" aca="1" ref="BP82" ca="1">IF(TblConstr[[#This Row],[Hour]:[Hour]]&gt;12,OFFSET(TblConstr[[#This Row],[Sch]],-12,0),0)+OFFSET(TblConstr[[#This Row],[Tot Sch]],-1,0)-TblConstr[[#This Row],[Dest Sch]]</f>
        <v>0</v>
      </c>
      <c r="BQ82" s="200" cm="1">
        <f t="array" aca="1" ref="BQ82" ca="1">IF(TblConstr[[#This Row],[Hour]:[Hour]]&gt;12,OFFSET(TblConstr[[#This Row],[Doc]],-12,0),0)+OFFSET(TblConstr[[#This Row],[Tot Doc]],-1,0)-TblConstr[[#This Row],[Dest Doc]]</f>
        <v>0</v>
      </c>
      <c r="BR82" s="150"/>
      <c r="BS82" s="162"/>
      <c r="BT82" s="97">
        <f ca="1">TblConstr[[#This Row],[Land]]</f>
        <v>250</v>
      </c>
      <c r="BU82" s="167">
        <f ca="1">TblImps[[#This Row],[Time]]</f>
        <v>44813.999999999811</v>
      </c>
      <c r="BV82" s="150"/>
      <c r="BW82" s="187"/>
      <c r="BX82" s="187"/>
      <c r="BY82" s="187"/>
      <c r="BZ82" s="187"/>
      <c r="CA82" s="187"/>
      <c r="CB82" s="187"/>
      <c r="CC82" s="187"/>
      <c r="CD82" s="187"/>
      <c r="CE82" s="187"/>
      <c r="CF82" s="187"/>
      <c r="CG82" s="187"/>
      <c r="CH82" s="187"/>
      <c r="CI82" s="187"/>
      <c r="CJ82" s="187"/>
      <c r="CK82" s="187"/>
      <c r="CL82" s="187"/>
      <c r="CM82" s="187"/>
      <c r="CN82" s="187"/>
      <c r="CO82" s="187"/>
      <c r="CP82" s="150"/>
      <c r="CQ82" s="189">
        <f ca="1">-SUM(TblConstr[[#This Row],[Alc]:[Mas]])+SUM(TblConstr[[#This Row],[Dest Alc]:[Dest Mas]])+Rezone!L82+IF("Ch_"&amp; home_land=TblConstr[[#Headers],[Ch_Plain]],TblConstr[[#This Row],[Home Land]])+IF(TblConstr[[#This Row],[Hour]:[Hour]]&gt;12,OFFSET(TblExplore[[#This Row],[Plains Explore]],-12,0),0)</f>
        <v>0</v>
      </c>
      <c r="CR82" s="190">
        <f ca="1">-SUM(TblConstr[[#This Row],[Ly]:[Hav]])+SUM(TblConstr[[#This Row],[Dest Ly]:[Dest Hav]]) +Rezone!M82 + IF("Ch_"&amp; home_land=TblConstr[[#Headers],[Ch_Forest]],TblConstr[[#This Row],[Home Land]])+IF(TblConstr[[#This Row],[Hour]:[Hour]]&gt;12,OFFSET(TblExplore[[#This Row],[Forest Explore]],-12,0),0)</f>
        <v>0</v>
      </c>
      <c r="CS82" s="390">
        <f ca="1">-SUM(TblConstr[[#This Row],[OM]:[GN]])+SUM(TblConstr[[#This Row],[Dest OM]:[Dest GN]]) +Rezone!N82 + IF("Ch_"&amp; home_land=TblConstr[[#Headers],[Ch_Mountain]],TblConstr[[#This Row],[Home Land]])+IF(TblConstr[[#This Row],[Hour]:[Hour]]&gt;12,OFFSET(TblExplore[[#This Row],[Mountain Explore]],-12,0),0)</f>
        <v>0</v>
      </c>
      <c r="CT82" s="191">
        <f ca="1">-SUM(TblConstr[[#This Row],[Fac]:[Shr]])+SUM(TblConstr[[#This Row],[Dest Fac]:[Dest Shr]]) +Rezone!O82 + IF("Ch_" &amp; home_land=TblConstr[[#Headers],[Ch_Hill]],TblConstr[[#This Row],[Home Land]])+IF(TblConstr[[#This Row],[Hour]:[Hour]]&gt;12,OFFSET(TblExplore[[#This Row],[Hill Explore]],-12,0),0)</f>
        <v>0</v>
      </c>
      <c r="CU82" s="192">
        <f ca="1">-SUM(TblConstr[[#This Row],[Tow]:[WG]])+SUM(TblConstr[[#This Row],[Dest Tow]:[Dest WG]]) +Rezone!P82 + IF("Ch_" &amp; home_land=TblConstr[[#Headers],[Ch_Swamp]],TblConstr[[#This Row],[Home Land]])+IF(TblConstr[[#This Row],[Hour]:[Hour]]&gt;12,OFFSET(TblExplore[[#This Row],[Swamp Explore]],-12,0),0)</f>
        <v>0</v>
      </c>
      <c r="CV82" s="193">
        <f ca="1" xml:space="preserve"> - SUM(TblConstr[[#This Row],[DM]:[Sch]])+SUM(TblConstr[[#This Row],[Dest DM]:[Dest Sch]]) +Rezone!Q82 + IF("Ch_" &amp; home_land=TblConstr[[#Headers],[Ch_Cavern]],TblConstr[[#This Row],[Home Land]])+IF(TblConstr[[#This Row],[Hour]:[Hour]]&gt;12,OFFSET(TblExplore[[#This Row],[Cavern Explore]],-12,0),0)</f>
        <v>0</v>
      </c>
      <c r="CW82" s="194">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50"/>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83">
        <f>TblRezone[[#This Row],[Hour]]</f>
        <v>80</v>
      </c>
      <c r="B83" s="184">
        <f ca="1">SUM(TblConstr[[#This Row],[Plain]:[Water]])</f>
        <v>160</v>
      </c>
      <c r="C83" s="185">
        <f ca="1">SUM(TblConstr[[#This Row],[Tot Hom]:[Tot Doc]])</f>
        <v>90</v>
      </c>
      <c r="D83" s="185">
        <f t="shared" si="21"/>
        <v>0</v>
      </c>
      <c r="E83" s="186"/>
      <c r="F83" s="62">
        <f ca="1">TblConstr[[#This Row],[Barren]]+TblConstr[[#This Row],[Buildings]]+TblConstr[[#This Row],[Incoming]]</f>
        <v>250</v>
      </c>
      <c r="G83" s="195">
        <f ca="1">OFFSET(TblConstr[[#This Row],[Plain]],-1,0)+TblConstr[[#This Row],[Ch_Plain]]</f>
        <v>40</v>
      </c>
      <c r="H83" s="190">
        <f ca="1">OFFSET(TblConstr[[#This Row],[Forest]],-1,0)+TblConstr[[#This Row],[Ch_Forest]]</f>
        <v>20</v>
      </c>
      <c r="I83" s="390">
        <f ca="1">OFFSET(TblConstr[[#This Row],[Mountain]],-1,0)+TblConstr[[#This Row],[Ch_Mountain]]</f>
        <v>20</v>
      </c>
      <c r="J83" s="394">
        <f ca="1">OFFSET(TblConstr[[#This Row],[Hill]],-1,0)+TblConstr[[#This Row],[Ch_Hill]]</f>
        <v>20</v>
      </c>
      <c r="K83" s="398">
        <f ca="1">OFFSET(TblConstr[[#This Row],[Swamp]],-1,0)+TblConstr[[#This Row],[Ch_Swamp]]</f>
        <v>20</v>
      </c>
      <c r="L83" s="193">
        <f ca="1">OFFSET(TblConstr[[#This Row],[Cavern]],-1,0)+TblConstr[[#This Row],[Ch_Cavern]]</f>
        <v>20</v>
      </c>
      <c r="M83" s="194">
        <f ca="1">OFFSET(TblConstr[[#This Row],[Water]],-1,0)+TblConstr[[#This Row],[Ch_Water]]</f>
        <v>20</v>
      </c>
      <c r="N83" s="388">
        <f>TblRezone[[#This Row],[Hour]]</f>
        <v>80</v>
      </c>
      <c r="O83" s="187"/>
      <c r="P83" s="187"/>
      <c r="Q83" s="187"/>
      <c r="R83" s="187"/>
      <c r="S83" s="187"/>
      <c r="T83" s="187"/>
      <c r="U83" s="187"/>
      <c r="V83" s="187"/>
      <c r="W83" s="187"/>
      <c r="X83" s="187"/>
      <c r="Y83" s="187"/>
      <c r="Z83" s="187"/>
      <c r="AA83" s="187"/>
      <c r="AB83" s="187"/>
      <c r="AC83" s="187"/>
      <c r="AD83" s="187"/>
      <c r="AE83" s="187"/>
      <c r="AF83" s="187"/>
      <c r="AG83" s="187"/>
      <c r="AH83" s="53">
        <f ca="1">TblImps[[#This Row],[Time]]</f>
        <v>44814.041666666475</v>
      </c>
      <c r="AI83" s="188">
        <f ca="1">MIN(25%,(TblConstr[[#This Row],[Tot Fac]]+TblConstr[[#This Row],[Dest Fac]])/(TblConstr[[#This Row],[Land]]-TblExplore[[#This Row],[Land Bonus]]*20))</f>
        <v>0</v>
      </c>
      <c r="AJ83" s="188">
        <f ca="1">MIN(25%,(TblConstr[[#This Row],[Tot Fac]]+TblConstr[[#This Row],[Dest Fac]])/TblConstr[[#This Row],[Land]])</f>
        <v>0</v>
      </c>
      <c r="AK83" s="97">
        <f ca="1">TblProd[[#This Row],[Platinum]]</f>
        <v>534272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50"/>
      <c r="AV83" s="97">
        <f ca="1">ROUND((TblConstr[[#This Row],[Land]]-250 - IF(TblExplore[[#This Row],[Land Bonus]]&lt;&gt;0,20,0))*1.25 + 850 + 0,0)</f>
        <v>850</v>
      </c>
      <c r="AW83" s="97">
        <f ca="1">ROUND((TblConstr[[#This Row],[Land]]-250 - IF(TblExplore[[#This Row],[Land Bonus]]&lt;&gt;0,20,0))*0.285 + 87.5 + 0/4.25,0)</f>
        <v>88</v>
      </c>
      <c r="AX83" s="162"/>
      <c r="AY83" s="196" cm="1">
        <f t="array" aca="1" ref="AY83" ca="1">IF(TblConstr[[#This Row],[Hour]:[Hour]]&gt;12,OFFSET(TblConstr[[#This Row],[Hom]],-12,0),0)+OFFSET(TblConstr[[#This Row],[Tot Hom]],-1,0)-TblConstr[[#This Row],[Dest Hom]]</f>
        <v>10</v>
      </c>
      <c r="AZ83" s="197" cm="1">
        <f t="array" aca="1" ref="AZ83" ca="1">IF(TblConstr[[#This Row],[Hour]:[Hour]]&gt;12,OFFSET(TblConstr[[#This Row],[Alc]],-12,0),0)+OFFSET(TblConstr[[#This Row],[Tot Alc]],-1,0)-TblConstr[[#This Row],[Dest Alc]]</f>
        <v>30</v>
      </c>
      <c r="BA83" s="197" cm="1">
        <f t="array" aca="1" ref="BA83" ca="1">IF(TblConstr[[#This Row],[Hour]:[Hour]]&gt;12,OFFSET(TblConstr[[#This Row],[Far]],-12,0),0)+OFFSET(TblConstr[[#This Row],[Tot Farm]],-1,0)-TblConstr[[#This Row],[Dest Farm]]</f>
        <v>30</v>
      </c>
      <c r="BB83" s="197" cm="1">
        <f t="array" aca="1" ref="BB83" ca="1">IF(TblConstr[[#This Row],[Hour]:[Hour]]&gt;12,OFFSET(TblConstr[[#This Row],[Smi]],-12,0),0)+OFFSET(TblConstr[[#This Row],[Tot Smi]],-1,0)-TblConstr[[#This Row],[Dest Smi]]</f>
        <v>0</v>
      </c>
      <c r="BC83" s="197" cm="1">
        <f t="array" aca="1" ref="BC83" ca="1">IF(TblConstr[[#This Row],[Hour]:[Hour]]&gt;12,OFFSET(TblConstr[[#This Row],[Mas]],-12,0),0)+OFFSET(TblConstr[[#This Row],[Tot Mas]],-1,0)-TblConstr[[#This Row],[Dest Mas]]</f>
        <v>0</v>
      </c>
      <c r="BD83" s="198" cm="1">
        <f t="array" aca="1" ref="BD83" ca="1">IF(TblConstr[[#This Row],[Hour]:[Hour]]&gt;12,OFFSET(TblConstr[[#This Row],[Ly]],-12,0),0)+OFFSET(TblConstr[[#This Row],[Tot Ly]],-1,0)-TblConstr[[#This Row],[Dest Ly]]</f>
        <v>20</v>
      </c>
      <c r="BE83" s="198" cm="1">
        <f t="array" aca="1" ref="BE83" ca="1">IF(TblConstr[[#This Row],[Hour]:[Hour]]&gt;12,OFFSET(TblConstr[[#This Row],[Hav]],-12,0),0)+OFFSET(TblConstr[[#This Row],[Tot Hav]],-1,0)-TblConstr[[#This Row],[Dest Hav]]</f>
        <v>0</v>
      </c>
      <c r="BF83" s="392" cm="1">
        <f t="array" aca="1" ref="BF83" ca="1">IF(TblConstr[[#This Row],[Hour]:[Hour]]&gt;12,OFFSET(TblConstr[[#This Row],[OM]],-12,0),0)+OFFSET(TblConstr[[#This Row],[Tot OM]],-1,0)-TblConstr[[#This Row],[Dest OM]]</f>
        <v>0</v>
      </c>
      <c r="BG83" s="392" cm="1">
        <f t="array" aca="1" ref="BG83" ca="1">IF(TblConstr[[#This Row],[Hour]:[Hour]]&gt;12,OFFSET(TblConstr[[#This Row],[GN]],-12,0),0)+OFFSET(TblConstr[[#This Row],[Tot GN]],-1,0)-TblConstr[[#This Row],[Dest GN]]</f>
        <v>0</v>
      </c>
      <c r="BH83" s="396" cm="1">
        <f t="array" aca="1" ref="BH83" ca="1">IF(TblConstr[[#This Row],[Hour]:[Hour]]&gt;12,OFFSET(TblConstr[[#This Row],[Fac]],-12,0),0)+OFFSET(TblConstr[[#This Row],[Tot Fac]],-1,0)-TblConstr[[#This Row],[Dest Fac]]</f>
        <v>0</v>
      </c>
      <c r="BI83" s="396" cm="1">
        <f t="array" aca="1" ref="BI83" ca="1">IF(TblConstr[[#This Row],[Hour]:[Hour]]&gt;12,OFFSET(TblConstr[[#This Row],[GT]],-12,0),0)+OFFSET(TblConstr[[#This Row],[Tot GT]],-1,0)-TblConstr[[#This Row],[Dest GT]]</f>
        <v>0</v>
      </c>
      <c r="BJ83" s="396" cm="1">
        <f t="array" aca="1" ref="BJ83" ca="1">IF(TblConstr[[#This Row],[Hour]:[Hour]]&gt;12,OFFSET(TblConstr[[#This Row],[Bar]],-12,0),0)+OFFSET(TblConstr[[#This Row],[Tot Bar]],-1,0)-TblConstr[[#This Row],[Dest Bar]]</f>
        <v>0</v>
      </c>
      <c r="BK83" s="396" cm="1">
        <f t="array" aca="1" ref="BK83" ca="1">IF(TblConstr[[#This Row],[Hour]:[Hour]]&gt;12,OFFSET(TblConstr[[#This Row],[Shr]],-12,0),0)+OFFSET(TblConstr[[#This Row],[Tot Shr]],-1,0)-TblConstr[[#This Row],[Dest Shr]]</f>
        <v>0</v>
      </c>
      <c r="BL83" s="400" cm="1">
        <f t="array" aca="1" ref="BL83" ca="1">IF(TblConstr[[#This Row],[Hour]:[Hour]]&gt;12,OFFSET(TblConstr[[#This Row],[Tow]],-12,0),0)+OFFSET(TblConstr[[#This Row],[Tot Tow]],-1,0)-TblConstr[[#This Row],[Dest Tow]]</f>
        <v>0</v>
      </c>
      <c r="BM83" s="400" cm="1">
        <f t="array" aca="1" ref="BM83" ca="1">IF(TblConstr[[#This Row],[Hour]:[Hour]]&gt;12,OFFSET(TblConstr[[#This Row],[Tem]],-12,0),0)+OFFSET(TblConstr[[#This Row],[Tot Tem]],-1,0)-TblConstr[[#This Row],[Dest Tem]]</f>
        <v>0</v>
      </c>
      <c r="BN83" s="400" cm="1">
        <f t="array" aca="1" ref="BN83" ca="1">IF(TblConstr[[#This Row],[Hour]:[Hour]]&gt;12,OFFSET(TblConstr[[#This Row],[WG]],-12,0),0)+OFFSET(TblConstr[[#This Row],[Tot WG]],-1,0)-TblConstr[[#This Row],[Dest WG]]</f>
        <v>0</v>
      </c>
      <c r="BO83" s="199" cm="1">
        <f t="array" aca="1" ref="BO83" ca="1">IF(TblConstr[[#This Row],[Hour]:[Hour]]&gt;12,OFFSET(TblConstr[[#This Row],[DM]],-12,0),0)+OFFSET(TblConstr[[#This Row],[Tot DM]],-1,0)-TblConstr[[#This Row],[Dest DM]]</f>
        <v>0</v>
      </c>
      <c r="BP83" s="199" cm="1">
        <f t="array" aca="1" ref="BP83" ca="1">IF(TblConstr[[#This Row],[Hour]:[Hour]]&gt;12,OFFSET(TblConstr[[#This Row],[Sch]],-12,0),0)+OFFSET(TblConstr[[#This Row],[Tot Sch]],-1,0)-TblConstr[[#This Row],[Dest Sch]]</f>
        <v>0</v>
      </c>
      <c r="BQ83" s="200" cm="1">
        <f t="array" aca="1" ref="BQ83" ca="1">IF(TblConstr[[#This Row],[Hour]:[Hour]]&gt;12,OFFSET(TblConstr[[#This Row],[Doc]],-12,0),0)+OFFSET(TblConstr[[#This Row],[Tot Doc]],-1,0)-TblConstr[[#This Row],[Dest Doc]]</f>
        <v>0</v>
      </c>
      <c r="BR83" s="150"/>
      <c r="BS83" s="162"/>
      <c r="BT83" s="97">
        <f ca="1">TblConstr[[#This Row],[Land]]</f>
        <v>250</v>
      </c>
      <c r="BU83" s="167">
        <f ca="1">TblImps[[#This Row],[Time]]</f>
        <v>44814.041666666475</v>
      </c>
      <c r="BV83" s="150"/>
      <c r="BW83" s="187"/>
      <c r="BX83" s="187"/>
      <c r="BY83" s="187"/>
      <c r="BZ83" s="187"/>
      <c r="CA83" s="187"/>
      <c r="CB83" s="187"/>
      <c r="CC83" s="187"/>
      <c r="CD83" s="187"/>
      <c r="CE83" s="187"/>
      <c r="CF83" s="187"/>
      <c r="CG83" s="187"/>
      <c r="CH83" s="187"/>
      <c r="CI83" s="187"/>
      <c r="CJ83" s="187"/>
      <c r="CK83" s="187"/>
      <c r="CL83" s="187"/>
      <c r="CM83" s="187"/>
      <c r="CN83" s="187"/>
      <c r="CO83" s="187"/>
      <c r="CP83" s="150"/>
      <c r="CQ83" s="189">
        <f ca="1">-SUM(TblConstr[[#This Row],[Alc]:[Mas]])+SUM(TblConstr[[#This Row],[Dest Alc]:[Dest Mas]])+Rezone!L83+IF("Ch_"&amp; home_land=TblConstr[[#Headers],[Ch_Plain]],TblConstr[[#This Row],[Home Land]])+IF(TblConstr[[#This Row],[Hour]:[Hour]]&gt;12,OFFSET(TblExplore[[#This Row],[Plains Explore]],-12,0),0)</f>
        <v>0</v>
      </c>
      <c r="CR83" s="190">
        <f ca="1">-SUM(TblConstr[[#This Row],[Ly]:[Hav]])+SUM(TblConstr[[#This Row],[Dest Ly]:[Dest Hav]]) +Rezone!M83 + IF("Ch_"&amp; home_land=TblConstr[[#Headers],[Ch_Forest]],TblConstr[[#This Row],[Home Land]])+IF(TblConstr[[#This Row],[Hour]:[Hour]]&gt;12,OFFSET(TblExplore[[#This Row],[Forest Explore]],-12,0),0)</f>
        <v>0</v>
      </c>
      <c r="CS83" s="390">
        <f ca="1">-SUM(TblConstr[[#This Row],[OM]:[GN]])+SUM(TblConstr[[#This Row],[Dest OM]:[Dest GN]]) +Rezone!N83 + IF("Ch_"&amp; home_land=TblConstr[[#Headers],[Ch_Mountain]],TblConstr[[#This Row],[Home Land]])+IF(TblConstr[[#This Row],[Hour]:[Hour]]&gt;12,OFFSET(TblExplore[[#This Row],[Mountain Explore]],-12,0),0)</f>
        <v>0</v>
      </c>
      <c r="CT83" s="191">
        <f ca="1">-SUM(TblConstr[[#This Row],[Fac]:[Shr]])+SUM(TblConstr[[#This Row],[Dest Fac]:[Dest Shr]]) +Rezone!O83 + IF("Ch_" &amp; home_land=TblConstr[[#Headers],[Ch_Hill]],TblConstr[[#This Row],[Home Land]])+IF(TblConstr[[#This Row],[Hour]:[Hour]]&gt;12,OFFSET(TblExplore[[#This Row],[Hill Explore]],-12,0),0)</f>
        <v>0</v>
      </c>
      <c r="CU83" s="192">
        <f ca="1">-SUM(TblConstr[[#This Row],[Tow]:[WG]])+SUM(TblConstr[[#This Row],[Dest Tow]:[Dest WG]]) +Rezone!P83 + IF("Ch_" &amp; home_land=TblConstr[[#Headers],[Ch_Swamp]],TblConstr[[#This Row],[Home Land]])+IF(TblConstr[[#This Row],[Hour]:[Hour]]&gt;12,OFFSET(TblExplore[[#This Row],[Swamp Explore]],-12,0),0)</f>
        <v>0</v>
      </c>
      <c r="CV83" s="193">
        <f ca="1" xml:space="preserve"> - SUM(TblConstr[[#This Row],[DM]:[Sch]])+SUM(TblConstr[[#This Row],[Dest DM]:[Dest Sch]]) +Rezone!Q83 + IF("Ch_" &amp; home_land=TblConstr[[#Headers],[Ch_Cavern]],TblConstr[[#This Row],[Home Land]])+IF(TblConstr[[#This Row],[Hour]:[Hour]]&gt;12,OFFSET(TblExplore[[#This Row],[Cavern Explore]],-12,0),0)</f>
        <v>0</v>
      </c>
      <c r="CW83" s="194">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50"/>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83">
        <f>TblRezone[[#This Row],[Hour]]</f>
        <v>81</v>
      </c>
      <c r="B84" s="184">
        <f ca="1">SUM(TblConstr[[#This Row],[Plain]:[Water]])</f>
        <v>160</v>
      </c>
      <c r="C84" s="185">
        <f ca="1">SUM(TblConstr[[#This Row],[Tot Hom]:[Tot Doc]])</f>
        <v>90</v>
      </c>
      <c r="D84" s="185">
        <f t="shared" si="21"/>
        <v>0</v>
      </c>
      <c r="E84" s="186"/>
      <c r="F84" s="62">
        <f ca="1">TblConstr[[#This Row],[Barren]]+TblConstr[[#This Row],[Buildings]]+TblConstr[[#This Row],[Incoming]]</f>
        <v>250</v>
      </c>
      <c r="G84" s="195">
        <f ca="1">OFFSET(TblConstr[[#This Row],[Plain]],-1,0)+TblConstr[[#This Row],[Ch_Plain]]</f>
        <v>40</v>
      </c>
      <c r="H84" s="190">
        <f ca="1">OFFSET(TblConstr[[#This Row],[Forest]],-1,0)+TblConstr[[#This Row],[Ch_Forest]]</f>
        <v>20</v>
      </c>
      <c r="I84" s="390">
        <f ca="1">OFFSET(TblConstr[[#This Row],[Mountain]],-1,0)+TblConstr[[#This Row],[Ch_Mountain]]</f>
        <v>20</v>
      </c>
      <c r="J84" s="394">
        <f ca="1">OFFSET(TblConstr[[#This Row],[Hill]],-1,0)+TblConstr[[#This Row],[Ch_Hill]]</f>
        <v>20</v>
      </c>
      <c r="K84" s="398">
        <f ca="1">OFFSET(TblConstr[[#This Row],[Swamp]],-1,0)+TblConstr[[#This Row],[Ch_Swamp]]</f>
        <v>20</v>
      </c>
      <c r="L84" s="193">
        <f ca="1">OFFSET(TblConstr[[#This Row],[Cavern]],-1,0)+TblConstr[[#This Row],[Ch_Cavern]]</f>
        <v>20</v>
      </c>
      <c r="M84" s="194">
        <f ca="1">OFFSET(TblConstr[[#This Row],[Water]],-1,0)+TblConstr[[#This Row],[Ch_Water]]</f>
        <v>20</v>
      </c>
      <c r="N84" s="388">
        <f>TblRezone[[#This Row],[Hour]]</f>
        <v>81</v>
      </c>
      <c r="O84" s="187"/>
      <c r="P84" s="187"/>
      <c r="Q84" s="187"/>
      <c r="R84" s="166"/>
      <c r="S84" s="187"/>
      <c r="T84" s="187"/>
      <c r="U84" s="187"/>
      <c r="V84" s="187"/>
      <c r="W84" s="187"/>
      <c r="X84" s="187"/>
      <c r="Y84" s="187"/>
      <c r="Z84" s="187"/>
      <c r="AA84" s="187"/>
      <c r="AB84" s="187"/>
      <c r="AC84" s="187"/>
      <c r="AD84" s="187"/>
      <c r="AE84" s="187"/>
      <c r="AF84" s="187"/>
      <c r="AG84" s="187"/>
      <c r="AH84" s="53">
        <f ca="1">TblImps[[#This Row],[Time]]</f>
        <v>44814.083333333139</v>
      </c>
      <c r="AI84" s="188">
        <f ca="1">MIN(25%,(TblConstr[[#This Row],[Tot Fac]]+TblConstr[[#This Row],[Dest Fac]])/(TblConstr[[#This Row],[Land]]-TblExplore[[#This Row],[Land Bonus]]*20))</f>
        <v>0</v>
      </c>
      <c r="AJ84" s="188">
        <f ca="1">MIN(25%,(TblConstr[[#This Row],[Tot Fac]]+TblConstr[[#This Row],[Dest Fac]])/TblConstr[[#This Row],[Land]])</f>
        <v>0</v>
      </c>
      <c r="AK84" s="97">
        <f ca="1">TblProd[[#This Row],[Platinum]]</f>
        <v>539758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50"/>
      <c r="AV84" s="97">
        <f ca="1">ROUND((TblConstr[[#This Row],[Land]]-250 - IF(TblExplore[[#This Row],[Land Bonus]]&lt;&gt;0,20,0))*1.25 + 850 + 0,0)</f>
        <v>850</v>
      </c>
      <c r="AW84" s="97">
        <f ca="1">ROUND((TblConstr[[#This Row],[Land]]-250 - IF(TblExplore[[#This Row],[Land Bonus]]&lt;&gt;0,20,0))*0.285 + 87.5 + 0/4.25,0)</f>
        <v>88</v>
      </c>
      <c r="AX84" s="162"/>
      <c r="AY84" s="196" cm="1">
        <f t="array" aca="1" ref="AY84" ca="1">IF(TblConstr[[#This Row],[Hour]:[Hour]]&gt;12,OFFSET(TblConstr[[#This Row],[Hom]],-12,0),0)+OFFSET(TblConstr[[#This Row],[Tot Hom]],-1,0)-TblConstr[[#This Row],[Dest Hom]]</f>
        <v>10</v>
      </c>
      <c r="AZ84" s="197" cm="1">
        <f t="array" aca="1" ref="AZ84" ca="1">IF(TblConstr[[#This Row],[Hour]:[Hour]]&gt;12,OFFSET(TblConstr[[#This Row],[Alc]],-12,0),0)+OFFSET(TblConstr[[#This Row],[Tot Alc]],-1,0)-TblConstr[[#This Row],[Dest Alc]]</f>
        <v>30</v>
      </c>
      <c r="BA84" s="197" cm="1">
        <f t="array" aca="1" ref="BA84" ca="1">IF(TblConstr[[#This Row],[Hour]:[Hour]]&gt;12,OFFSET(TblConstr[[#This Row],[Far]],-12,0),0)+OFFSET(TblConstr[[#This Row],[Tot Farm]],-1,0)-TblConstr[[#This Row],[Dest Farm]]</f>
        <v>30</v>
      </c>
      <c r="BB84" s="197" cm="1">
        <f t="array" aca="1" ref="BB84" ca="1">IF(TblConstr[[#This Row],[Hour]:[Hour]]&gt;12,OFFSET(TblConstr[[#This Row],[Smi]],-12,0),0)+OFFSET(TblConstr[[#This Row],[Tot Smi]],-1,0)-TblConstr[[#This Row],[Dest Smi]]</f>
        <v>0</v>
      </c>
      <c r="BC84" s="197" cm="1">
        <f t="array" aca="1" ref="BC84" ca="1">IF(TblConstr[[#This Row],[Hour]:[Hour]]&gt;12,OFFSET(TblConstr[[#This Row],[Mas]],-12,0),0)+OFFSET(TblConstr[[#This Row],[Tot Mas]],-1,0)-TblConstr[[#This Row],[Dest Mas]]</f>
        <v>0</v>
      </c>
      <c r="BD84" s="198" cm="1">
        <f t="array" aca="1" ref="BD84" ca="1">IF(TblConstr[[#This Row],[Hour]:[Hour]]&gt;12,OFFSET(TblConstr[[#This Row],[Ly]],-12,0),0)+OFFSET(TblConstr[[#This Row],[Tot Ly]],-1,0)-TblConstr[[#This Row],[Dest Ly]]</f>
        <v>20</v>
      </c>
      <c r="BE84" s="198" cm="1">
        <f t="array" aca="1" ref="BE84" ca="1">IF(TblConstr[[#This Row],[Hour]:[Hour]]&gt;12,OFFSET(TblConstr[[#This Row],[Hav]],-12,0),0)+OFFSET(TblConstr[[#This Row],[Tot Hav]],-1,0)-TblConstr[[#This Row],[Dest Hav]]</f>
        <v>0</v>
      </c>
      <c r="BF84" s="392" cm="1">
        <f t="array" aca="1" ref="BF84" ca="1">IF(TblConstr[[#This Row],[Hour]:[Hour]]&gt;12,OFFSET(TblConstr[[#This Row],[OM]],-12,0),0)+OFFSET(TblConstr[[#This Row],[Tot OM]],-1,0)-TblConstr[[#This Row],[Dest OM]]</f>
        <v>0</v>
      </c>
      <c r="BG84" s="392" cm="1">
        <f t="array" aca="1" ref="BG84" ca="1">IF(TblConstr[[#This Row],[Hour]:[Hour]]&gt;12,OFFSET(TblConstr[[#This Row],[GN]],-12,0),0)+OFFSET(TblConstr[[#This Row],[Tot GN]],-1,0)-TblConstr[[#This Row],[Dest GN]]</f>
        <v>0</v>
      </c>
      <c r="BH84" s="396" cm="1">
        <f t="array" aca="1" ref="BH84" ca="1">IF(TblConstr[[#This Row],[Hour]:[Hour]]&gt;12,OFFSET(TblConstr[[#This Row],[Fac]],-12,0),0)+OFFSET(TblConstr[[#This Row],[Tot Fac]],-1,0)-TblConstr[[#This Row],[Dest Fac]]</f>
        <v>0</v>
      </c>
      <c r="BI84" s="396" cm="1">
        <f t="array" aca="1" ref="BI84" ca="1">IF(TblConstr[[#This Row],[Hour]:[Hour]]&gt;12,OFFSET(TblConstr[[#This Row],[GT]],-12,0),0)+OFFSET(TblConstr[[#This Row],[Tot GT]],-1,0)-TblConstr[[#This Row],[Dest GT]]</f>
        <v>0</v>
      </c>
      <c r="BJ84" s="396" cm="1">
        <f t="array" aca="1" ref="BJ84" ca="1">IF(TblConstr[[#This Row],[Hour]:[Hour]]&gt;12,OFFSET(TblConstr[[#This Row],[Bar]],-12,0),0)+OFFSET(TblConstr[[#This Row],[Tot Bar]],-1,0)-TblConstr[[#This Row],[Dest Bar]]</f>
        <v>0</v>
      </c>
      <c r="BK84" s="396" cm="1">
        <f t="array" aca="1" ref="BK84" ca="1">IF(TblConstr[[#This Row],[Hour]:[Hour]]&gt;12,OFFSET(TblConstr[[#This Row],[Shr]],-12,0),0)+OFFSET(TblConstr[[#This Row],[Tot Shr]],-1,0)-TblConstr[[#This Row],[Dest Shr]]</f>
        <v>0</v>
      </c>
      <c r="BL84" s="400" cm="1">
        <f t="array" aca="1" ref="BL84" ca="1">IF(TblConstr[[#This Row],[Hour]:[Hour]]&gt;12,OFFSET(TblConstr[[#This Row],[Tow]],-12,0),0)+OFFSET(TblConstr[[#This Row],[Tot Tow]],-1,0)-TblConstr[[#This Row],[Dest Tow]]</f>
        <v>0</v>
      </c>
      <c r="BM84" s="400" cm="1">
        <f t="array" aca="1" ref="BM84" ca="1">IF(TblConstr[[#This Row],[Hour]:[Hour]]&gt;12,OFFSET(TblConstr[[#This Row],[Tem]],-12,0),0)+OFFSET(TblConstr[[#This Row],[Tot Tem]],-1,0)-TblConstr[[#This Row],[Dest Tem]]</f>
        <v>0</v>
      </c>
      <c r="BN84" s="400" cm="1">
        <f t="array" aca="1" ref="BN84" ca="1">IF(TblConstr[[#This Row],[Hour]:[Hour]]&gt;12,OFFSET(TblConstr[[#This Row],[WG]],-12,0),0)+OFFSET(TblConstr[[#This Row],[Tot WG]],-1,0)-TblConstr[[#This Row],[Dest WG]]</f>
        <v>0</v>
      </c>
      <c r="BO84" s="199" cm="1">
        <f t="array" aca="1" ref="BO84" ca="1">IF(TblConstr[[#This Row],[Hour]:[Hour]]&gt;12,OFFSET(TblConstr[[#This Row],[DM]],-12,0),0)+OFFSET(TblConstr[[#This Row],[Tot DM]],-1,0)-TblConstr[[#This Row],[Dest DM]]</f>
        <v>0</v>
      </c>
      <c r="BP84" s="199" cm="1">
        <f t="array" aca="1" ref="BP84" ca="1">IF(TblConstr[[#This Row],[Hour]:[Hour]]&gt;12,OFFSET(TblConstr[[#This Row],[Sch]],-12,0),0)+OFFSET(TblConstr[[#This Row],[Tot Sch]],-1,0)-TblConstr[[#This Row],[Dest Sch]]</f>
        <v>0</v>
      </c>
      <c r="BQ84" s="200" cm="1">
        <f t="array" aca="1" ref="BQ84" ca="1">IF(TblConstr[[#This Row],[Hour]:[Hour]]&gt;12,OFFSET(TblConstr[[#This Row],[Doc]],-12,0),0)+OFFSET(TblConstr[[#This Row],[Tot Doc]],-1,0)-TblConstr[[#This Row],[Dest Doc]]</f>
        <v>0</v>
      </c>
      <c r="BR84" s="150"/>
      <c r="BS84" s="162"/>
      <c r="BT84" s="97">
        <f ca="1">TblConstr[[#This Row],[Land]]</f>
        <v>250</v>
      </c>
      <c r="BU84" s="167">
        <f ca="1">TblImps[[#This Row],[Time]]</f>
        <v>44814.083333333139</v>
      </c>
      <c r="BV84" s="150"/>
      <c r="BW84" s="187"/>
      <c r="BX84" s="187"/>
      <c r="BY84" s="187"/>
      <c r="BZ84" s="187"/>
      <c r="CA84" s="187"/>
      <c r="CB84" s="187"/>
      <c r="CC84" s="187"/>
      <c r="CD84" s="187"/>
      <c r="CE84" s="187"/>
      <c r="CF84" s="187"/>
      <c r="CG84" s="187"/>
      <c r="CH84" s="187"/>
      <c r="CI84" s="187"/>
      <c r="CJ84" s="187"/>
      <c r="CK84" s="187"/>
      <c r="CL84" s="187"/>
      <c r="CM84" s="187"/>
      <c r="CN84" s="187"/>
      <c r="CO84" s="187"/>
      <c r="CP84" s="150"/>
      <c r="CQ84" s="189">
        <f ca="1">-SUM(TblConstr[[#This Row],[Alc]:[Mas]])+SUM(TblConstr[[#This Row],[Dest Alc]:[Dest Mas]])+Rezone!L84+IF("Ch_"&amp; home_land=TblConstr[[#Headers],[Ch_Plain]],TblConstr[[#This Row],[Home Land]])+IF(TblConstr[[#This Row],[Hour]:[Hour]]&gt;12,OFFSET(TblExplore[[#This Row],[Plains Explore]],-12,0),0)</f>
        <v>0</v>
      </c>
      <c r="CR84" s="190">
        <f ca="1">-SUM(TblConstr[[#This Row],[Ly]:[Hav]])+SUM(TblConstr[[#This Row],[Dest Ly]:[Dest Hav]]) +Rezone!M84 + IF("Ch_"&amp; home_land=TblConstr[[#Headers],[Ch_Forest]],TblConstr[[#This Row],[Home Land]])+IF(TblConstr[[#This Row],[Hour]:[Hour]]&gt;12,OFFSET(TblExplore[[#This Row],[Forest Explore]],-12,0),0)</f>
        <v>0</v>
      </c>
      <c r="CS84" s="390">
        <f ca="1">-SUM(TblConstr[[#This Row],[OM]:[GN]])+SUM(TblConstr[[#This Row],[Dest OM]:[Dest GN]]) +Rezone!N84 + IF("Ch_"&amp; home_land=TblConstr[[#Headers],[Ch_Mountain]],TblConstr[[#This Row],[Home Land]])+IF(TblConstr[[#This Row],[Hour]:[Hour]]&gt;12,OFFSET(TblExplore[[#This Row],[Mountain Explore]],-12,0),0)</f>
        <v>0</v>
      </c>
      <c r="CT84" s="191">
        <f ca="1">-SUM(TblConstr[[#This Row],[Fac]:[Shr]])+SUM(TblConstr[[#This Row],[Dest Fac]:[Dest Shr]]) +Rezone!O84 + IF("Ch_" &amp; home_land=TblConstr[[#Headers],[Ch_Hill]],TblConstr[[#This Row],[Home Land]])+IF(TblConstr[[#This Row],[Hour]:[Hour]]&gt;12,OFFSET(TblExplore[[#This Row],[Hill Explore]],-12,0),0)</f>
        <v>0</v>
      </c>
      <c r="CU84" s="192">
        <f ca="1">-SUM(TblConstr[[#This Row],[Tow]:[WG]])+SUM(TblConstr[[#This Row],[Dest Tow]:[Dest WG]]) +Rezone!P84 + IF("Ch_" &amp; home_land=TblConstr[[#Headers],[Ch_Swamp]],TblConstr[[#This Row],[Home Land]])+IF(TblConstr[[#This Row],[Hour]:[Hour]]&gt;12,OFFSET(TblExplore[[#This Row],[Swamp Explore]],-12,0),0)</f>
        <v>0</v>
      </c>
      <c r="CV84" s="193">
        <f ca="1" xml:space="preserve"> - SUM(TblConstr[[#This Row],[DM]:[Sch]])+SUM(TblConstr[[#This Row],[Dest DM]:[Dest Sch]]) +Rezone!Q84 + IF("Ch_" &amp; home_land=TblConstr[[#Headers],[Ch_Cavern]],TblConstr[[#This Row],[Home Land]])+IF(TblConstr[[#This Row],[Hour]:[Hour]]&gt;12,OFFSET(TblExplore[[#This Row],[Cavern Explore]],-12,0),0)</f>
        <v>0</v>
      </c>
      <c r="CW84" s="194">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50"/>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83">
        <f>TblRezone[[#This Row],[Hour]]</f>
        <v>82</v>
      </c>
      <c r="B85" s="184">
        <f ca="1">SUM(TblConstr[[#This Row],[Plain]:[Water]])</f>
        <v>160</v>
      </c>
      <c r="C85" s="185">
        <f ca="1">SUM(TblConstr[[#This Row],[Tot Hom]:[Tot Doc]])</f>
        <v>90</v>
      </c>
      <c r="D85" s="185">
        <f t="shared" si="21"/>
        <v>0</v>
      </c>
      <c r="E85" s="186"/>
      <c r="F85" s="62">
        <f ca="1">TblConstr[[#This Row],[Barren]]+TblConstr[[#This Row],[Buildings]]+TblConstr[[#This Row],[Incoming]]</f>
        <v>250</v>
      </c>
      <c r="G85" s="195">
        <f ca="1">OFFSET(TblConstr[[#This Row],[Plain]],-1,0)+TblConstr[[#This Row],[Ch_Plain]]</f>
        <v>40</v>
      </c>
      <c r="H85" s="190">
        <f ca="1">OFFSET(TblConstr[[#This Row],[Forest]],-1,0)+TblConstr[[#This Row],[Ch_Forest]]</f>
        <v>20</v>
      </c>
      <c r="I85" s="390">
        <f ca="1">OFFSET(TblConstr[[#This Row],[Mountain]],-1,0)+TblConstr[[#This Row],[Ch_Mountain]]</f>
        <v>20</v>
      </c>
      <c r="J85" s="394">
        <f ca="1">OFFSET(TblConstr[[#This Row],[Hill]],-1,0)+TblConstr[[#This Row],[Ch_Hill]]</f>
        <v>20</v>
      </c>
      <c r="K85" s="398">
        <f ca="1">OFFSET(TblConstr[[#This Row],[Swamp]],-1,0)+TblConstr[[#This Row],[Ch_Swamp]]</f>
        <v>20</v>
      </c>
      <c r="L85" s="193">
        <f ca="1">OFFSET(TblConstr[[#This Row],[Cavern]],-1,0)+TblConstr[[#This Row],[Ch_Cavern]]</f>
        <v>20</v>
      </c>
      <c r="M85" s="194">
        <f ca="1">OFFSET(TblConstr[[#This Row],[Water]],-1,0)+TblConstr[[#This Row],[Ch_Water]]</f>
        <v>20</v>
      </c>
      <c r="N85" s="388">
        <f>TblRezone[[#This Row],[Hour]]</f>
        <v>82</v>
      </c>
      <c r="O85" s="187"/>
      <c r="P85" s="187"/>
      <c r="Q85" s="187"/>
      <c r="R85" s="166"/>
      <c r="S85" s="187"/>
      <c r="T85" s="187"/>
      <c r="U85" s="187"/>
      <c r="V85" s="187"/>
      <c r="W85" s="187"/>
      <c r="X85" s="187"/>
      <c r="Y85" s="187"/>
      <c r="Z85" s="187"/>
      <c r="AA85" s="187"/>
      <c r="AB85" s="187"/>
      <c r="AC85" s="187"/>
      <c r="AD85" s="187"/>
      <c r="AE85" s="187"/>
      <c r="AF85" s="187"/>
      <c r="AG85" s="187"/>
      <c r="AH85" s="53">
        <f ca="1">TblImps[[#This Row],[Time]]</f>
        <v>44814.124999999804</v>
      </c>
      <c r="AI85" s="188">
        <f ca="1">MIN(25%,(TblConstr[[#This Row],[Tot Fac]]+TblConstr[[#This Row],[Dest Fac]])/(TblConstr[[#This Row],[Land]]-TblExplore[[#This Row],[Land Bonus]]*20))</f>
        <v>0</v>
      </c>
      <c r="AJ85" s="188">
        <f ca="1">MIN(25%,(TblConstr[[#This Row],[Tot Fac]]+TblConstr[[#This Row],[Dest Fac]])/TblConstr[[#This Row],[Land]])</f>
        <v>0</v>
      </c>
      <c r="AK85" s="97">
        <f ca="1">TblProd[[#This Row],[Platinum]]</f>
        <v>545244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50"/>
      <c r="AV85" s="97">
        <f ca="1">ROUND((TblConstr[[#This Row],[Land]]-250 - IF(TblExplore[[#This Row],[Land Bonus]]&lt;&gt;0,20,0))*1.25 + 850 + 0,0)</f>
        <v>850</v>
      </c>
      <c r="AW85" s="97">
        <f ca="1">ROUND((TblConstr[[#This Row],[Land]]-250 - IF(TblExplore[[#This Row],[Land Bonus]]&lt;&gt;0,20,0))*0.285 + 87.5 + 0/4.25,0)</f>
        <v>88</v>
      </c>
      <c r="AX85" s="162"/>
      <c r="AY85" s="196" cm="1">
        <f t="array" aca="1" ref="AY85" ca="1">IF(TblConstr[[#This Row],[Hour]:[Hour]]&gt;12,OFFSET(TblConstr[[#This Row],[Hom]],-12,0),0)+OFFSET(TblConstr[[#This Row],[Tot Hom]],-1,0)-TblConstr[[#This Row],[Dest Hom]]</f>
        <v>10</v>
      </c>
      <c r="AZ85" s="197" cm="1">
        <f t="array" aca="1" ref="AZ85" ca="1">IF(TblConstr[[#This Row],[Hour]:[Hour]]&gt;12,OFFSET(TblConstr[[#This Row],[Alc]],-12,0),0)+OFFSET(TblConstr[[#This Row],[Tot Alc]],-1,0)-TblConstr[[#This Row],[Dest Alc]]</f>
        <v>30</v>
      </c>
      <c r="BA85" s="197" cm="1">
        <f t="array" aca="1" ref="BA85" ca="1">IF(TblConstr[[#This Row],[Hour]:[Hour]]&gt;12,OFFSET(TblConstr[[#This Row],[Far]],-12,0),0)+OFFSET(TblConstr[[#This Row],[Tot Farm]],-1,0)-TblConstr[[#This Row],[Dest Farm]]</f>
        <v>30</v>
      </c>
      <c r="BB85" s="197" cm="1">
        <f t="array" aca="1" ref="BB85" ca="1">IF(TblConstr[[#This Row],[Hour]:[Hour]]&gt;12,OFFSET(TblConstr[[#This Row],[Smi]],-12,0),0)+OFFSET(TblConstr[[#This Row],[Tot Smi]],-1,0)-TblConstr[[#This Row],[Dest Smi]]</f>
        <v>0</v>
      </c>
      <c r="BC85" s="197" cm="1">
        <f t="array" aca="1" ref="BC85" ca="1">IF(TblConstr[[#This Row],[Hour]:[Hour]]&gt;12,OFFSET(TblConstr[[#This Row],[Mas]],-12,0),0)+OFFSET(TblConstr[[#This Row],[Tot Mas]],-1,0)-TblConstr[[#This Row],[Dest Mas]]</f>
        <v>0</v>
      </c>
      <c r="BD85" s="198" cm="1">
        <f t="array" aca="1" ref="BD85" ca="1">IF(TblConstr[[#This Row],[Hour]:[Hour]]&gt;12,OFFSET(TblConstr[[#This Row],[Ly]],-12,0),0)+OFFSET(TblConstr[[#This Row],[Tot Ly]],-1,0)-TblConstr[[#This Row],[Dest Ly]]</f>
        <v>20</v>
      </c>
      <c r="BE85" s="198" cm="1">
        <f t="array" aca="1" ref="BE85" ca="1">IF(TblConstr[[#This Row],[Hour]:[Hour]]&gt;12,OFFSET(TblConstr[[#This Row],[Hav]],-12,0),0)+OFFSET(TblConstr[[#This Row],[Tot Hav]],-1,0)-TblConstr[[#This Row],[Dest Hav]]</f>
        <v>0</v>
      </c>
      <c r="BF85" s="392" cm="1">
        <f t="array" aca="1" ref="BF85" ca="1">IF(TblConstr[[#This Row],[Hour]:[Hour]]&gt;12,OFFSET(TblConstr[[#This Row],[OM]],-12,0),0)+OFFSET(TblConstr[[#This Row],[Tot OM]],-1,0)-TblConstr[[#This Row],[Dest OM]]</f>
        <v>0</v>
      </c>
      <c r="BG85" s="392" cm="1">
        <f t="array" aca="1" ref="BG85" ca="1">IF(TblConstr[[#This Row],[Hour]:[Hour]]&gt;12,OFFSET(TblConstr[[#This Row],[GN]],-12,0),0)+OFFSET(TblConstr[[#This Row],[Tot GN]],-1,0)-TblConstr[[#This Row],[Dest GN]]</f>
        <v>0</v>
      </c>
      <c r="BH85" s="396" cm="1">
        <f t="array" aca="1" ref="BH85" ca="1">IF(TblConstr[[#This Row],[Hour]:[Hour]]&gt;12,OFFSET(TblConstr[[#This Row],[Fac]],-12,0),0)+OFFSET(TblConstr[[#This Row],[Tot Fac]],-1,0)-TblConstr[[#This Row],[Dest Fac]]</f>
        <v>0</v>
      </c>
      <c r="BI85" s="396" cm="1">
        <f t="array" aca="1" ref="BI85" ca="1">IF(TblConstr[[#This Row],[Hour]:[Hour]]&gt;12,OFFSET(TblConstr[[#This Row],[GT]],-12,0),0)+OFFSET(TblConstr[[#This Row],[Tot GT]],-1,0)-TblConstr[[#This Row],[Dest GT]]</f>
        <v>0</v>
      </c>
      <c r="BJ85" s="396" cm="1">
        <f t="array" aca="1" ref="BJ85" ca="1">IF(TblConstr[[#This Row],[Hour]:[Hour]]&gt;12,OFFSET(TblConstr[[#This Row],[Bar]],-12,0),0)+OFFSET(TblConstr[[#This Row],[Tot Bar]],-1,0)-TblConstr[[#This Row],[Dest Bar]]</f>
        <v>0</v>
      </c>
      <c r="BK85" s="396" cm="1">
        <f t="array" aca="1" ref="BK85" ca="1">IF(TblConstr[[#This Row],[Hour]:[Hour]]&gt;12,OFFSET(TblConstr[[#This Row],[Shr]],-12,0),0)+OFFSET(TblConstr[[#This Row],[Tot Shr]],-1,0)-TblConstr[[#This Row],[Dest Shr]]</f>
        <v>0</v>
      </c>
      <c r="BL85" s="400" cm="1">
        <f t="array" aca="1" ref="BL85" ca="1">IF(TblConstr[[#This Row],[Hour]:[Hour]]&gt;12,OFFSET(TblConstr[[#This Row],[Tow]],-12,0),0)+OFFSET(TblConstr[[#This Row],[Tot Tow]],-1,0)-TblConstr[[#This Row],[Dest Tow]]</f>
        <v>0</v>
      </c>
      <c r="BM85" s="400" cm="1">
        <f t="array" aca="1" ref="BM85" ca="1">IF(TblConstr[[#This Row],[Hour]:[Hour]]&gt;12,OFFSET(TblConstr[[#This Row],[Tem]],-12,0),0)+OFFSET(TblConstr[[#This Row],[Tot Tem]],-1,0)-TblConstr[[#This Row],[Dest Tem]]</f>
        <v>0</v>
      </c>
      <c r="BN85" s="400" cm="1">
        <f t="array" aca="1" ref="BN85" ca="1">IF(TblConstr[[#This Row],[Hour]:[Hour]]&gt;12,OFFSET(TblConstr[[#This Row],[WG]],-12,0),0)+OFFSET(TblConstr[[#This Row],[Tot WG]],-1,0)-TblConstr[[#This Row],[Dest WG]]</f>
        <v>0</v>
      </c>
      <c r="BO85" s="199" cm="1">
        <f t="array" aca="1" ref="BO85" ca="1">IF(TblConstr[[#This Row],[Hour]:[Hour]]&gt;12,OFFSET(TblConstr[[#This Row],[DM]],-12,0),0)+OFFSET(TblConstr[[#This Row],[Tot DM]],-1,0)-TblConstr[[#This Row],[Dest DM]]</f>
        <v>0</v>
      </c>
      <c r="BP85" s="199" cm="1">
        <f t="array" aca="1" ref="BP85" ca="1">IF(TblConstr[[#This Row],[Hour]:[Hour]]&gt;12,OFFSET(TblConstr[[#This Row],[Sch]],-12,0),0)+OFFSET(TblConstr[[#This Row],[Tot Sch]],-1,0)-TblConstr[[#This Row],[Dest Sch]]</f>
        <v>0</v>
      </c>
      <c r="BQ85" s="200" cm="1">
        <f t="array" aca="1" ref="BQ85" ca="1">IF(TblConstr[[#This Row],[Hour]:[Hour]]&gt;12,OFFSET(TblConstr[[#This Row],[Doc]],-12,0),0)+OFFSET(TblConstr[[#This Row],[Tot Doc]],-1,0)-TblConstr[[#This Row],[Dest Doc]]</f>
        <v>0</v>
      </c>
      <c r="BR85" s="150"/>
      <c r="BS85" s="162"/>
      <c r="BT85" s="97">
        <f ca="1">TblConstr[[#This Row],[Land]]</f>
        <v>250</v>
      </c>
      <c r="BU85" s="167">
        <f ca="1">TblImps[[#This Row],[Time]]</f>
        <v>44814.124999999804</v>
      </c>
      <c r="BV85" s="150"/>
      <c r="BW85" s="187"/>
      <c r="BX85" s="187"/>
      <c r="BY85" s="187"/>
      <c r="BZ85" s="187"/>
      <c r="CA85" s="187"/>
      <c r="CB85" s="187"/>
      <c r="CC85" s="187"/>
      <c r="CD85" s="187"/>
      <c r="CE85" s="187"/>
      <c r="CF85" s="187"/>
      <c r="CG85" s="187"/>
      <c r="CH85" s="187"/>
      <c r="CI85" s="187"/>
      <c r="CJ85" s="187"/>
      <c r="CK85" s="187"/>
      <c r="CL85" s="187"/>
      <c r="CM85" s="187"/>
      <c r="CN85" s="187"/>
      <c r="CO85" s="187"/>
      <c r="CP85" s="150"/>
      <c r="CQ85" s="189">
        <f ca="1">-SUM(TblConstr[[#This Row],[Alc]:[Mas]])+SUM(TblConstr[[#This Row],[Dest Alc]:[Dest Mas]])+Rezone!L85+IF("Ch_"&amp; home_land=TblConstr[[#Headers],[Ch_Plain]],TblConstr[[#This Row],[Home Land]])+IF(TblConstr[[#This Row],[Hour]:[Hour]]&gt;12,OFFSET(TblExplore[[#This Row],[Plains Explore]],-12,0),0)</f>
        <v>0</v>
      </c>
      <c r="CR85" s="190">
        <f ca="1">-SUM(TblConstr[[#This Row],[Ly]:[Hav]])+SUM(TblConstr[[#This Row],[Dest Ly]:[Dest Hav]]) +Rezone!M85 + IF("Ch_"&amp; home_land=TblConstr[[#Headers],[Ch_Forest]],TblConstr[[#This Row],[Home Land]])+IF(TblConstr[[#This Row],[Hour]:[Hour]]&gt;12,OFFSET(TblExplore[[#This Row],[Forest Explore]],-12,0),0)</f>
        <v>0</v>
      </c>
      <c r="CS85" s="390">
        <f ca="1">-SUM(TblConstr[[#This Row],[OM]:[GN]])+SUM(TblConstr[[#This Row],[Dest OM]:[Dest GN]]) +Rezone!N85 + IF("Ch_"&amp; home_land=TblConstr[[#Headers],[Ch_Mountain]],TblConstr[[#This Row],[Home Land]])+IF(TblConstr[[#This Row],[Hour]:[Hour]]&gt;12,OFFSET(TblExplore[[#This Row],[Mountain Explore]],-12,0),0)</f>
        <v>0</v>
      </c>
      <c r="CT85" s="191">
        <f ca="1">-SUM(TblConstr[[#This Row],[Fac]:[Shr]])+SUM(TblConstr[[#This Row],[Dest Fac]:[Dest Shr]]) +Rezone!O85 + IF("Ch_" &amp; home_land=TblConstr[[#Headers],[Ch_Hill]],TblConstr[[#This Row],[Home Land]])+IF(TblConstr[[#This Row],[Hour]:[Hour]]&gt;12,OFFSET(TblExplore[[#This Row],[Hill Explore]],-12,0),0)</f>
        <v>0</v>
      </c>
      <c r="CU85" s="192">
        <f ca="1">-SUM(TblConstr[[#This Row],[Tow]:[WG]])+SUM(TblConstr[[#This Row],[Dest Tow]:[Dest WG]]) +Rezone!P85 + IF("Ch_" &amp; home_land=TblConstr[[#Headers],[Ch_Swamp]],TblConstr[[#This Row],[Home Land]])+IF(TblConstr[[#This Row],[Hour]:[Hour]]&gt;12,OFFSET(TblExplore[[#This Row],[Swamp Explore]],-12,0),0)</f>
        <v>0</v>
      </c>
      <c r="CV85" s="193">
        <f ca="1" xml:space="preserve"> - SUM(TblConstr[[#This Row],[DM]:[Sch]])+SUM(TblConstr[[#This Row],[Dest DM]:[Dest Sch]]) +Rezone!Q85 + IF("Ch_" &amp; home_land=TblConstr[[#Headers],[Ch_Cavern]],TblConstr[[#This Row],[Home Land]])+IF(TblConstr[[#This Row],[Hour]:[Hour]]&gt;12,OFFSET(TblExplore[[#This Row],[Cavern Explore]],-12,0),0)</f>
        <v>0</v>
      </c>
      <c r="CW85" s="194">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50"/>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83">
        <f>TblRezone[[#This Row],[Hour]]</f>
        <v>83</v>
      </c>
      <c r="B86" s="184">
        <f ca="1">SUM(TblConstr[[#This Row],[Plain]:[Water]])</f>
        <v>160</v>
      </c>
      <c r="C86" s="185">
        <f ca="1">SUM(TblConstr[[#This Row],[Tot Hom]:[Tot Doc]])</f>
        <v>90</v>
      </c>
      <c r="D86" s="185">
        <f t="shared" si="21"/>
        <v>0</v>
      </c>
      <c r="E86" s="186"/>
      <c r="F86" s="62">
        <f ca="1">TblConstr[[#This Row],[Barren]]+TblConstr[[#This Row],[Buildings]]+TblConstr[[#This Row],[Incoming]]</f>
        <v>250</v>
      </c>
      <c r="G86" s="195">
        <f ca="1">OFFSET(TblConstr[[#This Row],[Plain]],-1,0)+TblConstr[[#This Row],[Ch_Plain]]</f>
        <v>40</v>
      </c>
      <c r="H86" s="190">
        <f ca="1">OFFSET(TblConstr[[#This Row],[Forest]],-1,0)+TblConstr[[#This Row],[Ch_Forest]]</f>
        <v>20</v>
      </c>
      <c r="I86" s="390">
        <f ca="1">OFFSET(TblConstr[[#This Row],[Mountain]],-1,0)+TblConstr[[#This Row],[Ch_Mountain]]</f>
        <v>20</v>
      </c>
      <c r="J86" s="394">
        <f ca="1">OFFSET(TblConstr[[#This Row],[Hill]],-1,0)+TblConstr[[#This Row],[Ch_Hill]]</f>
        <v>20</v>
      </c>
      <c r="K86" s="398">
        <f ca="1">OFFSET(TblConstr[[#This Row],[Swamp]],-1,0)+TblConstr[[#This Row],[Ch_Swamp]]</f>
        <v>20</v>
      </c>
      <c r="L86" s="193">
        <f ca="1">OFFSET(TblConstr[[#This Row],[Cavern]],-1,0)+TblConstr[[#This Row],[Ch_Cavern]]</f>
        <v>20</v>
      </c>
      <c r="M86" s="194">
        <f ca="1">OFFSET(TblConstr[[#This Row],[Water]],-1,0)+TblConstr[[#This Row],[Ch_Water]]</f>
        <v>20</v>
      </c>
      <c r="N86" s="388">
        <f>TblRezone[[#This Row],[Hour]]</f>
        <v>83</v>
      </c>
      <c r="O86" s="187"/>
      <c r="P86" s="187"/>
      <c r="Q86" s="187"/>
      <c r="R86" s="166"/>
      <c r="S86" s="187"/>
      <c r="T86" s="187"/>
      <c r="U86" s="187"/>
      <c r="V86" s="187"/>
      <c r="W86" s="187"/>
      <c r="X86" s="187"/>
      <c r="Y86" s="187"/>
      <c r="Z86" s="187"/>
      <c r="AA86" s="187"/>
      <c r="AB86" s="187"/>
      <c r="AC86" s="187"/>
      <c r="AD86" s="187"/>
      <c r="AE86" s="187"/>
      <c r="AF86" s="187"/>
      <c r="AG86" s="187"/>
      <c r="AH86" s="53">
        <f ca="1">TblImps[[#This Row],[Time]]</f>
        <v>44814.166666666468</v>
      </c>
      <c r="AI86" s="188">
        <f ca="1">MIN(25%,(TblConstr[[#This Row],[Tot Fac]]+TblConstr[[#This Row],[Dest Fac]])/(TblConstr[[#This Row],[Land]]-TblExplore[[#This Row],[Land Bonus]]*20))</f>
        <v>0</v>
      </c>
      <c r="AJ86" s="188">
        <f ca="1">MIN(25%,(TblConstr[[#This Row],[Tot Fac]]+TblConstr[[#This Row],[Dest Fac]])/TblConstr[[#This Row],[Land]])</f>
        <v>0</v>
      </c>
      <c r="AK86" s="97">
        <f ca="1">TblProd[[#This Row],[Platinum]]</f>
        <v>550730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50"/>
      <c r="AV86" s="97">
        <f ca="1">ROUND((TblConstr[[#This Row],[Land]]-250 - IF(TblExplore[[#This Row],[Land Bonus]]&lt;&gt;0,20,0))*1.25 + 850 + 0,0)</f>
        <v>850</v>
      </c>
      <c r="AW86" s="97">
        <f ca="1">ROUND((TblConstr[[#This Row],[Land]]-250 - IF(TblExplore[[#This Row],[Land Bonus]]&lt;&gt;0,20,0))*0.285 + 87.5 + 0/4.25,0)</f>
        <v>88</v>
      </c>
      <c r="AX86" s="162"/>
      <c r="AY86" s="196" cm="1">
        <f t="array" aca="1" ref="AY86" ca="1">IF(TblConstr[[#This Row],[Hour]:[Hour]]&gt;12,OFFSET(TblConstr[[#This Row],[Hom]],-12,0),0)+OFFSET(TblConstr[[#This Row],[Tot Hom]],-1,0)-TblConstr[[#This Row],[Dest Hom]]</f>
        <v>10</v>
      </c>
      <c r="AZ86" s="197" cm="1">
        <f t="array" aca="1" ref="AZ86" ca="1">IF(TblConstr[[#This Row],[Hour]:[Hour]]&gt;12,OFFSET(TblConstr[[#This Row],[Alc]],-12,0),0)+OFFSET(TblConstr[[#This Row],[Tot Alc]],-1,0)-TblConstr[[#This Row],[Dest Alc]]</f>
        <v>30</v>
      </c>
      <c r="BA86" s="197" cm="1">
        <f t="array" aca="1" ref="BA86" ca="1">IF(TblConstr[[#This Row],[Hour]:[Hour]]&gt;12,OFFSET(TblConstr[[#This Row],[Far]],-12,0),0)+OFFSET(TblConstr[[#This Row],[Tot Farm]],-1,0)-TblConstr[[#This Row],[Dest Farm]]</f>
        <v>30</v>
      </c>
      <c r="BB86" s="197" cm="1">
        <f t="array" aca="1" ref="BB86" ca="1">IF(TblConstr[[#This Row],[Hour]:[Hour]]&gt;12,OFFSET(TblConstr[[#This Row],[Smi]],-12,0),0)+OFFSET(TblConstr[[#This Row],[Tot Smi]],-1,0)-TblConstr[[#This Row],[Dest Smi]]</f>
        <v>0</v>
      </c>
      <c r="BC86" s="197" cm="1">
        <f t="array" aca="1" ref="BC86" ca="1">IF(TblConstr[[#This Row],[Hour]:[Hour]]&gt;12,OFFSET(TblConstr[[#This Row],[Mas]],-12,0),0)+OFFSET(TblConstr[[#This Row],[Tot Mas]],-1,0)-TblConstr[[#This Row],[Dest Mas]]</f>
        <v>0</v>
      </c>
      <c r="BD86" s="198" cm="1">
        <f t="array" aca="1" ref="BD86" ca="1">IF(TblConstr[[#This Row],[Hour]:[Hour]]&gt;12,OFFSET(TblConstr[[#This Row],[Ly]],-12,0),0)+OFFSET(TblConstr[[#This Row],[Tot Ly]],-1,0)-TblConstr[[#This Row],[Dest Ly]]</f>
        <v>20</v>
      </c>
      <c r="BE86" s="198" cm="1">
        <f t="array" aca="1" ref="BE86" ca="1">IF(TblConstr[[#This Row],[Hour]:[Hour]]&gt;12,OFFSET(TblConstr[[#This Row],[Hav]],-12,0),0)+OFFSET(TblConstr[[#This Row],[Tot Hav]],-1,0)-TblConstr[[#This Row],[Dest Hav]]</f>
        <v>0</v>
      </c>
      <c r="BF86" s="392" cm="1">
        <f t="array" aca="1" ref="BF86" ca="1">IF(TblConstr[[#This Row],[Hour]:[Hour]]&gt;12,OFFSET(TblConstr[[#This Row],[OM]],-12,0),0)+OFFSET(TblConstr[[#This Row],[Tot OM]],-1,0)-TblConstr[[#This Row],[Dest OM]]</f>
        <v>0</v>
      </c>
      <c r="BG86" s="392" cm="1">
        <f t="array" aca="1" ref="BG86" ca="1">IF(TblConstr[[#This Row],[Hour]:[Hour]]&gt;12,OFFSET(TblConstr[[#This Row],[GN]],-12,0),0)+OFFSET(TblConstr[[#This Row],[Tot GN]],-1,0)-TblConstr[[#This Row],[Dest GN]]</f>
        <v>0</v>
      </c>
      <c r="BH86" s="396" cm="1">
        <f t="array" aca="1" ref="BH86" ca="1">IF(TblConstr[[#This Row],[Hour]:[Hour]]&gt;12,OFFSET(TblConstr[[#This Row],[Fac]],-12,0),0)+OFFSET(TblConstr[[#This Row],[Tot Fac]],-1,0)-TblConstr[[#This Row],[Dest Fac]]</f>
        <v>0</v>
      </c>
      <c r="BI86" s="396" cm="1">
        <f t="array" aca="1" ref="BI86" ca="1">IF(TblConstr[[#This Row],[Hour]:[Hour]]&gt;12,OFFSET(TblConstr[[#This Row],[GT]],-12,0),0)+OFFSET(TblConstr[[#This Row],[Tot GT]],-1,0)-TblConstr[[#This Row],[Dest GT]]</f>
        <v>0</v>
      </c>
      <c r="BJ86" s="396" cm="1">
        <f t="array" aca="1" ref="BJ86" ca="1">IF(TblConstr[[#This Row],[Hour]:[Hour]]&gt;12,OFFSET(TblConstr[[#This Row],[Bar]],-12,0),0)+OFFSET(TblConstr[[#This Row],[Tot Bar]],-1,0)-TblConstr[[#This Row],[Dest Bar]]</f>
        <v>0</v>
      </c>
      <c r="BK86" s="396" cm="1">
        <f t="array" aca="1" ref="BK86" ca="1">IF(TblConstr[[#This Row],[Hour]:[Hour]]&gt;12,OFFSET(TblConstr[[#This Row],[Shr]],-12,0),0)+OFFSET(TblConstr[[#This Row],[Tot Shr]],-1,0)-TblConstr[[#This Row],[Dest Shr]]</f>
        <v>0</v>
      </c>
      <c r="BL86" s="400" cm="1">
        <f t="array" aca="1" ref="BL86" ca="1">IF(TblConstr[[#This Row],[Hour]:[Hour]]&gt;12,OFFSET(TblConstr[[#This Row],[Tow]],-12,0),0)+OFFSET(TblConstr[[#This Row],[Tot Tow]],-1,0)-TblConstr[[#This Row],[Dest Tow]]</f>
        <v>0</v>
      </c>
      <c r="BM86" s="400" cm="1">
        <f t="array" aca="1" ref="BM86" ca="1">IF(TblConstr[[#This Row],[Hour]:[Hour]]&gt;12,OFFSET(TblConstr[[#This Row],[Tem]],-12,0),0)+OFFSET(TblConstr[[#This Row],[Tot Tem]],-1,0)-TblConstr[[#This Row],[Dest Tem]]</f>
        <v>0</v>
      </c>
      <c r="BN86" s="400" cm="1">
        <f t="array" aca="1" ref="BN86" ca="1">IF(TblConstr[[#This Row],[Hour]:[Hour]]&gt;12,OFFSET(TblConstr[[#This Row],[WG]],-12,0),0)+OFFSET(TblConstr[[#This Row],[Tot WG]],-1,0)-TblConstr[[#This Row],[Dest WG]]</f>
        <v>0</v>
      </c>
      <c r="BO86" s="199" cm="1">
        <f t="array" aca="1" ref="BO86" ca="1">IF(TblConstr[[#This Row],[Hour]:[Hour]]&gt;12,OFFSET(TblConstr[[#This Row],[DM]],-12,0),0)+OFFSET(TblConstr[[#This Row],[Tot DM]],-1,0)-TblConstr[[#This Row],[Dest DM]]</f>
        <v>0</v>
      </c>
      <c r="BP86" s="199" cm="1">
        <f t="array" aca="1" ref="BP86" ca="1">IF(TblConstr[[#This Row],[Hour]:[Hour]]&gt;12,OFFSET(TblConstr[[#This Row],[Sch]],-12,0),0)+OFFSET(TblConstr[[#This Row],[Tot Sch]],-1,0)-TblConstr[[#This Row],[Dest Sch]]</f>
        <v>0</v>
      </c>
      <c r="BQ86" s="200" cm="1">
        <f t="array" aca="1" ref="BQ86" ca="1">IF(TblConstr[[#This Row],[Hour]:[Hour]]&gt;12,OFFSET(TblConstr[[#This Row],[Doc]],-12,0),0)+OFFSET(TblConstr[[#This Row],[Tot Doc]],-1,0)-TblConstr[[#This Row],[Dest Doc]]</f>
        <v>0</v>
      </c>
      <c r="BR86" s="150"/>
      <c r="BS86" s="162"/>
      <c r="BT86" s="97">
        <f ca="1">TblConstr[[#This Row],[Land]]</f>
        <v>250</v>
      </c>
      <c r="BU86" s="167">
        <f ca="1">TblImps[[#This Row],[Time]]</f>
        <v>44814.166666666468</v>
      </c>
      <c r="BV86" s="150"/>
      <c r="BW86" s="187"/>
      <c r="BX86" s="187"/>
      <c r="BY86" s="187"/>
      <c r="BZ86" s="187"/>
      <c r="CA86" s="187"/>
      <c r="CB86" s="187"/>
      <c r="CC86" s="187"/>
      <c r="CD86" s="187"/>
      <c r="CE86" s="187"/>
      <c r="CF86" s="187"/>
      <c r="CG86" s="187"/>
      <c r="CH86" s="187"/>
      <c r="CI86" s="187"/>
      <c r="CJ86" s="187"/>
      <c r="CK86" s="187"/>
      <c r="CL86" s="187"/>
      <c r="CM86" s="187"/>
      <c r="CN86" s="187"/>
      <c r="CO86" s="187"/>
      <c r="CP86" s="150"/>
      <c r="CQ86" s="189">
        <f ca="1">-SUM(TblConstr[[#This Row],[Alc]:[Mas]])+SUM(TblConstr[[#This Row],[Dest Alc]:[Dest Mas]])+Rezone!L86+IF("Ch_"&amp; home_land=TblConstr[[#Headers],[Ch_Plain]],TblConstr[[#This Row],[Home Land]])+IF(TblConstr[[#This Row],[Hour]:[Hour]]&gt;12,OFFSET(TblExplore[[#This Row],[Plains Explore]],-12,0),0)</f>
        <v>0</v>
      </c>
      <c r="CR86" s="190">
        <f ca="1">-SUM(TblConstr[[#This Row],[Ly]:[Hav]])+SUM(TblConstr[[#This Row],[Dest Ly]:[Dest Hav]]) +Rezone!M86 + IF("Ch_"&amp; home_land=TblConstr[[#Headers],[Ch_Forest]],TblConstr[[#This Row],[Home Land]])+IF(TblConstr[[#This Row],[Hour]:[Hour]]&gt;12,OFFSET(TblExplore[[#This Row],[Forest Explore]],-12,0),0)</f>
        <v>0</v>
      </c>
      <c r="CS86" s="390">
        <f ca="1">-SUM(TblConstr[[#This Row],[OM]:[GN]])+SUM(TblConstr[[#This Row],[Dest OM]:[Dest GN]]) +Rezone!N86 + IF("Ch_"&amp; home_land=TblConstr[[#Headers],[Ch_Mountain]],TblConstr[[#This Row],[Home Land]])+IF(TblConstr[[#This Row],[Hour]:[Hour]]&gt;12,OFFSET(TblExplore[[#This Row],[Mountain Explore]],-12,0),0)</f>
        <v>0</v>
      </c>
      <c r="CT86" s="191">
        <f ca="1">-SUM(TblConstr[[#This Row],[Fac]:[Shr]])+SUM(TblConstr[[#This Row],[Dest Fac]:[Dest Shr]]) +Rezone!O86 + IF("Ch_" &amp; home_land=TblConstr[[#Headers],[Ch_Hill]],TblConstr[[#This Row],[Home Land]])+IF(TblConstr[[#This Row],[Hour]:[Hour]]&gt;12,OFFSET(TblExplore[[#This Row],[Hill Explore]],-12,0),0)</f>
        <v>0</v>
      </c>
      <c r="CU86" s="192">
        <f ca="1">-SUM(TblConstr[[#This Row],[Tow]:[WG]])+SUM(TblConstr[[#This Row],[Dest Tow]:[Dest WG]]) +Rezone!P86 + IF("Ch_" &amp; home_land=TblConstr[[#Headers],[Ch_Swamp]],TblConstr[[#This Row],[Home Land]])+IF(TblConstr[[#This Row],[Hour]:[Hour]]&gt;12,OFFSET(TblExplore[[#This Row],[Swamp Explore]],-12,0),0)</f>
        <v>0</v>
      </c>
      <c r="CV86" s="193">
        <f ca="1" xml:space="preserve"> - SUM(TblConstr[[#This Row],[DM]:[Sch]])+SUM(TblConstr[[#This Row],[Dest DM]:[Dest Sch]]) +Rezone!Q86 + IF("Ch_" &amp; home_land=TblConstr[[#Headers],[Ch_Cavern]],TblConstr[[#This Row],[Home Land]])+IF(TblConstr[[#This Row],[Hour]:[Hour]]&gt;12,OFFSET(TblExplore[[#This Row],[Cavern Explore]],-12,0),0)</f>
        <v>0</v>
      </c>
      <c r="CW86" s="194">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50"/>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83">
        <f>TblRezone[[#This Row],[Hour]]</f>
        <v>84</v>
      </c>
      <c r="B87" s="184">
        <f ca="1">SUM(TblConstr[[#This Row],[Plain]:[Water]])</f>
        <v>160</v>
      </c>
      <c r="C87" s="185">
        <f ca="1">SUM(TblConstr[[#This Row],[Tot Hom]:[Tot Doc]])</f>
        <v>90</v>
      </c>
      <c r="D87" s="185">
        <f t="shared" si="21"/>
        <v>0</v>
      </c>
      <c r="E87" s="186"/>
      <c r="F87" s="62">
        <f ca="1">TblConstr[[#This Row],[Barren]]+TblConstr[[#This Row],[Buildings]]+TblConstr[[#This Row],[Incoming]]</f>
        <v>250</v>
      </c>
      <c r="G87" s="195">
        <f ca="1">OFFSET(TblConstr[[#This Row],[Plain]],-1,0)+TblConstr[[#This Row],[Ch_Plain]]</f>
        <v>40</v>
      </c>
      <c r="H87" s="190">
        <f ca="1">OFFSET(TblConstr[[#This Row],[Forest]],-1,0)+TblConstr[[#This Row],[Ch_Forest]]</f>
        <v>20</v>
      </c>
      <c r="I87" s="390">
        <f ca="1">OFFSET(TblConstr[[#This Row],[Mountain]],-1,0)+TblConstr[[#This Row],[Ch_Mountain]]</f>
        <v>20</v>
      </c>
      <c r="J87" s="394">
        <f ca="1">OFFSET(TblConstr[[#This Row],[Hill]],-1,0)+TblConstr[[#This Row],[Ch_Hill]]</f>
        <v>20</v>
      </c>
      <c r="K87" s="398">
        <f ca="1">OFFSET(TblConstr[[#This Row],[Swamp]],-1,0)+TblConstr[[#This Row],[Ch_Swamp]]</f>
        <v>20</v>
      </c>
      <c r="L87" s="193">
        <f ca="1">OFFSET(TblConstr[[#This Row],[Cavern]],-1,0)+TblConstr[[#This Row],[Ch_Cavern]]</f>
        <v>20</v>
      </c>
      <c r="M87" s="194">
        <f ca="1">OFFSET(TblConstr[[#This Row],[Water]],-1,0)+TblConstr[[#This Row],[Ch_Water]]</f>
        <v>20</v>
      </c>
      <c r="N87" s="388">
        <f>TblRezone[[#This Row],[Hour]]</f>
        <v>84</v>
      </c>
      <c r="O87" s="187"/>
      <c r="P87" s="187"/>
      <c r="Q87" s="187"/>
      <c r="R87" s="187"/>
      <c r="S87" s="187"/>
      <c r="T87" s="187"/>
      <c r="U87" s="187"/>
      <c r="V87" s="187"/>
      <c r="W87" s="187"/>
      <c r="X87" s="187"/>
      <c r="Y87" s="187"/>
      <c r="Z87" s="187"/>
      <c r="AA87" s="187"/>
      <c r="AB87" s="187"/>
      <c r="AC87" s="187"/>
      <c r="AD87" s="187"/>
      <c r="AE87" s="187"/>
      <c r="AF87" s="187"/>
      <c r="AG87" s="187"/>
      <c r="AH87" s="53">
        <f ca="1">TblImps[[#This Row],[Time]]</f>
        <v>44814.208333333132</v>
      </c>
      <c r="AI87" s="188">
        <f ca="1">MIN(25%,(TblConstr[[#This Row],[Tot Fac]]+TblConstr[[#This Row],[Dest Fac]])/(TblConstr[[#This Row],[Land]]-TblExplore[[#This Row],[Land Bonus]]*20))</f>
        <v>0</v>
      </c>
      <c r="AJ87" s="188">
        <f ca="1">MIN(25%,(TblConstr[[#This Row],[Tot Fac]]+TblConstr[[#This Row],[Dest Fac]])/TblConstr[[#This Row],[Land]])</f>
        <v>0</v>
      </c>
      <c r="AK87" s="97">
        <f ca="1">TblProd[[#This Row],[Platinum]]</f>
        <v>556216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50"/>
      <c r="AV87" s="97">
        <f ca="1">ROUND((TblConstr[[#This Row],[Land]]-250 - IF(TblExplore[[#This Row],[Land Bonus]]&lt;&gt;0,20,0))*1.25 + 850 + 0,0)</f>
        <v>850</v>
      </c>
      <c r="AW87" s="97">
        <f ca="1">ROUND((TblConstr[[#This Row],[Land]]-250 - IF(TblExplore[[#This Row],[Land Bonus]]&lt;&gt;0,20,0))*0.285 + 87.5 + 0/4.25,0)</f>
        <v>88</v>
      </c>
      <c r="AX87" s="162"/>
      <c r="AY87" s="196" cm="1">
        <f t="array" aca="1" ref="AY87" ca="1">IF(TblConstr[[#This Row],[Hour]:[Hour]]&gt;12,OFFSET(TblConstr[[#This Row],[Hom]],-12,0),0)+OFFSET(TblConstr[[#This Row],[Tot Hom]],-1,0)-TblConstr[[#This Row],[Dest Hom]]</f>
        <v>10</v>
      </c>
      <c r="AZ87" s="197" cm="1">
        <f t="array" aca="1" ref="AZ87" ca="1">IF(TblConstr[[#This Row],[Hour]:[Hour]]&gt;12,OFFSET(TblConstr[[#This Row],[Alc]],-12,0),0)+OFFSET(TblConstr[[#This Row],[Tot Alc]],-1,0)-TblConstr[[#This Row],[Dest Alc]]</f>
        <v>30</v>
      </c>
      <c r="BA87" s="197" cm="1">
        <f t="array" aca="1" ref="BA87" ca="1">IF(TblConstr[[#This Row],[Hour]:[Hour]]&gt;12,OFFSET(TblConstr[[#This Row],[Far]],-12,0),0)+OFFSET(TblConstr[[#This Row],[Tot Farm]],-1,0)-TblConstr[[#This Row],[Dest Farm]]</f>
        <v>30</v>
      </c>
      <c r="BB87" s="197" cm="1">
        <f t="array" aca="1" ref="BB87" ca="1">IF(TblConstr[[#This Row],[Hour]:[Hour]]&gt;12,OFFSET(TblConstr[[#This Row],[Smi]],-12,0),0)+OFFSET(TblConstr[[#This Row],[Tot Smi]],-1,0)-TblConstr[[#This Row],[Dest Smi]]</f>
        <v>0</v>
      </c>
      <c r="BC87" s="197" cm="1">
        <f t="array" aca="1" ref="BC87" ca="1">IF(TblConstr[[#This Row],[Hour]:[Hour]]&gt;12,OFFSET(TblConstr[[#This Row],[Mas]],-12,0),0)+OFFSET(TblConstr[[#This Row],[Tot Mas]],-1,0)-TblConstr[[#This Row],[Dest Mas]]</f>
        <v>0</v>
      </c>
      <c r="BD87" s="198" cm="1">
        <f t="array" aca="1" ref="BD87" ca="1">IF(TblConstr[[#This Row],[Hour]:[Hour]]&gt;12,OFFSET(TblConstr[[#This Row],[Ly]],-12,0),0)+OFFSET(TblConstr[[#This Row],[Tot Ly]],-1,0)-TblConstr[[#This Row],[Dest Ly]]</f>
        <v>20</v>
      </c>
      <c r="BE87" s="198" cm="1">
        <f t="array" aca="1" ref="BE87" ca="1">IF(TblConstr[[#This Row],[Hour]:[Hour]]&gt;12,OFFSET(TblConstr[[#This Row],[Hav]],-12,0),0)+OFFSET(TblConstr[[#This Row],[Tot Hav]],-1,0)-TblConstr[[#This Row],[Dest Hav]]</f>
        <v>0</v>
      </c>
      <c r="BF87" s="392" cm="1">
        <f t="array" aca="1" ref="BF87" ca="1">IF(TblConstr[[#This Row],[Hour]:[Hour]]&gt;12,OFFSET(TblConstr[[#This Row],[OM]],-12,0),0)+OFFSET(TblConstr[[#This Row],[Tot OM]],-1,0)-TblConstr[[#This Row],[Dest OM]]</f>
        <v>0</v>
      </c>
      <c r="BG87" s="392" cm="1">
        <f t="array" aca="1" ref="BG87" ca="1">IF(TblConstr[[#This Row],[Hour]:[Hour]]&gt;12,OFFSET(TblConstr[[#This Row],[GN]],-12,0),0)+OFFSET(TblConstr[[#This Row],[Tot GN]],-1,0)-TblConstr[[#This Row],[Dest GN]]</f>
        <v>0</v>
      </c>
      <c r="BH87" s="396" cm="1">
        <f t="array" aca="1" ref="BH87" ca="1">IF(TblConstr[[#This Row],[Hour]:[Hour]]&gt;12,OFFSET(TblConstr[[#This Row],[Fac]],-12,0),0)+OFFSET(TblConstr[[#This Row],[Tot Fac]],-1,0)-TblConstr[[#This Row],[Dest Fac]]</f>
        <v>0</v>
      </c>
      <c r="BI87" s="396" cm="1">
        <f t="array" aca="1" ref="BI87" ca="1">IF(TblConstr[[#This Row],[Hour]:[Hour]]&gt;12,OFFSET(TblConstr[[#This Row],[GT]],-12,0),0)+OFFSET(TblConstr[[#This Row],[Tot GT]],-1,0)-TblConstr[[#This Row],[Dest GT]]</f>
        <v>0</v>
      </c>
      <c r="BJ87" s="396" cm="1">
        <f t="array" aca="1" ref="BJ87" ca="1">IF(TblConstr[[#This Row],[Hour]:[Hour]]&gt;12,OFFSET(TblConstr[[#This Row],[Bar]],-12,0),0)+OFFSET(TblConstr[[#This Row],[Tot Bar]],-1,0)-TblConstr[[#This Row],[Dest Bar]]</f>
        <v>0</v>
      </c>
      <c r="BK87" s="396" cm="1">
        <f t="array" aca="1" ref="BK87" ca="1">IF(TblConstr[[#This Row],[Hour]:[Hour]]&gt;12,OFFSET(TblConstr[[#This Row],[Shr]],-12,0),0)+OFFSET(TblConstr[[#This Row],[Tot Shr]],-1,0)-TblConstr[[#This Row],[Dest Shr]]</f>
        <v>0</v>
      </c>
      <c r="BL87" s="400" cm="1">
        <f t="array" aca="1" ref="BL87" ca="1">IF(TblConstr[[#This Row],[Hour]:[Hour]]&gt;12,OFFSET(TblConstr[[#This Row],[Tow]],-12,0),0)+OFFSET(TblConstr[[#This Row],[Tot Tow]],-1,0)-TblConstr[[#This Row],[Dest Tow]]</f>
        <v>0</v>
      </c>
      <c r="BM87" s="400" cm="1">
        <f t="array" aca="1" ref="BM87" ca="1">IF(TblConstr[[#This Row],[Hour]:[Hour]]&gt;12,OFFSET(TblConstr[[#This Row],[Tem]],-12,0),0)+OFFSET(TblConstr[[#This Row],[Tot Tem]],-1,0)-TblConstr[[#This Row],[Dest Tem]]</f>
        <v>0</v>
      </c>
      <c r="BN87" s="400" cm="1">
        <f t="array" aca="1" ref="BN87" ca="1">IF(TblConstr[[#This Row],[Hour]:[Hour]]&gt;12,OFFSET(TblConstr[[#This Row],[WG]],-12,0),0)+OFFSET(TblConstr[[#This Row],[Tot WG]],-1,0)-TblConstr[[#This Row],[Dest WG]]</f>
        <v>0</v>
      </c>
      <c r="BO87" s="199" cm="1">
        <f t="array" aca="1" ref="BO87" ca="1">IF(TblConstr[[#This Row],[Hour]:[Hour]]&gt;12,OFFSET(TblConstr[[#This Row],[DM]],-12,0),0)+OFFSET(TblConstr[[#This Row],[Tot DM]],-1,0)-TblConstr[[#This Row],[Dest DM]]</f>
        <v>0</v>
      </c>
      <c r="BP87" s="199" cm="1">
        <f t="array" aca="1" ref="BP87" ca="1">IF(TblConstr[[#This Row],[Hour]:[Hour]]&gt;12,OFFSET(TblConstr[[#This Row],[Sch]],-12,0),0)+OFFSET(TblConstr[[#This Row],[Tot Sch]],-1,0)-TblConstr[[#This Row],[Dest Sch]]</f>
        <v>0</v>
      </c>
      <c r="BQ87" s="200" cm="1">
        <f t="array" aca="1" ref="BQ87" ca="1">IF(TblConstr[[#This Row],[Hour]:[Hour]]&gt;12,OFFSET(TblConstr[[#This Row],[Doc]],-12,0),0)+OFFSET(TblConstr[[#This Row],[Tot Doc]],-1,0)-TblConstr[[#This Row],[Dest Doc]]</f>
        <v>0</v>
      </c>
      <c r="BR87" s="150"/>
      <c r="BS87" s="162"/>
      <c r="BT87" s="97">
        <f ca="1">TblConstr[[#This Row],[Land]]</f>
        <v>250</v>
      </c>
      <c r="BU87" s="167">
        <f ca="1">TblImps[[#This Row],[Time]]</f>
        <v>44814.208333333132</v>
      </c>
      <c r="BV87" s="150"/>
      <c r="BW87" s="187"/>
      <c r="BX87" s="187"/>
      <c r="BY87" s="187"/>
      <c r="BZ87" s="187"/>
      <c r="CA87" s="187"/>
      <c r="CB87" s="187"/>
      <c r="CC87" s="187"/>
      <c r="CD87" s="187"/>
      <c r="CE87" s="187"/>
      <c r="CF87" s="187"/>
      <c r="CG87" s="187"/>
      <c r="CH87" s="187"/>
      <c r="CI87" s="187"/>
      <c r="CJ87" s="187"/>
      <c r="CK87" s="187"/>
      <c r="CL87" s="187"/>
      <c r="CM87" s="187"/>
      <c r="CN87" s="187"/>
      <c r="CO87" s="187"/>
      <c r="CP87" s="150"/>
      <c r="CQ87" s="189">
        <f ca="1">-SUM(TblConstr[[#This Row],[Alc]:[Mas]])+SUM(TblConstr[[#This Row],[Dest Alc]:[Dest Mas]])+Rezone!L87+IF("Ch_"&amp; home_land=TblConstr[[#Headers],[Ch_Plain]],TblConstr[[#This Row],[Home Land]])+IF(TblConstr[[#This Row],[Hour]:[Hour]]&gt;12,OFFSET(TblExplore[[#This Row],[Plains Explore]],-12,0),0)</f>
        <v>0</v>
      </c>
      <c r="CR87" s="190">
        <f ca="1">-SUM(TblConstr[[#This Row],[Ly]:[Hav]])+SUM(TblConstr[[#This Row],[Dest Ly]:[Dest Hav]]) +Rezone!M87 + IF("Ch_"&amp; home_land=TblConstr[[#Headers],[Ch_Forest]],TblConstr[[#This Row],[Home Land]])+IF(TblConstr[[#This Row],[Hour]:[Hour]]&gt;12,OFFSET(TblExplore[[#This Row],[Forest Explore]],-12,0),0)</f>
        <v>0</v>
      </c>
      <c r="CS87" s="390">
        <f ca="1">-SUM(TblConstr[[#This Row],[OM]:[GN]])+SUM(TblConstr[[#This Row],[Dest OM]:[Dest GN]]) +Rezone!N87 + IF("Ch_"&amp; home_land=TblConstr[[#Headers],[Ch_Mountain]],TblConstr[[#This Row],[Home Land]])+IF(TblConstr[[#This Row],[Hour]:[Hour]]&gt;12,OFFSET(TblExplore[[#This Row],[Mountain Explore]],-12,0),0)</f>
        <v>0</v>
      </c>
      <c r="CT87" s="191">
        <f ca="1">-SUM(TblConstr[[#This Row],[Fac]:[Shr]])+SUM(TblConstr[[#This Row],[Dest Fac]:[Dest Shr]]) +Rezone!O87 + IF("Ch_" &amp; home_land=TblConstr[[#Headers],[Ch_Hill]],TblConstr[[#This Row],[Home Land]])+IF(TblConstr[[#This Row],[Hour]:[Hour]]&gt;12,OFFSET(TblExplore[[#This Row],[Hill Explore]],-12,0),0)</f>
        <v>0</v>
      </c>
      <c r="CU87" s="192">
        <f ca="1">-SUM(TblConstr[[#This Row],[Tow]:[WG]])+SUM(TblConstr[[#This Row],[Dest Tow]:[Dest WG]]) +Rezone!P87 + IF("Ch_" &amp; home_land=TblConstr[[#Headers],[Ch_Swamp]],TblConstr[[#This Row],[Home Land]])+IF(TblConstr[[#This Row],[Hour]:[Hour]]&gt;12,OFFSET(TblExplore[[#This Row],[Swamp Explore]],-12,0),0)</f>
        <v>0</v>
      </c>
      <c r="CV87" s="193">
        <f ca="1" xml:space="preserve"> - SUM(TblConstr[[#This Row],[DM]:[Sch]])+SUM(TblConstr[[#This Row],[Dest DM]:[Dest Sch]]) +Rezone!Q87 + IF("Ch_" &amp; home_land=TblConstr[[#Headers],[Ch_Cavern]],TblConstr[[#This Row],[Home Land]])+IF(TblConstr[[#This Row],[Hour]:[Hour]]&gt;12,OFFSET(TblExplore[[#This Row],[Cavern Explore]],-12,0),0)</f>
        <v>0</v>
      </c>
      <c r="CW87" s="194">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50"/>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83">
        <f>TblRezone[[#This Row],[Hour]]</f>
        <v>85</v>
      </c>
      <c r="B88" s="184">
        <f ca="1">SUM(TblConstr[[#This Row],[Plain]:[Water]])</f>
        <v>160</v>
      </c>
      <c r="C88" s="185">
        <f ca="1">SUM(TblConstr[[#This Row],[Tot Hom]:[Tot Doc]])</f>
        <v>90</v>
      </c>
      <c r="D88" s="185">
        <f t="shared" si="21"/>
        <v>0</v>
      </c>
      <c r="E88" s="186"/>
      <c r="F88" s="62">
        <f ca="1">TblConstr[[#This Row],[Barren]]+TblConstr[[#This Row],[Buildings]]+TblConstr[[#This Row],[Incoming]]</f>
        <v>250</v>
      </c>
      <c r="G88" s="195">
        <f ca="1">OFFSET(TblConstr[[#This Row],[Plain]],-1,0)+TblConstr[[#This Row],[Ch_Plain]]</f>
        <v>40</v>
      </c>
      <c r="H88" s="190">
        <f ca="1">OFFSET(TblConstr[[#This Row],[Forest]],-1,0)+TblConstr[[#This Row],[Ch_Forest]]</f>
        <v>20</v>
      </c>
      <c r="I88" s="390">
        <f ca="1">OFFSET(TblConstr[[#This Row],[Mountain]],-1,0)+TblConstr[[#This Row],[Ch_Mountain]]</f>
        <v>20</v>
      </c>
      <c r="J88" s="394">
        <f ca="1">OFFSET(TblConstr[[#This Row],[Hill]],-1,0)+TblConstr[[#This Row],[Ch_Hill]]</f>
        <v>20</v>
      </c>
      <c r="K88" s="398">
        <f ca="1">OFFSET(TblConstr[[#This Row],[Swamp]],-1,0)+TblConstr[[#This Row],[Ch_Swamp]]</f>
        <v>20</v>
      </c>
      <c r="L88" s="193">
        <f ca="1">OFFSET(TblConstr[[#This Row],[Cavern]],-1,0)+TblConstr[[#This Row],[Ch_Cavern]]</f>
        <v>20</v>
      </c>
      <c r="M88" s="194">
        <f ca="1">OFFSET(TblConstr[[#This Row],[Water]],-1,0)+TblConstr[[#This Row],[Ch_Water]]</f>
        <v>20</v>
      </c>
      <c r="N88" s="388">
        <f>TblRezone[[#This Row],[Hour]]</f>
        <v>85</v>
      </c>
      <c r="O88" s="187"/>
      <c r="P88" s="166"/>
      <c r="Q88" s="187"/>
      <c r="R88" s="187"/>
      <c r="S88" s="187"/>
      <c r="T88" s="187"/>
      <c r="U88" s="187"/>
      <c r="V88" s="187"/>
      <c r="W88" s="187"/>
      <c r="X88" s="187"/>
      <c r="Y88" s="187"/>
      <c r="Z88" s="187"/>
      <c r="AA88" s="187"/>
      <c r="AB88" s="187"/>
      <c r="AC88" s="187"/>
      <c r="AD88" s="187"/>
      <c r="AE88" s="187"/>
      <c r="AF88" s="187"/>
      <c r="AG88" s="166"/>
      <c r="AH88" s="53">
        <f ca="1">TblImps[[#This Row],[Time]]</f>
        <v>44814.249999999796</v>
      </c>
      <c r="AI88" s="188">
        <f ca="1">MIN(25%,(TblConstr[[#This Row],[Tot Fac]]+TblConstr[[#This Row],[Dest Fac]])/(TblConstr[[#This Row],[Land]]-TblExplore[[#This Row],[Land Bonus]]*20))</f>
        <v>0</v>
      </c>
      <c r="AJ88" s="188">
        <f ca="1">MIN(25%,(TblConstr[[#This Row],[Tot Fac]]+TblConstr[[#This Row],[Dest Fac]])/TblConstr[[#This Row],[Land]])</f>
        <v>0</v>
      </c>
      <c r="AK88" s="97">
        <f ca="1">TblProd[[#This Row],[Platinum]]</f>
        <v>561702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50"/>
      <c r="AV88" s="97">
        <f ca="1">ROUND((TblConstr[[#This Row],[Land]]-250 - IF(TblExplore[[#This Row],[Land Bonus]]&lt;&gt;0,20,0))*1.25 + 850 + 0,0)</f>
        <v>850</v>
      </c>
      <c r="AW88" s="97">
        <f ca="1">ROUND((TblConstr[[#This Row],[Land]]-250 - IF(TblExplore[[#This Row],[Land Bonus]]&lt;&gt;0,20,0))*0.285 + 87.5 + 0/4.25,0)</f>
        <v>88</v>
      </c>
      <c r="AX88" s="162"/>
      <c r="AY88" s="196" cm="1">
        <f t="array" aca="1" ref="AY88" ca="1">IF(TblConstr[[#This Row],[Hour]:[Hour]]&gt;12,OFFSET(TblConstr[[#This Row],[Hom]],-12,0),0)+OFFSET(TblConstr[[#This Row],[Tot Hom]],-1,0)-TblConstr[[#This Row],[Dest Hom]]</f>
        <v>10</v>
      </c>
      <c r="AZ88" s="197" cm="1">
        <f t="array" aca="1" ref="AZ88" ca="1">IF(TblConstr[[#This Row],[Hour]:[Hour]]&gt;12,OFFSET(TblConstr[[#This Row],[Alc]],-12,0),0)+OFFSET(TblConstr[[#This Row],[Tot Alc]],-1,0)-TblConstr[[#This Row],[Dest Alc]]</f>
        <v>30</v>
      </c>
      <c r="BA88" s="197" cm="1">
        <f t="array" aca="1" ref="BA88" ca="1">IF(TblConstr[[#This Row],[Hour]:[Hour]]&gt;12,OFFSET(TblConstr[[#This Row],[Far]],-12,0),0)+OFFSET(TblConstr[[#This Row],[Tot Farm]],-1,0)-TblConstr[[#This Row],[Dest Farm]]</f>
        <v>30</v>
      </c>
      <c r="BB88" s="197" cm="1">
        <f t="array" aca="1" ref="BB88" ca="1">IF(TblConstr[[#This Row],[Hour]:[Hour]]&gt;12,OFFSET(TblConstr[[#This Row],[Smi]],-12,0),0)+OFFSET(TblConstr[[#This Row],[Tot Smi]],-1,0)-TblConstr[[#This Row],[Dest Smi]]</f>
        <v>0</v>
      </c>
      <c r="BC88" s="197" cm="1">
        <f t="array" aca="1" ref="BC88" ca="1">IF(TblConstr[[#This Row],[Hour]:[Hour]]&gt;12,OFFSET(TblConstr[[#This Row],[Mas]],-12,0),0)+OFFSET(TblConstr[[#This Row],[Tot Mas]],-1,0)-TblConstr[[#This Row],[Dest Mas]]</f>
        <v>0</v>
      </c>
      <c r="BD88" s="198" cm="1">
        <f t="array" aca="1" ref="BD88" ca="1">IF(TblConstr[[#This Row],[Hour]:[Hour]]&gt;12,OFFSET(TblConstr[[#This Row],[Ly]],-12,0),0)+OFFSET(TblConstr[[#This Row],[Tot Ly]],-1,0)-TblConstr[[#This Row],[Dest Ly]]</f>
        <v>20</v>
      </c>
      <c r="BE88" s="198" cm="1">
        <f t="array" aca="1" ref="BE88" ca="1">IF(TblConstr[[#This Row],[Hour]:[Hour]]&gt;12,OFFSET(TblConstr[[#This Row],[Hav]],-12,0),0)+OFFSET(TblConstr[[#This Row],[Tot Hav]],-1,0)-TblConstr[[#This Row],[Dest Hav]]</f>
        <v>0</v>
      </c>
      <c r="BF88" s="392" cm="1">
        <f t="array" aca="1" ref="BF88" ca="1">IF(TblConstr[[#This Row],[Hour]:[Hour]]&gt;12,OFFSET(TblConstr[[#This Row],[OM]],-12,0),0)+OFFSET(TblConstr[[#This Row],[Tot OM]],-1,0)-TblConstr[[#This Row],[Dest OM]]</f>
        <v>0</v>
      </c>
      <c r="BG88" s="392" cm="1">
        <f t="array" aca="1" ref="BG88" ca="1">IF(TblConstr[[#This Row],[Hour]:[Hour]]&gt;12,OFFSET(TblConstr[[#This Row],[GN]],-12,0),0)+OFFSET(TblConstr[[#This Row],[Tot GN]],-1,0)-TblConstr[[#This Row],[Dest GN]]</f>
        <v>0</v>
      </c>
      <c r="BH88" s="396" cm="1">
        <f t="array" aca="1" ref="BH88" ca="1">IF(TblConstr[[#This Row],[Hour]:[Hour]]&gt;12,OFFSET(TblConstr[[#This Row],[Fac]],-12,0),0)+OFFSET(TblConstr[[#This Row],[Tot Fac]],-1,0)-TblConstr[[#This Row],[Dest Fac]]</f>
        <v>0</v>
      </c>
      <c r="BI88" s="396" cm="1">
        <f t="array" aca="1" ref="BI88" ca="1">IF(TblConstr[[#This Row],[Hour]:[Hour]]&gt;12,OFFSET(TblConstr[[#This Row],[GT]],-12,0),0)+OFFSET(TblConstr[[#This Row],[Tot GT]],-1,0)-TblConstr[[#This Row],[Dest GT]]</f>
        <v>0</v>
      </c>
      <c r="BJ88" s="396" cm="1">
        <f t="array" aca="1" ref="BJ88" ca="1">IF(TblConstr[[#This Row],[Hour]:[Hour]]&gt;12,OFFSET(TblConstr[[#This Row],[Bar]],-12,0),0)+OFFSET(TblConstr[[#This Row],[Tot Bar]],-1,0)-TblConstr[[#This Row],[Dest Bar]]</f>
        <v>0</v>
      </c>
      <c r="BK88" s="396" cm="1">
        <f t="array" aca="1" ref="BK88" ca="1">IF(TblConstr[[#This Row],[Hour]:[Hour]]&gt;12,OFFSET(TblConstr[[#This Row],[Shr]],-12,0),0)+OFFSET(TblConstr[[#This Row],[Tot Shr]],-1,0)-TblConstr[[#This Row],[Dest Shr]]</f>
        <v>0</v>
      </c>
      <c r="BL88" s="400" cm="1">
        <f t="array" aca="1" ref="BL88" ca="1">IF(TblConstr[[#This Row],[Hour]:[Hour]]&gt;12,OFFSET(TblConstr[[#This Row],[Tow]],-12,0),0)+OFFSET(TblConstr[[#This Row],[Tot Tow]],-1,0)-TblConstr[[#This Row],[Dest Tow]]</f>
        <v>0</v>
      </c>
      <c r="BM88" s="400" cm="1">
        <f t="array" aca="1" ref="BM88" ca="1">IF(TblConstr[[#This Row],[Hour]:[Hour]]&gt;12,OFFSET(TblConstr[[#This Row],[Tem]],-12,0),0)+OFFSET(TblConstr[[#This Row],[Tot Tem]],-1,0)-TblConstr[[#This Row],[Dest Tem]]</f>
        <v>0</v>
      </c>
      <c r="BN88" s="400" cm="1">
        <f t="array" aca="1" ref="BN88" ca="1">IF(TblConstr[[#This Row],[Hour]:[Hour]]&gt;12,OFFSET(TblConstr[[#This Row],[WG]],-12,0),0)+OFFSET(TblConstr[[#This Row],[Tot WG]],-1,0)-TblConstr[[#This Row],[Dest WG]]</f>
        <v>0</v>
      </c>
      <c r="BO88" s="199" cm="1">
        <f t="array" aca="1" ref="BO88" ca="1">IF(TblConstr[[#This Row],[Hour]:[Hour]]&gt;12,OFFSET(TblConstr[[#This Row],[DM]],-12,0),0)+OFFSET(TblConstr[[#This Row],[Tot DM]],-1,0)-TblConstr[[#This Row],[Dest DM]]</f>
        <v>0</v>
      </c>
      <c r="BP88" s="199" cm="1">
        <f t="array" aca="1" ref="BP88" ca="1">IF(TblConstr[[#This Row],[Hour]:[Hour]]&gt;12,OFFSET(TblConstr[[#This Row],[Sch]],-12,0),0)+OFFSET(TblConstr[[#This Row],[Tot Sch]],-1,0)-TblConstr[[#This Row],[Dest Sch]]</f>
        <v>0</v>
      </c>
      <c r="BQ88" s="200" cm="1">
        <f t="array" aca="1" ref="BQ88" ca="1">IF(TblConstr[[#This Row],[Hour]:[Hour]]&gt;12,OFFSET(TblConstr[[#This Row],[Doc]],-12,0),0)+OFFSET(TblConstr[[#This Row],[Tot Doc]],-1,0)-TblConstr[[#This Row],[Dest Doc]]</f>
        <v>0</v>
      </c>
      <c r="BR88" s="150"/>
      <c r="BS88" s="162"/>
      <c r="BT88" s="97">
        <f ca="1">TblConstr[[#This Row],[Land]]</f>
        <v>250</v>
      </c>
      <c r="BU88" s="167">
        <f ca="1">TblImps[[#This Row],[Time]]</f>
        <v>44814.249999999796</v>
      </c>
      <c r="BV88" s="150"/>
      <c r="BW88" s="187"/>
      <c r="BX88" s="187"/>
      <c r="BY88" s="187"/>
      <c r="BZ88" s="187"/>
      <c r="CA88" s="187"/>
      <c r="CB88" s="187"/>
      <c r="CC88" s="187"/>
      <c r="CD88" s="187"/>
      <c r="CE88" s="187"/>
      <c r="CF88" s="187"/>
      <c r="CG88" s="187"/>
      <c r="CH88" s="187"/>
      <c r="CI88" s="187"/>
      <c r="CJ88" s="187"/>
      <c r="CK88" s="187"/>
      <c r="CL88" s="187"/>
      <c r="CM88" s="187"/>
      <c r="CN88" s="187"/>
      <c r="CO88" s="187"/>
      <c r="CP88" s="150"/>
      <c r="CQ88" s="189">
        <f ca="1">-SUM(TblConstr[[#This Row],[Alc]:[Mas]])+SUM(TblConstr[[#This Row],[Dest Alc]:[Dest Mas]])+Rezone!L88+IF("Ch_"&amp; home_land=TblConstr[[#Headers],[Ch_Plain]],TblConstr[[#This Row],[Home Land]])+IF(TblConstr[[#This Row],[Hour]:[Hour]]&gt;12,OFFSET(TblExplore[[#This Row],[Plains Explore]],-12,0),0)</f>
        <v>0</v>
      </c>
      <c r="CR88" s="190">
        <f ca="1">-SUM(TblConstr[[#This Row],[Ly]:[Hav]])+SUM(TblConstr[[#This Row],[Dest Ly]:[Dest Hav]]) +Rezone!M88 + IF("Ch_"&amp; home_land=TblConstr[[#Headers],[Ch_Forest]],TblConstr[[#This Row],[Home Land]])+IF(TblConstr[[#This Row],[Hour]:[Hour]]&gt;12,OFFSET(TblExplore[[#This Row],[Forest Explore]],-12,0),0)</f>
        <v>0</v>
      </c>
      <c r="CS88" s="390">
        <f ca="1">-SUM(TblConstr[[#This Row],[OM]:[GN]])+SUM(TblConstr[[#This Row],[Dest OM]:[Dest GN]]) +Rezone!N88 + IF("Ch_"&amp; home_land=TblConstr[[#Headers],[Ch_Mountain]],TblConstr[[#This Row],[Home Land]])+IF(TblConstr[[#This Row],[Hour]:[Hour]]&gt;12,OFFSET(TblExplore[[#This Row],[Mountain Explore]],-12,0),0)</f>
        <v>0</v>
      </c>
      <c r="CT88" s="191">
        <f ca="1">-SUM(TblConstr[[#This Row],[Fac]:[Shr]])+SUM(TblConstr[[#This Row],[Dest Fac]:[Dest Shr]]) +Rezone!O88 + IF("Ch_" &amp; home_land=TblConstr[[#Headers],[Ch_Hill]],TblConstr[[#This Row],[Home Land]])+IF(TblConstr[[#This Row],[Hour]:[Hour]]&gt;12,OFFSET(TblExplore[[#This Row],[Hill Explore]],-12,0),0)</f>
        <v>0</v>
      </c>
      <c r="CU88" s="192">
        <f ca="1">-SUM(TblConstr[[#This Row],[Tow]:[WG]])+SUM(TblConstr[[#This Row],[Dest Tow]:[Dest WG]]) +Rezone!P88 + IF("Ch_" &amp; home_land=TblConstr[[#Headers],[Ch_Swamp]],TblConstr[[#This Row],[Home Land]])+IF(TblConstr[[#This Row],[Hour]:[Hour]]&gt;12,OFFSET(TblExplore[[#This Row],[Swamp Explore]],-12,0),0)</f>
        <v>0</v>
      </c>
      <c r="CV88" s="193">
        <f ca="1" xml:space="preserve"> - SUM(TblConstr[[#This Row],[DM]:[Sch]])+SUM(TblConstr[[#This Row],[Dest DM]:[Dest Sch]]) +Rezone!Q88 + IF("Ch_" &amp; home_land=TblConstr[[#Headers],[Ch_Cavern]],TblConstr[[#This Row],[Home Land]])+IF(TblConstr[[#This Row],[Hour]:[Hour]]&gt;12,OFFSET(TblExplore[[#This Row],[Cavern Explore]],-12,0),0)</f>
        <v>0</v>
      </c>
      <c r="CW88" s="194">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50"/>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83">
        <f>TblRezone[[#This Row],[Hour]]</f>
        <v>86</v>
      </c>
      <c r="B89" s="184">
        <f ca="1">SUM(TblConstr[[#This Row],[Plain]:[Water]])</f>
        <v>160</v>
      </c>
      <c r="C89" s="185">
        <f ca="1">SUM(TblConstr[[#This Row],[Tot Hom]:[Tot Doc]])</f>
        <v>90</v>
      </c>
      <c r="D89" s="185">
        <f t="shared" si="21"/>
        <v>0</v>
      </c>
      <c r="E89" s="186"/>
      <c r="F89" s="62">
        <f ca="1">TblConstr[[#This Row],[Barren]]+TblConstr[[#This Row],[Buildings]]+TblConstr[[#This Row],[Incoming]]</f>
        <v>250</v>
      </c>
      <c r="G89" s="195">
        <f ca="1">OFFSET(TblConstr[[#This Row],[Plain]],-1,0)+TblConstr[[#This Row],[Ch_Plain]]</f>
        <v>40</v>
      </c>
      <c r="H89" s="190">
        <f ca="1">OFFSET(TblConstr[[#This Row],[Forest]],-1,0)+TblConstr[[#This Row],[Ch_Forest]]</f>
        <v>20</v>
      </c>
      <c r="I89" s="390">
        <f ca="1">OFFSET(TblConstr[[#This Row],[Mountain]],-1,0)+TblConstr[[#This Row],[Ch_Mountain]]</f>
        <v>20</v>
      </c>
      <c r="J89" s="394">
        <f ca="1">OFFSET(TblConstr[[#This Row],[Hill]],-1,0)+TblConstr[[#This Row],[Ch_Hill]]</f>
        <v>20</v>
      </c>
      <c r="K89" s="398">
        <f ca="1">OFFSET(TblConstr[[#This Row],[Swamp]],-1,0)+TblConstr[[#This Row],[Ch_Swamp]]</f>
        <v>20</v>
      </c>
      <c r="L89" s="193">
        <f ca="1">OFFSET(TblConstr[[#This Row],[Cavern]],-1,0)+TblConstr[[#This Row],[Ch_Cavern]]</f>
        <v>20</v>
      </c>
      <c r="M89" s="194">
        <f ca="1">OFFSET(TblConstr[[#This Row],[Water]],-1,0)+TblConstr[[#This Row],[Ch_Water]]</f>
        <v>20</v>
      </c>
      <c r="N89" s="388">
        <f>TblRezone[[#This Row],[Hour]]</f>
        <v>86</v>
      </c>
      <c r="O89" s="187"/>
      <c r="P89" s="187"/>
      <c r="Q89" s="187"/>
      <c r="R89" s="187"/>
      <c r="S89" s="187"/>
      <c r="T89" s="187"/>
      <c r="U89" s="187"/>
      <c r="V89" s="187"/>
      <c r="W89" s="187"/>
      <c r="X89" s="166"/>
      <c r="Y89" s="187"/>
      <c r="Z89" s="187"/>
      <c r="AA89" s="187"/>
      <c r="AB89" s="187"/>
      <c r="AC89" s="187"/>
      <c r="AD89" s="187"/>
      <c r="AE89" s="187"/>
      <c r="AF89" s="187"/>
      <c r="AG89" s="187"/>
      <c r="AH89" s="53">
        <f ca="1">TblImps[[#This Row],[Time]]</f>
        <v>44814.291666666461</v>
      </c>
      <c r="AI89" s="188">
        <f ca="1">MIN(25%,(TblConstr[[#This Row],[Tot Fac]]+TblConstr[[#This Row],[Dest Fac]])/(TblConstr[[#This Row],[Land]]-TblExplore[[#This Row],[Land Bonus]]*20))</f>
        <v>0</v>
      </c>
      <c r="AJ89" s="188">
        <f ca="1">MIN(25%,(TblConstr[[#This Row],[Tot Fac]]+TblConstr[[#This Row],[Dest Fac]])/TblConstr[[#This Row],[Land]])</f>
        <v>0</v>
      </c>
      <c r="AK89" s="97">
        <f ca="1">TblProd[[#This Row],[Platinum]]</f>
        <v>567188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50"/>
      <c r="AV89" s="97">
        <f ca="1">ROUND((TblConstr[[#This Row],[Land]]-250 - IF(TblExplore[[#This Row],[Land Bonus]]&lt;&gt;0,20,0))*1.25 + 850 + 0,0)</f>
        <v>850</v>
      </c>
      <c r="AW89" s="97">
        <f ca="1">ROUND((TblConstr[[#This Row],[Land]]-250 - IF(TblExplore[[#This Row],[Land Bonus]]&lt;&gt;0,20,0))*0.285 + 87.5 + 0/4.25,0)</f>
        <v>88</v>
      </c>
      <c r="AX89" s="162"/>
      <c r="AY89" s="196" cm="1">
        <f t="array" aca="1" ref="AY89" ca="1">IF(TblConstr[[#This Row],[Hour]:[Hour]]&gt;12,OFFSET(TblConstr[[#This Row],[Hom]],-12,0),0)+OFFSET(TblConstr[[#This Row],[Tot Hom]],-1,0)-TblConstr[[#This Row],[Dest Hom]]</f>
        <v>10</v>
      </c>
      <c r="AZ89" s="197" cm="1">
        <f t="array" aca="1" ref="AZ89" ca="1">IF(TblConstr[[#This Row],[Hour]:[Hour]]&gt;12,OFFSET(TblConstr[[#This Row],[Alc]],-12,0),0)+OFFSET(TblConstr[[#This Row],[Tot Alc]],-1,0)-TblConstr[[#This Row],[Dest Alc]]</f>
        <v>30</v>
      </c>
      <c r="BA89" s="197" cm="1">
        <f t="array" aca="1" ref="BA89" ca="1">IF(TblConstr[[#This Row],[Hour]:[Hour]]&gt;12,OFFSET(TblConstr[[#This Row],[Far]],-12,0),0)+OFFSET(TblConstr[[#This Row],[Tot Farm]],-1,0)-TblConstr[[#This Row],[Dest Farm]]</f>
        <v>30</v>
      </c>
      <c r="BB89" s="197" cm="1">
        <f t="array" aca="1" ref="BB89" ca="1">IF(TblConstr[[#This Row],[Hour]:[Hour]]&gt;12,OFFSET(TblConstr[[#This Row],[Smi]],-12,0),0)+OFFSET(TblConstr[[#This Row],[Tot Smi]],-1,0)-TblConstr[[#This Row],[Dest Smi]]</f>
        <v>0</v>
      </c>
      <c r="BC89" s="197" cm="1">
        <f t="array" aca="1" ref="BC89" ca="1">IF(TblConstr[[#This Row],[Hour]:[Hour]]&gt;12,OFFSET(TblConstr[[#This Row],[Mas]],-12,0),0)+OFFSET(TblConstr[[#This Row],[Tot Mas]],-1,0)-TblConstr[[#This Row],[Dest Mas]]</f>
        <v>0</v>
      </c>
      <c r="BD89" s="198" cm="1">
        <f t="array" aca="1" ref="BD89" ca="1">IF(TblConstr[[#This Row],[Hour]:[Hour]]&gt;12,OFFSET(TblConstr[[#This Row],[Ly]],-12,0),0)+OFFSET(TblConstr[[#This Row],[Tot Ly]],-1,0)-TblConstr[[#This Row],[Dest Ly]]</f>
        <v>20</v>
      </c>
      <c r="BE89" s="198" cm="1">
        <f t="array" aca="1" ref="BE89" ca="1">IF(TblConstr[[#This Row],[Hour]:[Hour]]&gt;12,OFFSET(TblConstr[[#This Row],[Hav]],-12,0),0)+OFFSET(TblConstr[[#This Row],[Tot Hav]],-1,0)-TblConstr[[#This Row],[Dest Hav]]</f>
        <v>0</v>
      </c>
      <c r="BF89" s="392" cm="1">
        <f t="array" aca="1" ref="BF89" ca="1">IF(TblConstr[[#This Row],[Hour]:[Hour]]&gt;12,OFFSET(TblConstr[[#This Row],[OM]],-12,0),0)+OFFSET(TblConstr[[#This Row],[Tot OM]],-1,0)-TblConstr[[#This Row],[Dest OM]]</f>
        <v>0</v>
      </c>
      <c r="BG89" s="392" cm="1">
        <f t="array" aca="1" ref="BG89" ca="1">IF(TblConstr[[#This Row],[Hour]:[Hour]]&gt;12,OFFSET(TblConstr[[#This Row],[GN]],-12,0),0)+OFFSET(TblConstr[[#This Row],[Tot GN]],-1,0)-TblConstr[[#This Row],[Dest GN]]</f>
        <v>0</v>
      </c>
      <c r="BH89" s="396" cm="1">
        <f t="array" aca="1" ref="BH89" ca="1">IF(TblConstr[[#This Row],[Hour]:[Hour]]&gt;12,OFFSET(TblConstr[[#This Row],[Fac]],-12,0),0)+OFFSET(TblConstr[[#This Row],[Tot Fac]],-1,0)-TblConstr[[#This Row],[Dest Fac]]</f>
        <v>0</v>
      </c>
      <c r="BI89" s="396" cm="1">
        <f t="array" aca="1" ref="BI89" ca="1">IF(TblConstr[[#This Row],[Hour]:[Hour]]&gt;12,OFFSET(TblConstr[[#This Row],[GT]],-12,0),0)+OFFSET(TblConstr[[#This Row],[Tot GT]],-1,0)-TblConstr[[#This Row],[Dest GT]]</f>
        <v>0</v>
      </c>
      <c r="BJ89" s="396" cm="1">
        <f t="array" aca="1" ref="BJ89" ca="1">IF(TblConstr[[#This Row],[Hour]:[Hour]]&gt;12,OFFSET(TblConstr[[#This Row],[Bar]],-12,0),0)+OFFSET(TblConstr[[#This Row],[Tot Bar]],-1,0)-TblConstr[[#This Row],[Dest Bar]]</f>
        <v>0</v>
      </c>
      <c r="BK89" s="396" cm="1">
        <f t="array" aca="1" ref="BK89" ca="1">IF(TblConstr[[#This Row],[Hour]:[Hour]]&gt;12,OFFSET(TblConstr[[#This Row],[Shr]],-12,0),0)+OFFSET(TblConstr[[#This Row],[Tot Shr]],-1,0)-TblConstr[[#This Row],[Dest Shr]]</f>
        <v>0</v>
      </c>
      <c r="BL89" s="400" cm="1">
        <f t="array" aca="1" ref="BL89" ca="1">IF(TblConstr[[#This Row],[Hour]:[Hour]]&gt;12,OFFSET(TblConstr[[#This Row],[Tow]],-12,0),0)+OFFSET(TblConstr[[#This Row],[Tot Tow]],-1,0)-TblConstr[[#This Row],[Dest Tow]]</f>
        <v>0</v>
      </c>
      <c r="BM89" s="400" cm="1">
        <f t="array" aca="1" ref="BM89" ca="1">IF(TblConstr[[#This Row],[Hour]:[Hour]]&gt;12,OFFSET(TblConstr[[#This Row],[Tem]],-12,0),0)+OFFSET(TblConstr[[#This Row],[Tot Tem]],-1,0)-TblConstr[[#This Row],[Dest Tem]]</f>
        <v>0</v>
      </c>
      <c r="BN89" s="400" cm="1">
        <f t="array" aca="1" ref="BN89" ca="1">IF(TblConstr[[#This Row],[Hour]:[Hour]]&gt;12,OFFSET(TblConstr[[#This Row],[WG]],-12,0),0)+OFFSET(TblConstr[[#This Row],[Tot WG]],-1,0)-TblConstr[[#This Row],[Dest WG]]</f>
        <v>0</v>
      </c>
      <c r="BO89" s="199" cm="1">
        <f t="array" aca="1" ref="BO89" ca="1">IF(TblConstr[[#This Row],[Hour]:[Hour]]&gt;12,OFFSET(TblConstr[[#This Row],[DM]],-12,0),0)+OFFSET(TblConstr[[#This Row],[Tot DM]],-1,0)-TblConstr[[#This Row],[Dest DM]]</f>
        <v>0</v>
      </c>
      <c r="BP89" s="199" cm="1">
        <f t="array" aca="1" ref="BP89" ca="1">IF(TblConstr[[#This Row],[Hour]:[Hour]]&gt;12,OFFSET(TblConstr[[#This Row],[Sch]],-12,0),0)+OFFSET(TblConstr[[#This Row],[Tot Sch]],-1,0)-TblConstr[[#This Row],[Dest Sch]]</f>
        <v>0</v>
      </c>
      <c r="BQ89" s="200" cm="1">
        <f t="array" aca="1" ref="BQ89" ca="1">IF(TblConstr[[#This Row],[Hour]:[Hour]]&gt;12,OFFSET(TblConstr[[#This Row],[Doc]],-12,0),0)+OFFSET(TblConstr[[#This Row],[Tot Doc]],-1,0)-TblConstr[[#This Row],[Dest Doc]]</f>
        <v>0</v>
      </c>
      <c r="BR89" s="150"/>
      <c r="BS89" s="162"/>
      <c r="BT89" s="97">
        <f ca="1">TblConstr[[#This Row],[Land]]</f>
        <v>250</v>
      </c>
      <c r="BU89" s="167">
        <f ca="1">TblImps[[#This Row],[Time]]</f>
        <v>44814.291666666461</v>
      </c>
      <c r="BV89" s="150"/>
      <c r="BW89" s="187"/>
      <c r="BX89" s="187"/>
      <c r="BY89" s="187"/>
      <c r="BZ89" s="187"/>
      <c r="CA89" s="187"/>
      <c r="CB89" s="187"/>
      <c r="CC89" s="187"/>
      <c r="CD89" s="187"/>
      <c r="CE89" s="187"/>
      <c r="CF89" s="187"/>
      <c r="CG89" s="187"/>
      <c r="CH89" s="187"/>
      <c r="CI89" s="187"/>
      <c r="CJ89" s="187"/>
      <c r="CK89" s="187"/>
      <c r="CL89" s="187"/>
      <c r="CM89" s="187"/>
      <c r="CN89" s="187"/>
      <c r="CO89" s="187"/>
      <c r="CP89" s="150"/>
      <c r="CQ89" s="189">
        <f ca="1">-SUM(TblConstr[[#This Row],[Alc]:[Mas]])+SUM(TblConstr[[#This Row],[Dest Alc]:[Dest Mas]])+Rezone!L89+IF("Ch_"&amp; home_land=TblConstr[[#Headers],[Ch_Plain]],TblConstr[[#This Row],[Home Land]])+IF(TblConstr[[#This Row],[Hour]:[Hour]]&gt;12,OFFSET(TblExplore[[#This Row],[Plains Explore]],-12,0),0)</f>
        <v>0</v>
      </c>
      <c r="CR89" s="190">
        <f ca="1">-SUM(TblConstr[[#This Row],[Ly]:[Hav]])+SUM(TblConstr[[#This Row],[Dest Ly]:[Dest Hav]]) +Rezone!M89 + IF("Ch_"&amp; home_land=TblConstr[[#Headers],[Ch_Forest]],TblConstr[[#This Row],[Home Land]])+IF(TblConstr[[#This Row],[Hour]:[Hour]]&gt;12,OFFSET(TblExplore[[#This Row],[Forest Explore]],-12,0),0)</f>
        <v>0</v>
      </c>
      <c r="CS89" s="390">
        <f ca="1">-SUM(TblConstr[[#This Row],[OM]:[GN]])+SUM(TblConstr[[#This Row],[Dest OM]:[Dest GN]]) +Rezone!N89 + IF("Ch_"&amp; home_land=TblConstr[[#Headers],[Ch_Mountain]],TblConstr[[#This Row],[Home Land]])+IF(TblConstr[[#This Row],[Hour]:[Hour]]&gt;12,OFFSET(TblExplore[[#This Row],[Mountain Explore]],-12,0),0)</f>
        <v>0</v>
      </c>
      <c r="CT89" s="191">
        <f ca="1">-SUM(TblConstr[[#This Row],[Fac]:[Shr]])+SUM(TblConstr[[#This Row],[Dest Fac]:[Dest Shr]]) +Rezone!O89 + IF("Ch_" &amp; home_land=TblConstr[[#Headers],[Ch_Hill]],TblConstr[[#This Row],[Home Land]])+IF(TblConstr[[#This Row],[Hour]:[Hour]]&gt;12,OFFSET(TblExplore[[#This Row],[Hill Explore]],-12,0),0)</f>
        <v>0</v>
      </c>
      <c r="CU89" s="192">
        <f ca="1">-SUM(TblConstr[[#This Row],[Tow]:[WG]])+SUM(TblConstr[[#This Row],[Dest Tow]:[Dest WG]]) +Rezone!P89 + IF("Ch_" &amp; home_land=TblConstr[[#Headers],[Ch_Swamp]],TblConstr[[#This Row],[Home Land]])+IF(TblConstr[[#This Row],[Hour]:[Hour]]&gt;12,OFFSET(TblExplore[[#This Row],[Swamp Explore]],-12,0),0)</f>
        <v>0</v>
      </c>
      <c r="CV89" s="193">
        <f ca="1" xml:space="preserve"> - SUM(TblConstr[[#This Row],[DM]:[Sch]])+SUM(TblConstr[[#This Row],[Dest DM]:[Dest Sch]]) +Rezone!Q89 + IF("Ch_" &amp; home_land=TblConstr[[#Headers],[Ch_Cavern]],TblConstr[[#This Row],[Home Land]])+IF(TblConstr[[#This Row],[Hour]:[Hour]]&gt;12,OFFSET(TblExplore[[#This Row],[Cavern Explore]],-12,0),0)</f>
        <v>0</v>
      </c>
      <c r="CW89" s="194">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50"/>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83">
        <f>TblRezone[[#This Row],[Hour]]</f>
        <v>87</v>
      </c>
      <c r="B90" s="184">
        <f ca="1">SUM(TblConstr[[#This Row],[Plain]:[Water]])</f>
        <v>160</v>
      </c>
      <c r="C90" s="185">
        <f ca="1">SUM(TblConstr[[#This Row],[Tot Hom]:[Tot Doc]])</f>
        <v>90</v>
      </c>
      <c r="D90" s="185">
        <f t="shared" si="21"/>
        <v>0</v>
      </c>
      <c r="E90" s="186"/>
      <c r="F90" s="62">
        <f ca="1">TblConstr[[#This Row],[Barren]]+TblConstr[[#This Row],[Buildings]]+TblConstr[[#This Row],[Incoming]]</f>
        <v>250</v>
      </c>
      <c r="G90" s="195">
        <f ca="1">OFFSET(TblConstr[[#This Row],[Plain]],-1,0)+TblConstr[[#This Row],[Ch_Plain]]</f>
        <v>40</v>
      </c>
      <c r="H90" s="190">
        <f ca="1">OFFSET(TblConstr[[#This Row],[Forest]],-1,0)+TblConstr[[#This Row],[Ch_Forest]]</f>
        <v>20</v>
      </c>
      <c r="I90" s="390">
        <f ca="1">OFFSET(TblConstr[[#This Row],[Mountain]],-1,0)+TblConstr[[#This Row],[Ch_Mountain]]</f>
        <v>20</v>
      </c>
      <c r="J90" s="394">
        <f ca="1">OFFSET(TblConstr[[#This Row],[Hill]],-1,0)+TblConstr[[#This Row],[Ch_Hill]]</f>
        <v>20</v>
      </c>
      <c r="K90" s="398">
        <f ca="1">OFFSET(TblConstr[[#This Row],[Swamp]],-1,0)+TblConstr[[#This Row],[Ch_Swamp]]</f>
        <v>20</v>
      </c>
      <c r="L90" s="193">
        <f ca="1">OFFSET(TblConstr[[#This Row],[Cavern]],-1,0)+TblConstr[[#This Row],[Ch_Cavern]]</f>
        <v>20</v>
      </c>
      <c r="M90" s="194">
        <f ca="1">OFFSET(TblConstr[[#This Row],[Water]],-1,0)+TblConstr[[#This Row],[Ch_Water]]</f>
        <v>20</v>
      </c>
      <c r="N90" s="388">
        <f>TblRezone[[#This Row],[Hour]]</f>
        <v>87</v>
      </c>
      <c r="O90" s="187"/>
      <c r="P90" s="187"/>
      <c r="Q90" s="187"/>
      <c r="R90" s="187"/>
      <c r="S90" s="187"/>
      <c r="T90" s="187"/>
      <c r="U90" s="187"/>
      <c r="V90" s="187"/>
      <c r="W90" s="187"/>
      <c r="X90" s="187"/>
      <c r="Y90" s="187"/>
      <c r="Z90" s="187"/>
      <c r="AA90" s="187"/>
      <c r="AB90" s="187"/>
      <c r="AC90" s="187"/>
      <c r="AD90" s="187"/>
      <c r="AE90" s="187"/>
      <c r="AF90" s="187"/>
      <c r="AG90" s="187"/>
      <c r="AH90" s="53">
        <f ca="1">TblImps[[#This Row],[Time]]</f>
        <v>44814.333333333125</v>
      </c>
      <c r="AI90" s="188">
        <f ca="1">MIN(25%,(TblConstr[[#This Row],[Tot Fac]]+TblConstr[[#This Row],[Dest Fac]])/(TblConstr[[#This Row],[Land]]-TblExplore[[#This Row],[Land Bonus]]*20))</f>
        <v>0</v>
      </c>
      <c r="AJ90" s="188">
        <f ca="1">MIN(25%,(TblConstr[[#This Row],[Tot Fac]]+TblConstr[[#This Row],[Dest Fac]])/TblConstr[[#This Row],[Land]])</f>
        <v>0</v>
      </c>
      <c r="AK90" s="97">
        <f ca="1">TblProd[[#This Row],[Platinum]]</f>
        <v>572674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50"/>
      <c r="AV90" s="97">
        <f ca="1">ROUND((TblConstr[[#This Row],[Land]]-250 - IF(TblExplore[[#This Row],[Land Bonus]]&lt;&gt;0,20,0))*1.25 + 850 + 0,0)</f>
        <v>850</v>
      </c>
      <c r="AW90" s="97">
        <f ca="1">ROUND((TblConstr[[#This Row],[Land]]-250 - IF(TblExplore[[#This Row],[Land Bonus]]&lt;&gt;0,20,0))*0.285 + 87.5 + 0/4.25,0)</f>
        <v>88</v>
      </c>
      <c r="AX90" s="162"/>
      <c r="AY90" s="196" cm="1">
        <f t="array" aca="1" ref="AY90" ca="1">IF(TblConstr[[#This Row],[Hour]:[Hour]]&gt;12,OFFSET(TblConstr[[#This Row],[Hom]],-12,0),0)+OFFSET(TblConstr[[#This Row],[Tot Hom]],-1,0)-TblConstr[[#This Row],[Dest Hom]]</f>
        <v>10</v>
      </c>
      <c r="AZ90" s="197" cm="1">
        <f t="array" aca="1" ref="AZ90" ca="1">IF(TblConstr[[#This Row],[Hour]:[Hour]]&gt;12,OFFSET(TblConstr[[#This Row],[Alc]],-12,0),0)+OFFSET(TblConstr[[#This Row],[Tot Alc]],-1,0)-TblConstr[[#This Row],[Dest Alc]]</f>
        <v>30</v>
      </c>
      <c r="BA90" s="197" cm="1">
        <f t="array" aca="1" ref="BA90" ca="1">IF(TblConstr[[#This Row],[Hour]:[Hour]]&gt;12,OFFSET(TblConstr[[#This Row],[Far]],-12,0),0)+OFFSET(TblConstr[[#This Row],[Tot Farm]],-1,0)-TblConstr[[#This Row],[Dest Farm]]</f>
        <v>30</v>
      </c>
      <c r="BB90" s="197" cm="1">
        <f t="array" aca="1" ref="BB90" ca="1">IF(TblConstr[[#This Row],[Hour]:[Hour]]&gt;12,OFFSET(TblConstr[[#This Row],[Smi]],-12,0),0)+OFFSET(TblConstr[[#This Row],[Tot Smi]],-1,0)-TblConstr[[#This Row],[Dest Smi]]</f>
        <v>0</v>
      </c>
      <c r="BC90" s="197" cm="1">
        <f t="array" aca="1" ref="BC90" ca="1">IF(TblConstr[[#This Row],[Hour]:[Hour]]&gt;12,OFFSET(TblConstr[[#This Row],[Mas]],-12,0),0)+OFFSET(TblConstr[[#This Row],[Tot Mas]],-1,0)-TblConstr[[#This Row],[Dest Mas]]</f>
        <v>0</v>
      </c>
      <c r="BD90" s="198" cm="1">
        <f t="array" aca="1" ref="BD90" ca="1">IF(TblConstr[[#This Row],[Hour]:[Hour]]&gt;12,OFFSET(TblConstr[[#This Row],[Ly]],-12,0),0)+OFFSET(TblConstr[[#This Row],[Tot Ly]],-1,0)-TblConstr[[#This Row],[Dest Ly]]</f>
        <v>20</v>
      </c>
      <c r="BE90" s="198" cm="1">
        <f t="array" aca="1" ref="BE90" ca="1">IF(TblConstr[[#This Row],[Hour]:[Hour]]&gt;12,OFFSET(TblConstr[[#This Row],[Hav]],-12,0),0)+OFFSET(TblConstr[[#This Row],[Tot Hav]],-1,0)-TblConstr[[#This Row],[Dest Hav]]</f>
        <v>0</v>
      </c>
      <c r="BF90" s="392" cm="1">
        <f t="array" aca="1" ref="BF90" ca="1">IF(TblConstr[[#This Row],[Hour]:[Hour]]&gt;12,OFFSET(TblConstr[[#This Row],[OM]],-12,0),0)+OFFSET(TblConstr[[#This Row],[Tot OM]],-1,0)-TblConstr[[#This Row],[Dest OM]]</f>
        <v>0</v>
      </c>
      <c r="BG90" s="392" cm="1">
        <f t="array" aca="1" ref="BG90" ca="1">IF(TblConstr[[#This Row],[Hour]:[Hour]]&gt;12,OFFSET(TblConstr[[#This Row],[GN]],-12,0),0)+OFFSET(TblConstr[[#This Row],[Tot GN]],-1,0)-TblConstr[[#This Row],[Dest GN]]</f>
        <v>0</v>
      </c>
      <c r="BH90" s="396" cm="1">
        <f t="array" aca="1" ref="BH90" ca="1">IF(TblConstr[[#This Row],[Hour]:[Hour]]&gt;12,OFFSET(TblConstr[[#This Row],[Fac]],-12,0),0)+OFFSET(TblConstr[[#This Row],[Tot Fac]],-1,0)-TblConstr[[#This Row],[Dest Fac]]</f>
        <v>0</v>
      </c>
      <c r="BI90" s="396" cm="1">
        <f t="array" aca="1" ref="BI90" ca="1">IF(TblConstr[[#This Row],[Hour]:[Hour]]&gt;12,OFFSET(TblConstr[[#This Row],[GT]],-12,0),0)+OFFSET(TblConstr[[#This Row],[Tot GT]],-1,0)-TblConstr[[#This Row],[Dest GT]]</f>
        <v>0</v>
      </c>
      <c r="BJ90" s="396" cm="1">
        <f t="array" aca="1" ref="BJ90" ca="1">IF(TblConstr[[#This Row],[Hour]:[Hour]]&gt;12,OFFSET(TblConstr[[#This Row],[Bar]],-12,0),0)+OFFSET(TblConstr[[#This Row],[Tot Bar]],-1,0)-TblConstr[[#This Row],[Dest Bar]]</f>
        <v>0</v>
      </c>
      <c r="BK90" s="396" cm="1">
        <f t="array" aca="1" ref="BK90" ca="1">IF(TblConstr[[#This Row],[Hour]:[Hour]]&gt;12,OFFSET(TblConstr[[#This Row],[Shr]],-12,0),0)+OFFSET(TblConstr[[#This Row],[Tot Shr]],-1,0)-TblConstr[[#This Row],[Dest Shr]]</f>
        <v>0</v>
      </c>
      <c r="BL90" s="400" cm="1">
        <f t="array" aca="1" ref="BL90" ca="1">IF(TblConstr[[#This Row],[Hour]:[Hour]]&gt;12,OFFSET(TblConstr[[#This Row],[Tow]],-12,0),0)+OFFSET(TblConstr[[#This Row],[Tot Tow]],-1,0)-TblConstr[[#This Row],[Dest Tow]]</f>
        <v>0</v>
      </c>
      <c r="BM90" s="400" cm="1">
        <f t="array" aca="1" ref="BM90" ca="1">IF(TblConstr[[#This Row],[Hour]:[Hour]]&gt;12,OFFSET(TblConstr[[#This Row],[Tem]],-12,0),0)+OFFSET(TblConstr[[#This Row],[Tot Tem]],-1,0)-TblConstr[[#This Row],[Dest Tem]]</f>
        <v>0</v>
      </c>
      <c r="BN90" s="400" cm="1">
        <f t="array" aca="1" ref="BN90" ca="1">IF(TblConstr[[#This Row],[Hour]:[Hour]]&gt;12,OFFSET(TblConstr[[#This Row],[WG]],-12,0),0)+OFFSET(TblConstr[[#This Row],[Tot WG]],-1,0)-TblConstr[[#This Row],[Dest WG]]</f>
        <v>0</v>
      </c>
      <c r="BO90" s="199" cm="1">
        <f t="array" aca="1" ref="BO90" ca="1">IF(TblConstr[[#This Row],[Hour]:[Hour]]&gt;12,OFFSET(TblConstr[[#This Row],[DM]],-12,0),0)+OFFSET(TblConstr[[#This Row],[Tot DM]],-1,0)-TblConstr[[#This Row],[Dest DM]]</f>
        <v>0</v>
      </c>
      <c r="BP90" s="199" cm="1">
        <f t="array" aca="1" ref="BP90" ca="1">IF(TblConstr[[#This Row],[Hour]:[Hour]]&gt;12,OFFSET(TblConstr[[#This Row],[Sch]],-12,0),0)+OFFSET(TblConstr[[#This Row],[Tot Sch]],-1,0)-TblConstr[[#This Row],[Dest Sch]]</f>
        <v>0</v>
      </c>
      <c r="BQ90" s="200" cm="1">
        <f t="array" aca="1" ref="BQ90" ca="1">IF(TblConstr[[#This Row],[Hour]:[Hour]]&gt;12,OFFSET(TblConstr[[#This Row],[Doc]],-12,0),0)+OFFSET(TblConstr[[#This Row],[Tot Doc]],-1,0)-TblConstr[[#This Row],[Dest Doc]]</f>
        <v>0</v>
      </c>
      <c r="BR90" s="150"/>
      <c r="BS90" s="162"/>
      <c r="BT90" s="97">
        <f ca="1">TblConstr[[#This Row],[Land]]</f>
        <v>250</v>
      </c>
      <c r="BU90" s="167">
        <f ca="1">TblImps[[#This Row],[Time]]</f>
        <v>44814.333333333125</v>
      </c>
      <c r="BV90" s="150"/>
      <c r="BW90" s="187"/>
      <c r="BX90" s="187"/>
      <c r="BY90" s="187"/>
      <c r="BZ90" s="187"/>
      <c r="CA90" s="187"/>
      <c r="CB90" s="187"/>
      <c r="CC90" s="187"/>
      <c r="CD90" s="187"/>
      <c r="CE90" s="187"/>
      <c r="CF90" s="187"/>
      <c r="CG90" s="187"/>
      <c r="CH90" s="187"/>
      <c r="CI90" s="187"/>
      <c r="CJ90" s="187"/>
      <c r="CK90" s="187"/>
      <c r="CL90" s="187"/>
      <c r="CM90" s="187"/>
      <c r="CN90" s="187"/>
      <c r="CO90" s="187"/>
      <c r="CP90" s="150"/>
      <c r="CQ90" s="189">
        <f ca="1">-SUM(TblConstr[[#This Row],[Alc]:[Mas]])+SUM(TblConstr[[#This Row],[Dest Alc]:[Dest Mas]])+Rezone!L90+IF("Ch_"&amp; home_land=TblConstr[[#Headers],[Ch_Plain]],TblConstr[[#This Row],[Home Land]])+IF(TblConstr[[#This Row],[Hour]:[Hour]]&gt;12,OFFSET(TblExplore[[#This Row],[Plains Explore]],-12,0),0)</f>
        <v>0</v>
      </c>
      <c r="CR90" s="190">
        <f ca="1">-SUM(TblConstr[[#This Row],[Ly]:[Hav]])+SUM(TblConstr[[#This Row],[Dest Ly]:[Dest Hav]]) +Rezone!M90 + IF("Ch_"&amp; home_land=TblConstr[[#Headers],[Ch_Forest]],TblConstr[[#This Row],[Home Land]])+IF(TblConstr[[#This Row],[Hour]:[Hour]]&gt;12,OFFSET(TblExplore[[#This Row],[Forest Explore]],-12,0),0)</f>
        <v>0</v>
      </c>
      <c r="CS90" s="390">
        <f ca="1">-SUM(TblConstr[[#This Row],[OM]:[GN]])+SUM(TblConstr[[#This Row],[Dest OM]:[Dest GN]]) +Rezone!N90 + IF("Ch_"&amp; home_land=TblConstr[[#Headers],[Ch_Mountain]],TblConstr[[#This Row],[Home Land]])+IF(TblConstr[[#This Row],[Hour]:[Hour]]&gt;12,OFFSET(TblExplore[[#This Row],[Mountain Explore]],-12,0),0)</f>
        <v>0</v>
      </c>
      <c r="CT90" s="191">
        <f ca="1">-SUM(TblConstr[[#This Row],[Fac]:[Shr]])+SUM(TblConstr[[#This Row],[Dest Fac]:[Dest Shr]]) +Rezone!O90 + IF("Ch_" &amp; home_land=TblConstr[[#Headers],[Ch_Hill]],TblConstr[[#This Row],[Home Land]])+IF(TblConstr[[#This Row],[Hour]:[Hour]]&gt;12,OFFSET(TblExplore[[#This Row],[Hill Explore]],-12,0),0)</f>
        <v>0</v>
      </c>
      <c r="CU90" s="192">
        <f ca="1">-SUM(TblConstr[[#This Row],[Tow]:[WG]])+SUM(TblConstr[[#This Row],[Dest Tow]:[Dest WG]]) +Rezone!P90 + IF("Ch_" &amp; home_land=TblConstr[[#Headers],[Ch_Swamp]],TblConstr[[#This Row],[Home Land]])+IF(TblConstr[[#This Row],[Hour]:[Hour]]&gt;12,OFFSET(TblExplore[[#This Row],[Swamp Explore]],-12,0),0)</f>
        <v>0</v>
      </c>
      <c r="CV90" s="193">
        <f ca="1" xml:space="preserve"> - SUM(TblConstr[[#This Row],[DM]:[Sch]])+SUM(TblConstr[[#This Row],[Dest DM]:[Dest Sch]]) +Rezone!Q90 + IF("Ch_" &amp; home_land=TblConstr[[#Headers],[Ch_Cavern]],TblConstr[[#This Row],[Home Land]])+IF(TblConstr[[#This Row],[Hour]:[Hour]]&gt;12,OFFSET(TblExplore[[#This Row],[Cavern Explore]],-12,0),0)</f>
        <v>0</v>
      </c>
      <c r="CW90" s="194">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50"/>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83">
        <f>TblRezone[[#This Row],[Hour]]</f>
        <v>88</v>
      </c>
      <c r="B91" s="184">
        <f ca="1">SUM(TblConstr[[#This Row],[Plain]:[Water]])</f>
        <v>160</v>
      </c>
      <c r="C91" s="185">
        <f ca="1">SUM(TblConstr[[#This Row],[Tot Hom]:[Tot Doc]])</f>
        <v>90</v>
      </c>
      <c r="D91" s="185">
        <f t="shared" si="21"/>
        <v>0</v>
      </c>
      <c r="E91" s="186"/>
      <c r="F91" s="62">
        <f ca="1">TblConstr[[#This Row],[Barren]]+TblConstr[[#This Row],[Buildings]]+TblConstr[[#This Row],[Incoming]]</f>
        <v>250</v>
      </c>
      <c r="G91" s="195">
        <f ca="1">OFFSET(TblConstr[[#This Row],[Plain]],-1,0)+TblConstr[[#This Row],[Ch_Plain]]</f>
        <v>40</v>
      </c>
      <c r="H91" s="190">
        <f ca="1">OFFSET(TblConstr[[#This Row],[Forest]],-1,0)+TblConstr[[#This Row],[Ch_Forest]]</f>
        <v>20</v>
      </c>
      <c r="I91" s="390">
        <f ca="1">OFFSET(TblConstr[[#This Row],[Mountain]],-1,0)+TblConstr[[#This Row],[Ch_Mountain]]</f>
        <v>20</v>
      </c>
      <c r="J91" s="394">
        <f ca="1">OFFSET(TblConstr[[#This Row],[Hill]],-1,0)+TblConstr[[#This Row],[Ch_Hill]]</f>
        <v>20</v>
      </c>
      <c r="K91" s="398">
        <f ca="1">OFFSET(TblConstr[[#This Row],[Swamp]],-1,0)+TblConstr[[#This Row],[Ch_Swamp]]</f>
        <v>20</v>
      </c>
      <c r="L91" s="193">
        <f ca="1">OFFSET(TblConstr[[#This Row],[Cavern]],-1,0)+TblConstr[[#This Row],[Ch_Cavern]]</f>
        <v>20</v>
      </c>
      <c r="M91" s="194">
        <f ca="1">OFFSET(TblConstr[[#This Row],[Water]],-1,0)+TblConstr[[#This Row],[Ch_Water]]</f>
        <v>20</v>
      </c>
      <c r="N91" s="388">
        <f>TblRezone[[#This Row],[Hour]]</f>
        <v>88</v>
      </c>
      <c r="O91" s="187"/>
      <c r="P91" s="187"/>
      <c r="Q91" s="187"/>
      <c r="R91" s="187"/>
      <c r="S91" s="187"/>
      <c r="T91" s="187"/>
      <c r="U91" s="187"/>
      <c r="V91" s="187"/>
      <c r="W91" s="187"/>
      <c r="X91" s="187"/>
      <c r="Y91" s="187"/>
      <c r="Z91" s="187"/>
      <c r="AA91" s="187"/>
      <c r="AB91" s="187"/>
      <c r="AC91" s="187"/>
      <c r="AD91" s="187"/>
      <c r="AE91" s="187"/>
      <c r="AF91" s="187"/>
      <c r="AG91" s="187"/>
      <c r="AH91" s="53">
        <f ca="1">TblImps[[#This Row],[Time]]</f>
        <v>44814.374999999789</v>
      </c>
      <c r="AI91" s="188">
        <f ca="1">MIN(25%,(TblConstr[[#This Row],[Tot Fac]]+TblConstr[[#This Row],[Dest Fac]])/(TblConstr[[#This Row],[Land]]-TblExplore[[#This Row],[Land Bonus]]*20))</f>
        <v>0</v>
      </c>
      <c r="AJ91" s="188">
        <f ca="1">MIN(25%,(TblConstr[[#This Row],[Tot Fac]]+TblConstr[[#This Row],[Dest Fac]])/TblConstr[[#This Row],[Land]])</f>
        <v>0</v>
      </c>
      <c r="AK91" s="97">
        <f ca="1">TblProd[[#This Row],[Platinum]]</f>
        <v>578160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50"/>
      <c r="AV91" s="97">
        <f ca="1">ROUND((TblConstr[[#This Row],[Land]]-250 - IF(TblExplore[[#This Row],[Land Bonus]]&lt;&gt;0,20,0))*1.25 + 850 + 0,0)</f>
        <v>850</v>
      </c>
      <c r="AW91" s="97">
        <f ca="1">ROUND((TblConstr[[#This Row],[Land]]-250 - IF(TblExplore[[#This Row],[Land Bonus]]&lt;&gt;0,20,0))*0.285 + 87.5 + 0/4.25,0)</f>
        <v>88</v>
      </c>
      <c r="AX91" s="162"/>
      <c r="AY91" s="196" cm="1">
        <f t="array" aca="1" ref="AY91" ca="1">IF(TblConstr[[#This Row],[Hour]:[Hour]]&gt;12,OFFSET(TblConstr[[#This Row],[Hom]],-12,0),0)+OFFSET(TblConstr[[#This Row],[Tot Hom]],-1,0)-TblConstr[[#This Row],[Dest Hom]]</f>
        <v>10</v>
      </c>
      <c r="AZ91" s="197" cm="1">
        <f t="array" aca="1" ref="AZ91" ca="1">IF(TblConstr[[#This Row],[Hour]:[Hour]]&gt;12,OFFSET(TblConstr[[#This Row],[Alc]],-12,0),0)+OFFSET(TblConstr[[#This Row],[Tot Alc]],-1,0)-TblConstr[[#This Row],[Dest Alc]]</f>
        <v>30</v>
      </c>
      <c r="BA91" s="197" cm="1">
        <f t="array" aca="1" ref="BA91" ca="1">IF(TblConstr[[#This Row],[Hour]:[Hour]]&gt;12,OFFSET(TblConstr[[#This Row],[Far]],-12,0),0)+OFFSET(TblConstr[[#This Row],[Tot Farm]],-1,0)-TblConstr[[#This Row],[Dest Farm]]</f>
        <v>30</v>
      </c>
      <c r="BB91" s="197" cm="1">
        <f t="array" aca="1" ref="BB91" ca="1">IF(TblConstr[[#This Row],[Hour]:[Hour]]&gt;12,OFFSET(TblConstr[[#This Row],[Smi]],-12,0),0)+OFFSET(TblConstr[[#This Row],[Tot Smi]],-1,0)-TblConstr[[#This Row],[Dest Smi]]</f>
        <v>0</v>
      </c>
      <c r="BC91" s="197" cm="1">
        <f t="array" aca="1" ref="BC91" ca="1">IF(TblConstr[[#This Row],[Hour]:[Hour]]&gt;12,OFFSET(TblConstr[[#This Row],[Mas]],-12,0),0)+OFFSET(TblConstr[[#This Row],[Tot Mas]],-1,0)-TblConstr[[#This Row],[Dest Mas]]</f>
        <v>0</v>
      </c>
      <c r="BD91" s="198" cm="1">
        <f t="array" aca="1" ref="BD91" ca="1">IF(TblConstr[[#This Row],[Hour]:[Hour]]&gt;12,OFFSET(TblConstr[[#This Row],[Ly]],-12,0),0)+OFFSET(TblConstr[[#This Row],[Tot Ly]],-1,0)-TblConstr[[#This Row],[Dest Ly]]</f>
        <v>20</v>
      </c>
      <c r="BE91" s="198" cm="1">
        <f t="array" aca="1" ref="BE91" ca="1">IF(TblConstr[[#This Row],[Hour]:[Hour]]&gt;12,OFFSET(TblConstr[[#This Row],[Hav]],-12,0),0)+OFFSET(TblConstr[[#This Row],[Tot Hav]],-1,0)-TblConstr[[#This Row],[Dest Hav]]</f>
        <v>0</v>
      </c>
      <c r="BF91" s="392" cm="1">
        <f t="array" aca="1" ref="BF91" ca="1">IF(TblConstr[[#This Row],[Hour]:[Hour]]&gt;12,OFFSET(TblConstr[[#This Row],[OM]],-12,0),0)+OFFSET(TblConstr[[#This Row],[Tot OM]],-1,0)-TblConstr[[#This Row],[Dest OM]]</f>
        <v>0</v>
      </c>
      <c r="BG91" s="392" cm="1">
        <f t="array" aca="1" ref="BG91" ca="1">IF(TblConstr[[#This Row],[Hour]:[Hour]]&gt;12,OFFSET(TblConstr[[#This Row],[GN]],-12,0),0)+OFFSET(TblConstr[[#This Row],[Tot GN]],-1,0)-TblConstr[[#This Row],[Dest GN]]</f>
        <v>0</v>
      </c>
      <c r="BH91" s="396" cm="1">
        <f t="array" aca="1" ref="BH91" ca="1">IF(TblConstr[[#This Row],[Hour]:[Hour]]&gt;12,OFFSET(TblConstr[[#This Row],[Fac]],-12,0),0)+OFFSET(TblConstr[[#This Row],[Tot Fac]],-1,0)-TblConstr[[#This Row],[Dest Fac]]</f>
        <v>0</v>
      </c>
      <c r="BI91" s="396" cm="1">
        <f t="array" aca="1" ref="BI91" ca="1">IF(TblConstr[[#This Row],[Hour]:[Hour]]&gt;12,OFFSET(TblConstr[[#This Row],[GT]],-12,0),0)+OFFSET(TblConstr[[#This Row],[Tot GT]],-1,0)-TblConstr[[#This Row],[Dest GT]]</f>
        <v>0</v>
      </c>
      <c r="BJ91" s="396" cm="1">
        <f t="array" aca="1" ref="BJ91" ca="1">IF(TblConstr[[#This Row],[Hour]:[Hour]]&gt;12,OFFSET(TblConstr[[#This Row],[Bar]],-12,0),0)+OFFSET(TblConstr[[#This Row],[Tot Bar]],-1,0)-TblConstr[[#This Row],[Dest Bar]]</f>
        <v>0</v>
      </c>
      <c r="BK91" s="396" cm="1">
        <f t="array" aca="1" ref="BK91" ca="1">IF(TblConstr[[#This Row],[Hour]:[Hour]]&gt;12,OFFSET(TblConstr[[#This Row],[Shr]],-12,0),0)+OFFSET(TblConstr[[#This Row],[Tot Shr]],-1,0)-TblConstr[[#This Row],[Dest Shr]]</f>
        <v>0</v>
      </c>
      <c r="BL91" s="400" cm="1">
        <f t="array" aca="1" ref="BL91" ca="1">IF(TblConstr[[#This Row],[Hour]:[Hour]]&gt;12,OFFSET(TblConstr[[#This Row],[Tow]],-12,0),0)+OFFSET(TblConstr[[#This Row],[Tot Tow]],-1,0)-TblConstr[[#This Row],[Dest Tow]]</f>
        <v>0</v>
      </c>
      <c r="BM91" s="400" cm="1">
        <f t="array" aca="1" ref="BM91" ca="1">IF(TblConstr[[#This Row],[Hour]:[Hour]]&gt;12,OFFSET(TblConstr[[#This Row],[Tem]],-12,0),0)+OFFSET(TblConstr[[#This Row],[Tot Tem]],-1,0)-TblConstr[[#This Row],[Dest Tem]]</f>
        <v>0</v>
      </c>
      <c r="BN91" s="400" cm="1">
        <f t="array" aca="1" ref="BN91" ca="1">IF(TblConstr[[#This Row],[Hour]:[Hour]]&gt;12,OFFSET(TblConstr[[#This Row],[WG]],-12,0),0)+OFFSET(TblConstr[[#This Row],[Tot WG]],-1,0)-TblConstr[[#This Row],[Dest WG]]</f>
        <v>0</v>
      </c>
      <c r="BO91" s="199" cm="1">
        <f t="array" aca="1" ref="BO91" ca="1">IF(TblConstr[[#This Row],[Hour]:[Hour]]&gt;12,OFFSET(TblConstr[[#This Row],[DM]],-12,0),0)+OFFSET(TblConstr[[#This Row],[Tot DM]],-1,0)-TblConstr[[#This Row],[Dest DM]]</f>
        <v>0</v>
      </c>
      <c r="BP91" s="199" cm="1">
        <f t="array" aca="1" ref="BP91" ca="1">IF(TblConstr[[#This Row],[Hour]:[Hour]]&gt;12,OFFSET(TblConstr[[#This Row],[Sch]],-12,0),0)+OFFSET(TblConstr[[#This Row],[Tot Sch]],-1,0)-TblConstr[[#This Row],[Dest Sch]]</f>
        <v>0</v>
      </c>
      <c r="BQ91" s="200" cm="1">
        <f t="array" aca="1" ref="BQ91" ca="1">IF(TblConstr[[#This Row],[Hour]:[Hour]]&gt;12,OFFSET(TblConstr[[#This Row],[Doc]],-12,0),0)+OFFSET(TblConstr[[#This Row],[Tot Doc]],-1,0)-TblConstr[[#This Row],[Dest Doc]]</f>
        <v>0</v>
      </c>
      <c r="BR91" s="150"/>
      <c r="BS91" s="162"/>
      <c r="BT91" s="97">
        <f ca="1">TblConstr[[#This Row],[Land]]</f>
        <v>250</v>
      </c>
      <c r="BU91" s="167">
        <f ca="1">TblImps[[#This Row],[Time]]</f>
        <v>44814.374999999789</v>
      </c>
      <c r="BV91" s="150"/>
      <c r="BW91" s="187"/>
      <c r="BX91" s="187"/>
      <c r="BY91" s="187"/>
      <c r="BZ91" s="187"/>
      <c r="CA91" s="187"/>
      <c r="CB91" s="187"/>
      <c r="CC91" s="187"/>
      <c r="CD91" s="187"/>
      <c r="CE91" s="187"/>
      <c r="CF91" s="187"/>
      <c r="CG91" s="187"/>
      <c r="CH91" s="187"/>
      <c r="CI91" s="187"/>
      <c r="CJ91" s="187"/>
      <c r="CK91" s="187"/>
      <c r="CL91" s="187"/>
      <c r="CM91" s="187"/>
      <c r="CN91" s="187"/>
      <c r="CO91" s="187"/>
      <c r="CP91" s="150"/>
      <c r="CQ91" s="189">
        <f ca="1">-SUM(TblConstr[[#This Row],[Alc]:[Mas]])+SUM(TblConstr[[#This Row],[Dest Alc]:[Dest Mas]])+Rezone!L91+IF("Ch_"&amp; home_land=TblConstr[[#Headers],[Ch_Plain]],TblConstr[[#This Row],[Home Land]])+IF(TblConstr[[#This Row],[Hour]:[Hour]]&gt;12,OFFSET(TblExplore[[#This Row],[Plains Explore]],-12,0),0)</f>
        <v>0</v>
      </c>
      <c r="CR91" s="190">
        <f ca="1">-SUM(TblConstr[[#This Row],[Ly]:[Hav]])+SUM(TblConstr[[#This Row],[Dest Ly]:[Dest Hav]]) +Rezone!M91 + IF("Ch_"&amp; home_land=TblConstr[[#Headers],[Ch_Forest]],TblConstr[[#This Row],[Home Land]])+IF(TblConstr[[#This Row],[Hour]:[Hour]]&gt;12,OFFSET(TblExplore[[#This Row],[Forest Explore]],-12,0),0)</f>
        <v>0</v>
      </c>
      <c r="CS91" s="390">
        <f ca="1">-SUM(TblConstr[[#This Row],[OM]:[GN]])+SUM(TblConstr[[#This Row],[Dest OM]:[Dest GN]]) +Rezone!N91 + IF("Ch_"&amp; home_land=TblConstr[[#Headers],[Ch_Mountain]],TblConstr[[#This Row],[Home Land]])+IF(TblConstr[[#This Row],[Hour]:[Hour]]&gt;12,OFFSET(TblExplore[[#This Row],[Mountain Explore]],-12,0),0)</f>
        <v>0</v>
      </c>
      <c r="CT91" s="191">
        <f ca="1">-SUM(TblConstr[[#This Row],[Fac]:[Shr]])+SUM(TblConstr[[#This Row],[Dest Fac]:[Dest Shr]]) +Rezone!O91 + IF("Ch_" &amp; home_land=TblConstr[[#Headers],[Ch_Hill]],TblConstr[[#This Row],[Home Land]])+IF(TblConstr[[#This Row],[Hour]:[Hour]]&gt;12,OFFSET(TblExplore[[#This Row],[Hill Explore]],-12,0),0)</f>
        <v>0</v>
      </c>
      <c r="CU91" s="192">
        <f ca="1">-SUM(TblConstr[[#This Row],[Tow]:[WG]])+SUM(TblConstr[[#This Row],[Dest Tow]:[Dest WG]]) +Rezone!P91 + IF("Ch_" &amp; home_land=TblConstr[[#Headers],[Ch_Swamp]],TblConstr[[#This Row],[Home Land]])+IF(TblConstr[[#This Row],[Hour]:[Hour]]&gt;12,OFFSET(TblExplore[[#This Row],[Swamp Explore]],-12,0),0)</f>
        <v>0</v>
      </c>
      <c r="CV91" s="193">
        <f ca="1" xml:space="preserve"> - SUM(TblConstr[[#This Row],[DM]:[Sch]])+SUM(TblConstr[[#This Row],[Dest DM]:[Dest Sch]]) +Rezone!Q91 + IF("Ch_" &amp; home_land=TblConstr[[#Headers],[Ch_Cavern]],TblConstr[[#This Row],[Home Land]])+IF(TblConstr[[#This Row],[Hour]:[Hour]]&gt;12,OFFSET(TblExplore[[#This Row],[Cavern Explore]],-12,0),0)</f>
        <v>0</v>
      </c>
      <c r="CW91" s="194">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50"/>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83">
        <f>TblRezone[[#This Row],[Hour]]</f>
        <v>89</v>
      </c>
      <c r="B92" s="184">
        <f ca="1">SUM(TblConstr[[#This Row],[Plain]:[Water]])</f>
        <v>160</v>
      </c>
      <c r="C92" s="185">
        <f ca="1">SUM(TblConstr[[#This Row],[Tot Hom]:[Tot Doc]])</f>
        <v>90</v>
      </c>
      <c r="D92" s="185">
        <f t="shared" si="21"/>
        <v>0</v>
      </c>
      <c r="E92" s="186"/>
      <c r="F92" s="62">
        <f ca="1">TblConstr[[#This Row],[Barren]]+TblConstr[[#This Row],[Buildings]]+TblConstr[[#This Row],[Incoming]]</f>
        <v>250</v>
      </c>
      <c r="G92" s="195">
        <f ca="1">OFFSET(TblConstr[[#This Row],[Plain]],-1,0)+TblConstr[[#This Row],[Ch_Plain]]</f>
        <v>40</v>
      </c>
      <c r="H92" s="190">
        <f ca="1">OFFSET(TblConstr[[#This Row],[Forest]],-1,0)+TblConstr[[#This Row],[Ch_Forest]]</f>
        <v>20</v>
      </c>
      <c r="I92" s="390">
        <f ca="1">OFFSET(TblConstr[[#This Row],[Mountain]],-1,0)+TblConstr[[#This Row],[Ch_Mountain]]</f>
        <v>20</v>
      </c>
      <c r="J92" s="394">
        <f ca="1">OFFSET(TblConstr[[#This Row],[Hill]],-1,0)+TblConstr[[#This Row],[Ch_Hill]]</f>
        <v>20</v>
      </c>
      <c r="K92" s="398">
        <f ca="1">OFFSET(TblConstr[[#This Row],[Swamp]],-1,0)+TblConstr[[#This Row],[Ch_Swamp]]</f>
        <v>20</v>
      </c>
      <c r="L92" s="193">
        <f ca="1">OFFSET(TblConstr[[#This Row],[Cavern]],-1,0)+TblConstr[[#This Row],[Ch_Cavern]]</f>
        <v>20</v>
      </c>
      <c r="M92" s="194">
        <f ca="1">OFFSET(TblConstr[[#This Row],[Water]],-1,0)+TblConstr[[#This Row],[Ch_Water]]</f>
        <v>20</v>
      </c>
      <c r="N92" s="388">
        <f>TblRezone[[#This Row],[Hour]]</f>
        <v>89</v>
      </c>
      <c r="O92" s="187"/>
      <c r="P92" s="187"/>
      <c r="Q92" s="187"/>
      <c r="R92" s="187"/>
      <c r="S92" s="187"/>
      <c r="T92" s="187"/>
      <c r="U92" s="187"/>
      <c r="V92" s="187"/>
      <c r="W92" s="187"/>
      <c r="X92" s="187"/>
      <c r="Y92" s="187"/>
      <c r="Z92" s="187"/>
      <c r="AA92" s="187"/>
      <c r="AB92" s="187"/>
      <c r="AC92" s="187"/>
      <c r="AD92" s="187"/>
      <c r="AE92" s="187"/>
      <c r="AF92" s="187"/>
      <c r="AG92" s="187"/>
      <c r="AH92" s="53">
        <f ca="1">TblImps[[#This Row],[Time]]</f>
        <v>44814.416666666453</v>
      </c>
      <c r="AI92" s="188">
        <f ca="1">MIN(25%,(TblConstr[[#This Row],[Tot Fac]]+TblConstr[[#This Row],[Dest Fac]])/(TblConstr[[#This Row],[Land]]-TblExplore[[#This Row],[Land Bonus]]*20))</f>
        <v>0</v>
      </c>
      <c r="AJ92" s="188">
        <f ca="1">MIN(25%,(TblConstr[[#This Row],[Tot Fac]]+TblConstr[[#This Row],[Dest Fac]])/TblConstr[[#This Row],[Land]])</f>
        <v>0</v>
      </c>
      <c r="AK92" s="97">
        <f ca="1">TblProd[[#This Row],[Platinum]]</f>
        <v>583646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50"/>
      <c r="AV92" s="97">
        <f ca="1">ROUND((TblConstr[[#This Row],[Land]]-250 - IF(TblExplore[[#This Row],[Land Bonus]]&lt;&gt;0,20,0))*1.25 + 850 + 0,0)</f>
        <v>850</v>
      </c>
      <c r="AW92" s="97">
        <f ca="1">ROUND((TblConstr[[#This Row],[Land]]-250 - IF(TblExplore[[#This Row],[Land Bonus]]&lt;&gt;0,20,0))*0.285 + 87.5 + 0/4.25,0)</f>
        <v>88</v>
      </c>
      <c r="AX92" s="162"/>
      <c r="AY92" s="196" cm="1">
        <f t="array" aca="1" ref="AY92" ca="1">IF(TblConstr[[#This Row],[Hour]:[Hour]]&gt;12,OFFSET(TblConstr[[#This Row],[Hom]],-12,0),0)+OFFSET(TblConstr[[#This Row],[Tot Hom]],-1,0)-TblConstr[[#This Row],[Dest Hom]]</f>
        <v>10</v>
      </c>
      <c r="AZ92" s="197" cm="1">
        <f t="array" aca="1" ref="AZ92" ca="1">IF(TblConstr[[#This Row],[Hour]:[Hour]]&gt;12,OFFSET(TblConstr[[#This Row],[Alc]],-12,0),0)+OFFSET(TblConstr[[#This Row],[Tot Alc]],-1,0)-TblConstr[[#This Row],[Dest Alc]]</f>
        <v>30</v>
      </c>
      <c r="BA92" s="197" cm="1">
        <f t="array" aca="1" ref="BA92" ca="1">IF(TblConstr[[#This Row],[Hour]:[Hour]]&gt;12,OFFSET(TblConstr[[#This Row],[Far]],-12,0),0)+OFFSET(TblConstr[[#This Row],[Tot Farm]],-1,0)-TblConstr[[#This Row],[Dest Farm]]</f>
        <v>30</v>
      </c>
      <c r="BB92" s="197" cm="1">
        <f t="array" aca="1" ref="BB92" ca="1">IF(TblConstr[[#This Row],[Hour]:[Hour]]&gt;12,OFFSET(TblConstr[[#This Row],[Smi]],-12,0),0)+OFFSET(TblConstr[[#This Row],[Tot Smi]],-1,0)-TblConstr[[#This Row],[Dest Smi]]</f>
        <v>0</v>
      </c>
      <c r="BC92" s="197" cm="1">
        <f t="array" aca="1" ref="BC92" ca="1">IF(TblConstr[[#This Row],[Hour]:[Hour]]&gt;12,OFFSET(TblConstr[[#This Row],[Mas]],-12,0),0)+OFFSET(TblConstr[[#This Row],[Tot Mas]],-1,0)-TblConstr[[#This Row],[Dest Mas]]</f>
        <v>0</v>
      </c>
      <c r="BD92" s="198" cm="1">
        <f t="array" aca="1" ref="BD92" ca="1">IF(TblConstr[[#This Row],[Hour]:[Hour]]&gt;12,OFFSET(TblConstr[[#This Row],[Ly]],-12,0),0)+OFFSET(TblConstr[[#This Row],[Tot Ly]],-1,0)-TblConstr[[#This Row],[Dest Ly]]</f>
        <v>20</v>
      </c>
      <c r="BE92" s="198" cm="1">
        <f t="array" aca="1" ref="BE92" ca="1">IF(TblConstr[[#This Row],[Hour]:[Hour]]&gt;12,OFFSET(TblConstr[[#This Row],[Hav]],-12,0),0)+OFFSET(TblConstr[[#This Row],[Tot Hav]],-1,0)-TblConstr[[#This Row],[Dest Hav]]</f>
        <v>0</v>
      </c>
      <c r="BF92" s="392" cm="1">
        <f t="array" aca="1" ref="BF92" ca="1">IF(TblConstr[[#This Row],[Hour]:[Hour]]&gt;12,OFFSET(TblConstr[[#This Row],[OM]],-12,0),0)+OFFSET(TblConstr[[#This Row],[Tot OM]],-1,0)-TblConstr[[#This Row],[Dest OM]]</f>
        <v>0</v>
      </c>
      <c r="BG92" s="392" cm="1">
        <f t="array" aca="1" ref="BG92" ca="1">IF(TblConstr[[#This Row],[Hour]:[Hour]]&gt;12,OFFSET(TblConstr[[#This Row],[GN]],-12,0),0)+OFFSET(TblConstr[[#This Row],[Tot GN]],-1,0)-TblConstr[[#This Row],[Dest GN]]</f>
        <v>0</v>
      </c>
      <c r="BH92" s="396" cm="1">
        <f t="array" aca="1" ref="BH92" ca="1">IF(TblConstr[[#This Row],[Hour]:[Hour]]&gt;12,OFFSET(TblConstr[[#This Row],[Fac]],-12,0),0)+OFFSET(TblConstr[[#This Row],[Tot Fac]],-1,0)-TblConstr[[#This Row],[Dest Fac]]</f>
        <v>0</v>
      </c>
      <c r="BI92" s="396" cm="1">
        <f t="array" aca="1" ref="BI92" ca="1">IF(TblConstr[[#This Row],[Hour]:[Hour]]&gt;12,OFFSET(TblConstr[[#This Row],[GT]],-12,0),0)+OFFSET(TblConstr[[#This Row],[Tot GT]],-1,0)-TblConstr[[#This Row],[Dest GT]]</f>
        <v>0</v>
      </c>
      <c r="BJ92" s="396" cm="1">
        <f t="array" aca="1" ref="BJ92" ca="1">IF(TblConstr[[#This Row],[Hour]:[Hour]]&gt;12,OFFSET(TblConstr[[#This Row],[Bar]],-12,0),0)+OFFSET(TblConstr[[#This Row],[Tot Bar]],-1,0)-TblConstr[[#This Row],[Dest Bar]]</f>
        <v>0</v>
      </c>
      <c r="BK92" s="396" cm="1">
        <f t="array" aca="1" ref="BK92" ca="1">IF(TblConstr[[#This Row],[Hour]:[Hour]]&gt;12,OFFSET(TblConstr[[#This Row],[Shr]],-12,0),0)+OFFSET(TblConstr[[#This Row],[Tot Shr]],-1,0)-TblConstr[[#This Row],[Dest Shr]]</f>
        <v>0</v>
      </c>
      <c r="BL92" s="400" cm="1">
        <f t="array" aca="1" ref="BL92" ca="1">IF(TblConstr[[#This Row],[Hour]:[Hour]]&gt;12,OFFSET(TblConstr[[#This Row],[Tow]],-12,0),0)+OFFSET(TblConstr[[#This Row],[Tot Tow]],-1,0)-TblConstr[[#This Row],[Dest Tow]]</f>
        <v>0</v>
      </c>
      <c r="BM92" s="400" cm="1">
        <f t="array" aca="1" ref="BM92" ca="1">IF(TblConstr[[#This Row],[Hour]:[Hour]]&gt;12,OFFSET(TblConstr[[#This Row],[Tem]],-12,0),0)+OFFSET(TblConstr[[#This Row],[Tot Tem]],-1,0)-TblConstr[[#This Row],[Dest Tem]]</f>
        <v>0</v>
      </c>
      <c r="BN92" s="400" cm="1">
        <f t="array" aca="1" ref="BN92" ca="1">IF(TblConstr[[#This Row],[Hour]:[Hour]]&gt;12,OFFSET(TblConstr[[#This Row],[WG]],-12,0),0)+OFFSET(TblConstr[[#This Row],[Tot WG]],-1,0)-TblConstr[[#This Row],[Dest WG]]</f>
        <v>0</v>
      </c>
      <c r="BO92" s="199" cm="1">
        <f t="array" aca="1" ref="BO92" ca="1">IF(TblConstr[[#This Row],[Hour]:[Hour]]&gt;12,OFFSET(TblConstr[[#This Row],[DM]],-12,0),0)+OFFSET(TblConstr[[#This Row],[Tot DM]],-1,0)-TblConstr[[#This Row],[Dest DM]]</f>
        <v>0</v>
      </c>
      <c r="BP92" s="199" cm="1">
        <f t="array" aca="1" ref="BP92" ca="1">IF(TblConstr[[#This Row],[Hour]:[Hour]]&gt;12,OFFSET(TblConstr[[#This Row],[Sch]],-12,0),0)+OFFSET(TblConstr[[#This Row],[Tot Sch]],-1,0)-TblConstr[[#This Row],[Dest Sch]]</f>
        <v>0</v>
      </c>
      <c r="BQ92" s="200" cm="1">
        <f t="array" aca="1" ref="BQ92" ca="1">IF(TblConstr[[#This Row],[Hour]:[Hour]]&gt;12,OFFSET(TblConstr[[#This Row],[Doc]],-12,0),0)+OFFSET(TblConstr[[#This Row],[Tot Doc]],-1,0)-TblConstr[[#This Row],[Dest Doc]]</f>
        <v>0</v>
      </c>
      <c r="BR92" s="150"/>
      <c r="BS92" s="162"/>
      <c r="BT92" s="97">
        <f ca="1">TblConstr[[#This Row],[Land]]</f>
        <v>250</v>
      </c>
      <c r="BU92" s="167">
        <f ca="1">TblImps[[#This Row],[Time]]</f>
        <v>44814.416666666453</v>
      </c>
      <c r="BV92" s="150"/>
      <c r="BW92" s="187"/>
      <c r="BX92" s="187"/>
      <c r="BY92" s="187"/>
      <c r="BZ92" s="187"/>
      <c r="CA92" s="187"/>
      <c r="CB92" s="187"/>
      <c r="CC92" s="187"/>
      <c r="CD92" s="187"/>
      <c r="CE92" s="187"/>
      <c r="CF92" s="187"/>
      <c r="CG92" s="187"/>
      <c r="CH92" s="187"/>
      <c r="CI92" s="187"/>
      <c r="CJ92" s="187"/>
      <c r="CK92" s="187"/>
      <c r="CL92" s="187"/>
      <c r="CM92" s="187"/>
      <c r="CN92" s="187"/>
      <c r="CO92" s="187"/>
      <c r="CP92" s="150"/>
      <c r="CQ92" s="189">
        <f ca="1">-SUM(TblConstr[[#This Row],[Alc]:[Mas]])+SUM(TblConstr[[#This Row],[Dest Alc]:[Dest Mas]])+Rezone!L92+IF("Ch_"&amp; home_land=TblConstr[[#Headers],[Ch_Plain]],TblConstr[[#This Row],[Home Land]])+IF(TblConstr[[#This Row],[Hour]:[Hour]]&gt;12,OFFSET(TblExplore[[#This Row],[Plains Explore]],-12,0),0)</f>
        <v>0</v>
      </c>
      <c r="CR92" s="190">
        <f ca="1">-SUM(TblConstr[[#This Row],[Ly]:[Hav]])+SUM(TblConstr[[#This Row],[Dest Ly]:[Dest Hav]]) +Rezone!M92 + IF("Ch_"&amp; home_land=TblConstr[[#Headers],[Ch_Forest]],TblConstr[[#This Row],[Home Land]])+IF(TblConstr[[#This Row],[Hour]:[Hour]]&gt;12,OFFSET(TblExplore[[#This Row],[Forest Explore]],-12,0),0)</f>
        <v>0</v>
      </c>
      <c r="CS92" s="390">
        <f ca="1">-SUM(TblConstr[[#This Row],[OM]:[GN]])+SUM(TblConstr[[#This Row],[Dest OM]:[Dest GN]]) +Rezone!N92 + IF("Ch_"&amp; home_land=TblConstr[[#Headers],[Ch_Mountain]],TblConstr[[#This Row],[Home Land]])+IF(TblConstr[[#This Row],[Hour]:[Hour]]&gt;12,OFFSET(TblExplore[[#This Row],[Mountain Explore]],-12,0),0)</f>
        <v>0</v>
      </c>
      <c r="CT92" s="191">
        <f ca="1">-SUM(TblConstr[[#This Row],[Fac]:[Shr]])+SUM(TblConstr[[#This Row],[Dest Fac]:[Dest Shr]]) +Rezone!O92 + IF("Ch_" &amp; home_land=TblConstr[[#Headers],[Ch_Hill]],TblConstr[[#This Row],[Home Land]])+IF(TblConstr[[#This Row],[Hour]:[Hour]]&gt;12,OFFSET(TblExplore[[#This Row],[Hill Explore]],-12,0),0)</f>
        <v>0</v>
      </c>
      <c r="CU92" s="192">
        <f ca="1">-SUM(TblConstr[[#This Row],[Tow]:[WG]])+SUM(TblConstr[[#This Row],[Dest Tow]:[Dest WG]]) +Rezone!P92 + IF("Ch_" &amp; home_land=TblConstr[[#Headers],[Ch_Swamp]],TblConstr[[#This Row],[Home Land]])+IF(TblConstr[[#This Row],[Hour]:[Hour]]&gt;12,OFFSET(TblExplore[[#This Row],[Swamp Explore]],-12,0),0)</f>
        <v>0</v>
      </c>
      <c r="CV92" s="193">
        <f ca="1" xml:space="preserve"> - SUM(TblConstr[[#This Row],[DM]:[Sch]])+SUM(TblConstr[[#This Row],[Dest DM]:[Dest Sch]]) +Rezone!Q92 + IF("Ch_" &amp; home_land=TblConstr[[#Headers],[Ch_Cavern]],TblConstr[[#This Row],[Home Land]])+IF(TblConstr[[#This Row],[Hour]:[Hour]]&gt;12,OFFSET(TblExplore[[#This Row],[Cavern Explore]],-12,0),0)</f>
        <v>0</v>
      </c>
      <c r="CW92" s="194">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50"/>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83">
        <f>TblRezone[[#This Row],[Hour]]</f>
        <v>90</v>
      </c>
      <c r="B93" s="184">
        <f ca="1">SUM(TblConstr[[#This Row],[Plain]:[Water]])</f>
        <v>160</v>
      </c>
      <c r="C93" s="185">
        <f ca="1">SUM(TblConstr[[#This Row],[Tot Hom]:[Tot Doc]])</f>
        <v>90</v>
      </c>
      <c r="D93" s="185">
        <f t="shared" si="21"/>
        <v>0</v>
      </c>
      <c r="E93" s="186"/>
      <c r="F93" s="62">
        <f ca="1">TblConstr[[#This Row],[Barren]]+TblConstr[[#This Row],[Buildings]]+TblConstr[[#This Row],[Incoming]]</f>
        <v>250</v>
      </c>
      <c r="G93" s="195">
        <f ca="1">OFFSET(TblConstr[[#This Row],[Plain]],-1,0)+TblConstr[[#This Row],[Ch_Plain]]</f>
        <v>40</v>
      </c>
      <c r="H93" s="190">
        <f ca="1">OFFSET(TblConstr[[#This Row],[Forest]],-1,0)+TblConstr[[#This Row],[Ch_Forest]]</f>
        <v>20</v>
      </c>
      <c r="I93" s="390">
        <f ca="1">OFFSET(TblConstr[[#This Row],[Mountain]],-1,0)+TblConstr[[#This Row],[Ch_Mountain]]</f>
        <v>20</v>
      </c>
      <c r="J93" s="394">
        <f ca="1">OFFSET(TblConstr[[#This Row],[Hill]],-1,0)+TblConstr[[#This Row],[Ch_Hill]]</f>
        <v>20</v>
      </c>
      <c r="K93" s="398">
        <f ca="1">OFFSET(TblConstr[[#This Row],[Swamp]],-1,0)+TblConstr[[#This Row],[Ch_Swamp]]</f>
        <v>20</v>
      </c>
      <c r="L93" s="193">
        <f ca="1">OFFSET(TblConstr[[#This Row],[Cavern]],-1,0)+TblConstr[[#This Row],[Ch_Cavern]]</f>
        <v>20</v>
      </c>
      <c r="M93" s="194">
        <f ca="1">OFFSET(TblConstr[[#This Row],[Water]],-1,0)+TblConstr[[#This Row],[Ch_Water]]</f>
        <v>20</v>
      </c>
      <c r="N93" s="388">
        <f>TblRezone[[#This Row],[Hour]]</f>
        <v>90</v>
      </c>
      <c r="O93" s="187"/>
      <c r="P93" s="187"/>
      <c r="Q93" s="187"/>
      <c r="R93" s="187"/>
      <c r="S93" s="187"/>
      <c r="T93" s="187"/>
      <c r="U93" s="187"/>
      <c r="V93" s="187"/>
      <c r="W93" s="187"/>
      <c r="X93" s="187"/>
      <c r="Y93" s="187"/>
      <c r="Z93" s="187"/>
      <c r="AA93" s="187"/>
      <c r="AB93" s="187"/>
      <c r="AC93" s="187"/>
      <c r="AD93" s="187"/>
      <c r="AE93" s="187"/>
      <c r="AF93" s="187"/>
      <c r="AG93" s="187"/>
      <c r="AH93" s="53">
        <f ca="1">TblImps[[#This Row],[Time]]</f>
        <v>44814.458333333117</v>
      </c>
      <c r="AI93" s="188">
        <f ca="1">MIN(25%,(TblConstr[[#This Row],[Tot Fac]]+TblConstr[[#This Row],[Dest Fac]])/(TblConstr[[#This Row],[Land]]-TblExplore[[#This Row],[Land Bonus]]*20))</f>
        <v>0</v>
      </c>
      <c r="AJ93" s="188">
        <f ca="1">MIN(25%,(TblConstr[[#This Row],[Tot Fac]]+TblConstr[[#This Row],[Dest Fac]])/TblConstr[[#This Row],[Land]])</f>
        <v>0</v>
      </c>
      <c r="AK93" s="97">
        <f ca="1">TblProd[[#This Row],[Platinum]]</f>
        <v>589132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50"/>
      <c r="AV93" s="97">
        <f ca="1">ROUND((TblConstr[[#This Row],[Land]]-250 - IF(TblExplore[[#This Row],[Land Bonus]]&lt;&gt;0,20,0))*1.25 + 850 + 0,0)</f>
        <v>850</v>
      </c>
      <c r="AW93" s="97">
        <f ca="1">ROUND((TblConstr[[#This Row],[Land]]-250 - IF(TblExplore[[#This Row],[Land Bonus]]&lt;&gt;0,20,0))*0.285 + 87.5 + 0/4.25,0)</f>
        <v>88</v>
      </c>
      <c r="AX93" s="162"/>
      <c r="AY93" s="196" cm="1">
        <f t="array" aca="1" ref="AY93" ca="1">IF(TblConstr[[#This Row],[Hour]:[Hour]]&gt;12,OFFSET(TblConstr[[#This Row],[Hom]],-12,0),0)+OFFSET(TblConstr[[#This Row],[Tot Hom]],-1,0)-TblConstr[[#This Row],[Dest Hom]]</f>
        <v>10</v>
      </c>
      <c r="AZ93" s="197" cm="1">
        <f t="array" aca="1" ref="AZ93" ca="1">IF(TblConstr[[#This Row],[Hour]:[Hour]]&gt;12,OFFSET(TblConstr[[#This Row],[Alc]],-12,0),0)+OFFSET(TblConstr[[#This Row],[Tot Alc]],-1,0)-TblConstr[[#This Row],[Dest Alc]]</f>
        <v>30</v>
      </c>
      <c r="BA93" s="197" cm="1">
        <f t="array" aca="1" ref="BA93" ca="1">IF(TblConstr[[#This Row],[Hour]:[Hour]]&gt;12,OFFSET(TblConstr[[#This Row],[Far]],-12,0),0)+OFFSET(TblConstr[[#This Row],[Tot Farm]],-1,0)-TblConstr[[#This Row],[Dest Farm]]</f>
        <v>30</v>
      </c>
      <c r="BB93" s="197" cm="1">
        <f t="array" aca="1" ref="BB93" ca="1">IF(TblConstr[[#This Row],[Hour]:[Hour]]&gt;12,OFFSET(TblConstr[[#This Row],[Smi]],-12,0),0)+OFFSET(TblConstr[[#This Row],[Tot Smi]],-1,0)-TblConstr[[#This Row],[Dest Smi]]</f>
        <v>0</v>
      </c>
      <c r="BC93" s="197" cm="1">
        <f t="array" aca="1" ref="BC93" ca="1">IF(TblConstr[[#This Row],[Hour]:[Hour]]&gt;12,OFFSET(TblConstr[[#This Row],[Mas]],-12,0),0)+OFFSET(TblConstr[[#This Row],[Tot Mas]],-1,0)-TblConstr[[#This Row],[Dest Mas]]</f>
        <v>0</v>
      </c>
      <c r="BD93" s="198" cm="1">
        <f t="array" aca="1" ref="BD93" ca="1">IF(TblConstr[[#This Row],[Hour]:[Hour]]&gt;12,OFFSET(TblConstr[[#This Row],[Ly]],-12,0),0)+OFFSET(TblConstr[[#This Row],[Tot Ly]],-1,0)-TblConstr[[#This Row],[Dest Ly]]</f>
        <v>20</v>
      </c>
      <c r="BE93" s="198" cm="1">
        <f t="array" aca="1" ref="BE93" ca="1">IF(TblConstr[[#This Row],[Hour]:[Hour]]&gt;12,OFFSET(TblConstr[[#This Row],[Hav]],-12,0),0)+OFFSET(TblConstr[[#This Row],[Tot Hav]],-1,0)-TblConstr[[#This Row],[Dest Hav]]</f>
        <v>0</v>
      </c>
      <c r="BF93" s="392" cm="1">
        <f t="array" aca="1" ref="BF93" ca="1">IF(TblConstr[[#This Row],[Hour]:[Hour]]&gt;12,OFFSET(TblConstr[[#This Row],[OM]],-12,0),0)+OFFSET(TblConstr[[#This Row],[Tot OM]],-1,0)-TblConstr[[#This Row],[Dest OM]]</f>
        <v>0</v>
      </c>
      <c r="BG93" s="392" cm="1">
        <f t="array" aca="1" ref="BG93" ca="1">IF(TblConstr[[#This Row],[Hour]:[Hour]]&gt;12,OFFSET(TblConstr[[#This Row],[GN]],-12,0),0)+OFFSET(TblConstr[[#This Row],[Tot GN]],-1,0)-TblConstr[[#This Row],[Dest GN]]</f>
        <v>0</v>
      </c>
      <c r="BH93" s="396" cm="1">
        <f t="array" aca="1" ref="BH93" ca="1">IF(TblConstr[[#This Row],[Hour]:[Hour]]&gt;12,OFFSET(TblConstr[[#This Row],[Fac]],-12,0),0)+OFFSET(TblConstr[[#This Row],[Tot Fac]],-1,0)-TblConstr[[#This Row],[Dest Fac]]</f>
        <v>0</v>
      </c>
      <c r="BI93" s="396" cm="1">
        <f t="array" aca="1" ref="BI93" ca="1">IF(TblConstr[[#This Row],[Hour]:[Hour]]&gt;12,OFFSET(TblConstr[[#This Row],[GT]],-12,0),0)+OFFSET(TblConstr[[#This Row],[Tot GT]],-1,0)-TblConstr[[#This Row],[Dest GT]]</f>
        <v>0</v>
      </c>
      <c r="BJ93" s="396" cm="1">
        <f t="array" aca="1" ref="BJ93" ca="1">IF(TblConstr[[#This Row],[Hour]:[Hour]]&gt;12,OFFSET(TblConstr[[#This Row],[Bar]],-12,0),0)+OFFSET(TblConstr[[#This Row],[Tot Bar]],-1,0)-TblConstr[[#This Row],[Dest Bar]]</f>
        <v>0</v>
      </c>
      <c r="BK93" s="396" cm="1">
        <f t="array" aca="1" ref="BK93" ca="1">IF(TblConstr[[#This Row],[Hour]:[Hour]]&gt;12,OFFSET(TblConstr[[#This Row],[Shr]],-12,0),0)+OFFSET(TblConstr[[#This Row],[Tot Shr]],-1,0)-TblConstr[[#This Row],[Dest Shr]]</f>
        <v>0</v>
      </c>
      <c r="BL93" s="400" cm="1">
        <f t="array" aca="1" ref="BL93" ca="1">IF(TblConstr[[#This Row],[Hour]:[Hour]]&gt;12,OFFSET(TblConstr[[#This Row],[Tow]],-12,0),0)+OFFSET(TblConstr[[#This Row],[Tot Tow]],-1,0)-TblConstr[[#This Row],[Dest Tow]]</f>
        <v>0</v>
      </c>
      <c r="BM93" s="400" cm="1">
        <f t="array" aca="1" ref="BM93" ca="1">IF(TblConstr[[#This Row],[Hour]:[Hour]]&gt;12,OFFSET(TblConstr[[#This Row],[Tem]],-12,0),0)+OFFSET(TblConstr[[#This Row],[Tot Tem]],-1,0)-TblConstr[[#This Row],[Dest Tem]]</f>
        <v>0</v>
      </c>
      <c r="BN93" s="400" cm="1">
        <f t="array" aca="1" ref="BN93" ca="1">IF(TblConstr[[#This Row],[Hour]:[Hour]]&gt;12,OFFSET(TblConstr[[#This Row],[WG]],-12,0),0)+OFFSET(TblConstr[[#This Row],[Tot WG]],-1,0)-TblConstr[[#This Row],[Dest WG]]</f>
        <v>0</v>
      </c>
      <c r="BO93" s="199" cm="1">
        <f t="array" aca="1" ref="BO93" ca="1">IF(TblConstr[[#This Row],[Hour]:[Hour]]&gt;12,OFFSET(TblConstr[[#This Row],[DM]],-12,0),0)+OFFSET(TblConstr[[#This Row],[Tot DM]],-1,0)-TblConstr[[#This Row],[Dest DM]]</f>
        <v>0</v>
      </c>
      <c r="BP93" s="199" cm="1">
        <f t="array" aca="1" ref="BP93" ca="1">IF(TblConstr[[#This Row],[Hour]:[Hour]]&gt;12,OFFSET(TblConstr[[#This Row],[Sch]],-12,0),0)+OFFSET(TblConstr[[#This Row],[Tot Sch]],-1,0)-TblConstr[[#This Row],[Dest Sch]]</f>
        <v>0</v>
      </c>
      <c r="BQ93" s="200" cm="1">
        <f t="array" aca="1" ref="BQ93" ca="1">IF(TblConstr[[#This Row],[Hour]:[Hour]]&gt;12,OFFSET(TblConstr[[#This Row],[Doc]],-12,0),0)+OFFSET(TblConstr[[#This Row],[Tot Doc]],-1,0)-TblConstr[[#This Row],[Dest Doc]]</f>
        <v>0</v>
      </c>
      <c r="BR93" s="150"/>
      <c r="BS93" s="162"/>
      <c r="BT93" s="97">
        <f ca="1">TblConstr[[#This Row],[Land]]</f>
        <v>250</v>
      </c>
      <c r="BU93" s="167">
        <f ca="1">TblImps[[#This Row],[Time]]</f>
        <v>44814.458333333117</v>
      </c>
      <c r="BV93" s="150"/>
      <c r="BW93" s="187"/>
      <c r="BX93" s="187"/>
      <c r="BY93" s="187"/>
      <c r="BZ93" s="187"/>
      <c r="CA93" s="187"/>
      <c r="CB93" s="187"/>
      <c r="CC93" s="187"/>
      <c r="CD93" s="187"/>
      <c r="CE93" s="187"/>
      <c r="CF93" s="187"/>
      <c r="CG93" s="187"/>
      <c r="CH93" s="187"/>
      <c r="CI93" s="187"/>
      <c r="CJ93" s="187"/>
      <c r="CK93" s="187"/>
      <c r="CL93" s="187"/>
      <c r="CM93" s="187"/>
      <c r="CN93" s="187"/>
      <c r="CO93" s="187"/>
      <c r="CP93" s="150"/>
      <c r="CQ93" s="189">
        <f ca="1">-SUM(TblConstr[[#This Row],[Alc]:[Mas]])+SUM(TblConstr[[#This Row],[Dest Alc]:[Dest Mas]])+Rezone!L93+IF("Ch_"&amp; home_land=TblConstr[[#Headers],[Ch_Plain]],TblConstr[[#This Row],[Home Land]])+IF(TblConstr[[#This Row],[Hour]:[Hour]]&gt;12,OFFSET(TblExplore[[#This Row],[Plains Explore]],-12,0),0)</f>
        <v>0</v>
      </c>
      <c r="CR93" s="190">
        <f ca="1">-SUM(TblConstr[[#This Row],[Ly]:[Hav]])+SUM(TblConstr[[#This Row],[Dest Ly]:[Dest Hav]]) +Rezone!M93 + IF("Ch_"&amp; home_land=TblConstr[[#Headers],[Ch_Forest]],TblConstr[[#This Row],[Home Land]])+IF(TblConstr[[#This Row],[Hour]:[Hour]]&gt;12,OFFSET(TblExplore[[#This Row],[Forest Explore]],-12,0),0)</f>
        <v>0</v>
      </c>
      <c r="CS93" s="390">
        <f ca="1">-SUM(TblConstr[[#This Row],[OM]:[GN]])+SUM(TblConstr[[#This Row],[Dest OM]:[Dest GN]]) +Rezone!N93 + IF("Ch_"&amp; home_land=TblConstr[[#Headers],[Ch_Mountain]],TblConstr[[#This Row],[Home Land]])+IF(TblConstr[[#This Row],[Hour]:[Hour]]&gt;12,OFFSET(TblExplore[[#This Row],[Mountain Explore]],-12,0),0)</f>
        <v>0</v>
      </c>
      <c r="CT93" s="191">
        <f ca="1">-SUM(TblConstr[[#This Row],[Fac]:[Shr]])+SUM(TblConstr[[#This Row],[Dest Fac]:[Dest Shr]]) +Rezone!O93 + IF("Ch_" &amp; home_land=TblConstr[[#Headers],[Ch_Hill]],TblConstr[[#This Row],[Home Land]])+IF(TblConstr[[#This Row],[Hour]:[Hour]]&gt;12,OFFSET(TblExplore[[#This Row],[Hill Explore]],-12,0),0)</f>
        <v>0</v>
      </c>
      <c r="CU93" s="192">
        <f ca="1">-SUM(TblConstr[[#This Row],[Tow]:[WG]])+SUM(TblConstr[[#This Row],[Dest Tow]:[Dest WG]]) +Rezone!P93 + IF("Ch_" &amp; home_land=TblConstr[[#Headers],[Ch_Swamp]],TblConstr[[#This Row],[Home Land]])+IF(TblConstr[[#This Row],[Hour]:[Hour]]&gt;12,OFFSET(TblExplore[[#This Row],[Swamp Explore]],-12,0),0)</f>
        <v>0</v>
      </c>
      <c r="CV93" s="193">
        <f ca="1" xml:space="preserve"> - SUM(TblConstr[[#This Row],[DM]:[Sch]])+SUM(TblConstr[[#This Row],[Dest DM]:[Dest Sch]]) +Rezone!Q93 + IF("Ch_" &amp; home_land=TblConstr[[#Headers],[Ch_Cavern]],TblConstr[[#This Row],[Home Land]])+IF(TblConstr[[#This Row],[Hour]:[Hour]]&gt;12,OFFSET(TblExplore[[#This Row],[Cavern Explore]],-12,0),0)</f>
        <v>0</v>
      </c>
      <c r="CW93" s="194">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50"/>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83">
        <f>TblRezone[[#This Row],[Hour]]</f>
        <v>91</v>
      </c>
      <c r="B94" s="184">
        <f ca="1">SUM(TblConstr[[#This Row],[Plain]:[Water]])</f>
        <v>160</v>
      </c>
      <c r="C94" s="185">
        <f ca="1">SUM(TblConstr[[#This Row],[Tot Hom]:[Tot Doc]])</f>
        <v>90</v>
      </c>
      <c r="D94" s="185">
        <f t="shared" si="21"/>
        <v>0</v>
      </c>
      <c r="E94" s="186"/>
      <c r="F94" s="62">
        <f ca="1">TblConstr[[#This Row],[Barren]]+TblConstr[[#This Row],[Buildings]]+TblConstr[[#This Row],[Incoming]]</f>
        <v>250</v>
      </c>
      <c r="G94" s="195">
        <f ca="1">OFFSET(TblConstr[[#This Row],[Plain]],-1,0)+TblConstr[[#This Row],[Ch_Plain]]</f>
        <v>40</v>
      </c>
      <c r="H94" s="190">
        <f ca="1">OFFSET(TblConstr[[#This Row],[Forest]],-1,0)+TblConstr[[#This Row],[Ch_Forest]]</f>
        <v>20</v>
      </c>
      <c r="I94" s="390">
        <f ca="1">OFFSET(TblConstr[[#This Row],[Mountain]],-1,0)+TblConstr[[#This Row],[Ch_Mountain]]</f>
        <v>20</v>
      </c>
      <c r="J94" s="394">
        <f ca="1">OFFSET(TblConstr[[#This Row],[Hill]],-1,0)+TblConstr[[#This Row],[Ch_Hill]]</f>
        <v>20</v>
      </c>
      <c r="K94" s="398">
        <f ca="1">OFFSET(TblConstr[[#This Row],[Swamp]],-1,0)+TblConstr[[#This Row],[Ch_Swamp]]</f>
        <v>20</v>
      </c>
      <c r="L94" s="193">
        <f ca="1">OFFSET(TblConstr[[#This Row],[Cavern]],-1,0)+TblConstr[[#This Row],[Ch_Cavern]]</f>
        <v>20</v>
      </c>
      <c r="M94" s="194">
        <f ca="1">OFFSET(TblConstr[[#This Row],[Water]],-1,0)+TblConstr[[#This Row],[Ch_Water]]</f>
        <v>20</v>
      </c>
      <c r="N94" s="388">
        <f>TblRezone[[#This Row],[Hour]]</f>
        <v>91</v>
      </c>
      <c r="O94" s="187"/>
      <c r="P94" s="187"/>
      <c r="Q94" s="187"/>
      <c r="R94" s="187"/>
      <c r="S94" s="187"/>
      <c r="T94" s="187"/>
      <c r="U94" s="187"/>
      <c r="V94" s="187"/>
      <c r="W94" s="187"/>
      <c r="X94" s="187"/>
      <c r="Y94" s="187"/>
      <c r="Z94" s="187"/>
      <c r="AA94" s="187"/>
      <c r="AB94" s="187"/>
      <c r="AC94" s="187"/>
      <c r="AD94" s="187"/>
      <c r="AE94" s="187"/>
      <c r="AF94" s="187"/>
      <c r="AG94" s="187"/>
      <c r="AH94" s="53">
        <f ca="1">TblImps[[#This Row],[Time]]</f>
        <v>44814.499999999782</v>
      </c>
      <c r="AI94" s="188">
        <f ca="1">MIN(25%,(TblConstr[[#This Row],[Tot Fac]]+TblConstr[[#This Row],[Dest Fac]])/(TblConstr[[#This Row],[Land]]-TblExplore[[#This Row],[Land Bonus]]*20))</f>
        <v>0</v>
      </c>
      <c r="AJ94" s="188">
        <f ca="1">MIN(25%,(TblConstr[[#This Row],[Tot Fac]]+TblConstr[[#This Row],[Dest Fac]])/TblConstr[[#This Row],[Land]])</f>
        <v>0</v>
      </c>
      <c r="AK94" s="97">
        <f ca="1">TblProd[[#This Row],[Platinum]]</f>
        <v>594618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50"/>
      <c r="AV94" s="97">
        <f ca="1">ROUND((TblConstr[[#This Row],[Land]]-250 - IF(TblExplore[[#This Row],[Land Bonus]]&lt;&gt;0,20,0))*1.25 + 850 + 0,0)</f>
        <v>850</v>
      </c>
      <c r="AW94" s="97">
        <f ca="1">ROUND((TblConstr[[#This Row],[Land]]-250 - IF(TblExplore[[#This Row],[Land Bonus]]&lt;&gt;0,20,0))*0.285 + 87.5 + 0/4.25,0)</f>
        <v>88</v>
      </c>
      <c r="AX94" s="162"/>
      <c r="AY94" s="196" cm="1">
        <f t="array" aca="1" ref="AY94" ca="1">IF(TblConstr[[#This Row],[Hour]:[Hour]]&gt;12,OFFSET(TblConstr[[#This Row],[Hom]],-12,0),0)+OFFSET(TblConstr[[#This Row],[Tot Hom]],-1,0)-TblConstr[[#This Row],[Dest Hom]]</f>
        <v>10</v>
      </c>
      <c r="AZ94" s="197" cm="1">
        <f t="array" aca="1" ref="AZ94" ca="1">IF(TblConstr[[#This Row],[Hour]:[Hour]]&gt;12,OFFSET(TblConstr[[#This Row],[Alc]],-12,0),0)+OFFSET(TblConstr[[#This Row],[Tot Alc]],-1,0)-TblConstr[[#This Row],[Dest Alc]]</f>
        <v>30</v>
      </c>
      <c r="BA94" s="197" cm="1">
        <f t="array" aca="1" ref="BA94" ca="1">IF(TblConstr[[#This Row],[Hour]:[Hour]]&gt;12,OFFSET(TblConstr[[#This Row],[Far]],-12,0),0)+OFFSET(TblConstr[[#This Row],[Tot Farm]],-1,0)-TblConstr[[#This Row],[Dest Farm]]</f>
        <v>30</v>
      </c>
      <c r="BB94" s="197" cm="1">
        <f t="array" aca="1" ref="BB94" ca="1">IF(TblConstr[[#This Row],[Hour]:[Hour]]&gt;12,OFFSET(TblConstr[[#This Row],[Smi]],-12,0),0)+OFFSET(TblConstr[[#This Row],[Tot Smi]],-1,0)-TblConstr[[#This Row],[Dest Smi]]</f>
        <v>0</v>
      </c>
      <c r="BC94" s="197" cm="1">
        <f t="array" aca="1" ref="BC94" ca="1">IF(TblConstr[[#This Row],[Hour]:[Hour]]&gt;12,OFFSET(TblConstr[[#This Row],[Mas]],-12,0),0)+OFFSET(TblConstr[[#This Row],[Tot Mas]],-1,0)-TblConstr[[#This Row],[Dest Mas]]</f>
        <v>0</v>
      </c>
      <c r="BD94" s="198" cm="1">
        <f t="array" aca="1" ref="BD94" ca="1">IF(TblConstr[[#This Row],[Hour]:[Hour]]&gt;12,OFFSET(TblConstr[[#This Row],[Ly]],-12,0),0)+OFFSET(TblConstr[[#This Row],[Tot Ly]],-1,0)-TblConstr[[#This Row],[Dest Ly]]</f>
        <v>20</v>
      </c>
      <c r="BE94" s="198" cm="1">
        <f t="array" aca="1" ref="BE94" ca="1">IF(TblConstr[[#This Row],[Hour]:[Hour]]&gt;12,OFFSET(TblConstr[[#This Row],[Hav]],-12,0),0)+OFFSET(TblConstr[[#This Row],[Tot Hav]],-1,0)-TblConstr[[#This Row],[Dest Hav]]</f>
        <v>0</v>
      </c>
      <c r="BF94" s="392" cm="1">
        <f t="array" aca="1" ref="BF94" ca="1">IF(TblConstr[[#This Row],[Hour]:[Hour]]&gt;12,OFFSET(TblConstr[[#This Row],[OM]],-12,0),0)+OFFSET(TblConstr[[#This Row],[Tot OM]],-1,0)-TblConstr[[#This Row],[Dest OM]]</f>
        <v>0</v>
      </c>
      <c r="BG94" s="392" cm="1">
        <f t="array" aca="1" ref="BG94" ca="1">IF(TblConstr[[#This Row],[Hour]:[Hour]]&gt;12,OFFSET(TblConstr[[#This Row],[GN]],-12,0),0)+OFFSET(TblConstr[[#This Row],[Tot GN]],-1,0)-TblConstr[[#This Row],[Dest GN]]</f>
        <v>0</v>
      </c>
      <c r="BH94" s="396" cm="1">
        <f t="array" aca="1" ref="BH94" ca="1">IF(TblConstr[[#This Row],[Hour]:[Hour]]&gt;12,OFFSET(TblConstr[[#This Row],[Fac]],-12,0),0)+OFFSET(TblConstr[[#This Row],[Tot Fac]],-1,0)-TblConstr[[#This Row],[Dest Fac]]</f>
        <v>0</v>
      </c>
      <c r="BI94" s="396" cm="1">
        <f t="array" aca="1" ref="BI94" ca="1">IF(TblConstr[[#This Row],[Hour]:[Hour]]&gt;12,OFFSET(TblConstr[[#This Row],[GT]],-12,0),0)+OFFSET(TblConstr[[#This Row],[Tot GT]],-1,0)-TblConstr[[#This Row],[Dest GT]]</f>
        <v>0</v>
      </c>
      <c r="BJ94" s="396" cm="1">
        <f t="array" aca="1" ref="BJ94" ca="1">IF(TblConstr[[#This Row],[Hour]:[Hour]]&gt;12,OFFSET(TblConstr[[#This Row],[Bar]],-12,0),0)+OFFSET(TblConstr[[#This Row],[Tot Bar]],-1,0)-TblConstr[[#This Row],[Dest Bar]]</f>
        <v>0</v>
      </c>
      <c r="BK94" s="396" cm="1">
        <f t="array" aca="1" ref="BK94" ca="1">IF(TblConstr[[#This Row],[Hour]:[Hour]]&gt;12,OFFSET(TblConstr[[#This Row],[Shr]],-12,0),0)+OFFSET(TblConstr[[#This Row],[Tot Shr]],-1,0)-TblConstr[[#This Row],[Dest Shr]]</f>
        <v>0</v>
      </c>
      <c r="BL94" s="400" cm="1">
        <f t="array" aca="1" ref="BL94" ca="1">IF(TblConstr[[#This Row],[Hour]:[Hour]]&gt;12,OFFSET(TblConstr[[#This Row],[Tow]],-12,0),0)+OFFSET(TblConstr[[#This Row],[Tot Tow]],-1,0)-TblConstr[[#This Row],[Dest Tow]]</f>
        <v>0</v>
      </c>
      <c r="BM94" s="400" cm="1">
        <f t="array" aca="1" ref="BM94" ca="1">IF(TblConstr[[#This Row],[Hour]:[Hour]]&gt;12,OFFSET(TblConstr[[#This Row],[Tem]],-12,0),0)+OFFSET(TblConstr[[#This Row],[Tot Tem]],-1,0)-TblConstr[[#This Row],[Dest Tem]]</f>
        <v>0</v>
      </c>
      <c r="BN94" s="400" cm="1">
        <f t="array" aca="1" ref="BN94" ca="1">IF(TblConstr[[#This Row],[Hour]:[Hour]]&gt;12,OFFSET(TblConstr[[#This Row],[WG]],-12,0),0)+OFFSET(TblConstr[[#This Row],[Tot WG]],-1,0)-TblConstr[[#This Row],[Dest WG]]</f>
        <v>0</v>
      </c>
      <c r="BO94" s="199" cm="1">
        <f t="array" aca="1" ref="BO94" ca="1">IF(TblConstr[[#This Row],[Hour]:[Hour]]&gt;12,OFFSET(TblConstr[[#This Row],[DM]],-12,0),0)+OFFSET(TblConstr[[#This Row],[Tot DM]],-1,0)-TblConstr[[#This Row],[Dest DM]]</f>
        <v>0</v>
      </c>
      <c r="BP94" s="199" cm="1">
        <f t="array" aca="1" ref="BP94" ca="1">IF(TblConstr[[#This Row],[Hour]:[Hour]]&gt;12,OFFSET(TblConstr[[#This Row],[Sch]],-12,0),0)+OFFSET(TblConstr[[#This Row],[Tot Sch]],-1,0)-TblConstr[[#This Row],[Dest Sch]]</f>
        <v>0</v>
      </c>
      <c r="BQ94" s="200" cm="1">
        <f t="array" aca="1" ref="BQ94" ca="1">IF(TblConstr[[#This Row],[Hour]:[Hour]]&gt;12,OFFSET(TblConstr[[#This Row],[Doc]],-12,0),0)+OFFSET(TblConstr[[#This Row],[Tot Doc]],-1,0)-TblConstr[[#This Row],[Dest Doc]]</f>
        <v>0</v>
      </c>
      <c r="BR94" s="150"/>
      <c r="BS94" s="162"/>
      <c r="BT94" s="97">
        <f ca="1">TblConstr[[#This Row],[Land]]</f>
        <v>250</v>
      </c>
      <c r="BU94" s="167">
        <f ca="1">TblImps[[#This Row],[Time]]</f>
        <v>44814.499999999782</v>
      </c>
      <c r="BV94" s="150"/>
      <c r="BW94" s="187"/>
      <c r="BX94" s="187"/>
      <c r="BY94" s="187"/>
      <c r="BZ94" s="187"/>
      <c r="CA94" s="187"/>
      <c r="CB94" s="187"/>
      <c r="CC94" s="187"/>
      <c r="CD94" s="187"/>
      <c r="CE94" s="187"/>
      <c r="CF94" s="187"/>
      <c r="CG94" s="187"/>
      <c r="CH94" s="187"/>
      <c r="CI94" s="187"/>
      <c r="CJ94" s="187"/>
      <c r="CK94" s="187"/>
      <c r="CL94" s="187"/>
      <c r="CM94" s="187"/>
      <c r="CN94" s="187"/>
      <c r="CO94" s="187"/>
      <c r="CP94" s="150"/>
      <c r="CQ94" s="189">
        <f ca="1">-SUM(TblConstr[[#This Row],[Alc]:[Mas]])+SUM(TblConstr[[#This Row],[Dest Alc]:[Dest Mas]])+Rezone!L94+IF("Ch_"&amp; home_land=TblConstr[[#Headers],[Ch_Plain]],TblConstr[[#This Row],[Home Land]])+IF(TblConstr[[#This Row],[Hour]:[Hour]]&gt;12,OFFSET(TblExplore[[#This Row],[Plains Explore]],-12,0),0)</f>
        <v>0</v>
      </c>
      <c r="CR94" s="190">
        <f ca="1">-SUM(TblConstr[[#This Row],[Ly]:[Hav]])+SUM(TblConstr[[#This Row],[Dest Ly]:[Dest Hav]]) +Rezone!M94 + IF("Ch_"&amp; home_land=TblConstr[[#Headers],[Ch_Forest]],TblConstr[[#This Row],[Home Land]])+IF(TblConstr[[#This Row],[Hour]:[Hour]]&gt;12,OFFSET(TblExplore[[#This Row],[Forest Explore]],-12,0),0)</f>
        <v>0</v>
      </c>
      <c r="CS94" s="390">
        <f ca="1">-SUM(TblConstr[[#This Row],[OM]:[GN]])+SUM(TblConstr[[#This Row],[Dest OM]:[Dest GN]]) +Rezone!N94 + IF("Ch_"&amp; home_land=TblConstr[[#Headers],[Ch_Mountain]],TblConstr[[#This Row],[Home Land]])+IF(TblConstr[[#This Row],[Hour]:[Hour]]&gt;12,OFFSET(TblExplore[[#This Row],[Mountain Explore]],-12,0),0)</f>
        <v>0</v>
      </c>
      <c r="CT94" s="191">
        <f ca="1">-SUM(TblConstr[[#This Row],[Fac]:[Shr]])+SUM(TblConstr[[#This Row],[Dest Fac]:[Dest Shr]]) +Rezone!O94 + IF("Ch_" &amp; home_land=TblConstr[[#Headers],[Ch_Hill]],TblConstr[[#This Row],[Home Land]])+IF(TblConstr[[#This Row],[Hour]:[Hour]]&gt;12,OFFSET(TblExplore[[#This Row],[Hill Explore]],-12,0),0)</f>
        <v>0</v>
      </c>
      <c r="CU94" s="192">
        <f ca="1">-SUM(TblConstr[[#This Row],[Tow]:[WG]])+SUM(TblConstr[[#This Row],[Dest Tow]:[Dest WG]]) +Rezone!P94 + IF("Ch_" &amp; home_land=TblConstr[[#Headers],[Ch_Swamp]],TblConstr[[#This Row],[Home Land]])+IF(TblConstr[[#This Row],[Hour]:[Hour]]&gt;12,OFFSET(TblExplore[[#This Row],[Swamp Explore]],-12,0),0)</f>
        <v>0</v>
      </c>
      <c r="CV94" s="193">
        <f ca="1" xml:space="preserve"> - SUM(TblConstr[[#This Row],[DM]:[Sch]])+SUM(TblConstr[[#This Row],[Dest DM]:[Dest Sch]]) +Rezone!Q94 + IF("Ch_" &amp; home_land=TblConstr[[#Headers],[Ch_Cavern]],TblConstr[[#This Row],[Home Land]])+IF(TblConstr[[#This Row],[Hour]:[Hour]]&gt;12,OFFSET(TblExplore[[#This Row],[Cavern Explore]],-12,0),0)</f>
        <v>0</v>
      </c>
      <c r="CW94" s="194">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50"/>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83">
        <f>TblRezone[[#This Row],[Hour]]</f>
        <v>92</v>
      </c>
      <c r="B95" s="184">
        <f ca="1">SUM(TblConstr[[#This Row],[Plain]:[Water]])</f>
        <v>160</v>
      </c>
      <c r="C95" s="185">
        <f ca="1">SUM(TblConstr[[#This Row],[Tot Hom]:[Tot Doc]])</f>
        <v>90</v>
      </c>
      <c r="D95" s="185">
        <f t="shared" si="21"/>
        <v>0</v>
      </c>
      <c r="E95" s="186"/>
      <c r="F95" s="62">
        <f ca="1">TblConstr[[#This Row],[Barren]]+TblConstr[[#This Row],[Buildings]]+TblConstr[[#This Row],[Incoming]]</f>
        <v>250</v>
      </c>
      <c r="G95" s="195">
        <f ca="1">OFFSET(TblConstr[[#This Row],[Plain]],-1,0)+TblConstr[[#This Row],[Ch_Plain]]</f>
        <v>40</v>
      </c>
      <c r="H95" s="190">
        <f ca="1">OFFSET(TblConstr[[#This Row],[Forest]],-1,0)+TblConstr[[#This Row],[Ch_Forest]]</f>
        <v>20</v>
      </c>
      <c r="I95" s="390">
        <f ca="1">OFFSET(TblConstr[[#This Row],[Mountain]],-1,0)+TblConstr[[#This Row],[Ch_Mountain]]</f>
        <v>20</v>
      </c>
      <c r="J95" s="394">
        <f ca="1">OFFSET(TblConstr[[#This Row],[Hill]],-1,0)+TblConstr[[#This Row],[Ch_Hill]]</f>
        <v>20</v>
      </c>
      <c r="K95" s="398">
        <f ca="1">OFFSET(TblConstr[[#This Row],[Swamp]],-1,0)+TblConstr[[#This Row],[Ch_Swamp]]</f>
        <v>20</v>
      </c>
      <c r="L95" s="193">
        <f ca="1">OFFSET(TblConstr[[#This Row],[Cavern]],-1,0)+TblConstr[[#This Row],[Ch_Cavern]]</f>
        <v>20</v>
      </c>
      <c r="M95" s="194">
        <f ca="1">OFFSET(TblConstr[[#This Row],[Water]],-1,0)+TblConstr[[#This Row],[Ch_Water]]</f>
        <v>20</v>
      </c>
      <c r="N95" s="388">
        <f>TblRezone[[#This Row],[Hour]]</f>
        <v>92</v>
      </c>
      <c r="O95" s="187"/>
      <c r="P95" s="187"/>
      <c r="Q95" s="187"/>
      <c r="R95" s="187"/>
      <c r="S95" s="187"/>
      <c r="T95" s="187"/>
      <c r="U95" s="187"/>
      <c r="V95" s="187"/>
      <c r="W95" s="187"/>
      <c r="X95" s="187"/>
      <c r="Y95" s="187"/>
      <c r="Z95" s="187"/>
      <c r="AA95" s="187"/>
      <c r="AB95" s="187"/>
      <c r="AC95" s="187"/>
      <c r="AD95" s="187"/>
      <c r="AE95" s="187"/>
      <c r="AF95" s="187"/>
      <c r="AG95" s="187"/>
      <c r="AH95" s="53">
        <f ca="1">TblImps[[#This Row],[Time]]</f>
        <v>44814.541666666446</v>
      </c>
      <c r="AI95" s="188">
        <f ca="1">MIN(25%,(TblConstr[[#This Row],[Tot Fac]]+TblConstr[[#This Row],[Dest Fac]])/(TblConstr[[#This Row],[Land]]-TblExplore[[#This Row],[Land Bonus]]*20))</f>
        <v>0</v>
      </c>
      <c r="AJ95" s="188">
        <f ca="1">MIN(25%,(TblConstr[[#This Row],[Tot Fac]]+TblConstr[[#This Row],[Dest Fac]])/TblConstr[[#This Row],[Land]])</f>
        <v>0</v>
      </c>
      <c r="AK95" s="97">
        <f ca="1">TblProd[[#This Row],[Platinum]]</f>
        <v>600104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50"/>
      <c r="AV95" s="97">
        <f ca="1">ROUND((TblConstr[[#This Row],[Land]]-250 - IF(TblExplore[[#This Row],[Land Bonus]]&lt;&gt;0,20,0))*1.25 + 850 + 0,0)</f>
        <v>850</v>
      </c>
      <c r="AW95" s="97">
        <f ca="1">ROUND((TblConstr[[#This Row],[Land]]-250 - IF(TblExplore[[#This Row],[Land Bonus]]&lt;&gt;0,20,0))*0.285 + 87.5 + 0/4.25,0)</f>
        <v>88</v>
      </c>
      <c r="AX95" s="162"/>
      <c r="AY95" s="196" cm="1">
        <f t="array" aca="1" ref="AY95" ca="1">IF(TblConstr[[#This Row],[Hour]:[Hour]]&gt;12,OFFSET(TblConstr[[#This Row],[Hom]],-12,0),0)+OFFSET(TblConstr[[#This Row],[Tot Hom]],-1,0)-TblConstr[[#This Row],[Dest Hom]]</f>
        <v>10</v>
      </c>
      <c r="AZ95" s="197" cm="1">
        <f t="array" aca="1" ref="AZ95" ca="1">IF(TblConstr[[#This Row],[Hour]:[Hour]]&gt;12,OFFSET(TblConstr[[#This Row],[Alc]],-12,0),0)+OFFSET(TblConstr[[#This Row],[Tot Alc]],-1,0)-TblConstr[[#This Row],[Dest Alc]]</f>
        <v>30</v>
      </c>
      <c r="BA95" s="197" cm="1">
        <f t="array" aca="1" ref="BA95" ca="1">IF(TblConstr[[#This Row],[Hour]:[Hour]]&gt;12,OFFSET(TblConstr[[#This Row],[Far]],-12,0),0)+OFFSET(TblConstr[[#This Row],[Tot Farm]],-1,0)-TblConstr[[#This Row],[Dest Farm]]</f>
        <v>30</v>
      </c>
      <c r="BB95" s="197" cm="1">
        <f t="array" aca="1" ref="BB95" ca="1">IF(TblConstr[[#This Row],[Hour]:[Hour]]&gt;12,OFFSET(TblConstr[[#This Row],[Smi]],-12,0),0)+OFFSET(TblConstr[[#This Row],[Tot Smi]],-1,0)-TblConstr[[#This Row],[Dest Smi]]</f>
        <v>0</v>
      </c>
      <c r="BC95" s="197" cm="1">
        <f t="array" aca="1" ref="BC95" ca="1">IF(TblConstr[[#This Row],[Hour]:[Hour]]&gt;12,OFFSET(TblConstr[[#This Row],[Mas]],-12,0),0)+OFFSET(TblConstr[[#This Row],[Tot Mas]],-1,0)-TblConstr[[#This Row],[Dest Mas]]</f>
        <v>0</v>
      </c>
      <c r="BD95" s="198" cm="1">
        <f t="array" aca="1" ref="BD95" ca="1">IF(TblConstr[[#This Row],[Hour]:[Hour]]&gt;12,OFFSET(TblConstr[[#This Row],[Ly]],-12,0),0)+OFFSET(TblConstr[[#This Row],[Tot Ly]],-1,0)-TblConstr[[#This Row],[Dest Ly]]</f>
        <v>20</v>
      </c>
      <c r="BE95" s="198" cm="1">
        <f t="array" aca="1" ref="BE95" ca="1">IF(TblConstr[[#This Row],[Hour]:[Hour]]&gt;12,OFFSET(TblConstr[[#This Row],[Hav]],-12,0),0)+OFFSET(TblConstr[[#This Row],[Tot Hav]],-1,0)-TblConstr[[#This Row],[Dest Hav]]</f>
        <v>0</v>
      </c>
      <c r="BF95" s="392" cm="1">
        <f t="array" aca="1" ref="BF95" ca="1">IF(TblConstr[[#This Row],[Hour]:[Hour]]&gt;12,OFFSET(TblConstr[[#This Row],[OM]],-12,0),0)+OFFSET(TblConstr[[#This Row],[Tot OM]],-1,0)-TblConstr[[#This Row],[Dest OM]]</f>
        <v>0</v>
      </c>
      <c r="BG95" s="392" cm="1">
        <f t="array" aca="1" ref="BG95" ca="1">IF(TblConstr[[#This Row],[Hour]:[Hour]]&gt;12,OFFSET(TblConstr[[#This Row],[GN]],-12,0),0)+OFFSET(TblConstr[[#This Row],[Tot GN]],-1,0)-TblConstr[[#This Row],[Dest GN]]</f>
        <v>0</v>
      </c>
      <c r="BH95" s="396" cm="1">
        <f t="array" aca="1" ref="BH95" ca="1">IF(TblConstr[[#This Row],[Hour]:[Hour]]&gt;12,OFFSET(TblConstr[[#This Row],[Fac]],-12,0),0)+OFFSET(TblConstr[[#This Row],[Tot Fac]],-1,0)-TblConstr[[#This Row],[Dest Fac]]</f>
        <v>0</v>
      </c>
      <c r="BI95" s="396" cm="1">
        <f t="array" aca="1" ref="BI95" ca="1">IF(TblConstr[[#This Row],[Hour]:[Hour]]&gt;12,OFFSET(TblConstr[[#This Row],[GT]],-12,0),0)+OFFSET(TblConstr[[#This Row],[Tot GT]],-1,0)-TblConstr[[#This Row],[Dest GT]]</f>
        <v>0</v>
      </c>
      <c r="BJ95" s="396" cm="1">
        <f t="array" aca="1" ref="BJ95" ca="1">IF(TblConstr[[#This Row],[Hour]:[Hour]]&gt;12,OFFSET(TblConstr[[#This Row],[Bar]],-12,0),0)+OFFSET(TblConstr[[#This Row],[Tot Bar]],-1,0)-TblConstr[[#This Row],[Dest Bar]]</f>
        <v>0</v>
      </c>
      <c r="BK95" s="396" cm="1">
        <f t="array" aca="1" ref="BK95" ca="1">IF(TblConstr[[#This Row],[Hour]:[Hour]]&gt;12,OFFSET(TblConstr[[#This Row],[Shr]],-12,0),0)+OFFSET(TblConstr[[#This Row],[Tot Shr]],-1,0)-TblConstr[[#This Row],[Dest Shr]]</f>
        <v>0</v>
      </c>
      <c r="BL95" s="400" cm="1">
        <f t="array" aca="1" ref="BL95" ca="1">IF(TblConstr[[#This Row],[Hour]:[Hour]]&gt;12,OFFSET(TblConstr[[#This Row],[Tow]],-12,0),0)+OFFSET(TblConstr[[#This Row],[Tot Tow]],-1,0)-TblConstr[[#This Row],[Dest Tow]]</f>
        <v>0</v>
      </c>
      <c r="BM95" s="400" cm="1">
        <f t="array" aca="1" ref="BM95" ca="1">IF(TblConstr[[#This Row],[Hour]:[Hour]]&gt;12,OFFSET(TblConstr[[#This Row],[Tem]],-12,0),0)+OFFSET(TblConstr[[#This Row],[Tot Tem]],-1,0)-TblConstr[[#This Row],[Dest Tem]]</f>
        <v>0</v>
      </c>
      <c r="BN95" s="400" cm="1">
        <f t="array" aca="1" ref="BN95" ca="1">IF(TblConstr[[#This Row],[Hour]:[Hour]]&gt;12,OFFSET(TblConstr[[#This Row],[WG]],-12,0),0)+OFFSET(TblConstr[[#This Row],[Tot WG]],-1,0)-TblConstr[[#This Row],[Dest WG]]</f>
        <v>0</v>
      </c>
      <c r="BO95" s="199" cm="1">
        <f t="array" aca="1" ref="BO95" ca="1">IF(TblConstr[[#This Row],[Hour]:[Hour]]&gt;12,OFFSET(TblConstr[[#This Row],[DM]],-12,0),0)+OFFSET(TblConstr[[#This Row],[Tot DM]],-1,0)-TblConstr[[#This Row],[Dest DM]]</f>
        <v>0</v>
      </c>
      <c r="BP95" s="199" cm="1">
        <f t="array" aca="1" ref="BP95" ca="1">IF(TblConstr[[#This Row],[Hour]:[Hour]]&gt;12,OFFSET(TblConstr[[#This Row],[Sch]],-12,0),0)+OFFSET(TblConstr[[#This Row],[Tot Sch]],-1,0)-TblConstr[[#This Row],[Dest Sch]]</f>
        <v>0</v>
      </c>
      <c r="BQ95" s="200" cm="1">
        <f t="array" aca="1" ref="BQ95" ca="1">IF(TblConstr[[#This Row],[Hour]:[Hour]]&gt;12,OFFSET(TblConstr[[#This Row],[Doc]],-12,0),0)+OFFSET(TblConstr[[#This Row],[Tot Doc]],-1,0)-TblConstr[[#This Row],[Dest Doc]]</f>
        <v>0</v>
      </c>
      <c r="BR95" s="150"/>
      <c r="BS95" s="162"/>
      <c r="BT95" s="97">
        <f ca="1">TblConstr[[#This Row],[Land]]</f>
        <v>250</v>
      </c>
      <c r="BU95" s="167">
        <f ca="1">TblImps[[#This Row],[Time]]</f>
        <v>44814.541666666446</v>
      </c>
      <c r="BV95" s="150"/>
      <c r="BW95" s="187"/>
      <c r="BX95" s="187"/>
      <c r="BY95" s="187"/>
      <c r="BZ95" s="187"/>
      <c r="CA95" s="187"/>
      <c r="CB95" s="187"/>
      <c r="CC95" s="187"/>
      <c r="CD95" s="187"/>
      <c r="CE95" s="187"/>
      <c r="CF95" s="187"/>
      <c r="CG95" s="187"/>
      <c r="CH95" s="187"/>
      <c r="CI95" s="187"/>
      <c r="CJ95" s="187"/>
      <c r="CK95" s="187"/>
      <c r="CL95" s="187"/>
      <c r="CM95" s="187"/>
      <c r="CN95" s="187"/>
      <c r="CO95" s="187"/>
      <c r="CP95" s="150"/>
      <c r="CQ95" s="189">
        <f ca="1">-SUM(TblConstr[[#This Row],[Alc]:[Mas]])+SUM(TblConstr[[#This Row],[Dest Alc]:[Dest Mas]])+Rezone!L95+IF("Ch_"&amp; home_land=TblConstr[[#Headers],[Ch_Plain]],TblConstr[[#This Row],[Home Land]])+IF(TblConstr[[#This Row],[Hour]:[Hour]]&gt;12,OFFSET(TblExplore[[#This Row],[Plains Explore]],-12,0),0)</f>
        <v>0</v>
      </c>
      <c r="CR95" s="190">
        <f ca="1">-SUM(TblConstr[[#This Row],[Ly]:[Hav]])+SUM(TblConstr[[#This Row],[Dest Ly]:[Dest Hav]]) +Rezone!M95 + IF("Ch_"&amp; home_land=TblConstr[[#Headers],[Ch_Forest]],TblConstr[[#This Row],[Home Land]])+IF(TblConstr[[#This Row],[Hour]:[Hour]]&gt;12,OFFSET(TblExplore[[#This Row],[Forest Explore]],-12,0),0)</f>
        <v>0</v>
      </c>
      <c r="CS95" s="390">
        <f ca="1">-SUM(TblConstr[[#This Row],[OM]:[GN]])+SUM(TblConstr[[#This Row],[Dest OM]:[Dest GN]]) +Rezone!N95 + IF("Ch_"&amp; home_land=TblConstr[[#Headers],[Ch_Mountain]],TblConstr[[#This Row],[Home Land]])+IF(TblConstr[[#This Row],[Hour]:[Hour]]&gt;12,OFFSET(TblExplore[[#This Row],[Mountain Explore]],-12,0),0)</f>
        <v>0</v>
      </c>
      <c r="CT95" s="191">
        <f ca="1">-SUM(TblConstr[[#This Row],[Fac]:[Shr]])+SUM(TblConstr[[#This Row],[Dest Fac]:[Dest Shr]]) +Rezone!O95 + IF("Ch_" &amp; home_land=TblConstr[[#Headers],[Ch_Hill]],TblConstr[[#This Row],[Home Land]])+IF(TblConstr[[#This Row],[Hour]:[Hour]]&gt;12,OFFSET(TblExplore[[#This Row],[Hill Explore]],-12,0),0)</f>
        <v>0</v>
      </c>
      <c r="CU95" s="192">
        <f ca="1">-SUM(TblConstr[[#This Row],[Tow]:[WG]])+SUM(TblConstr[[#This Row],[Dest Tow]:[Dest WG]]) +Rezone!P95 + IF("Ch_" &amp; home_land=TblConstr[[#Headers],[Ch_Swamp]],TblConstr[[#This Row],[Home Land]])+IF(TblConstr[[#This Row],[Hour]:[Hour]]&gt;12,OFFSET(TblExplore[[#This Row],[Swamp Explore]],-12,0),0)</f>
        <v>0</v>
      </c>
      <c r="CV95" s="193">
        <f ca="1" xml:space="preserve"> - SUM(TblConstr[[#This Row],[DM]:[Sch]])+SUM(TblConstr[[#This Row],[Dest DM]:[Dest Sch]]) +Rezone!Q95 + IF("Ch_" &amp; home_land=TblConstr[[#Headers],[Ch_Cavern]],TblConstr[[#This Row],[Home Land]])+IF(TblConstr[[#This Row],[Hour]:[Hour]]&gt;12,OFFSET(TblExplore[[#This Row],[Cavern Explore]],-12,0),0)</f>
        <v>0</v>
      </c>
      <c r="CW95" s="194">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50"/>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83">
        <f>TblRezone[[#This Row],[Hour]]</f>
        <v>93</v>
      </c>
      <c r="B96" s="184">
        <f ca="1">SUM(TblConstr[[#This Row],[Plain]:[Water]])</f>
        <v>160</v>
      </c>
      <c r="C96" s="185">
        <f ca="1">SUM(TblConstr[[#This Row],[Tot Hom]:[Tot Doc]])</f>
        <v>90</v>
      </c>
      <c r="D96" s="185">
        <f t="shared" si="21"/>
        <v>0</v>
      </c>
      <c r="E96" s="186"/>
      <c r="F96" s="62">
        <f ca="1">TblConstr[[#This Row],[Barren]]+TblConstr[[#This Row],[Buildings]]+TblConstr[[#This Row],[Incoming]]</f>
        <v>250</v>
      </c>
      <c r="G96" s="195">
        <f ca="1">OFFSET(TblConstr[[#This Row],[Plain]],-1,0)+TblConstr[[#This Row],[Ch_Plain]]</f>
        <v>40</v>
      </c>
      <c r="H96" s="190">
        <f ca="1">OFFSET(TblConstr[[#This Row],[Forest]],-1,0)+TblConstr[[#This Row],[Ch_Forest]]</f>
        <v>20</v>
      </c>
      <c r="I96" s="390">
        <f ca="1">OFFSET(TblConstr[[#This Row],[Mountain]],-1,0)+TblConstr[[#This Row],[Ch_Mountain]]</f>
        <v>20</v>
      </c>
      <c r="J96" s="394">
        <f ca="1">OFFSET(TblConstr[[#This Row],[Hill]],-1,0)+TblConstr[[#This Row],[Ch_Hill]]</f>
        <v>20</v>
      </c>
      <c r="K96" s="398">
        <f ca="1">OFFSET(TblConstr[[#This Row],[Swamp]],-1,0)+TblConstr[[#This Row],[Ch_Swamp]]</f>
        <v>20</v>
      </c>
      <c r="L96" s="193">
        <f ca="1">OFFSET(TblConstr[[#This Row],[Cavern]],-1,0)+TblConstr[[#This Row],[Ch_Cavern]]</f>
        <v>20</v>
      </c>
      <c r="M96" s="194">
        <f ca="1">OFFSET(TblConstr[[#This Row],[Water]],-1,0)+TblConstr[[#This Row],[Ch_Water]]</f>
        <v>20</v>
      </c>
      <c r="N96" s="388">
        <f>TblRezone[[#This Row],[Hour]]</f>
        <v>93</v>
      </c>
      <c r="O96" s="187"/>
      <c r="P96" s="187"/>
      <c r="Q96" s="187"/>
      <c r="R96" s="166"/>
      <c r="S96" s="187"/>
      <c r="T96" s="187"/>
      <c r="U96" s="187"/>
      <c r="V96" s="187"/>
      <c r="W96" s="187"/>
      <c r="X96" s="187"/>
      <c r="Y96" s="187"/>
      <c r="Z96" s="187"/>
      <c r="AA96" s="187"/>
      <c r="AB96" s="187"/>
      <c r="AC96" s="187"/>
      <c r="AD96" s="187"/>
      <c r="AE96" s="187"/>
      <c r="AF96" s="187"/>
      <c r="AG96" s="187"/>
      <c r="AH96" s="53">
        <f ca="1">TblImps[[#This Row],[Time]]</f>
        <v>44814.58333333311</v>
      </c>
      <c r="AI96" s="188">
        <f ca="1">MIN(25%,(TblConstr[[#This Row],[Tot Fac]]+TblConstr[[#This Row],[Dest Fac]])/(TblConstr[[#This Row],[Land]]-TblExplore[[#This Row],[Land Bonus]]*20))</f>
        <v>0</v>
      </c>
      <c r="AJ96" s="188">
        <f ca="1">MIN(25%,(TblConstr[[#This Row],[Tot Fac]]+TblConstr[[#This Row],[Dest Fac]])/TblConstr[[#This Row],[Land]])</f>
        <v>0</v>
      </c>
      <c r="AK96" s="97">
        <f ca="1">TblProd[[#This Row],[Platinum]]</f>
        <v>605590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50"/>
      <c r="AV96" s="97">
        <f ca="1">ROUND((TblConstr[[#This Row],[Land]]-250 - IF(TblExplore[[#This Row],[Land Bonus]]&lt;&gt;0,20,0))*1.25 + 850 + 0,0)</f>
        <v>850</v>
      </c>
      <c r="AW96" s="97">
        <f ca="1">ROUND((TblConstr[[#This Row],[Land]]-250 - IF(TblExplore[[#This Row],[Land Bonus]]&lt;&gt;0,20,0))*0.285 + 87.5 + 0/4.25,0)</f>
        <v>88</v>
      </c>
      <c r="AX96" s="162"/>
      <c r="AY96" s="196" cm="1">
        <f t="array" aca="1" ref="AY96" ca="1">IF(TblConstr[[#This Row],[Hour]:[Hour]]&gt;12,OFFSET(TblConstr[[#This Row],[Hom]],-12,0),0)+OFFSET(TblConstr[[#This Row],[Tot Hom]],-1,0)-TblConstr[[#This Row],[Dest Hom]]</f>
        <v>10</v>
      </c>
      <c r="AZ96" s="197" cm="1">
        <f t="array" aca="1" ref="AZ96" ca="1">IF(TblConstr[[#This Row],[Hour]:[Hour]]&gt;12,OFFSET(TblConstr[[#This Row],[Alc]],-12,0),0)+OFFSET(TblConstr[[#This Row],[Tot Alc]],-1,0)-TblConstr[[#This Row],[Dest Alc]]</f>
        <v>30</v>
      </c>
      <c r="BA96" s="197" cm="1">
        <f t="array" aca="1" ref="BA96" ca="1">IF(TblConstr[[#This Row],[Hour]:[Hour]]&gt;12,OFFSET(TblConstr[[#This Row],[Far]],-12,0),0)+OFFSET(TblConstr[[#This Row],[Tot Farm]],-1,0)-TblConstr[[#This Row],[Dest Farm]]</f>
        <v>30</v>
      </c>
      <c r="BB96" s="197" cm="1">
        <f t="array" aca="1" ref="BB96" ca="1">IF(TblConstr[[#This Row],[Hour]:[Hour]]&gt;12,OFFSET(TblConstr[[#This Row],[Smi]],-12,0),0)+OFFSET(TblConstr[[#This Row],[Tot Smi]],-1,0)-TblConstr[[#This Row],[Dest Smi]]</f>
        <v>0</v>
      </c>
      <c r="BC96" s="197" cm="1">
        <f t="array" aca="1" ref="BC96" ca="1">IF(TblConstr[[#This Row],[Hour]:[Hour]]&gt;12,OFFSET(TblConstr[[#This Row],[Mas]],-12,0),0)+OFFSET(TblConstr[[#This Row],[Tot Mas]],-1,0)-TblConstr[[#This Row],[Dest Mas]]</f>
        <v>0</v>
      </c>
      <c r="BD96" s="198" cm="1">
        <f t="array" aca="1" ref="BD96" ca="1">IF(TblConstr[[#This Row],[Hour]:[Hour]]&gt;12,OFFSET(TblConstr[[#This Row],[Ly]],-12,0),0)+OFFSET(TblConstr[[#This Row],[Tot Ly]],-1,0)-TblConstr[[#This Row],[Dest Ly]]</f>
        <v>20</v>
      </c>
      <c r="BE96" s="198" cm="1">
        <f t="array" aca="1" ref="BE96" ca="1">IF(TblConstr[[#This Row],[Hour]:[Hour]]&gt;12,OFFSET(TblConstr[[#This Row],[Hav]],-12,0),0)+OFFSET(TblConstr[[#This Row],[Tot Hav]],-1,0)-TblConstr[[#This Row],[Dest Hav]]</f>
        <v>0</v>
      </c>
      <c r="BF96" s="392" cm="1">
        <f t="array" aca="1" ref="BF96" ca="1">IF(TblConstr[[#This Row],[Hour]:[Hour]]&gt;12,OFFSET(TblConstr[[#This Row],[OM]],-12,0),0)+OFFSET(TblConstr[[#This Row],[Tot OM]],-1,0)-TblConstr[[#This Row],[Dest OM]]</f>
        <v>0</v>
      </c>
      <c r="BG96" s="392" cm="1">
        <f t="array" aca="1" ref="BG96" ca="1">IF(TblConstr[[#This Row],[Hour]:[Hour]]&gt;12,OFFSET(TblConstr[[#This Row],[GN]],-12,0),0)+OFFSET(TblConstr[[#This Row],[Tot GN]],-1,0)-TblConstr[[#This Row],[Dest GN]]</f>
        <v>0</v>
      </c>
      <c r="BH96" s="396" cm="1">
        <f t="array" aca="1" ref="BH96" ca="1">IF(TblConstr[[#This Row],[Hour]:[Hour]]&gt;12,OFFSET(TblConstr[[#This Row],[Fac]],-12,0),0)+OFFSET(TblConstr[[#This Row],[Tot Fac]],-1,0)-TblConstr[[#This Row],[Dest Fac]]</f>
        <v>0</v>
      </c>
      <c r="BI96" s="396" cm="1">
        <f t="array" aca="1" ref="BI96" ca="1">IF(TblConstr[[#This Row],[Hour]:[Hour]]&gt;12,OFFSET(TblConstr[[#This Row],[GT]],-12,0),0)+OFFSET(TblConstr[[#This Row],[Tot GT]],-1,0)-TblConstr[[#This Row],[Dest GT]]</f>
        <v>0</v>
      </c>
      <c r="BJ96" s="396" cm="1">
        <f t="array" aca="1" ref="BJ96" ca="1">IF(TblConstr[[#This Row],[Hour]:[Hour]]&gt;12,OFFSET(TblConstr[[#This Row],[Bar]],-12,0),0)+OFFSET(TblConstr[[#This Row],[Tot Bar]],-1,0)-TblConstr[[#This Row],[Dest Bar]]</f>
        <v>0</v>
      </c>
      <c r="BK96" s="396" cm="1">
        <f t="array" aca="1" ref="BK96" ca="1">IF(TblConstr[[#This Row],[Hour]:[Hour]]&gt;12,OFFSET(TblConstr[[#This Row],[Shr]],-12,0),0)+OFFSET(TblConstr[[#This Row],[Tot Shr]],-1,0)-TblConstr[[#This Row],[Dest Shr]]</f>
        <v>0</v>
      </c>
      <c r="BL96" s="400" cm="1">
        <f t="array" aca="1" ref="BL96" ca="1">IF(TblConstr[[#This Row],[Hour]:[Hour]]&gt;12,OFFSET(TblConstr[[#This Row],[Tow]],-12,0),0)+OFFSET(TblConstr[[#This Row],[Tot Tow]],-1,0)-TblConstr[[#This Row],[Dest Tow]]</f>
        <v>0</v>
      </c>
      <c r="BM96" s="400" cm="1">
        <f t="array" aca="1" ref="BM96" ca="1">IF(TblConstr[[#This Row],[Hour]:[Hour]]&gt;12,OFFSET(TblConstr[[#This Row],[Tem]],-12,0),0)+OFFSET(TblConstr[[#This Row],[Tot Tem]],-1,0)-TblConstr[[#This Row],[Dest Tem]]</f>
        <v>0</v>
      </c>
      <c r="BN96" s="400" cm="1">
        <f t="array" aca="1" ref="BN96" ca="1">IF(TblConstr[[#This Row],[Hour]:[Hour]]&gt;12,OFFSET(TblConstr[[#This Row],[WG]],-12,0),0)+OFFSET(TblConstr[[#This Row],[Tot WG]],-1,0)-TblConstr[[#This Row],[Dest WG]]</f>
        <v>0</v>
      </c>
      <c r="BO96" s="199" cm="1">
        <f t="array" aca="1" ref="BO96" ca="1">IF(TblConstr[[#This Row],[Hour]:[Hour]]&gt;12,OFFSET(TblConstr[[#This Row],[DM]],-12,0),0)+OFFSET(TblConstr[[#This Row],[Tot DM]],-1,0)-TblConstr[[#This Row],[Dest DM]]</f>
        <v>0</v>
      </c>
      <c r="BP96" s="199" cm="1">
        <f t="array" aca="1" ref="BP96" ca="1">IF(TblConstr[[#This Row],[Hour]:[Hour]]&gt;12,OFFSET(TblConstr[[#This Row],[Sch]],-12,0),0)+OFFSET(TblConstr[[#This Row],[Tot Sch]],-1,0)-TblConstr[[#This Row],[Dest Sch]]</f>
        <v>0</v>
      </c>
      <c r="BQ96" s="200" cm="1">
        <f t="array" aca="1" ref="BQ96" ca="1">IF(TblConstr[[#This Row],[Hour]:[Hour]]&gt;12,OFFSET(TblConstr[[#This Row],[Doc]],-12,0),0)+OFFSET(TblConstr[[#This Row],[Tot Doc]],-1,0)-TblConstr[[#This Row],[Dest Doc]]</f>
        <v>0</v>
      </c>
      <c r="BR96" s="150"/>
      <c r="BS96" s="162"/>
      <c r="BT96" s="97">
        <f ca="1">TblConstr[[#This Row],[Land]]</f>
        <v>250</v>
      </c>
      <c r="BU96" s="167">
        <f ca="1">TblImps[[#This Row],[Time]]</f>
        <v>44814.58333333311</v>
      </c>
      <c r="BV96" s="150"/>
      <c r="BW96" s="187"/>
      <c r="BX96" s="187"/>
      <c r="BY96" s="187"/>
      <c r="BZ96" s="187"/>
      <c r="CA96" s="187"/>
      <c r="CB96" s="187"/>
      <c r="CC96" s="187"/>
      <c r="CD96" s="187"/>
      <c r="CE96" s="187"/>
      <c r="CF96" s="187"/>
      <c r="CG96" s="187"/>
      <c r="CH96" s="187"/>
      <c r="CI96" s="187"/>
      <c r="CJ96" s="187"/>
      <c r="CK96" s="187"/>
      <c r="CL96" s="187"/>
      <c r="CM96" s="187"/>
      <c r="CN96" s="187"/>
      <c r="CO96" s="187"/>
      <c r="CP96" s="150"/>
      <c r="CQ96" s="189">
        <f ca="1">-SUM(TblConstr[[#This Row],[Alc]:[Mas]])+SUM(TblConstr[[#This Row],[Dest Alc]:[Dest Mas]])+Rezone!L96+IF("Ch_"&amp; home_land=TblConstr[[#Headers],[Ch_Plain]],TblConstr[[#This Row],[Home Land]])+IF(TblConstr[[#This Row],[Hour]:[Hour]]&gt;12,OFFSET(TblExplore[[#This Row],[Plains Explore]],-12,0),0)</f>
        <v>0</v>
      </c>
      <c r="CR96" s="190">
        <f ca="1">-SUM(TblConstr[[#This Row],[Ly]:[Hav]])+SUM(TblConstr[[#This Row],[Dest Ly]:[Dest Hav]]) +Rezone!M96 + IF("Ch_"&amp; home_land=TblConstr[[#Headers],[Ch_Forest]],TblConstr[[#This Row],[Home Land]])+IF(TblConstr[[#This Row],[Hour]:[Hour]]&gt;12,OFFSET(TblExplore[[#This Row],[Forest Explore]],-12,0),0)</f>
        <v>0</v>
      </c>
      <c r="CS96" s="390">
        <f ca="1">-SUM(TblConstr[[#This Row],[OM]:[GN]])+SUM(TblConstr[[#This Row],[Dest OM]:[Dest GN]]) +Rezone!N96 + IF("Ch_"&amp; home_land=TblConstr[[#Headers],[Ch_Mountain]],TblConstr[[#This Row],[Home Land]])+IF(TblConstr[[#This Row],[Hour]:[Hour]]&gt;12,OFFSET(TblExplore[[#This Row],[Mountain Explore]],-12,0),0)</f>
        <v>0</v>
      </c>
      <c r="CT96" s="191">
        <f ca="1">-SUM(TblConstr[[#This Row],[Fac]:[Shr]])+SUM(TblConstr[[#This Row],[Dest Fac]:[Dest Shr]]) +Rezone!O96 + IF("Ch_" &amp; home_land=TblConstr[[#Headers],[Ch_Hill]],TblConstr[[#This Row],[Home Land]])+IF(TblConstr[[#This Row],[Hour]:[Hour]]&gt;12,OFFSET(TblExplore[[#This Row],[Hill Explore]],-12,0),0)</f>
        <v>0</v>
      </c>
      <c r="CU96" s="192">
        <f ca="1">-SUM(TblConstr[[#This Row],[Tow]:[WG]])+SUM(TblConstr[[#This Row],[Dest Tow]:[Dest WG]]) +Rezone!P96 + IF("Ch_" &amp; home_land=TblConstr[[#Headers],[Ch_Swamp]],TblConstr[[#This Row],[Home Land]])+IF(TblConstr[[#This Row],[Hour]:[Hour]]&gt;12,OFFSET(TblExplore[[#This Row],[Swamp Explore]],-12,0),0)</f>
        <v>0</v>
      </c>
      <c r="CV96" s="193">
        <f ca="1" xml:space="preserve"> - SUM(TblConstr[[#This Row],[DM]:[Sch]])+SUM(TblConstr[[#This Row],[Dest DM]:[Dest Sch]]) +Rezone!Q96 + IF("Ch_" &amp; home_land=TblConstr[[#Headers],[Ch_Cavern]],TblConstr[[#This Row],[Home Land]])+IF(TblConstr[[#This Row],[Hour]:[Hour]]&gt;12,OFFSET(TblExplore[[#This Row],[Cavern Explore]],-12,0),0)</f>
        <v>0</v>
      </c>
      <c r="CW96" s="194">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50"/>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83">
        <f>TblRezone[[#This Row],[Hour]]</f>
        <v>94</v>
      </c>
      <c r="B97" s="184">
        <f ca="1">SUM(TblConstr[[#This Row],[Plain]:[Water]])</f>
        <v>160</v>
      </c>
      <c r="C97" s="185">
        <f ca="1">SUM(TblConstr[[#This Row],[Tot Hom]:[Tot Doc]])</f>
        <v>90</v>
      </c>
      <c r="D97" s="185">
        <f t="shared" si="21"/>
        <v>0</v>
      </c>
      <c r="E97" s="186"/>
      <c r="F97" s="62">
        <f ca="1">TblConstr[[#This Row],[Barren]]+TblConstr[[#This Row],[Buildings]]+TblConstr[[#This Row],[Incoming]]</f>
        <v>250</v>
      </c>
      <c r="G97" s="195">
        <f ca="1">OFFSET(TblConstr[[#This Row],[Plain]],-1,0)+TblConstr[[#This Row],[Ch_Plain]]</f>
        <v>40</v>
      </c>
      <c r="H97" s="190">
        <f ca="1">OFFSET(TblConstr[[#This Row],[Forest]],-1,0)+TblConstr[[#This Row],[Ch_Forest]]</f>
        <v>20</v>
      </c>
      <c r="I97" s="390">
        <f ca="1">OFFSET(TblConstr[[#This Row],[Mountain]],-1,0)+TblConstr[[#This Row],[Ch_Mountain]]</f>
        <v>20</v>
      </c>
      <c r="J97" s="394">
        <f ca="1">OFFSET(TblConstr[[#This Row],[Hill]],-1,0)+TblConstr[[#This Row],[Ch_Hill]]</f>
        <v>20</v>
      </c>
      <c r="K97" s="398">
        <f ca="1">OFFSET(TblConstr[[#This Row],[Swamp]],-1,0)+TblConstr[[#This Row],[Ch_Swamp]]</f>
        <v>20</v>
      </c>
      <c r="L97" s="193">
        <f ca="1">OFFSET(TblConstr[[#This Row],[Cavern]],-1,0)+TblConstr[[#This Row],[Ch_Cavern]]</f>
        <v>20</v>
      </c>
      <c r="M97" s="194">
        <f ca="1">OFFSET(TblConstr[[#This Row],[Water]],-1,0)+TblConstr[[#This Row],[Ch_Water]]</f>
        <v>20</v>
      </c>
      <c r="N97" s="388">
        <f>TblRezone[[#This Row],[Hour]]</f>
        <v>94</v>
      </c>
      <c r="O97" s="187"/>
      <c r="P97" s="187"/>
      <c r="Q97" s="187"/>
      <c r="R97" s="166"/>
      <c r="S97" s="187"/>
      <c r="T97" s="187"/>
      <c r="U97" s="187"/>
      <c r="V97" s="187"/>
      <c r="W97" s="187"/>
      <c r="X97" s="187"/>
      <c r="Y97" s="187"/>
      <c r="Z97" s="187"/>
      <c r="AA97" s="187"/>
      <c r="AB97" s="187"/>
      <c r="AC97" s="187"/>
      <c r="AD97" s="187"/>
      <c r="AE97" s="187"/>
      <c r="AF97" s="187"/>
      <c r="AG97" s="187"/>
      <c r="AH97" s="53">
        <f ca="1">TblImps[[#This Row],[Time]]</f>
        <v>44814.624999999774</v>
      </c>
      <c r="AI97" s="188">
        <f ca="1">MIN(25%,(TblConstr[[#This Row],[Tot Fac]]+TblConstr[[#This Row],[Dest Fac]])/(TblConstr[[#This Row],[Land]]-TblExplore[[#This Row],[Land Bonus]]*20))</f>
        <v>0</v>
      </c>
      <c r="AJ97" s="188">
        <f ca="1">MIN(25%,(TblConstr[[#This Row],[Tot Fac]]+TblConstr[[#This Row],[Dest Fac]])/TblConstr[[#This Row],[Land]])</f>
        <v>0</v>
      </c>
      <c r="AK97" s="97">
        <f ca="1">TblProd[[#This Row],[Platinum]]</f>
        <v>611076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50"/>
      <c r="AV97" s="97">
        <f ca="1">ROUND((TblConstr[[#This Row],[Land]]-250 - IF(TblExplore[[#This Row],[Land Bonus]]&lt;&gt;0,20,0))*1.25 + 850 + 0,0)</f>
        <v>850</v>
      </c>
      <c r="AW97" s="97">
        <f ca="1">ROUND((TblConstr[[#This Row],[Land]]-250 - IF(TblExplore[[#This Row],[Land Bonus]]&lt;&gt;0,20,0))*0.285 + 87.5 + 0/4.25,0)</f>
        <v>88</v>
      </c>
      <c r="AX97" s="162"/>
      <c r="AY97" s="196" cm="1">
        <f t="array" aca="1" ref="AY97" ca="1">IF(TblConstr[[#This Row],[Hour]:[Hour]]&gt;12,OFFSET(TblConstr[[#This Row],[Hom]],-12,0),0)+OFFSET(TblConstr[[#This Row],[Tot Hom]],-1,0)-TblConstr[[#This Row],[Dest Hom]]</f>
        <v>10</v>
      </c>
      <c r="AZ97" s="197" cm="1">
        <f t="array" aca="1" ref="AZ97" ca="1">IF(TblConstr[[#This Row],[Hour]:[Hour]]&gt;12,OFFSET(TblConstr[[#This Row],[Alc]],-12,0),0)+OFFSET(TblConstr[[#This Row],[Tot Alc]],-1,0)-TblConstr[[#This Row],[Dest Alc]]</f>
        <v>30</v>
      </c>
      <c r="BA97" s="197" cm="1">
        <f t="array" aca="1" ref="BA97" ca="1">IF(TblConstr[[#This Row],[Hour]:[Hour]]&gt;12,OFFSET(TblConstr[[#This Row],[Far]],-12,0),0)+OFFSET(TblConstr[[#This Row],[Tot Farm]],-1,0)-TblConstr[[#This Row],[Dest Farm]]</f>
        <v>30</v>
      </c>
      <c r="BB97" s="197" cm="1">
        <f t="array" aca="1" ref="BB97" ca="1">IF(TblConstr[[#This Row],[Hour]:[Hour]]&gt;12,OFFSET(TblConstr[[#This Row],[Smi]],-12,0),0)+OFFSET(TblConstr[[#This Row],[Tot Smi]],-1,0)-TblConstr[[#This Row],[Dest Smi]]</f>
        <v>0</v>
      </c>
      <c r="BC97" s="197" cm="1">
        <f t="array" aca="1" ref="BC97" ca="1">IF(TblConstr[[#This Row],[Hour]:[Hour]]&gt;12,OFFSET(TblConstr[[#This Row],[Mas]],-12,0),0)+OFFSET(TblConstr[[#This Row],[Tot Mas]],-1,0)-TblConstr[[#This Row],[Dest Mas]]</f>
        <v>0</v>
      </c>
      <c r="BD97" s="198" cm="1">
        <f t="array" aca="1" ref="BD97" ca="1">IF(TblConstr[[#This Row],[Hour]:[Hour]]&gt;12,OFFSET(TblConstr[[#This Row],[Ly]],-12,0),0)+OFFSET(TblConstr[[#This Row],[Tot Ly]],-1,0)-TblConstr[[#This Row],[Dest Ly]]</f>
        <v>20</v>
      </c>
      <c r="BE97" s="198" cm="1">
        <f t="array" aca="1" ref="BE97" ca="1">IF(TblConstr[[#This Row],[Hour]:[Hour]]&gt;12,OFFSET(TblConstr[[#This Row],[Hav]],-12,0),0)+OFFSET(TblConstr[[#This Row],[Tot Hav]],-1,0)-TblConstr[[#This Row],[Dest Hav]]</f>
        <v>0</v>
      </c>
      <c r="BF97" s="392" cm="1">
        <f t="array" aca="1" ref="BF97" ca="1">IF(TblConstr[[#This Row],[Hour]:[Hour]]&gt;12,OFFSET(TblConstr[[#This Row],[OM]],-12,0),0)+OFFSET(TblConstr[[#This Row],[Tot OM]],-1,0)-TblConstr[[#This Row],[Dest OM]]</f>
        <v>0</v>
      </c>
      <c r="BG97" s="392" cm="1">
        <f t="array" aca="1" ref="BG97" ca="1">IF(TblConstr[[#This Row],[Hour]:[Hour]]&gt;12,OFFSET(TblConstr[[#This Row],[GN]],-12,0),0)+OFFSET(TblConstr[[#This Row],[Tot GN]],-1,0)-TblConstr[[#This Row],[Dest GN]]</f>
        <v>0</v>
      </c>
      <c r="BH97" s="396" cm="1">
        <f t="array" aca="1" ref="BH97" ca="1">IF(TblConstr[[#This Row],[Hour]:[Hour]]&gt;12,OFFSET(TblConstr[[#This Row],[Fac]],-12,0),0)+OFFSET(TblConstr[[#This Row],[Tot Fac]],-1,0)-TblConstr[[#This Row],[Dest Fac]]</f>
        <v>0</v>
      </c>
      <c r="BI97" s="396" cm="1">
        <f t="array" aca="1" ref="BI97" ca="1">IF(TblConstr[[#This Row],[Hour]:[Hour]]&gt;12,OFFSET(TblConstr[[#This Row],[GT]],-12,0),0)+OFFSET(TblConstr[[#This Row],[Tot GT]],-1,0)-TblConstr[[#This Row],[Dest GT]]</f>
        <v>0</v>
      </c>
      <c r="BJ97" s="396" cm="1">
        <f t="array" aca="1" ref="BJ97" ca="1">IF(TblConstr[[#This Row],[Hour]:[Hour]]&gt;12,OFFSET(TblConstr[[#This Row],[Bar]],-12,0),0)+OFFSET(TblConstr[[#This Row],[Tot Bar]],-1,0)-TblConstr[[#This Row],[Dest Bar]]</f>
        <v>0</v>
      </c>
      <c r="BK97" s="396" cm="1">
        <f t="array" aca="1" ref="BK97" ca="1">IF(TblConstr[[#This Row],[Hour]:[Hour]]&gt;12,OFFSET(TblConstr[[#This Row],[Shr]],-12,0),0)+OFFSET(TblConstr[[#This Row],[Tot Shr]],-1,0)-TblConstr[[#This Row],[Dest Shr]]</f>
        <v>0</v>
      </c>
      <c r="BL97" s="400" cm="1">
        <f t="array" aca="1" ref="BL97" ca="1">IF(TblConstr[[#This Row],[Hour]:[Hour]]&gt;12,OFFSET(TblConstr[[#This Row],[Tow]],-12,0),0)+OFFSET(TblConstr[[#This Row],[Tot Tow]],-1,0)-TblConstr[[#This Row],[Dest Tow]]</f>
        <v>0</v>
      </c>
      <c r="BM97" s="400" cm="1">
        <f t="array" aca="1" ref="BM97" ca="1">IF(TblConstr[[#This Row],[Hour]:[Hour]]&gt;12,OFFSET(TblConstr[[#This Row],[Tem]],-12,0),0)+OFFSET(TblConstr[[#This Row],[Tot Tem]],-1,0)-TblConstr[[#This Row],[Dest Tem]]</f>
        <v>0</v>
      </c>
      <c r="BN97" s="400" cm="1">
        <f t="array" aca="1" ref="BN97" ca="1">IF(TblConstr[[#This Row],[Hour]:[Hour]]&gt;12,OFFSET(TblConstr[[#This Row],[WG]],-12,0),0)+OFFSET(TblConstr[[#This Row],[Tot WG]],-1,0)-TblConstr[[#This Row],[Dest WG]]</f>
        <v>0</v>
      </c>
      <c r="BO97" s="199" cm="1">
        <f t="array" aca="1" ref="BO97" ca="1">IF(TblConstr[[#This Row],[Hour]:[Hour]]&gt;12,OFFSET(TblConstr[[#This Row],[DM]],-12,0),0)+OFFSET(TblConstr[[#This Row],[Tot DM]],-1,0)-TblConstr[[#This Row],[Dest DM]]</f>
        <v>0</v>
      </c>
      <c r="BP97" s="199" cm="1">
        <f t="array" aca="1" ref="BP97" ca="1">IF(TblConstr[[#This Row],[Hour]:[Hour]]&gt;12,OFFSET(TblConstr[[#This Row],[Sch]],-12,0),0)+OFFSET(TblConstr[[#This Row],[Tot Sch]],-1,0)-TblConstr[[#This Row],[Dest Sch]]</f>
        <v>0</v>
      </c>
      <c r="BQ97" s="200" cm="1">
        <f t="array" aca="1" ref="BQ97" ca="1">IF(TblConstr[[#This Row],[Hour]:[Hour]]&gt;12,OFFSET(TblConstr[[#This Row],[Doc]],-12,0),0)+OFFSET(TblConstr[[#This Row],[Tot Doc]],-1,0)-TblConstr[[#This Row],[Dest Doc]]</f>
        <v>0</v>
      </c>
      <c r="BR97" s="150"/>
      <c r="BS97" s="162"/>
      <c r="BT97" s="97">
        <f ca="1">TblConstr[[#This Row],[Land]]</f>
        <v>250</v>
      </c>
      <c r="BU97" s="167">
        <f ca="1">TblImps[[#This Row],[Time]]</f>
        <v>44814.624999999774</v>
      </c>
      <c r="BV97" s="150"/>
      <c r="BW97" s="187"/>
      <c r="BX97" s="187"/>
      <c r="BY97" s="187"/>
      <c r="BZ97" s="187"/>
      <c r="CA97" s="187"/>
      <c r="CB97" s="187"/>
      <c r="CC97" s="187"/>
      <c r="CD97" s="187"/>
      <c r="CE97" s="187"/>
      <c r="CF97" s="187"/>
      <c r="CG97" s="187"/>
      <c r="CH97" s="187"/>
      <c r="CI97" s="187"/>
      <c r="CJ97" s="187"/>
      <c r="CK97" s="187"/>
      <c r="CL97" s="187"/>
      <c r="CM97" s="187"/>
      <c r="CN97" s="187"/>
      <c r="CO97" s="187"/>
      <c r="CP97" s="150"/>
      <c r="CQ97" s="189">
        <f ca="1">-SUM(TblConstr[[#This Row],[Alc]:[Mas]])+SUM(TblConstr[[#This Row],[Dest Alc]:[Dest Mas]])+Rezone!L97+IF("Ch_"&amp; home_land=TblConstr[[#Headers],[Ch_Plain]],TblConstr[[#This Row],[Home Land]])+IF(TblConstr[[#This Row],[Hour]:[Hour]]&gt;12,OFFSET(TblExplore[[#This Row],[Plains Explore]],-12,0),0)</f>
        <v>0</v>
      </c>
      <c r="CR97" s="190">
        <f ca="1">-SUM(TblConstr[[#This Row],[Ly]:[Hav]])+SUM(TblConstr[[#This Row],[Dest Ly]:[Dest Hav]]) +Rezone!M97 + IF("Ch_"&amp; home_land=TblConstr[[#Headers],[Ch_Forest]],TblConstr[[#This Row],[Home Land]])+IF(TblConstr[[#This Row],[Hour]:[Hour]]&gt;12,OFFSET(TblExplore[[#This Row],[Forest Explore]],-12,0),0)</f>
        <v>0</v>
      </c>
      <c r="CS97" s="390">
        <f ca="1">-SUM(TblConstr[[#This Row],[OM]:[GN]])+SUM(TblConstr[[#This Row],[Dest OM]:[Dest GN]]) +Rezone!N97 + IF("Ch_"&amp; home_land=TblConstr[[#Headers],[Ch_Mountain]],TblConstr[[#This Row],[Home Land]])+IF(TblConstr[[#This Row],[Hour]:[Hour]]&gt;12,OFFSET(TblExplore[[#This Row],[Mountain Explore]],-12,0),0)</f>
        <v>0</v>
      </c>
      <c r="CT97" s="191">
        <f ca="1">-SUM(TblConstr[[#This Row],[Fac]:[Shr]])+SUM(TblConstr[[#This Row],[Dest Fac]:[Dest Shr]]) +Rezone!O97 + IF("Ch_" &amp; home_land=TblConstr[[#Headers],[Ch_Hill]],TblConstr[[#This Row],[Home Land]])+IF(TblConstr[[#This Row],[Hour]:[Hour]]&gt;12,OFFSET(TblExplore[[#This Row],[Hill Explore]],-12,0),0)</f>
        <v>0</v>
      </c>
      <c r="CU97" s="192">
        <f ca="1">-SUM(TblConstr[[#This Row],[Tow]:[WG]])+SUM(TblConstr[[#This Row],[Dest Tow]:[Dest WG]]) +Rezone!P97 + IF("Ch_" &amp; home_land=TblConstr[[#Headers],[Ch_Swamp]],TblConstr[[#This Row],[Home Land]])+IF(TblConstr[[#This Row],[Hour]:[Hour]]&gt;12,OFFSET(TblExplore[[#This Row],[Swamp Explore]],-12,0),0)</f>
        <v>0</v>
      </c>
      <c r="CV97" s="193">
        <f ca="1" xml:space="preserve"> - SUM(TblConstr[[#This Row],[DM]:[Sch]])+SUM(TblConstr[[#This Row],[Dest DM]:[Dest Sch]]) +Rezone!Q97 + IF("Ch_" &amp; home_land=TblConstr[[#Headers],[Ch_Cavern]],TblConstr[[#This Row],[Home Land]])+IF(TblConstr[[#This Row],[Hour]:[Hour]]&gt;12,OFFSET(TblExplore[[#This Row],[Cavern Explore]],-12,0),0)</f>
        <v>0</v>
      </c>
      <c r="CW97" s="194">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50"/>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83">
        <f>TblRezone[[#This Row],[Hour]]</f>
        <v>95</v>
      </c>
      <c r="B98" s="184">
        <f ca="1">SUM(TblConstr[[#This Row],[Plain]:[Water]])</f>
        <v>160</v>
      </c>
      <c r="C98" s="185">
        <f ca="1">SUM(TblConstr[[#This Row],[Tot Hom]:[Tot Doc]])</f>
        <v>90</v>
      </c>
      <c r="D98" s="185">
        <f t="shared" si="21"/>
        <v>0</v>
      </c>
      <c r="E98" s="186"/>
      <c r="F98" s="62">
        <f ca="1">TblConstr[[#This Row],[Barren]]+TblConstr[[#This Row],[Buildings]]+TblConstr[[#This Row],[Incoming]]</f>
        <v>250</v>
      </c>
      <c r="G98" s="195">
        <f ca="1">OFFSET(TblConstr[[#This Row],[Plain]],-1,0)+TblConstr[[#This Row],[Ch_Plain]]</f>
        <v>40</v>
      </c>
      <c r="H98" s="190">
        <f ca="1">OFFSET(TblConstr[[#This Row],[Forest]],-1,0)+TblConstr[[#This Row],[Ch_Forest]]</f>
        <v>20</v>
      </c>
      <c r="I98" s="390">
        <f ca="1">OFFSET(TblConstr[[#This Row],[Mountain]],-1,0)+TblConstr[[#This Row],[Ch_Mountain]]</f>
        <v>20</v>
      </c>
      <c r="J98" s="394">
        <f ca="1">OFFSET(TblConstr[[#This Row],[Hill]],-1,0)+TblConstr[[#This Row],[Ch_Hill]]</f>
        <v>20</v>
      </c>
      <c r="K98" s="398">
        <f ca="1">OFFSET(TblConstr[[#This Row],[Swamp]],-1,0)+TblConstr[[#This Row],[Ch_Swamp]]</f>
        <v>20</v>
      </c>
      <c r="L98" s="193">
        <f ca="1">OFFSET(TblConstr[[#This Row],[Cavern]],-1,0)+TblConstr[[#This Row],[Ch_Cavern]]</f>
        <v>20</v>
      </c>
      <c r="M98" s="194">
        <f ca="1">OFFSET(TblConstr[[#This Row],[Water]],-1,0)+TblConstr[[#This Row],[Ch_Water]]</f>
        <v>20</v>
      </c>
      <c r="N98" s="388">
        <f>TblRezone[[#This Row],[Hour]]</f>
        <v>95</v>
      </c>
      <c r="O98" s="187"/>
      <c r="P98" s="187"/>
      <c r="Q98" s="187"/>
      <c r="R98" s="166"/>
      <c r="S98" s="187"/>
      <c r="T98" s="187"/>
      <c r="U98" s="187"/>
      <c r="V98" s="187"/>
      <c r="W98" s="187"/>
      <c r="X98" s="187"/>
      <c r="Y98" s="187"/>
      <c r="Z98" s="187"/>
      <c r="AA98" s="187"/>
      <c r="AB98" s="187"/>
      <c r="AC98" s="187"/>
      <c r="AD98" s="187"/>
      <c r="AE98" s="187"/>
      <c r="AF98" s="187"/>
      <c r="AG98" s="187"/>
      <c r="AH98" s="53">
        <f ca="1">TblImps[[#This Row],[Time]]</f>
        <v>44814.666666666439</v>
      </c>
      <c r="AI98" s="188">
        <f ca="1">MIN(25%,(TblConstr[[#This Row],[Tot Fac]]+TblConstr[[#This Row],[Dest Fac]])/(TblConstr[[#This Row],[Land]]-TblExplore[[#This Row],[Land Bonus]]*20))</f>
        <v>0</v>
      </c>
      <c r="AJ98" s="188">
        <f ca="1">MIN(25%,(TblConstr[[#This Row],[Tot Fac]]+TblConstr[[#This Row],[Dest Fac]])/TblConstr[[#This Row],[Land]])</f>
        <v>0</v>
      </c>
      <c r="AK98" s="97">
        <f ca="1">TblProd[[#This Row],[Platinum]]</f>
        <v>616562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50"/>
      <c r="AV98" s="97">
        <f ca="1">ROUND((TblConstr[[#This Row],[Land]]-250 - IF(TblExplore[[#This Row],[Land Bonus]]&lt;&gt;0,20,0))*1.25 + 850 + 0,0)</f>
        <v>850</v>
      </c>
      <c r="AW98" s="97">
        <f ca="1">ROUND((TblConstr[[#This Row],[Land]]-250 - IF(TblExplore[[#This Row],[Land Bonus]]&lt;&gt;0,20,0))*0.285 + 87.5 + 0/4.25,0)</f>
        <v>88</v>
      </c>
      <c r="AX98" s="162"/>
      <c r="AY98" s="196" cm="1">
        <f t="array" aca="1" ref="AY98" ca="1">IF(TblConstr[[#This Row],[Hour]:[Hour]]&gt;12,OFFSET(TblConstr[[#This Row],[Hom]],-12,0),0)+OFFSET(TblConstr[[#This Row],[Tot Hom]],-1,0)-TblConstr[[#This Row],[Dest Hom]]</f>
        <v>10</v>
      </c>
      <c r="AZ98" s="197" cm="1">
        <f t="array" aca="1" ref="AZ98" ca="1">IF(TblConstr[[#This Row],[Hour]:[Hour]]&gt;12,OFFSET(TblConstr[[#This Row],[Alc]],-12,0),0)+OFFSET(TblConstr[[#This Row],[Tot Alc]],-1,0)-TblConstr[[#This Row],[Dest Alc]]</f>
        <v>30</v>
      </c>
      <c r="BA98" s="197" cm="1">
        <f t="array" aca="1" ref="BA98" ca="1">IF(TblConstr[[#This Row],[Hour]:[Hour]]&gt;12,OFFSET(TblConstr[[#This Row],[Far]],-12,0),0)+OFFSET(TblConstr[[#This Row],[Tot Farm]],-1,0)-TblConstr[[#This Row],[Dest Farm]]</f>
        <v>30</v>
      </c>
      <c r="BB98" s="197" cm="1">
        <f t="array" aca="1" ref="BB98" ca="1">IF(TblConstr[[#This Row],[Hour]:[Hour]]&gt;12,OFFSET(TblConstr[[#This Row],[Smi]],-12,0),0)+OFFSET(TblConstr[[#This Row],[Tot Smi]],-1,0)-TblConstr[[#This Row],[Dest Smi]]</f>
        <v>0</v>
      </c>
      <c r="BC98" s="197" cm="1">
        <f t="array" aca="1" ref="BC98" ca="1">IF(TblConstr[[#This Row],[Hour]:[Hour]]&gt;12,OFFSET(TblConstr[[#This Row],[Mas]],-12,0),0)+OFFSET(TblConstr[[#This Row],[Tot Mas]],-1,0)-TblConstr[[#This Row],[Dest Mas]]</f>
        <v>0</v>
      </c>
      <c r="BD98" s="198" cm="1">
        <f t="array" aca="1" ref="BD98" ca="1">IF(TblConstr[[#This Row],[Hour]:[Hour]]&gt;12,OFFSET(TblConstr[[#This Row],[Ly]],-12,0),0)+OFFSET(TblConstr[[#This Row],[Tot Ly]],-1,0)-TblConstr[[#This Row],[Dest Ly]]</f>
        <v>20</v>
      </c>
      <c r="BE98" s="198" cm="1">
        <f t="array" aca="1" ref="BE98" ca="1">IF(TblConstr[[#This Row],[Hour]:[Hour]]&gt;12,OFFSET(TblConstr[[#This Row],[Hav]],-12,0),0)+OFFSET(TblConstr[[#This Row],[Tot Hav]],-1,0)-TblConstr[[#This Row],[Dest Hav]]</f>
        <v>0</v>
      </c>
      <c r="BF98" s="392" cm="1">
        <f t="array" aca="1" ref="BF98" ca="1">IF(TblConstr[[#This Row],[Hour]:[Hour]]&gt;12,OFFSET(TblConstr[[#This Row],[OM]],-12,0),0)+OFFSET(TblConstr[[#This Row],[Tot OM]],-1,0)-TblConstr[[#This Row],[Dest OM]]</f>
        <v>0</v>
      </c>
      <c r="BG98" s="392" cm="1">
        <f t="array" aca="1" ref="BG98" ca="1">IF(TblConstr[[#This Row],[Hour]:[Hour]]&gt;12,OFFSET(TblConstr[[#This Row],[GN]],-12,0),0)+OFFSET(TblConstr[[#This Row],[Tot GN]],-1,0)-TblConstr[[#This Row],[Dest GN]]</f>
        <v>0</v>
      </c>
      <c r="BH98" s="396" cm="1">
        <f t="array" aca="1" ref="BH98" ca="1">IF(TblConstr[[#This Row],[Hour]:[Hour]]&gt;12,OFFSET(TblConstr[[#This Row],[Fac]],-12,0),0)+OFFSET(TblConstr[[#This Row],[Tot Fac]],-1,0)-TblConstr[[#This Row],[Dest Fac]]</f>
        <v>0</v>
      </c>
      <c r="BI98" s="396" cm="1">
        <f t="array" aca="1" ref="BI98" ca="1">IF(TblConstr[[#This Row],[Hour]:[Hour]]&gt;12,OFFSET(TblConstr[[#This Row],[GT]],-12,0),0)+OFFSET(TblConstr[[#This Row],[Tot GT]],-1,0)-TblConstr[[#This Row],[Dest GT]]</f>
        <v>0</v>
      </c>
      <c r="BJ98" s="396" cm="1">
        <f t="array" aca="1" ref="BJ98" ca="1">IF(TblConstr[[#This Row],[Hour]:[Hour]]&gt;12,OFFSET(TblConstr[[#This Row],[Bar]],-12,0),0)+OFFSET(TblConstr[[#This Row],[Tot Bar]],-1,0)-TblConstr[[#This Row],[Dest Bar]]</f>
        <v>0</v>
      </c>
      <c r="BK98" s="396" cm="1">
        <f t="array" aca="1" ref="BK98" ca="1">IF(TblConstr[[#This Row],[Hour]:[Hour]]&gt;12,OFFSET(TblConstr[[#This Row],[Shr]],-12,0),0)+OFFSET(TblConstr[[#This Row],[Tot Shr]],-1,0)-TblConstr[[#This Row],[Dest Shr]]</f>
        <v>0</v>
      </c>
      <c r="BL98" s="400" cm="1">
        <f t="array" aca="1" ref="BL98" ca="1">IF(TblConstr[[#This Row],[Hour]:[Hour]]&gt;12,OFFSET(TblConstr[[#This Row],[Tow]],-12,0),0)+OFFSET(TblConstr[[#This Row],[Tot Tow]],-1,0)-TblConstr[[#This Row],[Dest Tow]]</f>
        <v>0</v>
      </c>
      <c r="BM98" s="400" cm="1">
        <f t="array" aca="1" ref="BM98" ca="1">IF(TblConstr[[#This Row],[Hour]:[Hour]]&gt;12,OFFSET(TblConstr[[#This Row],[Tem]],-12,0),0)+OFFSET(TblConstr[[#This Row],[Tot Tem]],-1,0)-TblConstr[[#This Row],[Dest Tem]]</f>
        <v>0</v>
      </c>
      <c r="BN98" s="400" cm="1">
        <f t="array" aca="1" ref="BN98" ca="1">IF(TblConstr[[#This Row],[Hour]:[Hour]]&gt;12,OFFSET(TblConstr[[#This Row],[WG]],-12,0),0)+OFFSET(TblConstr[[#This Row],[Tot WG]],-1,0)-TblConstr[[#This Row],[Dest WG]]</f>
        <v>0</v>
      </c>
      <c r="BO98" s="199" cm="1">
        <f t="array" aca="1" ref="BO98" ca="1">IF(TblConstr[[#This Row],[Hour]:[Hour]]&gt;12,OFFSET(TblConstr[[#This Row],[DM]],-12,0),0)+OFFSET(TblConstr[[#This Row],[Tot DM]],-1,0)-TblConstr[[#This Row],[Dest DM]]</f>
        <v>0</v>
      </c>
      <c r="BP98" s="199" cm="1">
        <f t="array" aca="1" ref="BP98" ca="1">IF(TblConstr[[#This Row],[Hour]:[Hour]]&gt;12,OFFSET(TblConstr[[#This Row],[Sch]],-12,0),0)+OFFSET(TblConstr[[#This Row],[Tot Sch]],-1,0)-TblConstr[[#This Row],[Dest Sch]]</f>
        <v>0</v>
      </c>
      <c r="BQ98" s="200" cm="1">
        <f t="array" aca="1" ref="BQ98" ca="1">IF(TblConstr[[#This Row],[Hour]:[Hour]]&gt;12,OFFSET(TblConstr[[#This Row],[Doc]],-12,0),0)+OFFSET(TblConstr[[#This Row],[Tot Doc]],-1,0)-TblConstr[[#This Row],[Dest Doc]]</f>
        <v>0</v>
      </c>
      <c r="BR98" s="150"/>
      <c r="BS98" s="162"/>
      <c r="BT98" s="97">
        <f ca="1">TblConstr[[#This Row],[Land]]</f>
        <v>250</v>
      </c>
      <c r="BU98" s="167">
        <f ca="1">TblImps[[#This Row],[Time]]</f>
        <v>44814.666666666439</v>
      </c>
      <c r="BV98" s="150"/>
      <c r="BW98" s="187"/>
      <c r="BX98" s="187"/>
      <c r="BY98" s="187"/>
      <c r="BZ98" s="187"/>
      <c r="CA98" s="187"/>
      <c r="CB98" s="187"/>
      <c r="CC98" s="187"/>
      <c r="CD98" s="187"/>
      <c r="CE98" s="187"/>
      <c r="CF98" s="187"/>
      <c r="CG98" s="187"/>
      <c r="CH98" s="187"/>
      <c r="CI98" s="187"/>
      <c r="CJ98" s="187"/>
      <c r="CK98" s="187"/>
      <c r="CL98" s="187"/>
      <c r="CM98" s="187"/>
      <c r="CN98" s="187"/>
      <c r="CO98" s="187"/>
      <c r="CP98" s="150"/>
      <c r="CQ98" s="189">
        <f ca="1">-SUM(TblConstr[[#This Row],[Alc]:[Mas]])+SUM(TblConstr[[#This Row],[Dest Alc]:[Dest Mas]])+Rezone!L98+IF("Ch_"&amp; home_land=TblConstr[[#Headers],[Ch_Plain]],TblConstr[[#This Row],[Home Land]])+IF(TblConstr[[#This Row],[Hour]:[Hour]]&gt;12,OFFSET(TblExplore[[#This Row],[Plains Explore]],-12,0),0)</f>
        <v>0</v>
      </c>
      <c r="CR98" s="190">
        <f ca="1">-SUM(TblConstr[[#This Row],[Ly]:[Hav]])+SUM(TblConstr[[#This Row],[Dest Ly]:[Dest Hav]]) +Rezone!M98 + IF("Ch_"&amp; home_land=TblConstr[[#Headers],[Ch_Forest]],TblConstr[[#This Row],[Home Land]])+IF(TblConstr[[#This Row],[Hour]:[Hour]]&gt;12,OFFSET(TblExplore[[#This Row],[Forest Explore]],-12,0),0)</f>
        <v>0</v>
      </c>
      <c r="CS98" s="390">
        <f ca="1">-SUM(TblConstr[[#This Row],[OM]:[GN]])+SUM(TblConstr[[#This Row],[Dest OM]:[Dest GN]]) +Rezone!N98 + IF("Ch_"&amp; home_land=TblConstr[[#Headers],[Ch_Mountain]],TblConstr[[#This Row],[Home Land]])+IF(TblConstr[[#This Row],[Hour]:[Hour]]&gt;12,OFFSET(TblExplore[[#This Row],[Mountain Explore]],-12,0),0)</f>
        <v>0</v>
      </c>
      <c r="CT98" s="191">
        <f ca="1">-SUM(TblConstr[[#This Row],[Fac]:[Shr]])+SUM(TblConstr[[#This Row],[Dest Fac]:[Dest Shr]]) +Rezone!O98 + IF("Ch_" &amp; home_land=TblConstr[[#Headers],[Ch_Hill]],TblConstr[[#This Row],[Home Land]])+IF(TblConstr[[#This Row],[Hour]:[Hour]]&gt;12,OFFSET(TblExplore[[#This Row],[Hill Explore]],-12,0),0)</f>
        <v>0</v>
      </c>
      <c r="CU98" s="192">
        <f ca="1">-SUM(TblConstr[[#This Row],[Tow]:[WG]])+SUM(TblConstr[[#This Row],[Dest Tow]:[Dest WG]]) +Rezone!P98 + IF("Ch_" &amp; home_land=TblConstr[[#Headers],[Ch_Swamp]],TblConstr[[#This Row],[Home Land]])+IF(TblConstr[[#This Row],[Hour]:[Hour]]&gt;12,OFFSET(TblExplore[[#This Row],[Swamp Explore]],-12,0),0)</f>
        <v>0</v>
      </c>
      <c r="CV98" s="193">
        <f ca="1" xml:space="preserve"> - SUM(TblConstr[[#This Row],[DM]:[Sch]])+SUM(TblConstr[[#This Row],[Dest DM]:[Dest Sch]]) +Rezone!Q98 + IF("Ch_" &amp; home_land=TblConstr[[#Headers],[Ch_Cavern]],TblConstr[[#This Row],[Home Land]])+IF(TblConstr[[#This Row],[Hour]:[Hour]]&gt;12,OFFSET(TblExplore[[#This Row],[Cavern Explore]],-12,0),0)</f>
        <v>0</v>
      </c>
      <c r="CW98" s="194">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50"/>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83">
        <f>TblRezone[[#This Row],[Hour]]</f>
        <v>96</v>
      </c>
      <c r="B99" s="184">
        <f ca="1">SUM(TblConstr[[#This Row],[Plain]:[Water]])</f>
        <v>160</v>
      </c>
      <c r="C99" s="185">
        <f ca="1">SUM(TblConstr[[#This Row],[Tot Hom]:[Tot Doc]])</f>
        <v>90</v>
      </c>
      <c r="D99" s="185">
        <f t="shared" si="21"/>
        <v>0</v>
      </c>
      <c r="E99" s="186"/>
      <c r="F99" s="62">
        <f ca="1">TblConstr[[#This Row],[Barren]]+TblConstr[[#This Row],[Buildings]]+TblConstr[[#This Row],[Incoming]]</f>
        <v>250</v>
      </c>
      <c r="G99" s="195">
        <f ca="1">OFFSET(TblConstr[[#This Row],[Plain]],-1,0)+TblConstr[[#This Row],[Ch_Plain]]</f>
        <v>40</v>
      </c>
      <c r="H99" s="190">
        <f ca="1">OFFSET(TblConstr[[#This Row],[Forest]],-1,0)+TblConstr[[#This Row],[Ch_Forest]]</f>
        <v>20</v>
      </c>
      <c r="I99" s="390">
        <f ca="1">OFFSET(TblConstr[[#This Row],[Mountain]],-1,0)+TblConstr[[#This Row],[Ch_Mountain]]</f>
        <v>20</v>
      </c>
      <c r="J99" s="394">
        <f ca="1">OFFSET(TblConstr[[#This Row],[Hill]],-1,0)+TblConstr[[#This Row],[Ch_Hill]]</f>
        <v>20</v>
      </c>
      <c r="K99" s="398">
        <f ca="1">OFFSET(TblConstr[[#This Row],[Swamp]],-1,0)+TblConstr[[#This Row],[Ch_Swamp]]</f>
        <v>20</v>
      </c>
      <c r="L99" s="193">
        <f ca="1">OFFSET(TblConstr[[#This Row],[Cavern]],-1,0)+TblConstr[[#This Row],[Ch_Cavern]]</f>
        <v>20</v>
      </c>
      <c r="M99" s="194">
        <f ca="1">OFFSET(TblConstr[[#This Row],[Water]],-1,0)+TblConstr[[#This Row],[Ch_Water]]</f>
        <v>20</v>
      </c>
      <c r="N99" s="388">
        <f>TblRezone[[#This Row],[Hour]]</f>
        <v>96</v>
      </c>
      <c r="O99" s="187"/>
      <c r="P99" s="166"/>
      <c r="Q99" s="187"/>
      <c r="R99" s="187"/>
      <c r="S99" s="187"/>
      <c r="T99" s="187"/>
      <c r="U99" s="187"/>
      <c r="V99" s="187"/>
      <c r="W99" s="187"/>
      <c r="X99" s="187"/>
      <c r="Y99" s="187"/>
      <c r="Z99" s="187"/>
      <c r="AA99" s="187"/>
      <c r="AB99" s="187"/>
      <c r="AC99" s="187"/>
      <c r="AD99" s="187"/>
      <c r="AE99" s="187"/>
      <c r="AF99" s="187"/>
      <c r="AG99" s="187"/>
      <c r="AH99" s="53">
        <f ca="1">TblImps[[#This Row],[Time]]</f>
        <v>44814.708333333103</v>
      </c>
      <c r="AI99" s="188">
        <f ca="1">MIN(25%,(TblConstr[[#This Row],[Tot Fac]]+TblConstr[[#This Row],[Dest Fac]])/(TblConstr[[#This Row],[Land]]-TblExplore[[#This Row],[Land Bonus]]*20))</f>
        <v>0</v>
      </c>
      <c r="AJ99" s="188">
        <f ca="1">MIN(25%,(TblConstr[[#This Row],[Tot Fac]]+TblConstr[[#This Row],[Dest Fac]])/TblConstr[[#This Row],[Land]])</f>
        <v>0</v>
      </c>
      <c r="AK99" s="97">
        <f ca="1">TblProd[[#This Row],[Platinum]]</f>
        <v>622048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50"/>
      <c r="AV99" s="97">
        <f ca="1">ROUND((TblConstr[[#This Row],[Land]]-250 - IF(TblExplore[[#This Row],[Land Bonus]]&lt;&gt;0,20,0))*1.25 + 850 + 0,0)</f>
        <v>850</v>
      </c>
      <c r="AW99" s="97">
        <f ca="1">ROUND((TblConstr[[#This Row],[Land]]-250 - IF(TblExplore[[#This Row],[Land Bonus]]&lt;&gt;0,20,0))*0.285 + 87.5 + 0/4.25,0)</f>
        <v>88</v>
      </c>
      <c r="AX99" s="162"/>
      <c r="AY99" s="196" cm="1">
        <f t="array" aca="1" ref="AY99" ca="1">IF(TblConstr[[#This Row],[Hour]:[Hour]]&gt;12,OFFSET(TblConstr[[#This Row],[Hom]],-12,0),0)+OFFSET(TblConstr[[#This Row],[Tot Hom]],-1,0)-TblConstr[[#This Row],[Dest Hom]]</f>
        <v>10</v>
      </c>
      <c r="AZ99" s="197" cm="1">
        <f t="array" aca="1" ref="AZ99" ca="1">IF(TblConstr[[#This Row],[Hour]:[Hour]]&gt;12,OFFSET(TblConstr[[#This Row],[Alc]],-12,0),0)+OFFSET(TblConstr[[#This Row],[Tot Alc]],-1,0)-TblConstr[[#This Row],[Dest Alc]]</f>
        <v>30</v>
      </c>
      <c r="BA99" s="197" cm="1">
        <f t="array" aca="1" ref="BA99" ca="1">IF(TblConstr[[#This Row],[Hour]:[Hour]]&gt;12,OFFSET(TblConstr[[#This Row],[Far]],-12,0),0)+OFFSET(TblConstr[[#This Row],[Tot Farm]],-1,0)-TblConstr[[#This Row],[Dest Farm]]</f>
        <v>30</v>
      </c>
      <c r="BB99" s="197" cm="1">
        <f t="array" aca="1" ref="BB99" ca="1">IF(TblConstr[[#This Row],[Hour]:[Hour]]&gt;12,OFFSET(TblConstr[[#This Row],[Smi]],-12,0),0)+OFFSET(TblConstr[[#This Row],[Tot Smi]],-1,0)-TblConstr[[#This Row],[Dest Smi]]</f>
        <v>0</v>
      </c>
      <c r="BC99" s="197" cm="1">
        <f t="array" aca="1" ref="BC99" ca="1">IF(TblConstr[[#This Row],[Hour]:[Hour]]&gt;12,OFFSET(TblConstr[[#This Row],[Mas]],-12,0),0)+OFFSET(TblConstr[[#This Row],[Tot Mas]],-1,0)-TblConstr[[#This Row],[Dest Mas]]</f>
        <v>0</v>
      </c>
      <c r="BD99" s="198" cm="1">
        <f t="array" aca="1" ref="BD99" ca="1">IF(TblConstr[[#This Row],[Hour]:[Hour]]&gt;12,OFFSET(TblConstr[[#This Row],[Ly]],-12,0),0)+OFFSET(TblConstr[[#This Row],[Tot Ly]],-1,0)-TblConstr[[#This Row],[Dest Ly]]</f>
        <v>20</v>
      </c>
      <c r="BE99" s="198" cm="1">
        <f t="array" aca="1" ref="BE99" ca="1">IF(TblConstr[[#This Row],[Hour]:[Hour]]&gt;12,OFFSET(TblConstr[[#This Row],[Hav]],-12,0),0)+OFFSET(TblConstr[[#This Row],[Tot Hav]],-1,0)-TblConstr[[#This Row],[Dest Hav]]</f>
        <v>0</v>
      </c>
      <c r="BF99" s="392" cm="1">
        <f t="array" aca="1" ref="BF99" ca="1">IF(TblConstr[[#This Row],[Hour]:[Hour]]&gt;12,OFFSET(TblConstr[[#This Row],[OM]],-12,0),0)+OFFSET(TblConstr[[#This Row],[Tot OM]],-1,0)-TblConstr[[#This Row],[Dest OM]]</f>
        <v>0</v>
      </c>
      <c r="BG99" s="392" cm="1">
        <f t="array" aca="1" ref="BG99" ca="1">IF(TblConstr[[#This Row],[Hour]:[Hour]]&gt;12,OFFSET(TblConstr[[#This Row],[GN]],-12,0),0)+OFFSET(TblConstr[[#This Row],[Tot GN]],-1,0)-TblConstr[[#This Row],[Dest GN]]</f>
        <v>0</v>
      </c>
      <c r="BH99" s="396" cm="1">
        <f t="array" aca="1" ref="BH99" ca="1">IF(TblConstr[[#This Row],[Hour]:[Hour]]&gt;12,OFFSET(TblConstr[[#This Row],[Fac]],-12,0),0)+OFFSET(TblConstr[[#This Row],[Tot Fac]],-1,0)-TblConstr[[#This Row],[Dest Fac]]</f>
        <v>0</v>
      </c>
      <c r="BI99" s="396" cm="1">
        <f t="array" aca="1" ref="BI99" ca="1">IF(TblConstr[[#This Row],[Hour]:[Hour]]&gt;12,OFFSET(TblConstr[[#This Row],[GT]],-12,0),0)+OFFSET(TblConstr[[#This Row],[Tot GT]],-1,0)-TblConstr[[#This Row],[Dest GT]]</f>
        <v>0</v>
      </c>
      <c r="BJ99" s="396" cm="1">
        <f t="array" aca="1" ref="BJ99" ca="1">IF(TblConstr[[#This Row],[Hour]:[Hour]]&gt;12,OFFSET(TblConstr[[#This Row],[Bar]],-12,0),0)+OFFSET(TblConstr[[#This Row],[Tot Bar]],-1,0)-TblConstr[[#This Row],[Dest Bar]]</f>
        <v>0</v>
      </c>
      <c r="BK99" s="396" cm="1">
        <f t="array" aca="1" ref="BK99" ca="1">IF(TblConstr[[#This Row],[Hour]:[Hour]]&gt;12,OFFSET(TblConstr[[#This Row],[Shr]],-12,0),0)+OFFSET(TblConstr[[#This Row],[Tot Shr]],-1,0)-TblConstr[[#This Row],[Dest Shr]]</f>
        <v>0</v>
      </c>
      <c r="BL99" s="400" cm="1">
        <f t="array" aca="1" ref="BL99" ca="1">IF(TblConstr[[#This Row],[Hour]:[Hour]]&gt;12,OFFSET(TblConstr[[#This Row],[Tow]],-12,0),0)+OFFSET(TblConstr[[#This Row],[Tot Tow]],-1,0)-TblConstr[[#This Row],[Dest Tow]]</f>
        <v>0</v>
      </c>
      <c r="BM99" s="400" cm="1">
        <f t="array" aca="1" ref="BM99" ca="1">IF(TblConstr[[#This Row],[Hour]:[Hour]]&gt;12,OFFSET(TblConstr[[#This Row],[Tem]],-12,0),0)+OFFSET(TblConstr[[#This Row],[Tot Tem]],-1,0)-TblConstr[[#This Row],[Dest Tem]]</f>
        <v>0</v>
      </c>
      <c r="BN99" s="400" cm="1">
        <f t="array" aca="1" ref="BN99" ca="1">IF(TblConstr[[#This Row],[Hour]:[Hour]]&gt;12,OFFSET(TblConstr[[#This Row],[WG]],-12,0),0)+OFFSET(TblConstr[[#This Row],[Tot WG]],-1,0)-TblConstr[[#This Row],[Dest WG]]</f>
        <v>0</v>
      </c>
      <c r="BO99" s="199" cm="1">
        <f t="array" aca="1" ref="BO99" ca="1">IF(TblConstr[[#This Row],[Hour]:[Hour]]&gt;12,OFFSET(TblConstr[[#This Row],[DM]],-12,0),0)+OFFSET(TblConstr[[#This Row],[Tot DM]],-1,0)-TblConstr[[#This Row],[Dest DM]]</f>
        <v>0</v>
      </c>
      <c r="BP99" s="199" cm="1">
        <f t="array" aca="1" ref="BP99" ca="1">IF(TblConstr[[#This Row],[Hour]:[Hour]]&gt;12,OFFSET(TblConstr[[#This Row],[Sch]],-12,0),0)+OFFSET(TblConstr[[#This Row],[Tot Sch]],-1,0)-TblConstr[[#This Row],[Dest Sch]]</f>
        <v>0</v>
      </c>
      <c r="BQ99" s="200" cm="1">
        <f t="array" aca="1" ref="BQ99" ca="1">IF(TblConstr[[#This Row],[Hour]:[Hour]]&gt;12,OFFSET(TblConstr[[#This Row],[Doc]],-12,0),0)+OFFSET(TblConstr[[#This Row],[Tot Doc]],-1,0)-TblConstr[[#This Row],[Dest Doc]]</f>
        <v>0</v>
      </c>
      <c r="BR99" s="150"/>
      <c r="BS99" s="162"/>
      <c r="BT99" s="97">
        <f ca="1">TblConstr[[#This Row],[Land]]</f>
        <v>250</v>
      </c>
      <c r="BU99" s="167">
        <f ca="1">TblImps[[#This Row],[Time]]</f>
        <v>44814.708333333103</v>
      </c>
      <c r="BV99" s="150"/>
      <c r="BW99" s="187"/>
      <c r="BX99" s="187"/>
      <c r="BY99" s="187"/>
      <c r="BZ99" s="187"/>
      <c r="CA99" s="187"/>
      <c r="CB99" s="187"/>
      <c r="CC99" s="187"/>
      <c r="CD99" s="187"/>
      <c r="CE99" s="187"/>
      <c r="CF99" s="187"/>
      <c r="CG99" s="187"/>
      <c r="CH99" s="187"/>
      <c r="CI99" s="187"/>
      <c r="CJ99" s="187"/>
      <c r="CK99" s="187"/>
      <c r="CL99" s="187"/>
      <c r="CM99" s="187"/>
      <c r="CN99" s="187"/>
      <c r="CO99" s="187"/>
      <c r="CP99" s="150"/>
      <c r="CQ99" s="189">
        <f ca="1">-SUM(TblConstr[[#This Row],[Alc]:[Mas]])+SUM(TblConstr[[#This Row],[Dest Alc]:[Dest Mas]])+Rezone!L99+IF("Ch_"&amp; home_land=TblConstr[[#Headers],[Ch_Plain]],TblConstr[[#This Row],[Home Land]])+IF(TblConstr[[#This Row],[Hour]:[Hour]]&gt;12,OFFSET(TblExplore[[#This Row],[Plains Explore]],-12,0),0)</f>
        <v>0</v>
      </c>
      <c r="CR99" s="190">
        <f ca="1">-SUM(TblConstr[[#This Row],[Ly]:[Hav]])+SUM(TblConstr[[#This Row],[Dest Ly]:[Dest Hav]]) +Rezone!M99 + IF("Ch_"&amp; home_land=TblConstr[[#Headers],[Ch_Forest]],TblConstr[[#This Row],[Home Land]])+IF(TblConstr[[#This Row],[Hour]:[Hour]]&gt;12,OFFSET(TblExplore[[#This Row],[Forest Explore]],-12,0),0)</f>
        <v>0</v>
      </c>
      <c r="CS99" s="390">
        <f ca="1">-SUM(TblConstr[[#This Row],[OM]:[GN]])+SUM(TblConstr[[#This Row],[Dest OM]:[Dest GN]]) +Rezone!N99 + IF("Ch_"&amp; home_land=TblConstr[[#Headers],[Ch_Mountain]],TblConstr[[#This Row],[Home Land]])+IF(TblConstr[[#This Row],[Hour]:[Hour]]&gt;12,OFFSET(TblExplore[[#This Row],[Mountain Explore]],-12,0),0)</f>
        <v>0</v>
      </c>
      <c r="CT99" s="191">
        <f ca="1">-SUM(TblConstr[[#This Row],[Fac]:[Shr]])+SUM(TblConstr[[#This Row],[Dest Fac]:[Dest Shr]]) +Rezone!O99 + IF("Ch_" &amp; home_land=TblConstr[[#Headers],[Ch_Hill]],TblConstr[[#This Row],[Home Land]])+IF(TblConstr[[#This Row],[Hour]:[Hour]]&gt;12,OFFSET(TblExplore[[#This Row],[Hill Explore]],-12,0),0)</f>
        <v>0</v>
      </c>
      <c r="CU99" s="192">
        <f ca="1">-SUM(TblConstr[[#This Row],[Tow]:[WG]])+SUM(TblConstr[[#This Row],[Dest Tow]:[Dest WG]]) +Rezone!P99 + IF("Ch_" &amp; home_land=TblConstr[[#Headers],[Ch_Swamp]],TblConstr[[#This Row],[Home Land]])+IF(TblConstr[[#This Row],[Hour]:[Hour]]&gt;12,OFFSET(TblExplore[[#This Row],[Swamp Explore]],-12,0),0)</f>
        <v>0</v>
      </c>
      <c r="CV99" s="193">
        <f ca="1" xml:space="preserve"> - SUM(TblConstr[[#This Row],[DM]:[Sch]])+SUM(TblConstr[[#This Row],[Dest DM]:[Dest Sch]]) +Rezone!Q99 + IF("Ch_" &amp; home_land=TblConstr[[#Headers],[Ch_Cavern]],TblConstr[[#This Row],[Home Land]])+IF(TblConstr[[#This Row],[Hour]:[Hour]]&gt;12,OFFSET(TblExplore[[#This Row],[Cavern Explore]],-12,0),0)</f>
        <v>0</v>
      </c>
      <c r="CW99" s="194">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50"/>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83">
        <f>TblRezone[[#This Row],[Hour]]</f>
        <v>97</v>
      </c>
      <c r="B100" s="184">
        <f ca="1">SUM(TblConstr[[#This Row],[Plain]:[Water]])</f>
        <v>160</v>
      </c>
      <c r="C100" s="185">
        <f ca="1">SUM(TblConstr[[#This Row],[Tot Hom]:[Tot Doc]])</f>
        <v>90</v>
      </c>
      <c r="D100" s="185">
        <f t="shared" si="21"/>
        <v>0</v>
      </c>
      <c r="E100" s="186"/>
      <c r="F100" s="62">
        <f ca="1">TblConstr[[#This Row],[Barren]]+TblConstr[[#This Row],[Buildings]]+TblConstr[[#This Row],[Incoming]]</f>
        <v>250</v>
      </c>
      <c r="G100" s="195">
        <f ca="1">OFFSET(TblConstr[[#This Row],[Plain]],-1,0)+TblConstr[[#This Row],[Ch_Plain]]</f>
        <v>40</v>
      </c>
      <c r="H100" s="190">
        <f ca="1">OFFSET(TblConstr[[#This Row],[Forest]],-1,0)+TblConstr[[#This Row],[Ch_Forest]]</f>
        <v>20</v>
      </c>
      <c r="I100" s="390">
        <f ca="1">OFFSET(TblConstr[[#This Row],[Mountain]],-1,0)+TblConstr[[#This Row],[Ch_Mountain]]</f>
        <v>20</v>
      </c>
      <c r="J100" s="394">
        <f ca="1">OFFSET(TblConstr[[#This Row],[Hill]],-1,0)+TblConstr[[#This Row],[Ch_Hill]]</f>
        <v>20</v>
      </c>
      <c r="K100" s="398">
        <f ca="1">OFFSET(TblConstr[[#This Row],[Swamp]],-1,0)+TblConstr[[#This Row],[Ch_Swamp]]</f>
        <v>20</v>
      </c>
      <c r="L100" s="193">
        <f ca="1">OFFSET(TblConstr[[#This Row],[Cavern]],-1,0)+TblConstr[[#This Row],[Ch_Cavern]]</f>
        <v>20</v>
      </c>
      <c r="M100" s="194">
        <f ca="1">OFFSET(TblConstr[[#This Row],[Water]],-1,0)+TblConstr[[#This Row],[Ch_Water]]</f>
        <v>20</v>
      </c>
      <c r="N100" s="388">
        <f>TblRezone[[#This Row],[Hour]]</f>
        <v>97</v>
      </c>
      <c r="O100" s="187"/>
      <c r="P100" s="187"/>
      <c r="Q100" s="187"/>
      <c r="R100" s="187"/>
      <c r="S100" s="187"/>
      <c r="T100" s="187"/>
      <c r="U100" s="187"/>
      <c r="V100" s="187"/>
      <c r="W100" s="187"/>
      <c r="X100" s="187"/>
      <c r="Y100" s="187"/>
      <c r="Z100" s="187"/>
      <c r="AA100" s="187"/>
      <c r="AB100" s="187"/>
      <c r="AC100" s="187"/>
      <c r="AD100" s="187"/>
      <c r="AE100" s="187"/>
      <c r="AF100" s="187"/>
      <c r="AG100" s="187"/>
      <c r="AH100" s="53">
        <f ca="1">TblImps[[#This Row],[Time]]</f>
        <v>44814.749999999767</v>
      </c>
      <c r="AI100" s="188">
        <f ca="1">MIN(25%,(TblConstr[[#This Row],[Tot Fac]]+TblConstr[[#This Row],[Dest Fac]])/(TblConstr[[#This Row],[Land]]-TblExplore[[#This Row],[Land Bonus]]*20))</f>
        <v>0</v>
      </c>
      <c r="AJ100" s="188">
        <f ca="1">MIN(25%,(TblConstr[[#This Row],[Tot Fac]]+TblConstr[[#This Row],[Dest Fac]])/TblConstr[[#This Row],[Land]])</f>
        <v>0</v>
      </c>
      <c r="AK100" s="97">
        <f ca="1">TblProd[[#This Row],[Platinum]]</f>
        <v>627534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50"/>
      <c r="AV100" s="97">
        <f ca="1">ROUND((TblConstr[[#This Row],[Land]]-250 - IF(TblExplore[[#This Row],[Land Bonus]]&lt;&gt;0,20,0))*1.25 + 850 + 0,0)</f>
        <v>850</v>
      </c>
      <c r="AW100" s="97">
        <f ca="1">ROUND((TblConstr[[#This Row],[Land]]-250 - IF(TblExplore[[#This Row],[Land Bonus]]&lt;&gt;0,20,0))*0.285 + 87.5 + 0/4.25,0)</f>
        <v>88</v>
      </c>
      <c r="AX100" s="162"/>
      <c r="AY100" s="196" cm="1">
        <f t="array" aca="1" ref="AY100" ca="1">IF(TblConstr[[#This Row],[Hour]:[Hour]]&gt;12,OFFSET(TblConstr[[#This Row],[Hom]],-12,0),0)+OFFSET(TblConstr[[#This Row],[Tot Hom]],-1,0)-TblConstr[[#This Row],[Dest Hom]]</f>
        <v>10</v>
      </c>
      <c r="AZ100" s="197" cm="1">
        <f t="array" aca="1" ref="AZ100" ca="1">IF(TblConstr[[#This Row],[Hour]:[Hour]]&gt;12,OFFSET(TblConstr[[#This Row],[Alc]],-12,0),0)+OFFSET(TblConstr[[#This Row],[Tot Alc]],-1,0)-TblConstr[[#This Row],[Dest Alc]]</f>
        <v>30</v>
      </c>
      <c r="BA100" s="197" cm="1">
        <f t="array" aca="1" ref="BA100" ca="1">IF(TblConstr[[#This Row],[Hour]:[Hour]]&gt;12,OFFSET(TblConstr[[#This Row],[Far]],-12,0),0)+OFFSET(TblConstr[[#This Row],[Tot Farm]],-1,0)-TblConstr[[#This Row],[Dest Farm]]</f>
        <v>30</v>
      </c>
      <c r="BB100" s="197" cm="1">
        <f t="array" aca="1" ref="BB100" ca="1">IF(TblConstr[[#This Row],[Hour]:[Hour]]&gt;12,OFFSET(TblConstr[[#This Row],[Smi]],-12,0),0)+OFFSET(TblConstr[[#This Row],[Tot Smi]],-1,0)-TblConstr[[#This Row],[Dest Smi]]</f>
        <v>0</v>
      </c>
      <c r="BC100" s="197" cm="1">
        <f t="array" aca="1" ref="BC100" ca="1">IF(TblConstr[[#This Row],[Hour]:[Hour]]&gt;12,OFFSET(TblConstr[[#This Row],[Mas]],-12,0),0)+OFFSET(TblConstr[[#This Row],[Tot Mas]],-1,0)-TblConstr[[#This Row],[Dest Mas]]</f>
        <v>0</v>
      </c>
      <c r="BD100" s="198" cm="1">
        <f t="array" aca="1" ref="BD100" ca="1">IF(TblConstr[[#This Row],[Hour]:[Hour]]&gt;12,OFFSET(TblConstr[[#This Row],[Ly]],-12,0),0)+OFFSET(TblConstr[[#This Row],[Tot Ly]],-1,0)-TblConstr[[#This Row],[Dest Ly]]</f>
        <v>20</v>
      </c>
      <c r="BE100" s="198" cm="1">
        <f t="array" aca="1" ref="BE100" ca="1">IF(TblConstr[[#This Row],[Hour]:[Hour]]&gt;12,OFFSET(TblConstr[[#This Row],[Hav]],-12,0),0)+OFFSET(TblConstr[[#This Row],[Tot Hav]],-1,0)-TblConstr[[#This Row],[Dest Hav]]</f>
        <v>0</v>
      </c>
      <c r="BF100" s="392" cm="1">
        <f t="array" aca="1" ref="BF100" ca="1">IF(TblConstr[[#This Row],[Hour]:[Hour]]&gt;12,OFFSET(TblConstr[[#This Row],[OM]],-12,0),0)+OFFSET(TblConstr[[#This Row],[Tot OM]],-1,0)-TblConstr[[#This Row],[Dest OM]]</f>
        <v>0</v>
      </c>
      <c r="BG100" s="392" cm="1">
        <f t="array" aca="1" ref="BG100" ca="1">IF(TblConstr[[#This Row],[Hour]:[Hour]]&gt;12,OFFSET(TblConstr[[#This Row],[GN]],-12,0),0)+OFFSET(TblConstr[[#This Row],[Tot GN]],-1,0)-TblConstr[[#This Row],[Dest GN]]</f>
        <v>0</v>
      </c>
      <c r="BH100" s="396" cm="1">
        <f t="array" aca="1" ref="BH100" ca="1">IF(TblConstr[[#This Row],[Hour]:[Hour]]&gt;12,OFFSET(TblConstr[[#This Row],[Fac]],-12,0),0)+OFFSET(TblConstr[[#This Row],[Tot Fac]],-1,0)-TblConstr[[#This Row],[Dest Fac]]</f>
        <v>0</v>
      </c>
      <c r="BI100" s="396" cm="1">
        <f t="array" aca="1" ref="BI100" ca="1">IF(TblConstr[[#This Row],[Hour]:[Hour]]&gt;12,OFFSET(TblConstr[[#This Row],[GT]],-12,0),0)+OFFSET(TblConstr[[#This Row],[Tot GT]],-1,0)-TblConstr[[#This Row],[Dest GT]]</f>
        <v>0</v>
      </c>
      <c r="BJ100" s="396" cm="1">
        <f t="array" aca="1" ref="BJ100" ca="1">IF(TblConstr[[#This Row],[Hour]:[Hour]]&gt;12,OFFSET(TblConstr[[#This Row],[Bar]],-12,0),0)+OFFSET(TblConstr[[#This Row],[Tot Bar]],-1,0)-TblConstr[[#This Row],[Dest Bar]]</f>
        <v>0</v>
      </c>
      <c r="BK100" s="396" cm="1">
        <f t="array" aca="1" ref="BK100" ca="1">IF(TblConstr[[#This Row],[Hour]:[Hour]]&gt;12,OFFSET(TblConstr[[#This Row],[Shr]],-12,0),0)+OFFSET(TblConstr[[#This Row],[Tot Shr]],-1,0)-TblConstr[[#This Row],[Dest Shr]]</f>
        <v>0</v>
      </c>
      <c r="BL100" s="400" cm="1">
        <f t="array" aca="1" ref="BL100" ca="1">IF(TblConstr[[#This Row],[Hour]:[Hour]]&gt;12,OFFSET(TblConstr[[#This Row],[Tow]],-12,0),0)+OFFSET(TblConstr[[#This Row],[Tot Tow]],-1,0)-TblConstr[[#This Row],[Dest Tow]]</f>
        <v>0</v>
      </c>
      <c r="BM100" s="400" cm="1">
        <f t="array" aca="1" ref="BM100" ca="1">IF(TblConstr[[#This Row],[Hour]:[Hour]]&gt;12,OFFSET(TblConstr[[#This Row],[Tem]],-12,0),0)+OFFSET(TblConstr[[#This Row],[Tot Tem]],-1,0)-TblConstr[[#This Row],[Dest Tem]]</f>
        <v>0</v>
      </c>
      <c r="BN100" s="400" cm="1">
        <f t="array" aca="1" ref="BN100" ca="1">IF(TblConstr[[#This Row],[Hour]:[Hour]]&gt;12,OFFSET(TblConstr[[#This Row],[WG]],-12,0),0)+OFFSET(TblConstr[[#This Row],[Tot WG]],-1,0)-TblConstr[[#This Row],[Dest WG]]</f>
        <v>0</v>
      </c>
      <c r="BO100" s="199" cm="1">
        <f t="array" aca="1" ref="BO100" ca="1">IF(TblConstr[[#This Row],[Hour]:[Hour]]&gt;12,OFFSET(TblConstr[[#This Row],[DM]],-12,0),0)+OFFSET(TblConstr[[#This Row],[Tot DM]],-1,0)-TblConstr[[#This Row],[Dest DM]]</f>
        <v>0</v>
      </c>
      <c r="BP100" s="199" cm="1">
        <f t="array" aca="1" ref="BP100" ca="1">IF(TblConstr[[#This Row],[Hour]:[Hour]]&gt;12,OFFSET(TblConstr[[#This Row],[Sch]],-12,0),0)+OFFSET(TblConstr[[#This Row],[Tot Sch]],-1,0)-TblConstr[[#This Row],[Dest Sch]]</f>
        <v>0</v>
      </c>
      <c r="BQ100" s="200" cm="1">
        <f t="array" aca="1" ref="BQ100" ca="1">IF(TblConstr[[#This Row],[Hour]:[Hour]]&gt;12,OFFSET(TblConstr[[#This Row],[Doc]],-12,0),0)+OFFSET(TblConstr[[#This Row],[Tot Doc]],-1,0)-TblConstr[[#This Row],[Dest Doc]]</f>
        <v>0</v>
      </c>
      <c r="BR100" s="150"/>
      <c r="BS100" s="162"/>
      <c r="BT100" s="97">
        <f ca="1">TblConstr[[#This Row],[Land]]</f>
        <v>250</v>
      </c>
      <c r="BU100" s="167">
        <f ca="1">TblImps[[#This Row],[Time]]</f>
        <v>44814.749999999767</v>
      </c>
      <c r="BV100" s="150"/>
      <c r="BW100" s="187"/>
      <c r="BX100" s="187"/>
      <c r="BY100" s="187"/>
      <c r="BZ100" s="187"/>
      <c r="CA100" s="187"/>
      <c r="CB100" s="187"/>
      <c r="CC100" s="187"/>
      <c r="CD100" s="187"/>
      <c r="CE100" s="187"/>
      <c r="CF100" s="187"/>
      <c r="CG100" s="187"/>
      <c r="CH100" s="187"/>
      <c r="CI100" s="187"/>
      <c r="CJ100" s="187"/>
      <c r="CK100" s="187"/>
      <c r="CL100" s="187"/>
      <c r="CM100" s="187"/>
      <c r="CN100" s="187"/>
      <c r="CO100" s="187"/>
      <c r="CP100" s="150"/>
      <c r="CQ100" s="189">
        <f ca="1">-SUM(TblConstr[[#This Row],[Alc]:[Mas]])+SUM(TblConstr[[#This Row],[Dest Alc]:[Dest Mas]])+Rezone!L100+IF("Ch_"&amp; home_land=TblConstr[[#Headers],[Ch_Plain]],TblConstr[[#This Row],[Home Land]])+IF(TblConstr[[#This Row],[Hour]:[Hour]]&gt;12,OFFSET(TblExplore[[#This Row],[Plains Explore]],-12,0),0)</f>
        <v>0</v>
      </c>
      <c r="CR100" s="190">
        <f ca="1">-SUM(TblConstr[[#This Row],[Ly]:[Hav]])+SUM(TblConstr[[#This Row],[Dest Ly]:[Dest Hav]]) +Rezone!M100 + IF("Ch_"&amp; home_land=TblConstr[[#Headers],[Ch_Forest]],TblConstr[[#This Row],[Home Land]])+IF(TblConstr[[#This Row],[Hour]:[Hour]]&gt;12,OFFSET(TblExplore[[#This Row],[Forest Explore]],-12,0),0)</f>
        <v>0</v>
      </c>
      <c r="CS100" s="390">
        <f ca="1">-SUM(TblConstr[[#This Row],[OM]:[GN]])+SUM(TblConstr[[#This Row],[Dest OM]:[Dest GN]]) +Rezone!N100 + IF("Ch_"&amp; home_land=TblConstr[[#Headers],[Ch_Mountain]],TblConstr[[#This Row],[Home Land]])+IF(TblConstr[[#This Row],[Hour]:[Hour]]&gt;12,OFFSET(TblExplore[[#This Row],[Mountain Explore]],-12,0),0)</f>
        <v>0</v>
      </c>
      <c r="CT100" s="191">
        <f ca="1">-SUM(TblConstr[[#This Row],[Fac]:[Shr]])+SUM(TblConstr[[#This Row],[Dest Fac]:[Dest Shr]]) +Rezone!O100 + IF("Ch_" &amp; home_land=TblConstr[[#Headers],[Ch_Hill]],TblConstr[[#This Row],[Home Land]])+IF(TblConstr[[#This Row],[Hour]:[Hour]]&gt;12,OFFSET(TblExplore[[#This Row],[Hill Explore]],-12,0),0)</f>
        <v>0</v>
      </c>
      <c r="CU100" s="192">
        <f ca="1">-SUM(TblConstr[[#This Row],[Tow]:[WG]])+SUM(TblConstr[[#This Row],[Dest Tow]:[Dest WG]]) +Rezone!P100 + IF("Ch_" &amp; home_land=TblConstr[[#Headers],[Ch_Swamp]],TblConstr[[#This Row],[Home Land]])+IF(TblConstr[[#This Row],[Hour]:[Hour]]&gt;12,OFFSET(TblExplore[[#This Row],[Swamp Explore]],-12,0),0)</f>
        <v>0</v>
      </c>
      <c r="CV100" s="193">
        <f ca="1" xml:space="preserve"> - SUM(TblConstr[[#This Row],[DM]:[Sch]])+SUM(TblConstr[[#This Row],[Dest DM]:[Dest Sch]]) +Rezone!Q100 + IF("Ch_" &amp; home_land=TblConstr[[#Headers],[Ch_Cavern]],TblConstr[[#This Row],[Home Land]])+IF(TblConstr[[#This Row],[Hour]:[Hour]]&gt;12,OFFSET(TblExplore[[#This Row],[Cavern Explore]],-12,0),0)</f>
        <v>0</v>
      </c>
      <c r="CW100" s="194">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50"/>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83">
        <f>TblRezone[[#This Row],[Hour]]</f>
        <v>98</v>
      </c>
      <c r="B101" s="184">
        <f ca="1">SUM(TblConstr[[#This Row],[Plain]:[Water]])</f>
        <v>160</v>
      </c>
      <c r="C101" s="185">
        <f ca="1">SUM(TblConstr[[#This Row],[Tot Hom]:[Tot Doc]])</f>
        <v>90</v>
      </c>
      <c r="D101" s="185">
        <f t="shared" si="21"/>
        <v>0</v>
      </c>
      <c r="E101" s="186"/>
      <c r="F101" s="62">
        <f ca="1">TblConstr[[#This Row],[Barren]]+TblConstr[[#This Row],[Buildings]]+TblConstr[[#This Row],[Incoming]]</f>
        <v>250</v>
      </c>
      <c r="G101" s="195">
        <f ca="1">OFFSET(TblConstr[[#This Row],[Plain]],-1,0)+TblConstr[[#This Row],[Ch_Plain]]</f>
        <v>40</v>
      </c>
      <c r="H101" s="190">
        <f ca="1">OFFSET(TblConstr[[#This Row],[Forest]],-1,0)+TblConstr[[#This Row],[Ch_Forest]]</f>
        <v>20</v>
      </c>
      <c r="I101" s="390">
        <f ca="1">OFFSET(TblConstr[[#This Row],[Mountain]],-1,0)+TblConstr[[#This Row],[Ch_Mountain]]</f>
        <v>20</v>
      </c>
      <c r="J101" s="394">
        <f ca="1">OFFSET(TblConstr[[#This Row],[Hill]],-1,0)+TblConstr[[#This Row],[Ch_Hill]]</f>
        <v>20</v>
      </c>
      <c r="K101" s="398">
        <f ca="1">OFFSET(TblConstr[[#This Row],[Swamp]],-1,0)+TblConstr[[#This Row],[Ch_Swamp]]</f>
        <v>20</v>
      </c>
      <c r="L101" s="193">
        <f ca="1">OFFSET(TblConstr[[#This Row],[Cavern]],-1,0)+TblConstr[[#This Row],[Ch_Cavern]]</f>
        <v>20</v>
      </c>
      <c r="M101" s="194">
        <f ca="1">OFFSET(TblConstr[[#This Row],[Water]],-1,0)+TblConstr[[#This Row],[Ch_Water]]</f>
        <v>20</v>
      </c>
      <c r="N101" s="388">
        <f>TblRezone[[#This Row],[Hour]]</f>
        <v>98</v>
      </c>
      <c r="O101" s="187"/>
      <c r="P101" s="187"/>
      <c r="Q101" s="187"/>
      <c r="R101" s="187"/>
      <c r="S101" s="187"/>
      <c r="T101" s="187"/>
      <c r="U101" s="187"/>
      <c r="V101" s="187"/>
      <c r="W101" s="187"/>
      <c r="X101" s="187"/>
      <c r="Y101" s="187"/>
      <c r="Z101" s="187"/>
      <c r="AA101" s="187"/>
      <c r="AB101" s="187"/>
      <c r="AC101" s="187"/>
      <c r="AD101" s="187"/>
      <c r="AE101" s="187"/>
      <c r="AF101" s="187"/>
      <c r="AG101" s="187"/>
      <c r="AH101" s="53">
        <f ca="1">TblImps[[#This Row],[Time]]</f>
        <v>44814.791666666431</v>
      </c>
      <c r="AI101" s="188">
        <f ca="1">MIN(25%,(TblConstr[[#This Row],[Tot Fac]]+TblConstr[[#This Row],[Dest Fac]])/(TblConstr[[#This Row],[Land]]-TblExplore[[#This Row],[Land Bonus]]*20))</f>
        <v>0</v>
      </c>
      <c r="AJ101" s="188">
        <f ca="1">MIN(25%,(TblConstr[[#This Row],[Tot Fac]]+TblConstr[[#This Row],[Dest Fac]])/TblConstr[[#This Row],[Land]])</f>
        <v>0</v>
      </c>
      <c r="AK101" s="97">
        <f ca="1">TblProd[[#This Row],[Platinum]]</f>
        <v>633020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50"/>
      <c r="AV101" s="97">
        <f ca="1">ROUND((TblConstr[[#This Row],[Land]]-250 - IF(TblExplore[[#This Row],[Land Bonus]]&lt;&gt;0,20,0))*1.25 + 850 + 0,0)</f>
        <v>850</v>
      </c>
      <c r="AW101" s="97">
        <f ca="1">ROUND((TblConstr[[#This Row],[Land]]-250 - IF(TblExplore[[#This Row],[Land Bonus]]&lt;&gt;0,20,0))*0.285 + 87.5 + 0/4.25,0)</f>
        <v>88</v>
      </c>
      <c r="AX101" s="162"/>
      <c r="AY101" s="196" cm="1">
        <f t="array" aca="1" ref="AY101" ca="1">IF(TblConstr[[#This Row],[Hour]:[Hour]]&gt;12,OFFSET(TblConstr[[#This Row],[Hom]],-12,0),0)+OFFSET(TblConstr[[#This Row],[Tot Hom]],-1,0)-TblConstr[[#This Row],[Dest Hom]]</f>
        <v>10</v>
      </c>
      <c r="AZ101" s="197" cm="1">
        <f t="array" aca="1" ref="AZ101" ca="1">IF(TblConstr[[#This Row],[Hour]:[Hour]]&gt;12,OFFSET(TblConstr[[#This Row],[Alc]],-12,0),0)+OFFSET(TblConstr[[#This Row],[Tot Alc]],-1,0)-TblConstr[[#This Row],[Dest Alc]]</f>
        <v>30</v>
      </c>
      <c r="BA101" s="197" cm="1">
        <f t="array" aca="1" ref="BA101" ca="1">IF(TblConstr[[#This Row],[Hour]:[Hour]]&gt;12,OFFSET(TblConstr[[#This Row],[Far]],-12,0),0)+OFFSET(TblConstr[[#This Row],[Tot Farm]],-1,0)-TblConstr[[#This Row],[Dest Farm]]</f>
        <v>30</v>
      </c>
      <c r="BB101" s="197" cm="1">
        <f t="array" aca="1" ref="BB101" ca="1">IF(TblConstr[[#This Row],[Hour]:[Hour]]&gt;12,OFFSET(TblConstr[[#This Row],[Smi]],-12,0),0)+OFFSET(TblConstr[[#This Row],[Tot Smi]],-1,0)-TblConstr[[#This Row],[Dest Smi]]</f>
        <v>0</v>
      </c>
      <c r="BC101" s="197" cm="1">
        <f t="array" aca="1" ref="BC101" ca="1">IF(TblConstr[[#This Row],[Hour]:[Hour]]&gt;12,OFFSET(TblConstr[[#This Row],[Mas]],-12,0),0)+OFFSET(TblConstr[[#This Row],[Tot Mas]],-1,0)-TblConstr[[#This Row],[Dest Mas]]</f>
        <v>0</v>
      </c>
      <c r="BD101" s="198" cm="1">
        <f t="array" aca="1" ref="BD101" ca="1">IF(TblConstr[[#This Row],[Hour]:[Hour]]&gt;12,OFFSET(TblConstr[[#This Row],[Ly]],-12,0),0)+OFFSET(TblConstr[[#This Row],[Tot Ly]],-1,0)-TblConstr[[#This Row],[Dest Ly]]</f>
        <v>20</v>
      </c>
      <c r="BE101" s="198" cm="1">
        <f t="array" aca="1" ref="BE101" ca="1">IF(TblConstr[[#This Row],[Hour]:[Hour]]&gt;12,OFFSET(TblConstr[[#This Row],[Hav]],-12,0),0)+OFFSET(TblConstr[[#This Row],[Tot Hav]],-1,0)-TblConstr[[#This Row],[Dest Hav]]</f>
        <v>0</v>
      </c>
      <c r="BF101" s="392" cm="1">
        <f t="array" aca="1" ref="BF101" ca="1">IF(TblConstr[[#This Row],[Hour]:[Hour]]&gt;12,OFFSET(TblConstr[[#This Row],[OM]],-12,0),0)+OFFSET(TblConstr[[#This Row],[Tot OM]],-1,0)-TblConstr[[#This Row],[Dest OM]]</f>
        <v>0</v>
      </c>
      <c r="BG101" s="392" cm="1">
        <f t="array" aca="1" ref="BG101" ca="1">IF(TblConstr[[#This Row],[Hour]:[Hour]]&gt;12,OFFSET(TblConstr[[#This Row],[GN]],-12,0),0)+OFFSET(TblConstr[[#This Row],[Tot GN]],-1,0)-TblConstr[[#This Row],[Dest GN]]</f>
        <v>0</v>
      </c>
      <c r="BH101" s="396" cm="1">
        <f t="array" aca="1" ref="BH101" ca="1">IF(TblConstr[[#This Row],[Hour]:[Hour]]&gt;12,OFFSET(TblConstr[[#This Row],[Fac]],-12,0),0)+OFFSET(TblConstr[[#This Row],[Tot Fac]],-1,0)-TblConstr[[#This Row],[Dest Fac]]</f>
        <v>0</v>
      </c>
      <c r="BI101" s="396" cm="1">
        <f t="array" aca="1" ref="BI101" ca="1">IF(TblConstr[[#This Row],[Hour]:[Hour]]&gt;12,OFFSET(TblConstr[[#This Row],[GT]],-12,0),0)+OFFSET(TblConstr[[#This Row],[Tot GT]],-1,0)-TblConstr[[#This Row],[Dest GT]]</f>
        <v>0</v>
      </c>
      <c r="BJ101" s="396" cm="1">
        <f t="array" aca="1" ref="BJ101" ca="1">IF(TblConstr[[#This Row],[Hour]:[Hour]]&gt;12,OFFSET(TblConstr[[#This Row],[Bar]],-12,0),0)+OFFSET(TblConstr[[#This Row],[Tot Bar]],-1,0)-TblConstr[[#This Row],[Dest Bar]]</f>
        <v>0</v>
      </c>
      <c r="BK101" s="396" cm="1">
        <f t="array" aca="1" ref="BK101" ca="1">IF(TblConstr[[#This Row],[Hour]:[Hour]]&gt;12,OFFSET(TblConstr[[#This Row],[Shr]],-12,0),0)+OFFSET(TblConstr[[#This Row],[Tot Shr]],-1,0)-TblConstr[[#This Row],[Dest Shr]]</f>
        <v>0</v>
      </c>
      <c r="BL101" s="400" cm="1">
        <f t="array" aca="1" ref="BL101" ca="1">IF(TblConstr[[#This Row],[Hour]:[Hour]]&gt;12,OFFSET(TblConstr[[#This Row],[Tow]],-12,0),0)+OFFSET(TblConstr[[#This Row],[Tot Tow]],-1,0)-TblConstr[[#This Row],[Dest Tow]]</f>
        <v>0</v>
      </c>
      <c r="BM101" s="400" cm="1">
        <f t="array" aca="1" ref="BM101" ca="1">IF(TblConstr[[#This Row],[Hour]:[Hour]]&gt;12,OFFSET(TblConstr[[#This Row],[Tem]],-12,0),0)+OFFSET(TblConstr[[#This Row],[Tot Tem]],-1,0)-TblConstr[[#This Row],[Dest Tem]]</f>
        <v>0</v>
      </c>
      <c r="BN101" s="400" cm="1">
        <f t="array" aca="1" ref="BN101" ca="1">IF(TblConstr[[#This Row],[Hour]:[Hour]]&gt;12,OFFSET(TblConstr[[#This Row],[WG]],-12,0),0)+OFFSET(TblConstr[[#This Row],[Tot WG]],-1,0)-TblConstr[[#This Row],[Dest WG]]</f>
        <v>0</v>
      </c>
      <c r="BO101" s="199" cm="1">
        <f t="array" aca="1" ref="BO101" ca="1">IF(TblConstr[[#This Row],[Hour]:[Hour]]&gt;12,OFFSET(TblConstr[[#This Row],[DM]],-12,0),0)+OFFSET(TblConstr[[#This Row],[Tot DM]],-1,0)-TblConstr[[#This Row],[Dest DM]]</f>
        <v>0</v>
      </c>
      <c r="BP101" s="199" cm="1">
        <f t="array" aca="1" ref="BP101" ca="1">IF(TblConstr[[#This Row],[Hour]:[Hour]]&gt;12,OFFSET(TblConstr[[#This Row],[Sch]],-12,0),0)+OFFSET(TblConstr[[#This Row],[Tot Sch]],-1,0)-TblConstr[[#This Row],[Dest Sch]]</f>
        <v>0</v>
      </c>
      <c r="BQ101" s="200" cm="1">
        <f t="array" aca="1" ref="BQ101" ca="1">IF(TblConstr[[#This Row],[Hour]:[Hour]]&gt;12,OFFSET(TblConstr[[#This Row],[Doc]],-12,0),0)+OFFSET(TblConstr[[#This Row],[Tot Doc]],-1,0)-TblConstr[[#This Row],[Dest Doc]]</f>
        <v>0</v>
      </c>
      <c r="BR101" s="150"/>
      <c r="BS101" s="162"/>
      <c r="BT101" s="97">
        <f ca="1">TblConstr[[#This Row],[Land]]</f>
        <v>250</v>
      </c>
      <c r="BU101" s="167">
        <f ca="1">TblImps[[#This Row],[Time]]</f>
        <v>44814.791666666431</v>
      </c>
      <c r="BV101" s="150"/>
      <c r="BW101" s="187"/>
      <c r="BX101" s="187"/>
      <c r="BY101" s="187"/>
      <c r="BZ101" s="187"/>
      <c r="CA101" s="187"/>
      <c r="CB101" s="187"/>
      <c r="CC101" s="187"/>
      <c r="CD101" s="187"/>
      <c r="CE101" s="187"/>
      <c r="CF101" s="187"/>
      <c r="CG101" s="187"/>
      <c r="CH101" s="187"/>
      <c r="CI101" s="187"/>
      <c r="CJ101" s="187"/>
      <c r="CK101" s="187"/>
      <c r="CL101" s="187"/>
      <c r="CM101" s="187"/>
      <c r="CN101" s="187"/>
      <c r="CO101" s="187"/>
      <c r="CP101" s="150"/>
      <c r="CQ101" s="189">
        <f ca="1">-SUM(TblConstr[[#This Row],[Alc]:[Mas]])+SUM(TblConstr[[#This Row],[Dest Alc]:[Dest Mas]])+Rezone!L101+IF("Ch_"&amp; home_land=TblConstr[[#Headers],[Ch_Plain]],TblConstr[[#This Row],[Home Land]])+IF(TblConstr[[#This Row],[Hour]:[Hour]]&gt;12,OFFSET(TblExplore[[#This Row],[Plains Explore]],-12,0),0)</f>
        <v>0</v>
      </c>
      <c r="CR101" s="190">
        <f ca="1">-SUM(TblConstr[[#This Row],[Ly]:[Hav]])+SUM(TblConstr[[#This Row],[Dest Ly]:[Dest Hav]]) +Rezone!M101 + IF("Ch_"&amp; home_land=TblConstr[[#Headers],[Ch_Forest]],TblConstr[[#This Row],[Home Land]])+IF(TblConstr[[#This Row],[Hour]:[Hour]]&gt;12,OFFSET(TblExplore[[#This Row],[Forest Explore]],-12,0),0)</f>
        <v>0</v>
      </c>
      <c r="CS101" s="390">
        <f ca="1">-SUM(TblConstr[[#This Row],[OM]:[GN]])+SUM(TblConstr[[#This Row],[Dest OM]:[Dest GN]]) +Rezone!N101 + IF("Ch_"&amp; home_land=TblConstr[[#Headers],[Ch_Mountain]],TblConstr[[#This Row],[Home Land]])+IF(TblConstr[[#This Row],[Hour]:[Hour]]&gt;12,OFFSET(TblExplore[[#This Row],[Mountain Explore]],-12,0),0)</f>
        <v>0</v>
      </c>
      <c r="CT101" s="191">
        <f ca="1">-SUM(TblConstr[[#This Row],[Fac]:[Shr]])+SUM(TblConstr[[#This Row],[Dest Fac]:[Dest Shr]]) +Rezone!O101 + IF("Ch_" &amp; home_land=TblConstr[[#Headers],[Ch_Hill]],TblConstr[[#This Row],[Home Land]])+IF(TblConstr[[#This Row],[Hour]:[Hour]]&gt;12,OFFSET(TblExplore[[#This Row],[Hill Explore]],-12,0),0)</f>
        <v>0</v>
      </c>
      <c r="CU101" s="192">
        <f ca="1">-SUM(TblConstr[[#This Row],[Tow]:[WG]])+SUM(TblConstr[[#This Row],[Dest Tow]:[Dest WG]]) +Rezone!P101 + IF("Ch_" &amp; home_land=TblConstr[[#Headers],[Ch_Swamp]],TblConstr[[#This Row],[Home Land]])+IF(TblConstr[[#This Row],[Hour]:[Hour]]&gt;12,OFFSET(TblExplore[[#This Row],[Swamp Explore]],-12,0),0)</f>
        <v>0</v>
      </c>
      <c r="CV101" s="193">
        <f ca="1" xml:space="preserve"> - SUM(TblConstr[[#This Row],[DM]:[Sch]])+SUM(TblConstr[[#This Row],[Dest DM]:[Dest Sch]]) +Rezone!Q101 + IF("Ch_" &amp; home_land=TblConstr[[#Headers],[Ch_Cavern]],TblConstr[[#This Row],[Home Land]])+IF(TblConstr[[#This Row],[Hour]:[Hour]]&gt;12,OFFSET(TblExplore[[#This Row],[Cavern Explore]],-12,0),0)</f>
        <v>0</v>
      </c>
      <c r="CW101" s="194">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50"/>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83">
        <f>TblRezone[[#This Row],[Hour]]</f>
        <v>99</v>
      </c>
      <c r="B102" s="184">
        <f ca="1">SUM(TblConstr[[#This Row],[Plain]:[Water]])</f>
        <v>160</v>
      </c>
      <c r="C102" s="185">
        <f ca="1">SUM(TblConstr[[#This Row],[Tot Hom]:[Tot Doc]])</f>
        <v>90</v>
      </c>
      <c r="D102" s="185">
        <f t="shared" si="21"/>
        <v>0</v>
      </c>
      <c r="E102" s="186"/>
      <c r="F102" s="62">
        <f ca="1">TblConstr[[#This Row],[Barren]]+TblConstr[[#This Row],[Buildings]]+TblConstr[[#This Row],[Incoming]]</f>
        <v>250</v>
      </c>
      <c r="G102" s="195">
        <f ca="1">OFFSET(TblConstr[[#This Row],[Plain]],-1,0)+TblConstr[[#This Row],[Ch_Plain]]</f>
        <v>40</v>
      </c>
      <c r="H102" s="190">
        <f ca="1">OFFSET(TblConstr[[#This Row],[Forest]],-1,0)+TblConstr[[#This Row],[Ch_Forest]]</f>
        <v>20</v>
      </c>
      <c r="I102" s="390">
        <f ca="1">OFFSET(TblConstr[[#This Row],[Mountain]],-1,0)+TblConstr[[#This Row],[Ch_Mountain]]</f>
        <v>20</v>
      </c>
      <c r="J102" s="394">
        <f ca="1">OFFSET(TblConstr[[#This Row],[Hill]],-1,0)+TblConstr[[#This Row],[Ch_Hill]]</f>
        <v>20</v>
      </c>
      <c r="K102" s="398">
        <f ca="1">OFFSET(TblConstr[[#This Row],[Swamp]],-1,0)+TblConstr[[#This Row],[Ch_Swamp]]</f>
        <v>20</v>
      </c>
      <c r="L102" s="193">
        <f ca="1">OFFSET(TblConstr[[#This Row],[Cavern]],-1,0)+TblConstr[[#This Row],[Ch_Cavern]]</f>
        <v>20</v>
      </c>
      <c r="M102" s="194">
        <f ca="1">OFFSET(TblConstr[[#This Row],[Water]],-1,0)+TblConstr[[#This Row],[Ch_Water]]</f>
        <v>20</v>
      </c>
      <c r="N102" s="388">
        <f>TblRezone[[#This Row],[Hour]]</f>
        <v>99</v>
      </c>
      <c r="O102" s="187"/>
      <c r="P102" s="187"/>
      <c r="Q102" s="187"/>
      <c r="R102" s="187"/>
      <c r="S102" s="187"/>
      <c r="T102" s="187"/>
      <c r="U102" s="187"/>
      <c r="V102" s="187"/>
      <c r="W102" s="187"/>
      <c r="X102" s="187"/>
      <c r="Y102" s="187"/>
      <c r="Z102" s="187"/>
      <c r="AA102" s="187"/>
      <c r="AB102" s="187"/>
      <c r="AC102" s="187"/>
      <c r="AD102" s="187"/>
      <c r="AE102" s="187"/>
      <c r="AF102" s="187"/>
      <c r="AG102" s="187"/>
      <c r="AH102" s="53">
        <f ca="1">TblImps[[#This Row],[Time]]</f>
        <v>44814.833333333096</v>
      </c>
      <c r="AI102" s="188">
        <f ca="1">MIN(25%,(TblConstr[[#This Row],[Tot Fac]]+TblConstr[[#This Row],[Dest Fac]])/(TblConstr[[#This Row],[Land]]-TblExplore[[#This Row],[Land Bonus]]*20))</f>
        <v>0</v>
      </c>
      <c r="AJ102" s="188">
        <f ca="1">MIN(25%,(TblConstr[[#This Row],[Tot Fac]]+TblConstr[[#This Row],[Dest Fac]])/TblConstr[[#This Row],[Land]])</f>
        <v>0</v>
      </c>
      <c r="AK102" s="97">
        <f ca="1">TblProd[[#This Row],[Platinum]]</f>
        <v>638506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50"/>
      <c r="AV102" s="97">
        <f ca="1">ROUND((TblConstr[[#This Row],[Land]]-250 - IF(TblExplore[[#This Row],[Land Bonus]]&lt;&gt;0,20,0))*1.25 + 850 + 0,0)</f>
        <v>850</v>
      </c>
      <c r="AW102" s="97">
        <f ca="1">ROUND((TblConstr[[#This Row],[Land]]-250 - IF(TblExplore[[#This Row],[Land Bonus]]&lt;&gt;0,20,0))*0.285 + 87.5 + 0/4.25,0)</f>
        <v>88</v>
      </c>
      <c r="AX102" s="162"/>
      <c r="AY102" s="196" cm="1">
        <f t="array" aca="1" ref="AY102" ca="1">IF(TblConstr[[#This Row],[Hour]:[Hour]]&gt;12,OFFSET(TblConstr[[#This Row],[Hom]],-12,0),0)+OFFSET(TblConstr[[#This Row],[Tot Hom]],-1,0)-TblConstr[[#This Row],[Dest Hom]]</f>
        <v>10</v>
      </c>
      <c r="AZ102" s="197" cm="1">
        <f t="array" aca="1" ref="AZ102" ca="1">IF(TblConstr[[#This Row],[Hour]:[Hour]]&gt;12,OFFSET(TblConstr[[#This Row],[Alc]],-12,0),0)+OFFSET(TblConstr[[#This Row],[Tot Alc]],-1,0)-TblConstr[[#This Row],[Dest Alc]]</f>
        <v>30</v>
      </c>
      <c r="BA102" s="197" cm="1">
        <f t="array" aca="1" ref="BA102" ca="1">IF(TblConstr[[#This Row],[Hour]:[Hour]]&gt;12,OFFSET(TblConstr[[#This Row],[Far]],-12,0),0)+OFFSET(TblConstr[[#This Row],[Tot Farm]],-1,0)-TblConstr[[#This Row],[Dest Farm]]</f>
        <v>30</v>
      </c>
      <c r="BB102" s="197" cm="1">
        <f t="array" aca="1" ref="BB102" ca="1">IF(TblConstr[[#This Row],[Hour]:[Hour]]&gt;12,OFFSET(TblConstr[[#This Row],[Smi]],-12,0),0)+OFFSET(TblConstr[[#This Row],[Tot Smi]],-1,0)-TblConstr[[#This Row],[Dest Smi]]</f>
        <v>0</v>
      </c>
      <c r="BC102" s="197" cm="1">
        <f t="array" aca="1" ref="BC102" ca="1">IF(TblConstr[[#This Row],[Hour]:[Hour]]&gt;12,OFFSET(TblConstr[[#This Row],[Mas]],-12,0),0)+OFFSET(TblConstr[[#This Row],[Tot Mas]],-1,0)-TblConstr[[#This Row],[Dest Mas]]</f>
        <v>0</v>
      </c>
      <c r="BD102" s="198" cm="1">
        <f t="array" aca="1" ref="BD102" ca="1">IF(TblConstr[[#This Row],[Hour]:[Hour]]&gt;12,OFFSET(TblConstr[[#This Row],[Ly]],-12,0),0)+OFFSET(TblConstr[[#This Row],[Tot Ly]],-1,0)-TblConstr[[#This Row],[Dest Ly]]</f>
        <v>20</v>
      </c>
      <c r="BE102" s="198" cm="1">
        <f t="array" aca="1" ref="BE102" ca="1">IF(TblConstr[[#This Row],[Hour]:[Hour]]&gt;12,OFFSET(TblConstr[[#This Row],[Hav]],-12,0),0)+OFFSET(TblConstr[[#This Row],[Tot Hav]],-1,0)-TblConstr[[#This Row],[Dest Hav]]</f>
        <v>0</v>
      </c>
      <c r="BF102" s="392" cm="1">
        <f t="array" aca="1" ref="BF102" ca="1">IF(TblConstr[[#This Row],[Hour]:[Hour]]&gt;12,OFFSET(TblConstr[[#This Row],[OM]],-12,0),0)+OFFSET(TblConstr[[#This Row],[Tot OM]],-1,0)-TblConstr[[#This Row],[Dest OM]]</f>
        <v>0</v>
      </c>
      <c r="BG102" s="392" cm="1">
        <f t="array" aca="1" ref="BG102" ca="1">IF(TblConstr[[#This Row],[Hour]:[Hour]]&gt;12,OFFSET(TblConstr[[#This Row],[GN]],-12,0),0)+OFFSET(TblConstr[[#This Row],[Tot GN]],-1,0)-TblConstr[[#This Row],[Dest GN]]</f>
        <v>0</v>
      </c>
      <c r="BH102" s="396" cm="1">
        <f t="array" aca="1" ref="BH102" ca="1">IF(TblConstr[[#This Row],[Hour]:[Hour]]&gt;12,OFFSET(TblConstr[[#This Row],[Fac]],-12,0),0)+OFFSET(TblConstr[[#This Row],[Tot Fac]],-1,0)-TblConstr[[#This Row],[Dest Fac]]</f>
        <v>0</v>
      </c>
      <c r="BI102" s="396" cm="1">
        <f t="array" aca="1" ref="BI102" ca="1">IF(TblConstr[[#This Row],[Hour]:[Hour]]&gt;12,OFFSET(TblConstr[[#This Row],[GT]],-12,0),0)+OFFSET(TblConstr[[#This Row],[Tot GT]],-1,0)-TblConstr[[#This Row],[Dest GT]]</f>
        <v>0</v>
      </c>
      <c r="BJ102" s="396" cm="1">
        <f t="array" aca="1" ref="BJ102" ca="1">IF(TblConstr[[#This Row],[Hour]:[Hour]]&gt;12,OFFSET(TblConstr[[#This Row],[Bar]],-12,0),0)+OFFSET(TblConstr[[#This Row],[Tot Bar]],-1,0)-TblConstr[[#This Row],[Dest Bar]]</f>
        <v>0</v>
      </c>
      <c r="BK102" s="396" cm="1">
        <f t="array" aca="1" ref="BK102" ca="1">IF(TblConstr[[#This Row],[Hour]:[Hour]]&gt;12,OFFSET(TblConstr[[#This Row],[Shr]],-12,0),0)+OFFSET(TblConstr[[#This Row],[Tot Shr]],-1,0)-TblConstr[[#This Row],[Dest Shr]]</f>
        <v>0</v>
      </c>
      <c r="BL102" s="400" cm="1">
        <f t="array" aca="1" ref="BL102" ca="1">IF(TblConstr[[#This Row],[Hour]:[Hour]]&gt;12,OFFSET(TblConstr[[#This Row],[Tow]],-12,0),0)+OFFSET(TblConstr[[#This Row],[Tot Tow]],-1,0)-TblConstr[[#This Row],[Dest Tow]]</f>
        <v>0</v>
      </c>
      <c r="BM102" s="400" cm="1">
        <f t="array" aca="1" ref="BM102" ca="1">IF(TblConstr[[#This Row],[Hour]:[Hour]]&gt;12,OFFSET(TblConstr[[#This Row],[Tem]],-12,0),0)+OFFSET(TblConstr[[#This Row],[Tot Tem]],-1,0)-TblConstr[[#This Row],[Dest Tem]]</f>
        <v>0</v>
      </c>
      <c r="BN102" s="400" cm="1">
        <f t="array" aca="1" ref="BN102" ca="1">IF(TblConstr[[#This Row],[Hour]:[Hour]]&gt;12,OFFSET(TblConstr[[#This Row],[WG]],-12,0),0)+OFFSET(TblConstr[[#This Row],[Tot WG]],-1,0)-TblConstr[[#This Row],[Dest WG]]</f>
        <v>0</v>
      </c>
      <c r="BO102" s="199" cm="1">
        <f t="array" aca="1" ref="BO102" ca="1">IF(TblConstr[[#This Row],[Hour]:[Hour]]&gt;12,OFFSET(TblConstr[[#This Row],[DM]],-12,0),0)+OFFSET(TblConstr[[#This Row],[Tot DM]],-1,0)-TblConstr[[#This Row],[Dest DM]]</f>
        <v>0</v>
      </c>
      <c r="BP102" s="199" cm="1">
        <f t="array" aca="1" ref="BP102" ca="1">IF(TblConstr[[#This Row],[Hour]:[Hour]]&gt;12,OFFSET(TblConstr[[#This Row],[Sch]],-12,0),0)+OFFSET(TblConstr[[#This Row],[Tot Sch]],-1,0)-TblConstr[[#This Row],[Dest Sch]]</f>
        <v>0</v>
      </c>
      <c r="BQ102" s="200" cm="1">
        <f t="array" aca="1" ref="BQ102" ca="1">IF(TblConstr[[#This Row],[Hour]:[Hour]]&gt;12,OFFSET(TblConstr[[#This Row],[Doc]],-12,0),0)+OFFSET(TblConstr[[#This Row],[Tot Doc]],-1,0)-TblConstr[[#This Row],[Dest Doc]]</f>
        <v>0</v>
      </c>
      <c r="BR102" s="150"/>
      <c r="BS102" s="162"/>
      <c r="BT102" s="97">
        <f ca="1">TblConstr[[#This Row],[Land]]</f>
        <v>250</v>
      </c>
      <c r="BU102" s="167">
        <f ca="1">TblImps[[#This Row],[Time]]</f>
        <v>44814.833333333096</v>
      </c>
      <c r="BV102" s="150"/>
      <c r="BW102" s="187"/>
      <c r="BX102" s="187"/>
      <c r="BY102" s="187"/>
      <c r="BZ102" s="187"/>
      <c r="CA102" s="187"/>
      <c r="CB102" s="187"/>
      <c r="CC102" s="187"/>
      <c r="CD102" s="187"/>
      <c r="CE102" s="187"/>
      <c r="CF102" s="187"/>
      <c r="CG102" s="187"/>
      <c r="CH102" s="187"/>
      <c r="CI102" s="187"/>
      <c r="CJ102" s="187"/>
      <c r="CK102" s="187"/>
      <c r="CL102" s="187"/>
      <c r="CM102" s="187"/>
      <c r="CN102" s="187"/>
      <c r="CO102" s="187"/>
      <c r="CP102" s="150"/>
      <c r="CQ102" s="189">
        <f ca="1">-SUM(TblConstr[[#This Row],[Alc]:[Mas]])+SUM(TblConstr[[#This Row],[Dest Alc]:[Dest Mas]])+Rezone!L102+IF("Ch_"&amp; home_land=TblConstr[[#Headers],[Ch_Plain]],TblConstr[[#This Row],[Home Land]])+IF(TblConstr[[#This Row],[Hour]:[Hour]]&gt;12,OFFSET(TblExplore[[#This Row],[Plains Explore]],-12,0),0)</f>
        <v>0</v>
      </c>
      <c r="CR102" s="190">
        <f ca="1">-SUM(TblConstr[[#This Row],[Ly]:[Hav]])+SUM(TblConstr[[#This Row],[Dest Ly]:[Dest Hav]]) +Rezone!M102 + IF("Ch_"&amp; home_land=TblConstr[[#Headers],[Ch_Forest]],TblConstr[[#This Row],[Home Land]])+IF(TblConstr[[#This Row],[Hour]:[Hour]]&gt;12,OFFSET(TblExplore[[#This Row],[Forest Explore]],-12,0),0)</f>
        <v>0</v>
      </c>
      <c r="CS102" s="390">
        <f ca="1">-SUM(TblConstr[[#This Row],[OM]:[GN]])+SUM(TblConstr[[#This Row],[Dest OM]:[Dest GN]]) +Rezone!N102 + IF("Ch_"&amp; home_land=TblConstr[[#Headers],[Ch_Mountain]],TblConstr[[#This Row],[Home Land]])+IF(TblConstr[[#This Row],[Hour]:[Hour]]&gt;12,OFFSET(TblExplore[[#This Row],[Mountain Explore]],-12,0),0)</f>
        <v>0</v>
      </c>
      <c r="CT102" s="191">
        <f ca="1">-SUM(TblConstr[[#This Row],[Fac]:[Shr]])+SUM(TblConstr[[#This Row],[Dest Fac]:[Dest Shr]]) +Rezone!O102 + IF("Ch_" &amp; home_land=TblConstr[[#Headers],[Ch_Hill]],TblConstr[[#This Row],[Home Land]])+IF(TblConstr[[#This Row],[Hour]:[Hour]]&gt;12,OFFSET(TblExplore[[#This Row],[Hill Explore]],-12,0),0)</f>
        <v>0</v>
      </c>
      <c r="CU102" s="192">
        <f ca="1">-SUM(TblConstr[[#This Row],[Tow]:[WG]])+SUM(TblConstr[[#This Row],[Dest Tow]:[Dest WG]]) +Rezone!P102 + IF("Ch_" &amp; home_land=TblConstr[[#Headers],[Ch_Swamp]],TblConstr[[#This Row],[Home Land]])+IF(TblConstr[[#This Row],[Hour]:[Hour]]&gt;12,OFFSET(TblExplore[[#This Row],[Swamp Explore]],-12,0),0)</f>
        <v>0</v>
      </c>
      <c r="CV102" s="193">
        <f ca="1" xml:space="preserve"> - SUM(TblConstr[[#This Row],[DM]:[Sch]])+SUM(TblConstr[[#This Row],[Dest DM]:[Dest Sch]]) +Rezone!Q102 + IF("Ch_" &amp; home_land=TblConstr[[#Headers],[Ch_Cavern]],TblConstr[[#This Row],[Home Land]])+IF(TblConstr[[#This Row],[Hour]:[Hour]]&gt;12,OFFSET(TblExplore[[#This Row],[Cavern Explore]],-12,0),0)</f>
        <v>0</v>
      </c>
      <c r="CW102" s="194">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50"/>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83">
        <f>TblRezone[[#This Row],[Hour]]</f>
        <v>100</v>
      </c>
      <c r="B103" s="184">
        <f ca="1">SUM(TblConstr[[#This Row],[Plain]:[Water]])</f>
        <v>160</v>
      </c>
      <c r="C103" s="185">
        <f ca="1">SUM(TblConstr[[#This Row],[Tot Hom]:[Tot Doc]])</f>
        <v>90</v>
      </c>
      <c r="D103" s="185">
        <f t="shared" si="21"/>
        <v>0</v>
      </c>
      <c r="E103" s="186"/>
      <c r="F103" s="62">
        <f ca="1">TblConstr[[#This Row],[Barren]]+TblConstr[[#This Row],[Buildings]]+TblConstr[[#This Row],[Incoming]]</f>
        <v>250</v>
      </c>
      <c r="G103" s="195">
        <f ca="1">OFFSET(TblConstr[[#This Row],[Plain]],-1,0)+TblConstr[[#This Row],[Ch_Plain]]</f>
        <v>40</v>
      </c>
      <c r="H103" s="190">
        <f ca="1">OFFSET(TblConstr[[#This Row],[Forest]],-1,0)+TblConstr[[#This Row],[Ch_Forest]]</f>
        <v>20</v>
      </c>
      <c r="I103" s="390">
        <f ca="1">OFFSET(TblConstr[[#This Row],[Mountain]],-1,0)+TblConstr[[#This Row],[Ch_Mountain]]</f>
        <v>20</v>
      </c>
      <c r="J103" s="394">
        <f ca="1">OFFSET(TblConstr[[#This Row],[Hill]],-1,0)+TblConstr[[#This Row],[Ch_Hill]]</f>
        <v>20</v>
      </c>
      <c r="K103" s="398">
        <f ca="1">OFFSET(TblConstr[[#This Row],[Swamp]],-1,0)+TblConstr[[#This Row],[Ch_Swamp]]</f>
        <v>20</v>
      </c>
      <c r="L103" s="193">
        <f ca="1">OFFSET(TblConstr[[#This Row],[Cavern]],-1,0)+TblConstr[[#This Row],[Ch_Cavern]]</f>
        <v>20</v>
      </c>
      <c r="M103" s="194">
        <f ca="1">OFFSET(TblConstr[[#This Row],[Water]],-1,0)+TblConstr[[#This Row],[Ch_Water]]</f>
        <v>20</v>
      </c>
      <c r="N103" s="388">
        <f>TblRezone[[#This Row],[Hour]]</f>
        <v>100</v>
      </c>
      <c r="O103" s="187"/>
      <c r="P103" s="187"/>
      <c r="Q103" s="187"/>
      <c r="R103" s="187"/>
      <c r="S103" s="187"/>
      <c r="T103" s="187"/>
      <c r="U103" s="187"/>
      <c r="V103" s="187"/>
      <c r="W103" s="187"/>
      <c r="X103" s="187"/>
      <c r="Y103" s="187"/>
      <c r="Z103" s="187"/>
      <c r="AA103" s="187"/>
      <c r="AB103" s="187"/>
      <c r="AC103" s="187"/>
      <c r="AD103" s="187"/>
      <c r="AE103" s="187"/>
      <c r="AF103" s="187"/>
      <c r="AG103" s="187"/>
      <c r="AH103" s="53">
        <f ca="1">TblImps[[#This Row],[Time]]</f>
        <v>44814.87499999976</v>
      </c>
      <c r="AI103" s="188">
        <f ca="1">MIN(25%,(TblConstr[[#This Row],[Tot Fac]]+TblConstr[[#This Row],[Dest Fac]])/(TblConstr[[#This Row],[Land]]-TblExplore[[#This Row],[Land Bonus]]*20))</f>
        <v>0</v>
      </c>
      <c r="AJ103" s="188">
        <f ca="1">MIN(25%,(TblConstr[[#This Row],[Tot Fac]]+TblConstr[[#This Row],[Dest Fac]])/TblConstr[[#This Row],[Land]])</f>
        <v>0</v>
      </c>
      <c r="AK103" s="97">
        <f ca="1">TblProd[[#This Row],[Platinum]]</f>
        <v>643992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50"/>
      <c r="AV103" s="97">
        <f ca="1">ROUND((TblConstr[[#This Row],[Land]]-250 - IF(TblExplore[[#This Row],[Land Bonus]]&lt;&gt;0,20,0))*1.25 + 850 + 0,0)</f>
        <v>850</v>
      </c>
      <c r="AW103" s="97">
        <f ca="1">ROUND((TblConstr[[#This Row],[Land]]-250 - IF(TblExplore[[#This Row],[Land Bonus]]&lt;&gt;0,20,0))*0.285 + 87.5 + 0/4.25,0)</f>
        <v>88</v>
      </c>
      <c r="AX103" s="162"/>
      <c r="AY103" s="196" cm="1">
        <f t="array" aca="1" ref="AY103" ca="1">IF(TblConstr[[#This Row],[Hour]:[Hour]]&gt;12,OFFSET(TblConstr[[#This Row],[Hom]],-12,0),0)+OFFSET(TblConstr[[#This Row],[Tot Hom]],-1,0)-TblConstr[[#This Row],[Dest Hom]]</f>
        <v>10</v>
      </c>
      <c r="AZ103" s="197" cm="1">
        <f t="array" aca="1" ref="AZ103" ca="1">IF(TblConstr[[#This Row],[Hour]:[Hour]]&gt;12,OFFSET(TblConstr[[#This Row],[Alc]],-12,0),0)+OFFSET(TblConstr[[#This Row],[Tot Alc]],-1,0)-TblConstr[[#This Row],[Dest Alc]]</f>
        <v>30</v>
      </c>
      <c r="BA103" s="197" cm="1">
        <f t="array" aca="1" ref="BA103" ca="1">IF(TblConstr[[#This Row],[Hour]:[Hour]]&gt;12,OFFSET(TblConstr[[#This Row],[Far]],-12,0),0)+OFFSET(TblConstr[[#This Row],[Tot Farm]],-1,0)-TblConstr[[#This Row],[Dest Farm]]</f>
        <v>30</v>
      </c>
      <c r="BB103" s="197" cm="1">
        <f t="array" aca="1" ref="BB103" ca="1">IF(TblConstr[[#This Row],[Hour]:[Hour]]&gt;12,OFFSET(TblConstr[[#This Row],[Smi]],-12,0),0)+OFFSET(TblConstr[[#This Row],[Tot Smi]],-1,0)-TblConstr[[#This Row],[Dest Smi]]</f>
        <v>0</v>
      </c>
      <c r="BC103" s="197" cm="1">
        <f t="array" aca="1" ref="BC103" ca="1">IF(TblConstr[[#This Row],[Hour]:[Hour]]&gt;12,OFFSET(TblConstr[[#This Row],[Mas]],-12,0),0)+OFFSET(TblConstr[[#This Row],[Tot Mas]],-1,0)-TblConstr[[#This Row],[Dest Mas]]</f>
        <v>0</v>
      </c>
      <c r="BD103" s="198" cm="1">
        <f t="array" aca="1" ref="BD103" ca="1">IF(TblConstr[[#This Row],[Hour]:[Hour]]&gt;12,OFFSET(TblConstr[[#This Row],[Ly]],-12,0),0)+OFFSET(TblConstr[[#This Row],[Tot Ly]],-1,0)-TblConstr[[#This Row],[Dest Ly]]</f>
        <v>20</v>
      </c>
      <c r="BE103" s="198" cm="1">
        <f t="array" aca="1" ref="BE103" ca="1">IF(TblConstr[[#This Row],[Hour]:[Hour]]&gt;12,OFFSET(TblConstr[[#This Row],[Hav]],-12,0),0)+OFFSET(TblConstr[[#This Row],[Tot Hav]],-1,0)-TblConstr[[#This Row],[Dest Hav]]</f>
        <v>0</v>
      </c>
      <c r="BF103" s="392" cm="1">
        <f t="array" aca="1" ref="BF103" ca="1">IF(TblConstr[[#This Row],[Hour]:[Hour]]&gt;12,OFFSET(TblConstr[[#This Row],[OM]],-12,0),0)+OFFSET(TblConstr[[#This Row],[Tot OM]],-1,0)-TblConstr[[#This Row],[Dest OM]]</f>
        <v>0</v>
      </c>
      <c r="BG103" s="392" cm="1">
        <f t="array" aca="1" ref="BG103" ca="1">IF(TblConstr[[#This Row],[Hour]:[Hour]]&gt;12,OFFSET(TblConstr[[#This Row],[GN]],-12,0),0)+OFFSET(TblConstr[[#This Row],[Tot GN]],-1,0)-TblConstr[[#This Row],[Dest GN]]</f>
        <v>0</v>
      </c>
      <c r="BH103" s="396" cm="1">
        <f t="array" aca="1" ref="BH103" ca="1">IF(TblConstr[[#This Row],[Hour]:[Hour]]&gt;12,OFFSET(TblConstr[[#This Row],[Fac]],-12,0),0)+OFFSET(TblConstr[[#This Row],[Tot Fac]],-1,0)-TblConstr[[#This Row],[Dest Fac]]</f>
        <v>0</v>
      </c>
      <c r="BI103" s="396" cm="1">
        <f t="array" aca="1" ref="BI103" ca="1">IF(TblConstr[[#This Row],[Hour]:[Hour]]&gt;12,OFFSET(TblConstr[[#This Row],[GT]],-12,0),0)+OFFSET(TblConstr[[#This Row],[Tot GT]],-1,0)-TblConstr[[#This Row],[Dest GT]]</f>
        <v>0</v>
      </c>
      <c r="BJ103" s="396" cm="1">
        <f t="array" aca="1" ref="BJ103" ca="1">IF(TblConstr[[#This Row],[Hour]:[Hour]]&gt;12,OFFSET(TblConstr[[#This Row],[Bar]],-12,0),0)+OFFSET(TblConstr[[#This Row],[Tot Bar]],-1,0)-TblConstr[[#This Row],[Dest Bar]]</f>
        <v>0</v>
      </c>
      <c r="BK103" s="396" cm="1">
        <f t="array" aca="1" ref="BK103" ca="1">IF(TblConstr[[#This Row],[Hour]:[Hour]]&gt;12,OFFSET(TblConstr[[#This Row],[Shr]],-12,0),0)+OFFSET(TblConstr[[#This Row],[Tot Shr]],-1,0)-TblConstr[[#This Row],[Dest Shr]]</f>
        <v>0</v>
      </c>
      <c r="BL103" s="400" cm="1">
        <f t="array" aca="1" ref="BL103" ca="1">IF(TblConstr[[#This Row],[Hour]:[Hour]]&gt;12,OFFSET(TblConstr[[#This Row],[Tow]],-12,0),0)+OFFSET(TblConstr[[#This Row],[Tot Tow]],-1,0)-TblConstr[[#This Row],[Dest Tow]]</f>
        <v>0</v>
      </c>
      <c r="BM103" s="400" cm="1">
        <f t="array" aca="1" ref="BM103" ca="1">IF(TblConstr[[#This Row],[Hour]:[Hour]]&gt;12,OFFSET(TblConstr[[#This Row],[Tem]],-12,0),0)+OFFSET(TblConstr[[#This Row],[Tot Tem]],-1,0)-TblConstr[[#This Row],[Dest Tem]]</f>
        <v>0</v>
      </c>
      <c r="BN103" s="400" cm="1">
        <f t="array" aca="1" ref="BN103" ca="1">IF(TblConstr[[#This Row],[Hour]:[Hour]]&gt;12,OFFSET(TblConstr[[#This Row],[WG]],-12,0),0)+OFFSET(TblConstr[[#This Row],[Tot WG]],-1,0)-TblConstr[[#This Row],[Dest WG]]</f>
        <v>0</v>
      </c>
      <c r="BO103" s="199" cm="1">
        <f t="array" aca="1" ref="BO103" ca="1">IF(TblConstr[[#This Row],[Hour]:[Hour]]&gt;12,OFFSET(TblConstr[[#This Row],[DM]],-12,0),0)+OFFSET(TblConstr[[#This Row],[Tot DM]],-1,0)-TblConstr[[#This Row],[Dest DM]]</f>
        <v>0</v>
      </c>
      <c r="BP103" s="199" cm="1">
        <f t="array" aca="1" ref="BP103" ca="1">IF(TblConstr[[#This Row],[Hour]:[Hour]]&gt;12,OFFSET(TblConstr[[#This Row],[Sch]],-12,0),0)+OFFSET(TblConstr[[#This Row],[Tot Sch]],-1,0)-TblConstr[[#This Row],[Dest Sch]]</f>
        <v>0</v>
      </c>
      <c r="BQ103" s="200" cm="1">
        <f t="array" aca="1" ref="BQ103" ca="1">IF(TblConstr[[#This Row],[Hour]:[Hour]]&gt;12,OFFSET(TblConstr[[#This Row],[Doc]],-12,0),0)+OFFSET(TblConstr[[#This Row],[Tot Doc]],-1,0)-TblConstr[[#This Row],[Dest Doc]]</f>
        <v>0</v>
      </c>
      <c r="BR103" s="150"/>
      <c r="BS103" s="162"/>
      <c r="BT103" s="97">
        <f ca="1">TblConstr[[#This Row],[Land]]</f>
        <v>250</v>
      </c>
      <c r="BU103" s="167">
        <f ca="1">TblImps[[#This Row],[Time]]</f>
        <v>44814.87499999976</v>
      </c>
      <c r="BV103" s="150"/>
      <c r="BW103" s="187"/>
      <c r="BX103" s="187"/>
      <c r="BY103" s="187"/>
      <c r="BZ103" s="187"/>
      <c r="CA103" s="187"/>
      <c r="CB103" s="187"/>
      <c r="CC103" s="187"/>
      <c r="CD103" s="187"/>
      <c r="CE103" s="187"/>
      <c r="CF103" s="187"/>
      <c r="CG103" s="187"/>
      <c r="CH103" s="187"/>
      <c r="CI103" s="187"/>
      <c r="CJ103" s="187"/>
      <c r="CK103" s="187"/>
      <c r="CL103" s="187"/>
      <c r="CM103" s="187"/>
      <c r="CN103" s="187"/>
      <c r="CO103" s="187"/>
      <c r="CP103" s="150"/>
      <c r="CQ103" s="189">
        <f ca="1">-SUM(TblConstr[[#This Row],[Alc]:[Mas]])+SUM(TblConstr[[#This Row],[Dest Alc]:[Dest Mas]])+Rezone!L103+IF("Ch_"&amp; home_land=TblConstr[[#Headers],[Ch_Plain]],TblConstr[[#This Row],[Home Land]])+IF(TblConstr[[#This Row],[Hour]:[Hour]]&gt;12,OFFSET(TblExplore[[#This Row],[Plains Explore]],-12,0),0)</f>
        <v>0</v>
      </c>
      <c r="CR103" s="190">
        <f ca="1">-SUM(TblConstr[[#This Row],[Ly]:[Hav]])+SUM(TblConstr[[#This Row],[Dest Ly]:[Dest Hav]]) +Rezone!M103 + IF("Ch_"&amp; home_land=TblConstr[[#Headers],[Ch_Forest]],TblConstr[[#This Row],[Home Land]])+IF(TblConstr[[#This Row],[Hour]:[Hour]]&gt;12,OFFSET(TblExplore[[#This Row],[Forest Explore]],-12,0),0)</f>
        <v>0</v>
      </c>
      <c r="CS103" s="390">
        <f ca="1">-SUM(TblConstr[[#This Row],[OM]:[GN]])+SUM(TblConstr[[#This Row],[Dest OM]:[Dest GN]]) +Rezone!N103 + IF("Ch_"&amp; home_land=TblConstr[[#Headers],[Ch_Mountain]],TblConstr[[#This Row],[Home Land]])+IF(TblConstr[[#This Row],[Hour]:[Hour]]&gt;12,OFFSET(TblExplore[[#This Row],[Mountain Explore]],-12,0),0)</f>
        <v>0</v>
      </c>
      <c r="CT103" s="191">
        <f ca="1">-SUM(TblConstr[[#This Row],[Fac]:[Shr]])+SUM(TblConstr[[#This Row],[Dest Fac]:[Dest Shr]]) +Rezone!O103 + IF("Ch_" &amp; home_land=TblConstr[[#Headers],[Ch_Hill]],TblConstr[[#This Row],[Home Land]])+IF(TblConstr[[#This Row],[Hour]:[Hour]]&gt;12,OFFSET(TblExplore[[#This Row],[Hill Explore]],-12,0),0)</f>
        <v>0</v>
      </c>
      <c r="CU103" s="192">
        <f ca="1">-SUM(TblConstr[[#This Row],[Tow]:[WG]])+SUM(TblConstr[[#This Row],[Dest Tow]:[Dest WG]]) +Rezone!P103 + IF("Ch_" &amp; home_land=TblConstr[[#Headers],[Ch_Swamp]],TblConstr[[#This Row],[Home Land]])+IF(TblConstr[[#This Row],[Hour]:[Hour]]&gt;12,OFFSET(TblExplore[[#This Row],[Swamp Explore]],-12,0),0)</f>
        <v>0</v>
      </c>
      <c r="CV103" s="193">
        <f ca="1" xml:space="preserve"> - SUM(TblConstr[[#This Row],[DM]:[Sch]])+SUM(TblConstr[[#This Row],[Dest DM]:[Dest Sch]]) +Rezone!Q103 + IF("Ch_" &amp; home_land=TblConstr[[#Headers],[Ch_Cavern]],TblConstr[[#This Row],[Home Land]])+IF(TblConstr[[#This Row],[Hour]:[Hour]]&gt;12,OFFSET(TblExplore[[#This Row],[Cavern Explore]],-12,0),0)</f>
        <v>0</v>
      </c>
      <c r="CW103" s="194">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50"/>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83">
        <f>TblRezone[[#This Row],[Hour]]</f>
        <v>101</v>
      </c>
      <c r="B104" s="184">
        <f ca="1">SUM(TblConstr[[#This Row],[Plain]:[Water]])</f>
        <v>160</v>
      </c>
      <c r="C104" s="185">
        <f ca="1">SUM(TblConstr[[#This Row],[Tot Hom]:[Tot Doc]])</f>
        <v>90</v>
      </c>
      <c r="D104" s="185">
        <f t="shared" si="21"/>
        <v>0</v>
      </c>
      <c r="E104" s="186"/>
      <c r="F104" s="62">
        <f ca="1">TblConstr[[#This Row],[Barren]]+TblConstr[[#This Row],[Buildings]]+TblConstr[[#This Row],[Incoming]]</f>
        <v>250</v>
      </c>
      <c r="G104" s="195">
        <f ca="1">OFFSET(TblConstr[[#This Row],[Plain]],-1,0)+TblConstr[[#This Row],[Ch_Plain]]</f>
        <v>40</v>
      </c>
      <c r="H104" s="190">
        <f ca="1">OFFSET(TblConstr[[#This Row],[Forest]],-1,0)+TblConstr[[#This Row],[Ch_Forest]]</f>
        <v>20</v>
      </c>
      <c r="I104" s="390">
        <f ca="1">OFFSET(TblConstr[[#This Row],[Mountain]],-1,0)+TblConstr[[#This Row],[Ch_Mountain]]</f>
        <v>20</v>
      </c>
      <c r="J104" s="394">
        <f ca="1">OFFSET(TblConstr[[#This Row],[Hill]],-1,0)+TblConstr[[#This Row],[Ch_Hill]]</f>
        <v>20</v>
      </c>
      <c r="K104" s="398">
        <f ca="1">OFFSET(TblConstr[[#This Row],[Swamp]],-1,0)+TblConstr[[#This Row],[Ch_Swamp]]</f>
        <v>20</v>
      </c>
      <c r="L104" s="193">
        <f ca="1">OFFSET(TblConstr[[#This Row],[Cavern]],-1,0)+TblConstr[[#This Row],[Ch_Cavern]]</f>
        <v>20</v>
      </c>
      <c r="M104" s="194">
        <f ca="1">OFFSET(TblConstr[[#This Row],[Water]],-1,0)+TblConstr[[#This Row],[Ch_Water]]</f>
        <v>20</v>
      </c>
      <c r="N104" s="388">
        <f>TblRezone[[#This Row],[Hour]]</f>
        <v>101</v>
      </c>
      <c r="O104" s="187"/>
      <c r="P104" s="187"/>
      <c r="Q104" s="187"/>
      <c r="R104" s="187"/>
      <c r="S104" s="187"/>
      <c r="T104" s="187"/>
      <c r="U104" s="187"/>
      <c r="V104" s="187"/>
      <c r="W104" s="187"/>
      <c r="X104" s="187"/>
      <c r="Y104" s="187"/>
      <c r="Z104" s="187"/>
      <c r="AA104" s="187"/>
      <c r="AB104" s="187"/>
      <c r="AC104" s="187"/>
      <c r="AD104" s="187"/>
      <c r="AE104" s="187"/>
      <c r="AF104" s="187"/>
      <c r="AG104" s="187"/>
      <c r="AH104" s="53">
        <f ca="1">TblImps[[#This Row],[Time]]</f>
        <v>44814.916666666424</v>
      </c>
      <c r="AI104" s="188">
        <f ca="1">MIN(25%,(TblConstr[[#This Row],[Tot Fac]]+TblConstr[[#This Row],[Dest Fac]])/(TblConstr[[#This Row],[Land]]-TblExplore[[#This Row],[Land Bonus]]*20))</f>
        <v>0</v>
      </c>
      <c r="AJ104" s="188">
        <f ca="1">MIN(25%,(TblConstr[[#This Row],[Tot Fac]]+TblConstr[[#This Row],[Dest Fac]])/TblConstr[[#This Row],[Land]])</f>
        <v>0</v>
      </c>
      <c r="AK104" s="97">
        <f ca="1">TblProd[[#This Row],[Platinum]]</f>
        <v>649478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50"/>
      <c r="AV104" s="97">
        <f ca="1">ROUND((TblConstr[[#This Row],[Land]]-250 - IF(TblExplore[[#This Row],[Land Bonus]]&lt;&gt;0,20,0))*1.25 + 850 + 0,0)</f>
        <v>850</v>
      </c>
      <c r="AW104" s="97">
        <f ca="1">ROUND((TblConstr[[#This Row],[Land]]-250 - IF(TblExplore[[#This Row],[Land Bonus]]&lt;&gt;0,20,0))*0.285 + 87.5 + 0/4.25,0)</f>
        <v>88</v>
      </c>
      <c r="AX104" s="162"/>
      <c r="AY104" s="196" cm="1">
        <f t="array" aca="1" ref="AY104" ca="1">IF(TblConstr[[#This Row],[Hour]:[Hour]]&gt;12,OFFSET(TblConstr[[#This Row],[Hom]],-12,0),0)+OFFSET(TblConstr[[#This Row],[Tot Hom]],-1,0)-TblConstr[[#This Row],[Dest Hom]]</f>
        <v>10</v>
      </c>
      <c r="AZ104" s="197" cm="1">
        <f t="array" aca="1" ref="AZ104" ca="1">IF(TblConstr[[#This Row],[Hour]:[Hour]]&gt;12,OFFSET(TblConstr[[#This Row],[Alc]],-12,0),0)+OFFSET(TblConstr[[#This Row],[Tot Alc]],-1,0)-TblConstr[[#This Row],[Dest Alc]]</f>
        <v>30</v>
      </c>
      <c r="BA104" s="197" cm="1">
        <f t="array" aca="1" ref="BA104" ca="1">IF(TblConstr[[#This Row],[Hour]:[Hour]]&gt;12,OFFSET(TblConstr[[#This Row],[Far]],-12,0),0)+OFFSET(TblConstr[[#This Row],[Tot Farm]],-1,0)-TblConstr[[#This Row],[Dest Farm]]</f>
        <v>30</v>
      </c>
      <c r="BB104" s="197" cm="1">
        <f t="array" aca="1" ref="BB104" ca="1">IF(TblConstr[[#This Row],[Hour]:[Hour]]&gt;12,OFFSET(TblConstr[[#This Row],[Smi]],-12,0),0)+OFFSET(TblConstr[[#This Row],[Tot Smi]],-1,0)-TblConstr[[#This Row],[Dest Smi]]</f>
        <v>0</v>
      </c>
      <c r="BC104" s="197" cm="1">
        <f t="array" aca="1" ref="BC104" ca="1">IF(TblConstr[[#This Row],[Hour]:[Hour]]&gt;12,OFFSET(TblConstr[[#This Row],[Mas]],-12,0),0)+OFFSET(TblConstr[[#This Row],[Tot Mas]],-1,0)-TblConstr[[#This Row],[Dest Mas]]</f>
        <v>0</v>
      </c>
      <c r="BD104" s="198" cm="1">
        <f t="array" aca="1" ref="BD104" ca="1">IF(TblConstr[[#This Row],[Hour]:[Hour]]&gt;12,OFFSET(TblConstr[[#This Row],[Ly]],-12,0),0)+OFFSET(TblConstr[[#This Row],[Tot Ly]],-1,0)-TblConstr[[#This Row],[Dest Ly]]</f>
        <v>20</v>
      </c>
      <c r="BE104" s="198" cm="1">
        <f t="array" aca="1" ref="BE104" ca="1">IF(TblConstr[[#This Row],[Hour]:[Hour]]&gt;12,OFFSET(TblConstr[[#This Row],[Hav]],-12,0),0)+OFFSET(TblConstr[[#This Row],[Tot Hav]],-1,0)-TblConstr[[#This Row],[Dest Hav]]</f>
        <v>0</v>
      </c>
      <c r="BF104" s="392" cm="1">
        <f t="array" aca="1" ref="BF104" ca="1">IF(TblConstr[[#This Row],[Hour]:[Hour]]&gt;12,OFFSET(TblConstr[[#This Row],[OM]],-12,0),0)+OFFSET(TblConstr[[#This Row],[Tot OM]],-1,0)-TblConstr[[#This Row],[Dest OM]]</f>
        <v>0</v>
      </c>
      <c r="BG104" s="392" cm="1">
        <f t="array" aca="1" ref="BG104" ca="1">IF(TblConstr[[#This Row],[Hour]:[Hour]]&gt;12,OFFSET(TblConstr[[#This Row],[GN]],-12,0),0)+OFFSET(TblConstr[[#This Row],[Tot GN]],-1,0)-TblConstr[[#This Row],[Dest GN]]</f>
        <v>0</v>
      </c>
      <c r="BH104" s="396" cm="1">
        <f t="array" aca="1" ref="BH104" ca="1">IF(TblConstr[[#This Row],[Hour]:[Hour]]&gt;12,OFFSET(TblConstr[[#This Row],[Fac]],-12,0),0)+OFFSET(TblConstr[[#This Row],[Tot Fac]],-1,0)-TblConstr[[#This Row],[Dest Fac]]</f>
        <v>0</v>
      </c>
      <c r="BI104" s="396" cm="1">
        <f t="array" aca="1" ref="BI104" ca="1">IF(TblConstr[[#This Row],[Hour]:[Hour]]&gt;12,OFFSET(TblConstr[[#This Row],[GT]],-12,0),0)+OFFSET(TblConstr[[#This Row],[Tot GT]],-1,0)-TblConstr[[#This Row],[Dest GT]]</f>
        <v>0</v>
      </c>
      <c r="BJ104" s="396" cm="1">
        <f t="array" aca="1" ref="BJ104" ca="1">IF(TblConstr[[#This Row],[Hour]:[Hour]]&gt;12,OFFSET(TblConstr[[#This Row],[Bar]],-12,0),0)+OFFSET(TblConstr[[#This Row],[Tot Bar]],-1,0)-TblConstr[[#This Row],[Dest Bar]]</f>
        <v>0</v>
      </c>
      <c r="BK104" s="396" cm="1">
        <f t="array" aca="1" ref="BK104" ca="1">IF(TblConstr[[#This Row],[Hour]:[Hour]]&gt;12,OFFSET(TblConstr[[#This Row],[Shr]],-12,0),0)+OFFSET(TblConstr[[#This Row],[Tot Shr]],-1,0)-TblConstr[[#This Row],[Dest Shr]]</f>
        <v>0</v>
      </c>
      <c r="BL104" s="400" cm="1">
        <f t="array" aca="1" ref="BL104" ca="1">IF(TblConstr[[#This Row],[Hour]:[Hour]]&gt;12,OFFSET(TblConstr[[#This Row],[Tow]],-12,0),0)+OFFSET(TblConstr[[#This Row],[Tot Tow]],-1,0)-TblConstr[[#This Row],[Dest Tow]]</f>
        <v>0</v>
      </c>
      <c r="BM104" s="400" cm="1">
        <f t="array" aca="1" ref="BM104" ca="1">IF(TblConstr[[#This Row],[Hour]:[Hour]]&gt;12,OFFSET(TblConstr[[#This Row],[Tem]],-12,0),0)+OFFSET(TblConstr[[#This Row],[Tot Tem]],-1,0)-TblConstr[[#This Row],[Dest Tem]]</f>
        <v>0</v>
      </c>
      <c r="BN104" s="400" cm="1">
        <f t="array" aca="1" ref="BN104" ca="1">IF(TblConstr[[#This Row],[Hour]:[Hour]]&gt;12,OFFSET(TblConstr[[#This Row],[WG]],-12,0),0)+OFFSET(TblConstr[[#This Row],[Tot WG]],-1,0)-TblConstr[[#This Row],[Dest WG]]</f>
        <v>0</v>
      </c>
      <c r="BO104" s="199" cm="1">
        <f t="array" aca="1" ref="BO104" ca="1">IF(TblConstr[[#This Row],[Hour]:[Hour]]&gt;12,OFFSET(TblConstr[[#This Row],[DM]],-12,0),0)+OFFSET(TblConstr[[#This Row],[Tot DM]],-1,0)-TblConstr[[#This Row],[Dest DM]]</f>
        <v>0</v>
      </c>
      <c r="BP104" s="199" cm="1">
        <f t="array" aca="1" ref="BP104" ca="1">IF(TblConstr[[#This Row],[Hour]:[Hour]]&gt;12,OFFSET(TblConstr[[#This Row],[Sch]],-12,0),0)+OFFSET(TblConstr[[#This Row],[Tot Sch]],-1,0)-TblConstr[[#This Row],[Dest Sch]]</f>
        <v>0</v>
      </c>
      <c r="BQ104" s="200" cm="1">
        <f t="array" aca="1" ref="BQ104" ca="1">IF(TblConstr[[#This Row],[Hour]:[Hour]]&gt;12,OFFSET(TblConstr[[#This Row],[Doc]],-12,0),0)+OFFSET(TblConstr[[#This Row],[Tot Doc]],-1,0)-TblConstr[[#This Row],[Dest Doc]]</f>
        <v>0</v>
      </c>
      <c r="BR104" s="150"/>
      <c r="BS104" s="162"/>
      <c r="BT104" s="97">
        <f ca="1">TblConstr[[#This Row],[Land]]</f>
        <v>250</v>
      </c>
      <c r="BU104" s="167">
        <f ca="1">TblImps[[#This Row],[Time]]</f>
        <v>44814.916666666424</v>
      </c>
      <c r="BV104" s="150"/>
      <c r="BW104" s="187"/>
      <c r="BX104" s="187"/>
      <c r="BY104" s="187"/>
      <c r="BZ104" s="187"/>
      <c r="CA104" s="187"/>
      <c r="CB104" s="187"/>
      <c r="CC104" s="187"/>
      <c r="CD104" s="187"/>
      <c r="CE104" s="187"/>
      <c r="CF104" s="187"/>
      <c r="CG104" s="187"/>
      <c r="CH104" s="187"/>
      <c r="CI104" s="187"/>
      <c r="CJ104" s="187"/>
      <c r="CK104" s="187"/>
      <c r="CL104" s="187"/>
      <c r="CM104" s="187"/>
      <c r="CN104" s="187"/>
      <c r="CO104" s="187"/>
      <c r="CP104" s="150"/>
      <c r="CQ104" s="189">
        <f ca="1">-SUM(TblConstr[[#This Row],[Alc]:[Mas]])+SUM(TblConstr[[#This Row],[Dest Alc]:[Dest Mas]])+Rezone!L104+IF("Ch_"&amp; home_land=TblConstr[[#Headers],[Ch_Plain]],TblConstr[[#This Row],[Home Land]])+IF(TblConstr[[#This Row],[Hour]:[Hour]]&gt;12,OFFSET(TblExplore[[#This Row],[Plains Explore]],-12,0),0)</f>
        <v>0</v>
      </c>
      <c r="CR104" s="190">
        <f ca="1">-SUM(TblConstr[[#This Row],[Ly]:[Hav]])+SUM(TblConstr[[#This Row],[Dest Ly]:[Dest Hav]]) +Rezone!M104 + IF("Ch_"&amp; home_land=TblConstr[[#Headers],[Ch_Forest]],TblConstr[[#This Row],[Home Land]])+IF(TblConstr[[#This Row],[Hour]:[Hour]]&gt;12,OFFSET(TblExplore[[#This Row],[Forest Explore]],-12,0),0)</f>
        <v>0</v>
      </c>
      <c r="CS104" s="390">
        <f ca="1">-SUM(TblConstr[[#This Row],[OM]:[GN]])+SUM(TblConstr[[#This Row],[Dest OM]:[Dest GN]]) +Rezone!N104 + IF("Ch_"&amp; home_land=TblConstr[[#Headers],[Ch_Mountain]],TblConstr[[#This Row],[Home Land]])+IF(TblConstr[[#This Row],[Hour]:[Hour]]&gt;12,OFFSET(TblExplore[[#This Row],[Mountain Explore]],-12,0),0)</f>
        <v>0</v>
      </c>
      <c r="CT104" s="191">
        <f ca="1">-SUM(TblConstr[[#This Row],[Fac]:[Shr]])+SUM(TblConstr[[#This Row],[Dest Fac]:[Dest Shr]]) +Rezone!O104 + IF("Ch_" &amp; home_land=TblConstr[[#Headers],[Ch_Hill]],TblConstr[[#This Row],[Home Land]])+IF(TblConstr[[#This Row],[Hour]:[Hour]]&gt;12,OFFSET(TblExplore[[#This Row],[Hill Explore]],-12,0),0)</f>
        <v>0</v>
      </c>
      <c r="CU104" s="192">
        <f ca="1">-SUM(TblConstr[[#This Row],[Tow]:[WG]])+SUM(TblConstr[[#This Row],[Dest Tow]:[Dest WG]]) +Rezone!P104 + IF("Ch_" &amp; home_land=TblConstr[[#Headers],[Ch_Swamp]],TblConstr[[#This Row],[Home Land]])+IF(TblConstr[[#This Row],[Hour]:[Hour]]&gt;12,OFFSET(TblExplore[[#This Row],[Swamp Explore]],-12,0),0)</f>
        <v>0</v>
      </c>
      <c r="CV104" s="193">
        <f ca="1" xml:space="preserve"> - SUM(TblConstr[[#This Row],[DM]:[Sch]])+SUM(TblConstr[[#This Row],[Dest DM]:[Dest Sch]]) +Rezone!Q104 + IF("Ch_" &amp; home_land=TblConstr[[#Headers],[Ch_Cavern]],TblConstr[[#This Row],[Home Land]])+IF(TblConstr[[#This Row],[Hour]:[Hour]]&gt;12,OFFSET(TblExplore[[#This Row],[Cavern Explore]],-12,0),0)</f>
        <v>0</v>
      </c>
      <c r="CW104" s="194">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50"/>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83">
        <f>TblRezone[[#This Row],[Hour]]</f>
        <v>102</v>
      </c>
      <c r="B105" s="184">
        <f ca="1">SUM(TblConstr[[#This Row],[Plain]:[Water]])</f>
        <v>160</v>
      </c>
      <c r="C105" s="185">
        <f ca="1">SUM(TblConstr[[#This Row],[Tot Hom]:[Tot Doc]])</f>
        <v>90</v>
      </c>
      <c r="D105" s="185">
        <f t="shared" si="21"/>
        <v>0</v>
      </c>
      <c r="E105" s="186"/>
      <c r="F105" s="62">
        <f ca="1">TblConstr[[#This Row],[Barren]]+TblConstr[[#This Row],[Buildings]]+TblConstr[[#This Row],[Incoming]]</f>
        <v>250</v>
      </c>
      <c r="G105" s="195">
        <f ca="1">OFFSET(TblConstr[[#This Row],[Plain]],-1,0)+TblConstr[[#This Row],[Ch_Plain]]</f>
        <v>40</v>
      </c>
      <c r="H105" s="190">
        <f ca="1">OFFSET(TblConstr[[#This Row],[Forest]],-1,0)+TblConstr[[#This Row],[Ch_Forest]]</f>
        <v>20</v>
      </c>
      <c r="I105" s="390">
        <f ca="1">OFFSET(TblConstr[[#This Row],[Mountain]],-1,0)+TblConstr[[#This Row],[Ch_Mountain]]</f>
        <v>20</v>
      </c>
      <c r="J105" s="394">
        <f ca="1">OFFSET(TblConstr[[#This Row],[Hill]],-1,0)+TblConstr[[#This Row],[Ch_Hill]]</f>
        <v>20</v>
      </c>
      <c r="K105" s="398">
        <f ca="1">OFFSET(TblConstr[[#This Row],[Swamp]],-1,0)+TblConstr[[#This Row],[Ch_Swamp]]</f>
        <v>20</v>
      </c>
      <c r="L105" s="193">
        <f ca="1">OFFSET(TblConstr[[#This Row],[Cavern]],-1,0)+TblConstr[[#This Row],[Ch_Cavern]]</f>
        <v>20</v>
      </c>
      <c r="M105" s="194">
        <f ca="1">OFFSET(TblConstr[[#This Row],[Water]],-1,0)+TblConstr[[#This Row],[Ch_Water]]</f>
        <v>20</v>
      </c>
      <c r="N105" s="388">
        <f>TblRezone[[#This Row],[Hour]]</f>
        <v>102</v>
      </c>
      <c r="O105" s="187"/>
      <c r="P105" s="187"/>
      <c r="Q105" s="187"/>
      <c r="R105" s="187"/>
      <c r="S105" s="187"/>
      <c r="T105" s="187"/>
      <c r="U105" s="187"/>
      <c r="V105" s="187"/>
      <c r="W105" s="187"/>
      <c r="X105" s="187"/>
      <c r="Y105" s="187"/>
      <c r="Z105" s="187"/>
      <c r="AA105" s="187"/>
      <c r="AB105" s="187"/>
      <c r="AC105" s="187"/>
      <c r="AD105" s="187"/>
      <c r="AE105" s="187"/>
      <c r="AF105" s="187"/>
      <c r="AG105" s="187"/>
      <c r="AH105" s="53">
        <f ca="1">TblImps[[#This Row],[Time]]</f>
        <v>44814.958333333088</v>
      </c>
      <c r="AI105" s="188">
        <f ca="1">MIN(25%,(TblConstr[[#This Row],[Tot Fac]]+TblConstr[[#This Row],[Dest Fac]])/(TblConstr[[#This Row],[Land]]-TblExplore[[#This Row],[Land Bonus]]*20))</f>
        <v>0</v>
      </c>
      <c r="AJ105" s="188">
        <f ca="1">MIN(25%,(TblConstr[[#This Row],[Tot Fac]]+TblConstr[[#This Row],[Dest Fac]])/TblConstr[[#This Row],[Land]])</f>
        <v>0</v>
      </c>
      <c r="AK105" s="97">
        <f ca="1">TblProd[[#This Row],[Platinum]]</f>
        <v>654964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50"/>
      <c r="AV105" s="97">
        <f ca="1">ROUND((TblConstr[[#This Row],[Land]]-250 - IF(TblExplore[[#This Row],[Land Bonus]]&lt;&gt;0,20,0))*1.25 + 850 + 0,0)</f>
        <v>850</v>
      </c>
      <c r="AW105" s="97">
        <f ca="1">ROUND((TblConstr[[#This Row],[Land]]-250 - IF(TblExplore[[#This Row],[Land Bonus]]&lt;&gt;0,20,0))*0.285 + 87.5 + 0/4.25,0)</f>
        <v>88</v>
      </c>
      <c r="AX105" s="162"/>
      <c r="AY105" s="196" cm="1">
        <f t="array" aca="1" ref="AY105" ca="1">IF(TblConstr[[#This Row],[Hour]:[Hour]]&gt;12,OFFSET(TblConstr[[#This Row],[Hom]],-12,0),0)+OFFSET(TblConstr[[#This Row],[Tot Hom]],-1,0)-TblConstr[[#This Row],[Dest Hom]]</f>
        <v>10</v>
      </c>
      <c r="AZ105" s="197" cm="1">
        <f t="array" aca="1" ref="AZ105" ca="1">IF(TblConstr[[#This Row],[Hour]:[Hour]]&gt;12,OFFSET(TblConstr[[#This Row],[Alc]],-12,0),0)+OFFSET(TblConstr[[#This Row],[Tot Alc]],-1,0)-TblConstr[[#This Row],[Dest Alc]]</f>
        <v>30</v>
      </c>
      <c r="BA105" s="197" cm="1">
        <f t="array" aca="1" ref="BA105" ca="1">IF(TblConstr[[#This Row],[Hour]:[Hour]]&gt;12,OFFSET(TblConstr[[#This Row],[Far]],-12,0),0)+OFFSET(TblConstr[[#This Row],[Tot Farm]],-1,0)-TblConstr[[#This Row],[Dest Farm]]</f>
        <v>30</v>
      </c>
      <c r="BB105" s="197" cm="1">
        <f t="array" aca="1" ref="BB105" ca="1">IF(TblConstr[[#This Row],[Hour]:[Hour]]&gt;12,OFFSET(TblConstr[[#This Row],[Smi]],-12,0),0)+OFFSET(TblConstr[[#This Row],[Tot Smi]],-1,0)-TblConstr[[#This Row],[Dest Smi]]</f>
        <v>0</v>
      </c>
      <c r="BC105" s="197" cm="1">
        <f t="array" aca="1" ref="BC105" ca="1">IF(TblConstr[[#This Row],[Hour]:[Hour]]&gt;12,OFFSET(TblConstr[[#This Row],[Mas]],-12,0),0)+OFFSET(TblConstr[[#This Row],[Tot Mas]],-1,0)-TblConstr[[#This Row],[Dest Mas]]</f>
        <v>0</v>
      </c>
      <c r="BD105" s="198" cm="1">
        <f t="array" aca="1" ref="BD105" ca="1">IF(TblConstr[[#This Row],[Hour]:[Hour]]&gt;12,OFFSET(TblConstr[[#This Row],[Ly]],-12,0),0)+OFFSET(TblConstr[[#This Row],[Tot Ly]],-1,0)-TblConstr[[#This Row],[Dest Ly]]</f>
        <v>20</v>
      </c>
      <c r="BE105" s="198" cm="1">
        <f t="array" aca="1" ref="BE105" ca="1">IF(TblConstr[[#This Row],[Hour]:[Hour]]&gt;12,OFFSET(TblConstr[[#This Row],[Hav]],-12,0),0)+OFFSET(TblConstr[[#This Row],[Tot Hav]],-1,0)-TblConstr[[#This Row],[Dest Hav]]</f>
        <v>0</v>
      </c>
      <c r="BF105" s="392" cm="1">
        <f t="array" aca="1" ref="BF105" ca="1">IF(TblConstr[[#This Row],[Hour]:[Hour]]&gt;12,OFFSET(TblConstr[[#This Row],[OM]],-12,0),0)+OFFSET(TblConstr[[#This Row],[Tot OM]],-1,0)-TblConstr[[#This Row],[Dest OM]]</f>
        <v>0</v>
      </c>
      <c r="BG105" s="392" cm="1">
        <f t="array" aca="1" ref="BG105" ca="1">IF(TblConstr[[#This Row],[Hour]:[Hour]]&gt;12,OFFSET(TblConstr[[#This Row],[GN]],-12,0),0)+OFFSET(TblConstr[[#This Row],[Tot GN]],-1,0)-TblConstr[[#This Row],[Dest GN]]</f>
        <v>0</v>
      </c>
      <c r="BH105" s="396" cm="1">
        <f t="array" aca="1" ref="BH105" ca="1">IF(TblConstr[[#This Row],[Hour]:[Hour]]&gt;12,OFFSET(TblConstr[[#This Row],[Fac]],-12,0),0)+OFFSET(TblConstr[[#This Row],[Tot Fac]],-1,0)-TblConstr[[#This Row],[Dest Fac]]</f>
        <v>0</v>
      </c>
      <c r="BI105" s="396" cm="1">
        <f t="array" aca="1" ref="BI105" ca="1">IF(TblConstr[[#This Row],[Hour]:[Hour]]&gt;12,OFFSET(TblConstr[[#This Row],[GT]],-12,0),0)+OFFSET(TblConstr[[#This Row],[Tot GT]],-1,0)-TblConstr[[#This Row],[Dest GT]]</f>
        <v>0</v>
      </c>
      <c r="BJ105" s="396" cm="1">
        <f t="array" aca="1" ref="BJ105" ca="1">IF(TblConstr[[#This Row],[Hour]:[Hour]]&gt;12,OFFSET(TblConstr[[#This Row],[Bar]],-12,0),0)+OFFSET(TblConstr[[#This Row],[Tot Bar]],-1,0)-TblConstr[[#This Row],[Dest Bar]]</f>
        <v>0</v>
      </c>
      <c r="BK105" s="396" cm="1">
        <f t="array" aca="1" ref="BK105" ca="1">IF(TblConstr[[#This Row],[Hour]:[Hour]]&gt;12,OFFSET(TblConstr[[#This Row],[Shr]],-12,0),0)+OFFSET(TblConstr[[#This Row],[Tot Shr]],-1,0)-TblConstr[[#This Row],[Dest Shr]]</f>
        <v>0</v>
      </c>
      <c r="BL105" s="400" cm="1">
        <f t="array" aca="1" ref="BL105" ca="1">IF(TblConstr[[#This Row],[Hour]:[Hour]]&gt;12,OFFSET(TblConstr[[#This Row],[Tow]],-12,0),0)+OFFSET(TblConstr[[#This Row],[Tot Tow]],-1,0)-TblConstr[[#This Row],[Dest Tow]]</f>
        <v>0</v>
      </c>
      <c r="BM105" s="400" cm="1">
        <f t="array" aca="1" ref="BM105" ca="1">IF(TblConstr[[#This Row],[Hour]:[Hour]]&gt;12,OFFSET(TblConstr[[#This Row],[Tem]],-12,0),0)+OFFSET(TblConstr[[#This Row],[Tot Tem]],-1,0)-TblConstr[[#This Row],[Dest Tem]]</f>
        <v>0</v>
      </c>
      <c r="BN105" s="400" cm="1">
        <f t="array" aca="1" ref="BN105" ca="1">IF(TblConstr[[#This Row],[Hour]:[Hour]]&gt;12,OFFSET(TblConstr[[#This Row],[WG]],-12,0),0)+OFFSET(TblConstr[[#This Row],[Tot WG]],-1,0)-TblConstr[[#This Row],[Dest WG]]</f>
        <v>0</v>
      </c>
      <c r="BO105" s="199" cm="1">
        <f t="array" aca="1" ref="BO105" ca="1">IF(TblConstr[[#This Row],[Hour]:[Hour]]&gt;12,OFFSET(TblConstr[[#This Row],[DM]],-12,0),0)+OFFSET(TblConstr[[#This Row],[Tot DM]],-1,0)-TblConstr[[#This Row],[Dest DM]]</f>
        <v>0</v>
      </c>
      <c r="BP105" s="199" cm="1">
        <f t="array" aca="1" ref="BP105" ca="1">IF(TblConstr[[#This Row],[Hour]:[Hour]]&gt;12,OFFSET(TblConstr[[#This Row],[Sch]],-12,0),0)+OFFSET(TblConstr[[#This Row],[Tot Sch]],-1,0)-TblConstr[[#This Row],[Dest Sch]]</f>
        <v>0</v>
      </c>
      <c r="BQ105" s="200" cm="1">
        <f t="array" aca="1" ref="BQ105" ca="1">IF(TblConstr[[#This Row],[Hour]:[Hour]]&gt;12,OFFSET(TblConstr[[#This Row],[Doc]],-12,0),0)+OFFSET(TblConstr[[#This Row],[Tot Doc]],-1,0)-TblConstr[[#This Row],[Dest Doc]]</f>
        <v>0</v>
      </c>
      <c r="BR105" s="150"/>
      <c r="BS105" s="162"/>
      <c r="BT105" s="97">
        <f ca="1">TblConstr[[#This Row],[Land]]</f>
        <v>250</v>
      </c>
      <c r="BU105" s="167">
        <f ca="1">TblImps[[#This Row],[Time]]</f>
        <v>44814.958333333088</v>
      </c>
      <c r="BV105" s="150"/>
      <c r="BW105" s="187"/>
      <c r="BX105" s="187"/>
      <c r="BY105" s="187"/>
      <c r="BZ105" s="187"/>
      <c r="CA105" s="187"/>
      <c r="CB105" s="187"/>
      <c r="CC105" s="187"/>
      <c r="CD105" s="187"/>
      <c r="CE105" s="187"/>
      <c r="CF105" s="187"/>
      <c r="CG105" s="187"/>
      <c r="CH105" s="187"/>
      <c r="CI105" s="187"/>
      <c r="CJ105" s="187"/>
      <c r="CK105" s="187"/>
      <c r="CL105" s="187"/>
      <c r="CM105" s="187"/>
      <c r="CN105" s="187"/>
      <c r="CO105" s="187"/>
      <c r="CP105" s="150"/>
      <c r="CQ105" s="189">
        <f ca="1">-SUM(TblConstr[[#This Row],[Alc]:[Mas]])+SUM(TblConstr[[#This Row],[Dest Alc]:[Dest Mas]])+Rezone!L105+IF("Ch_"&amp; home_land=TblConstr[[#Headers],[Ch_Plain]],TblConstr[[#This Row],[Home Land]])+IF(TblConstr[[#This Row],[Hour]:[Hour]]&gt;12,OFFSET(TblExplore[[#This Row],[Plains Explore]],-12,0),0)</f>
        <v>0</v>
      </c>
      <c r="CR105" s="190">
        <f ca="1">-SUM(TblConstr[[#This Row],[Ly]:[Hav]])+SUM(TblConstr[[#This Row],[Dest Ly]:[Dest Hav]]) +Rezone!M105 + IF("Ch_"&amp; home_land=TblConstr[[#Headers],[Ch_Forest]],TblConstr[[#This Row],[Home Land]])+IF(TblConstr[[#This Row],[Hour]:[Hour]]&gt;12,OFFSET(TblExplore[[#This Row],[Forest Explore]],-12,0),0)</f>
        <v>0</v>
      </c>
      <c r="CS105" s="390">
        <f ca="1">-SUM(TblConstr[[#This Row],[OM]:[GN]])+SUM(TblConstr[[#This Row],[Dest OM]:[Dest GN]]) +Rezone!N105 + IF("Ch_"&amp; home_land=TblConstr[[#Headers],[Ch_Mountain]],TblConstr[[#This Row],[Home Land]])+IF(TblConstr[[#This Row],[Hour]:[Hour]]&gt;12,OFFSET(TblExplore[[#This Row],[Mountain Explore]],-12,0),0)</f>
        <v>0</v>
      </c>
      <c r="CT105" s="191">
        <f ca="1">-SUM(TblConstr[[#This Row],[Fac]:[Shr]])+SUM(TblConstr[[#This Row],[Dest Fac]:[Dest Shr]]) +Rezone!O105 + IF("Ch_" &amp; home_land=TblConstr[[#Headers],[Ch_Hill]],TblConstr[[#This Row],[Home Land]])+IF(TblConstr[[#This Row],[Hour]:[Hour]]&gt;12,OFFSET(TblExplore[[#This Row],[Hill Explore]],-12,0),0)</f>
        <v>0</v>
      </c>
      <c r="CU105" s="192">
        <f ca="1">-SUM(TblConstr[[#This Row],[Tow]:[WG]])+SUM(TblConstr[[#This Row],[Dest Tow]:[Dest WG]]) +Rezone!P105 + IF("Ch_" &amp; home_land=TblConstr[[#Headers],[Ch_Swamp]],TblConstr[[#This Row],[Home Land]])+IF(TblConstr[[#This Row],[Hour]:[Hour]]&gt;12,OFFSET(TblExplore[[#This Row],[Swamp Explore]],-12,0),0)</f>
        <v>0</v>
      </c>
      <c r="CV105" s="193">
        <f ca="1" xml:space="preserve"> - SUM(TblConstr[[#This Row],[DM]:[Sch]])+SUM(TblConstr[[#This Row],[Dest DM]:[Dest Sch]]) +Rezone!Q105 + IF("Ch_" &amp; home_land=TblConstr[[#Headers],[Ch_Cavern]],TblConstr[[#This Row],[Home Land]])+IF(TblConstr[[#This Row],[Hour]:[Hour]]&gt;12,OFFSET(TblExplore[[#This Row],[Cavern Explore]],-12,0),0)</f>
        <v>0</v>
      </c>
      <c r="CW105" s="194">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50"/>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83">
        <f>TblRezone[[#This Row],[Hour]]</f>
        <v>103</v>
      </c>
      <c r="B106" s="184">
        <f ca="1">SUM(TblConstr[[#This Row],[Plain]:[Water]])</f>
        <v>160</v>
      </c>
      <c r="C106" s="185">
        <f ca="1">SUM(TblConstr[[#This Row],[Tot Hom]:[Tot Doc]])</f>
        <v>90</v>
      </c>
      <c r="D106" s="185">
        <f t="shared" si="21"/>
        <v>0</v>
      </c>
      <c r="E106" s="186"/>
      <c r="F106" s="62">
        <f ca="1">TblConstr[[#This Row],[Barren]]+TblConstr[[#This Row],[Buildings]]+TblConstr[[#This Row],[Incoming]]</f>
        <v>250</v>
      </c>
      <c r="G106" s="195">
        <f ca="1">OFFSET(TblConstr[[#This Row],[Plain]],-1,0)+TblConstr[[#This Row],[Ch_Plain]]</f>
        <v>40</v>
      </c>
      <c r="H106" s="190">
        <f ca="1">OFFSET(TblConstr[[#This Row],[Forest]],-1,0)+TblConstr[[#This Row],[Ch_Forest]]</f>
        <v>20</v>
      </c>
      <c r="I106" s="390">
        <f ca="1">OFFSET(TblConstr[[#This Row],[Mountain]],-1,0)+TblConstr[[#This Row],[Ch_Mountain]]</f>
        <v>20</v>
      </c>
      <c r="J106" s="394">
        <f ca="1">OFFSET(TblConstr[[#This Row],[Hill]],-1,0)+TblConstr[[#This Row],[Ch_Hill]]</f>
        <v>20</v>
      </c>
      <c r="K106" s="398">
        <f ca="1">OFFSET(TblConstr[[#This Row],[Swamp]],-1,0)+TblConstr[[#This Row],[Ch_Swamp]]</f>
        <v>20</v>
      </c>
      <c r="L106" s="193">
        <f ca="1">OFFSET(TblConstr[[#This Row],[Cavern]],-1,0)+TblConstr[[#This Row],[Ch_Cavern]]</f>
        <v>20</v>
      </c>
      <c r="M106" s="194">
        <f ca="1">OFFSET(TblConstr[[#This Row],[Water]],-1,0)+TblConstr[[#This Row],[Ch_Water]]</f>
        <v>20</v>
      </c>
      <c r="N106" s="388">
        <f>TblRezone[[#This Row],[Hour]]</f>
        <v>103</v>
      </c>
      <c r="O106" s="187"/>
      <c r="P106" s="187"/>
      <c r="Q106" s="187"/>
      <c r="R106" s="187"/>
      <c r="S106" s="187"/>
      <c r="T106" s="187"/>
      <c r="U106" s="187"/>
      <c r="V106" s="187"/>
      <c r="W106" s="187"/>
      <c r="X106" s="187"/>
      <c r="Y106" s="187"/>
      <c r="Z106" s="187"/>
      <c r="AA106" s="187"/>
      <c r="AB106" s="187"/>
      <c r="AC106" s="187"/>
      <c r="AD106" s="187"/>
      <c r="AE106" s="187"/>
      <c r="AF106" s="187"/>
      <c r="AG106" s="187"/>
      <c r="AH106" s="53">
        <f ca="1">TblImps[[#This Row],[Time]]</f>
        <v>44814.999999999753</v>
      </c>
      <c r="AI106" s="188">
        <f ca="1">MIN(25%,(TblConstr[[#This Row],[Tot Fac]]+TblConstr[[#This Row],[Dest Fac]])/(TblConstr[[#This Row],[Land]]-TblExplore[[#This Row],[Land Bonus]]*20))</f>
        <v>0</v>
      </c>
      <c r="AJ106" s="188">
        <f ca="1">MIN(25%,(TblConstr[[#This Row],[Tot Fac]]+TblConstr[[#This Row],[Dest Fac]])/TblConstr[[#This Row],[Land]])</f>
        <v>0</v>
      </c>
      <c r="AK106" s="97">
        <f ca="1">TblProd[[#This Row],[Platinum]]</f>
        <v>660450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50"/>
      <c r="AV106" s="97">
        <f ca="1">ROUND((TblConstr[[#This Row],[Land]]-250 - IF(TblExplore[[#This Row],[Land Bonus]]&lt;&gt;0,20,0))*1.25 + 850 + 0,0)</f>
        <v>850</v>
      </c>
      <c r="AW106" s="97">
        <f ca="1">ROUND((TblConstr[[#This Row],[Land]]-250 - IF(TblExplore[[#This Row],[Land Bonus]]&lt;&gt;0,20,0))*0.285 + 87.5 + 0/4.25,0)</f>
        <v>88</v>
      </c>
      <c r="AX106" s="162"/>
      <c r="AY106" s="196" cm="1">
        <f t="array" aca="1" ref="AY106" ca="1">IF(TblConstr[[#This Row],[Hour]:[Hour]]&gt;12,OFFSET(TblConstr[[#This Row],[Hom]],-12,0),0)+OFFSET(TblConstr[[#This Row],[Tot Hom]],-1,0)-TblConstr[[#This Row],[Dest Hom]]</f>
        <v>10</v>
      </c>
      <c r="AZ106" s="197" cm="1">
        <f t="array" aca="1" ref="AZ106" ca="1">IF(TblConstr[[#This Row],[Hour]:[Hour]]&gt;12,OFFSET(TblConstr[[#This Row],[Alc]],-12,0),0)+OFFSET(TblConstr[[#This Row],[Tot Alc]],-1,0)-TblConstr[[#This Row],[Dest Alc]]</f>
        <v>30</v>
      </c>
      <c r="BA106" s="197" cm="1">
        <f t="array" aca="1" ref="BA106" ca="1">IF(TblConstr[[#This Row],[Hour]:[Hour]]&gt;12,OFFSET(TblConstr[[#This Row],[Far]],-12,0),0)+OFFSET(TblConstr[[#This Row],[Tot Farm]],-1,0)-TblConstr[[#This Row],[Dest Farm]]</f>
        <v>30</v>
      </c>
      <c r="BB106" s="197" cm="1">
        <f t="array" aca="1" ref="BB106" ca="1">IF(TblConstr[[#This Row],[Hour]:[Hour]]&gt;12,OFFSET(TblConstr[[#This Row],[Smi]],-12,0),0)+OFFSET(TblConstr[[#This Row],[Tot Smi]],-1,0)-TblConstr[[#This Row],[Dest Smi]]</f>
        <v>0</v>
      </c>
      <c r="BC106" s="197" cm="1">
        <f t="array" aca="1" ref="BC106" ca="1">IF(TblConstr[[#This Row],[Hour]:[Hour]]&gt;12,OFFSET(TblConstr[[#This Row],[Mas]],-12,0),0)+OFFSET(TblConstr[[#This Row],[Tot Mas]],-1,0)-TblConstr[[#This Row],[Dest Mas]]</f>
        <v>0</v>
      </c>
      <c r="BD106" s="198" cm="1">
        <f t="array" aca="1" ref="BD106" ca="1">IF(TblConstr[[#This Row],[Hour]:[Hour]]&gt;12,OFFSET(TblConstr[[#This Row],[Ly]],-12,0),0)+OFFSET(TblConstr[[#This Row],[Tot Ly]],-1,0)-TblConstr[[#This Row],[Dest Ly]]</f>
        <v>20</v>
      </c>
      <c r="BE106" s="198" cm="1">
        <f t="array" aca="1" ref="BE106" ca="1">IF(TblConstr[[#This Row],[Hour]:[Hour]]&gt;12,OFFSET(TblConstr[[#This Row],[Hav]],-12,0),0)+OFFSET(TblConstr[[#This Row],[Tot Hav]],-1,0)-TblConstr[[#This Row],[Dest Hav]]</f>
        <v>0</v>
      </c>
      <c r="BF106" s="392" cm="1">
        <f t="array" aca="1" ref="BF106" ca="1">IF(TblConstr[[#This Row],[Hour]:[Hour]]&gt;12,OFFSET(TblConstr[[#This Row],[OM]],-12,0),0)+OFFSET(TblConstr[[#This Row],[Tot OM]],-1,0)-TblConstr[[#This Row],[Dest OM]]</f>
        <v>0</v>
      </c>
      <c r="BG106" s="392" cm="1">
        <f t="array" aca="1" ref="BG106" ca="1">IF(TblConstr[[#This Row],[Hour]:[Hour]]&gt;12,OFFSET(TblConstr[[#This Row],[GN]],-12,0),0)+OFFSET(TblConstr[[#This Row],[Tot GN]],-1,0)-TblConstr[[#This Row],[Dest GN]]</f>
        <v>0</v>
      </c>
      <c r="BH106" s="396" cm="1">
        <f t="array" aca="1" ref="BH106" ca="1">IF(TblConstr[[#This Row],[Hour]:[Hour]]&gt;12,OFFSET(TblConstr[[#This Row],[Fac]],-12,0),0)+OFFSET(TblConstr[[#This Row],[Tot Fac]],-1,0)-TblConstr[[#This Row],[Dest Fac]]</f>
        <v>0</v>
      </c>
      <c r="BI106" s="396" cm="1">
        <f t="array" aca="1" ref="BI106" ca="1">IF(TblConstr[[#This Row],[Hour]:[Hour]]&gt;12,OFFSET(TblConstr[[#This Row],[GT]],-12,0),0)+OFFSET(TblConstr[[#This Row],[Tot GT]],-1,0)-TblConstr[[#This Row],[Dest GT]]</f>
        <v>0</v>
      </c>
      <c r="BJ106" s="396" cm="1">
        <f t="array" aca="1" ref="BJ106" ca="1">IF(TblConstr[[#This Row],[Hour]:[Hour]]&gt;12,OFFSET(TblConstr[[#This Row],[Bar]],-12,0),0)+OFFSET(TblConstr[[#This Row],[Tot Bar]],-1,0)-TblConstr[[#This Row],[Dest Bar]]</f>
        <v>0</v>
      </c>
      <c r="BK106" s="396" cm="1">
        <f t="array" aca="1" ref="BK106" ca="1">IF(TblConstr[[#This Row],[Hour]:[Hour]]&gt;12,OFFSET(TblConstr[[#This Row],[Shr]],-12,0),0)+OFFSET(TblConstr[[#This Row],[Tot Shr]],-1,0)-TblConstr[[#This Row],[Dest Shr]]</f>
        <v>0</v>
      </c>
      <c r="BL106" s="400" cm="1">
        <f t="array" aca="1" ref="BL106" ca="1">IF(TblConstr[[#This Row],[Hour]:[Hour]]&gt;12,OFFSET(TblConstr[[#This Row],[Tow]],-12,0),0)+OFFSET(TblConstr[[#This Row],[Tot Tow]],-1,0)-TblConstr[[#This Row],[Dest Tow]]</f>
        <v>0</v>
      </c>
      <c r="BM106" s="400" cm="1">
        <f t="array" aca="1" ref="BM106" ca="1">IF(TblConstr[[#This Row],[Hour]:[Hour]]&gt;12,OFFSET(TblConstr[[#This Row],[Tem]],-12,0),0)+OFFSET(TblConstr[[#This Row],[Tot Tem]],-1,0)-TblConstr[[#This Row],[Dest Tem]]</f>
        <v>0</v>
      </c>
      <c r="BN106" s="400" cm="1">
        <f t="array" aca="1" ref="BN106" ca="1">IF(TblConstr[[#This Row],[Hour]:[Hour]]&gt;12,OFFSET(TblConstr[[#This Row],[WG]],-12,0),0)+OFFSET(TblConstr[[#This Row],[Tot WG]],-1,0)-TblConstr[[#This Row],[Dest WG]]</f>
        <v>0</v>
      </c>
      <c r="BO106" s="199" cm="1">
        <f t="array" aca="1" ref="BO106" ca="1">IF(TblConstr[[#This Row],[Hour]:[Hour]]&gt;12,OFFSET(TblConstr[[#This Row],[DM]],-12,0),0)+OFFSET(TblConstr[[#This Row],[Tot DM]],-1,0)-TblConstr[[#This Row],[Dest DM]]</f>
        <v>0</v>
      </c>
      <c r="BP106" s="199" cm="1">
        <f t="array" aca="1" ref="BP106" ca="1">IF(TblConstr[[#This Row],[Hour]:[Hour]]&gt;12,OFFSET(TblConstr[[#This Row],[Sch]],-12,0),0)+OFFSET(TblConstr[[#This Row],[Tot Sch]],-1,0)-TblConstr[[#This Row],[Dest Sch]]</f>
        <v>0</v>
      </c>
      <c r="BQ106" s="200" cm="1">
        <f t="array" aca="1" ref="BQ106" ca="1">IF(TblConstr[[#This Row],[Hour]:[Hour]]&gt;12,OFFSET(TblConstr[[#This Row],[Doc]],-12,0),0)+OFFSET(TblConstr[[#This Row],[Tot Doc]],-1,0)-TblConstr[[#This Row],[Dest Doc]]</f>
        <v>0</v>
      </c>
      <c r="BR106" s="150"/>
      <c r="BS106" s="162"/>
      <c r="BT106" s="97">
        <f ca="1">TblConstr[[#This Row],[Land]]</f>
        <v>250</v>
      </c>
      <c r="BU106" s="167">
        <f ca="1">TblImps[[#This Row],[Time]]</f>
        <v>44814.999999999753</v>
      </c>
      <c r="BV106" s="150"/>
      <c r="BW106" s="187"/>
      <c r="BX106" s="187"/>
      <c r="BY106" s="187"/>
      <c r="BZ106" s="187"/>
      <c r="CA106" s="187"/>
      <c r="CB106" s="187"/>
      <c r="CC106" s="187"/>
      <c r="CD106" s="187"/>
      <c r="CE106" s="187"/>
      <c r="CF106" s="187"/>
      <c r="CG106" s="187"/>
      <c r="CH106" s="187"/>
      <c r="CI106" s="187"/>
      <c r="CJ106" s="187"/>
      <c r="CK106" s="187"/>
      <c r="CL106" s="187"/>
      <c r="CM106" s="187"/>
      <c r="CN106" s="187"/>
      <c r="CO106" s="187"/>
      <c r="CP106" s="150"/>
      <c r="CQ106" s="189">
        <f ca="1">-SUM(TblConstr[[#This Row],[Alc]:[Mas]])+SUM(TblConstr[[#This Row],[Dest Alc]:[Dest Mas]])+Rezone!L106+IF("Ch_"&amp; home_land=TblConstr[[#Headers],[Ch_Plain]],TblConstr[[#This Row],[Home Land]])+IF(TblConstr[[#This Row],[Hour]:[Hour]]&gt;12,OFFSET(TblExplore[[#This Row],[Plains Explore]],-12,0),0)</f>
        <v>0</v>
      </c>
      <c r="CR106" s="190">
        <f ca="1">-SUM(TblConstr[[#This Row],[Ly]:[Hav]])+SUM(TblConstr[[#This Row],[Dest Ly]:[Dest Hav]]) +Rezone!M106 + IF("Ch_"&amp; home_land=TblConstr[[#Headers],[Ch_Forest]],TblConstr[[#This Row],[Home Land]])+IF(TblConstr[[#This Row],[Hour]:[Hour]]&gt;12,OFFSET(TblExplore[[#This Row],[Forest Explore]],-12,0),0)</f>
        <v>0</v>
      </c>
      <c r="CS106" s="390">
        <f ca="1">-SUM(TblConstr[[#This Row],[OM]:[GN]])+SUM(TblConstr[[#This Row],[Dest OM]:[Dest GN]]) +Rezone!N106 + IF("Ch_"&amp; home_land=TblConstr[[#Headers],[Ch_Mountain]],TblConstr[[#This Row],[Home Land]])+IF(TblConstr[[#This Row],[Hour]:[Hour]]&gt;12,OFFSET(TblExplore[[#This Row],[Mountain Explore]],-12,0),0)</f>
        <v>0</v>
      </c>
      <c r="CT106" s="191">
        <f ca="1">-SUM(TblConstr[[#This Row],[Fac]:[Shr]])+SUM(TblConstr[[#This Row],[Dest Fac]:[Dest Shr]]) +Rezone!O106 + IF("Ch_" &amp; home_land=TblConstr[[#Headers],[Ch_Hill]],TblConstr[[#This Row],[Home Land]])+IF(TblConstr[[#This Row],[Hour]:[Hour]]&gt;12,OFFSET(TblExplore[[#This Row],[Hill Explore]],-12,0),0)</f>
        <v>0</v>
      </c>
      <c r="CU106" s="192">
        <f ca="1">-SUM(TblConstr[[#This Row],[Tow]:[WG]])+SUM(TblConstr[[#This Row],[Dest Tow]:[Dest WG]]) +Rezone!P106 + IF("Ch_" &amp; home_land=TblConstr[[#Headers],[Ch_Swamp]],TblConstr[[#This Row],[Home Land]])+IF(TblConstr[[#This Row],[Hour]:[Hour]]&gt;12,OFFSET(TblExplore[[#This Row],[Swamp Explore]],-12,0),0)</f>
        <v>0</v>
      </c>
      <c r="CV106" s="193">
        <f ca="1" xml:space="preserve"> - SUM(TblConstr[[#This Row],[DM]:[Sch]])+SUM(TblConstr[[#This Row],[Dest DM]:[Dest Sch]]) +Rezone!Q106 + IF("Ch_" &amp; home_land=TblConstr[[#Headers],[Ch_Cavern]],TblConstr[[#This Row],[Home Land]])+IF(TblConstr[[#This Row],[Hour]:[Hour]]&gt;12,OFFSET(TblExplore[[#This Row],[Cavern Explore]],-12,0),0)</f>
        <v>0</v>
      </c>
      <c r="CW106" s="194">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50"/>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83">
        <f>TblRezone[[#This Row],[Hour]]</f>
        <v>104</v>
      </c>
      <c r="B107" s="184">
        <f ca="1">SUM(TblConstr[[#This Row],[Plain]:[Water]])</f>
        <v>160</v>
      </c>
      <c r="C107" s="185">
        <f ca="1">SUM(TblConstr[[#This Row],[Tot Hom]:[Tot Doc]])</f>
        <v>90</v>
      </c>
      <c r="D107" s="185">
        <f t="shared" si="21"/>
        <v>0</v>
      </c>
      <c r="E107" s="186"/>
      <c r="F107" s="62">
        <f ca="1">TblConstr[[#This Row],[Barren]]+TblConstr[[#This Row],[Buildings]]+TblConstr[[#This Row],[Incoming]]</f>
        <v>250</v>
      </c>
      <c r="G107" s="195">
        <f ca="1">OFFSET(TblConstr[[#This Row],[Plain]],-1,0)+TblConstr[[#This Row],[Ch_Plain]]</f>
        <v>40</v>
      </c>
      <c r="H107" s="190">
        <f ca="1">OFFSET(TblConstr[[#This Row],[Forest]],-1,0)+TblConstr[[#This Row],[Ch_Forest]]</f>
        <v>20</v>
      </c>
      <c r="I107" s="390">
        <f ca="1">OFFSET(TblConstr[[#This Row],[Mountain]],-1,0)+TblConstr[[#This Row],[Ch_Mountain]]</f>
        <v>20</v>
      </c>
      <c r="J107" s="394">
        <f ca="1">OFFSET(TblConstr[[#This Row],[Hill]],-1,0)+TblConstr[[#This Row],[Ch_Hill]]</f>
        <v>20</v>
      </c>
      <c r="K107" s="398">
        <f ca="1">OFFSET(TblConstr[[#This Row],[Swamp]],-1,0)+TblConstr[[#This Row],[Ch_Swamp]]</f>
        <v>20</v>
      </c>
      <c r="L107" s="193">
        <f ca="1">OFFSET(TblConstr[[#This Row],[Cavern]],-1,0)+TblConstr[[#This Row],[Ch_Cavern]]</f>
        <v>20</v>
      </c>
      <c r="M107" s="194">
        <f ca="1">OFFSET(TblConstr[[#This Row],[Water]],-1,0)+TblConstr[[#This Row],[Ch_Water]]</f>
        <v>20</v>
      </c>
      <c r="N107" s="388">
        <f>TblRezone[[#This Row],[Hour]]</f>
        <v>104</v>
      </c>
      <c r="O107" s="187"/>
      <c r="P107" s="187"/>
      <c r="Q107" s="187"/>
      <c r="R107" s="187"/>
      <c r="S107" s="187"/>
      <c r="T107" s="187"/>
      <c r="U107" s="187"/>
      <c r="V107" s="187"/>
      <c r="W107" s="187"/>
      <c r="X107" s="166"/>
      <c r="Y107" s="187"/>
      <c r="Z107" s="187"/>
      <c r="AA107" s="187"/>
      <c r="AB107" s="187"/>
      <c r="AC107" s="187"/>
      <c r="AD107" s="187"/>
      <c r="AE107" s="187"/>
      <c r="AF107" s="187"/>
      <c r="AG107" s="187"/>
      <c r="AH107" s="53">
        <f ca="1">TblImps[[#This Row],[Time]]</f>
        <v>44815.041666666417</v>
      </c>
      <c r="AI107" s="188">
        <f ca="1">MIN(25%,(TblConstr[[#This Row],[Tot Fac]]+TblConstr[[#This Row],[Dest Fac]])/(TblConstr[[#This Row],[Land]]-TblExplore[[#This Row],[Land Bonus]]*20))</f>
        <v>0</v>
      </c>
      <c r="AJ107" s="188">
        <f ca="1">MIN(25%,(TblConstr[[#This Row],[Tot Fac]]+TblConstr[[#This Row],[Dest Fac]])/TblConstr[[#This Row],[Land]])</f>
        <v>0</v>
      </c>
      <c r="AK107" s="97">
        <f ca="1">TblProd[[#This Row],[Platinum]]</f>
        <v>665936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50"/>
      <c r="AV107" s="97">
        <f ca="1">ROUND((TblConstr[[#This Row],[Land]]-250 - IF(TblExplore[[#This Row],[Land Bonus]]&lt;&gt;0,20,0))*1.25 + 850 + 0,0)</f>
        <v>850</v>
      </c>
      <c r="AW107" s="97">
        <f ca="1">ROUND((TblConstr[[#This Row],[Land]]-250 - IF(TblExplore[[#This Row],[Land Bonus]]&lt;&gt;0,20,0))*0.285 + 87.5 + 0/4.25,0)</f>
        <v>88</v>
      </c>
      <c r="AX107" s="162"/>
      <c r="AY107" s="196" cm="1">
        <f t="array" aca="1" ref="AY107" ca="1">IF(TblConstr[[#This Row],[Hour]:[Hour]]&gt;12,OFFSET(TblConstr[[#This Row],[Hom]],-12,0),0)+OFFSET(TblConstr[[#This Row],[Tot Hom]],-1,0)-TblConstr[[#This Row],[Dest Hom]]</f>
        <v>10</v>
      </c>
      <c r="AZ107" s="197" cm="1">
        <f t="array" aca="1" ref="AZ107" ca="1">IF(TblConstr[[#This Row],[Hour]:[Hour]]&gt;12,OFFSET(TblConstr[[#This Row],[Alc]],-12,0),0)+OFFSET(TblConstr[[#This Row],[Tot Alc]],-1,0)-TblConstr[[#This Row],[Dest Alc]]</f>
        <v>30</v>
      </c>
      <c r="BA107" s="197" cm="1">
        <f t="array" aca="1" ref="BA107" ca="1">IF(TblConstr[[#This Row],[Hour]:[Hour]]&gt;12,OFFSET(TblConstr[[#This Row],[Far]],-12,0),0)+OFFSET(TblConstr[[#This Row],[Tot Farm]],-1,0)-TblConstr[[#This Row],[Dest Farm]]</f>
        <v>30</v>
      </c>
      <c r="BB107" s="197" cm="1">
        <f t="array" aca="1" ref="BB107" ca="1">IF(TblConstr[[#This Row],[Hour]:[Hour]]&gt;12,OFFSET(TblConstr[[#This Row],[Smi]],-12,0),0)+OFFSET(TblConstr[[#This Row],[Tot Smi]],-1,0)-TblConstr[[#This Row],[Dest Smi]]</f>
        <v>0</v>
      </c>
      <c r="BC107" s="197" cm="1">
        <f t="array" aca="1" ref="BC107" ca="1">IF(TblConstr[[#This Row],[Hour]:[Hour]]&gt;12,OFFSET(TblConstr[[#This Row],[Mas]],-12,0),0)+OFFSET(TblConstr[[#This Row],[Tot Mas]],-1,0)-TblConstr[[#This Row],[Dest Mas]]</f>
        <v>0</v>
      </c>
      <c r="BD107" s="198" cm="1">
        <f t="array" aca="1" ref="BD107" ca="1">IF(TblConstr[[#This Row],[Hour]:[Hour]]&gt;12,OFFSET(TblConstr[[#This Row],[Ly]],-12,0),0)+OFFSET(TblConstr[[#This Row],[Tot Ly]],-1,0)-TblConstr[[#This Row],[Dest Ly]]</f>
        <v>20</v>
      </c>
      <c r="BE107" s="198" cm="1">
        <f t="array" aca="1" ref="BE107" ca="1">IF(TblConstr[[#This Row],[Hour]:[Hour]]&gt;12,OFFSET(TblConstr[[#This Row],[Hav]],-12,0),0)+OFFSET(TblConstr[[#This Row],[Tot Hav]],-1,0)-TblConstr[[#This Row],[Dest Hav]]</f>
        <v>0</v>
      </c>
      <c r="BF107" s="392" cm="1">
        <f t="array" aca="1" ref="BF107" ca="1">IF(TblConstr[[#This Row],[Hour]:[Hour]]&gt;12,OFFSET(TblConstr[[#This Row],[OM]],-12,0),0)+OFFSET(TblConstr[[#This Row],[Tot OM]],-1,0)-TblConstr[[#This Row],[Dest OM]]</f>
        <v>0</v>
      </c>
      <c r="BG107" s="392" cm="1">
        <f t="array" aca="1" ref="BG107" ca="1">IF(TblConstr[[#This Row],[Hour]:[Hour]]&gt;12,OFFSET(TblConstr[[#This Row],[GN]],-12,0),0)+OFFSET(TblConstr[[#This Row],[Tot GN]],-1,0)-TblConstr[[#This Row],[Dest GN]]</f>
        <v>0</v>
      </c>
      <c r="BH107" s="396" cm="1">
        <f t="array" aca="1" ref="BH107" ca="1">IF(TblConstr[[#This Row],[Hour]:[Hour]]&gt;12,OFFSET(TblConstr[[#This Row],[Fac]],-12,0),0)+OFFSET(TblConstr[[#This Row],[Tot Fac]],-1,0)-TblConstr[[#This Row],[Dest Fac]]</f>
        <v>0</v>
      </c>
      <c r="BI107" s="396" cm="1">
        <f t="array" aca="1" ref="BI107" ca="1">IF(TblConstr[[#This Row],[Hour]:[Hour]]&gt;12,OFFSET(TblConstr[[#This Row],[GT]],-12,0),0)+OFFSET(TblConstr[[#This Row],[Tot GT]],-1,0)-TblConstr[[#This Row],[Dest GT]]</f>
        <v>0</v>
      </c>
      <c r="BJ107" s="396" cm="1">
        <f t="array" aca="1" ref="BJ107" ca="1">IF(TblConstr[[#This Row],[Hour]:[Hour]]&gt;12,OFFSET(TblConstr[[#This Row],[Bar]],-12,0),0)+OFFSET(TblConstr[[#This Row],[Tot Bar]],-1,0)-TblConstr[[#This Row],[Dest Bar]]</f>
        <v>0</v>
      </c>
      <c r="BK107" s="396" cm="1">
        <f t="array" aca="1" ref="BK107" ca="1">IF(TblConstr[[#This Row],[Hour]:[Hour]]&gt;12,OFFSET(TblConstr[[#This Row],[Shr]],-12,0),0)+OFFSET(TblConstr[[#This Row],[Tot Shr]],-1,0)-TblConstr[[#This Row],[Dest Shr]]</f>
        <v>0</v>
      </c>
      <c r="BL107" s="400" cm="1">
        <f t="array" aca="1" ref="BL107" ca="1">IF(TblConstr[[#This Row],[Hour]:[Hour]]&gt;12,OFFSET(TblConstr[[#This Row],[Tow]],-12,0),0)+OFFSET(TblConstr[[#This Row],[Tot Tow]],-1,0)-TblConstr[[#This Row],[Dest Tow]]</f>
        <v>0</v>
      </c>
      <c r="BM107" s="400" cm="1">
        <f t="array" aca="1" ref="BM107" ca="1">IF(TblConstr[[#This Row],[Hour]:[Hour]]&gt;12,OFFSET(TblConstr[[#This Row],[Tem]],-12,0),0)+OFFSET(TblConstr[[#This Row],[Tot Tem]],-1,0)-TblConstr[[#This Row],[Dest Tem]]</f>
        <v>0</v>
      </c>
      <c r="BN107" s="400" cm="1">
        <f t="array" aca="1" ref="BN107" ca="1">IF(TblConstr[[#This Row],[Hour]:[Hour]]&gt;12,OFFSET(TblConstr[[#This Row],[WG]],-12,0),0)+OFFSET(TblConstr[[#This Row],[Tot WG]],-1,0)-TblConstr[[#This Row],[Dest WG]]</f>
        <v>0</v>
      </c>
      <c r="BO107" s="199" cm="1">
        <f t="array" aca="1" ref="BO107" ca="1">IF(TblConstr[[#This Row],[Hour]:[Hour]]&gt;12,OFFSET(TblConstr[[#This Row],[DM]],-12,0),0)+OFFSET(TblConstr[[#This Row],[Tot DM]],-1,0)-TblConstr[[#This Row],[Dest DM]]</f>
        <v>0</v>
      </c>
      <c r="BP107" s="199" cm="1">
        <f t="array" aca="1" ref="BP107" ca="1">IF(TblConstr[[#This Row],[Hour]:[Hour]]&gt;12,OFFSET(TblConstr[[#This Row],[Sch]],-12,0),0)+OFFSET(TblConstr[[#This Row],[Tot Sch]],-1,0)-TblConstr[[#This Row],[Dest Sch]]</f>
        <v>0</v>
      </c>
      <c r="BQ107" s="200" cm="1">
        <f t="array" aca="1" ref="BQ107" ca="1">IF(TblConstr[[#This Row],[Hour]:[Hour]]&gt;12,OFFSET(TblConstr[[#This Row],[Doc]],-12,0),0)+OFFSET(TblConstr[[#This Row],[Tot Doc]],-1,0)-TblConstr[[#This Row],[Dest Doc]]</f>
        <v>0</v>
      </c>
      <c r="BR107" s="150"/>
      <c r="BS107" s="162"/>
      <c r="BT107" s="97">
        <f ca="1">TblConstr[[#This Row],[Land]]</f>
        <v>250</v>
      </c>
      <c r="BU107" s="167">
        <f ca="1">TblImps[[#This Row],[Time]]</f>
        <v>44815.041666666417</v>
      </c>
      <c r="BV107" s="150"/>
      <c r="BW107" s="187"/>
      <c r="BX107" s="187"/>
      <c r="BY107" s="187"/>
      <c r="BZ107" s="187"/>
      <c r="CA107" s="187"/>
      <c r="CB107" s="187"/>
      <c r="CC107" s="187"/>
      <c r="CD107" s="187"/>
      <c r="CE107" s="187"/>
      <c r="CF107" s="187"/>
      <c r="CG107" s="187"/>
      <c r="CH107" s="187"/>
      <c r="CI107" s="187"/>
      <c r="CJ107" s="187"/>
      <c r="CK107" s="187"/>
      <c r="CL107" s="187"/>
      <c r="CM107" s="187"/>
      <c r="CN107" s="187"/>
      <c r="CO107" s="187"/>
      <c r="CP107" s="150"/>
      <c r="CQ107" s="189">
        <f ca="1">-SUM(TblConstr[[#This Row],[Alc]:[Mas]])+SUM(TblConstr[[#This Row],[Dest Alc]:[Dest Mas]])+Rezone!L107+IF("Ch_"&amp; home_land=TblConstr[[#Headers],[Ch_Plain]],TblConstr[[#This Row],[Home Land]])+IF(TblConstr[[#This Row],[Hour]:[Hour]]&gt;12,OFFSET(TblExplore[[#This Row],[Plains Explore]],-12,0),0)</f>
        <v>0</v>
      </c>
      <c r="CR107" s="190">
        <f ca="1">-SUM(TblConstr[[#This Row],[Ly]:[Hav]])+SUM(TblConstr[[#This Row],[Dest Ly]:[Dest Hav]]) +Rezone!M107 + IF("Ch_"&amp; home_land=TblConstr[[#Headers],[Ch_Forest]],TblConstr[[#This Row],[Home Land]])+IF(TblConstr[[#This Row],[Hour]:[Hour]]&gt;12,OFFSET(TblExplore[[#This Row],[Forest Explore]],-12,0),0)</f>
        <v>0</v>
      </c>
      <c r="CS107" s="390">
        <f ca="1">-SUM(TblConstr[[#This Row],[OM]:[GN]])+SUM(TblConstr[[#This Row],[Dest OM]:[Dest GN]]) +Rezone!N107 + IF("Ch_"&amp; home_land=TblConstr[[#Headers],[Ch_Mountain]],TblConstr[[#This Row],[Home Land]])+IF(TblConstr[[#This Row],[Hour]:[Hour]]&gt;12,OFFSET(TblExplore[[#This Row],[Mountain Explore]],-12,0),0)</f>
        <v>0</v>
      </c>
      <c r="CT107" s="191">
        <f ca="1">-SUM(TblConstr[[#This Row],[Fac]:[Shr]])+SUM(TblConstr[[#This Row],[Dest Fac]:[Dest Shr]]) +Rezone!O107 + IF("Ch_" &amp; home_land=TblConstr[[#Headers],[Ch_Hill]],TblConstr[[#This Row],[Home Land]])+IF(TblConstr[[#This Row],[Hour]:[Hour]]&gt;12,OFFSET(TblExplore[[#This Row],[Hill Explore]],-12,0),0)</f>
        <v>0</v>
      </c>
      <c r="CU107" s="192">
        <f ca="1">-SUM(TblConstr[[#This Row],[Tow]:[WG]])+SUM(TblConstr[[#This Row],[Dest Tow]:[Dest WG]]) +Rezone!P107 + IF("Ch_" &amp; home_land=TblConstr[[#Headers],[Ch_Swamp]],TblConstr[[#This Row],[Home Land]])+IF(TblConstr[[#This Row],[Hour]:[Hour]]&gt;12,OFFSET(TblExplore[[#This Row],[Swamp Explore]],-12,0),0)</f>
        <v>0</v>
      </c>
      <c r="CV107" s="193">
        <f ca="1" xml:space="preserve"> - SUM(TblConstr[[#This Row],[DM]:[Sch]])+SUM(TblConstr[[#This Row],[Dest DM]:[Dest Sch]]) +Rezone!Q107 + IF("Ch_" &amp; home_land=TblConstr[[#Headers],[Ch_Cavern]],TblConstr[[#This Row],[Home Land]])+IF(TblConstr[[#This Row],[Hour]:[Hour]]&gt;12,OFFSET(TblExplore[[#This Row],[Cavern Explore]],-12,0),0)</f>
        <v>0</v>
      </c>
      <c r="CW107" s="194">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50"/>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83">
        <f>TblRezone[[#This Row],[Hour]]</f>
        <v>105</v>
      </c>
      <c r="B108" s="184">
        <f ca="1">SUM(TblConstr[[#This Row],[Plain]:[Water]])</f>
        <v>160</v>
      </c>
      <c r="C108" s="185">
        <f ca="1">SUM(TblConstr[[#This Row],[Tot Hom]:[Tot Doc]])</f>
        <v>90</v>
      </c>
      <c r="D108" s="185">
        <f t="shared" si="21"/>
        <v>0</v>
      </c>
      <c r="E108" s="186"/>
      <c r="F108" s="62">
        <f ca="1">TblConstr[[#This Row],[Barren]]+TblConstr[[#This Row],[Buildings]]+TblConstr[[#This Row],[Incoming]]</f>
        <v>250</v>
      </c>
      <c r="G108" s="195">
        <f ca="1">OFFSET(TblConstr[[#This Row],[Plain]],-1,0)+TblConstr[[#This Row],[Ch_Plain]]</f>
        <v>40</v>
      </c>
      <c r="H108" s="190">
        <f ca="1">OFFSET(TblConstr[[#This Row],[Forest]],-1,0)+TblConstr[[#This Row],[Ch_Forest]]</f>
        <v>20</v>
      </c>
      <c r="I108" s="390">
        <f ca="1">OFFSET(TblConstr[[#This Row],[Mountain]],-1,0)+TblConstr[[#This Row],[Ch_Mountain]]</f>
        <v>20</v>
      </c>
      <c r="J108" s="394">
        <f ca="1">OFFSET(TblConstr[[#This Row],[Hill]],-1,0)+TblConstr[[#This Row],[Ch_Hill]]</f>
        <v>20</v>
      </c>
      <c r="K108" s="398">
        <f ca="1">OFFSET(TblConstr[[#This Row],[Swamp]],-1,0)+TblConstr[[#This Row],[Ch_Swamp]]</f>
        <v>20</v>
      </c>
      <c r="L108" s="193">
        <f ca="1">OFFSET(TblConstr[[#This Row],[Cavern]],-1,0)+TblConstr[[#This Row],[Ch_Cavern]]</f>
        <v>20</v>
      </c>
      <c r="M108" s="194">
        <f ca="1">OFFSET(TblConstr[[#This Row],[Water]],-1,0)+TblConstr[[#This Row],[Ch_Water]]</f>
        <v>20</v>
      </c>
      <c r="N108" s="388">
        <f>TblRezone[[#This Row],[Hour]]</f>
        <v>105</v>
      </c>
      <c r="O108" s="187"/>
      <c r="P108" s="187"/>
      <c r="Q108" s="187"/>
      <c r="R108" s="166"/>
      <c r="S108" s="187"/>
      <c r="T108" s="187"/>
      <c r="U108" s="187"/>
      <c r="V108" s="187"/>
      <c r="W108" s="187"/>
      <c r="X108" s="187"/>
      <c r="Y108" s="187"/>
      <c r="Z108" s="187"/>
      <c r="AA108" s="187"/>
      <c r="AB108" s="187"/>
      <c r="AC108" s="187"/>
      <c r="AD108" s="187"/>
      <c r="AE108" s="187"/>
      <c r="AF108" s="187"/>
      <c r="AG108" s="187"/>
      <c r="AH108" s="53">
        <f ca="1">TblImps[[#This Row],[Time]]</f>
        <v>44815.083333333081</v>
      </c>
      <c r="AI108" s="188">
        <f ca="1">MIN(25%,(TblConstr[[#This Row],[Tot Fac]]+TblConstr[[#This Row],[Dest Fac]])/(TblConstr[[#This Row],[Land]]-TblExplore[[#This Row],[Land Bonus]]*20))</f>
        <v>0</v>
      </c>
      <c r="AJ108" s="188">
        <f ca="1">MIN(25%,(TblConstr[[#This Row],[Tot Fac]]+TblConstr[[#This Row],[Dest Fac]])/TblConstr[[#This Row],[Land]])</f>
        <v>0</v>
      </c>
      <c r="AK108" s="97">
        <f ca="1">TblProd[[#This Row],[Platinum]]</f>
        <v>671422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50"/>
      <c r="AV108" s="97">
        <f ca="1">ROUND((TblConstr[[#This Row],[Land]]-250 - IF(TblExplore[[#This Row],[Land Bonus]]&lt;&gt;0,20,0))*1.25 + 850 + 0,0)</f>
        <v>850</v>
      </c>
      <c r="AW108" s="97">
        <f ca="1">ROUND((TblConstr[[#This Row],[Land]]-250 - IF(TblExplore[[#This Row],[Land Bonus]]&lt;&gt;0,20,0))*0.285 + 87.5 + 0/4.25,0)</f>
        <v>88</v>
      </c>
      <c r="AX108" s="162"/>
      <c r="AY108" s="196" cm="1">
        <f t="array" aca="1" ref="AY108" ca="1">IF(TblConstr[[#This Row],[Hour]:[Hour]]&gt;12,OFFSET(TblConstr[[#This Row],[Hom]],-12,0),0)+OFFSET(TblConstr[[#This Row],[Tot Hom]],-1,0)-TblConstr[[#This Row],[Dest Hom]]</f>
        <v>10</v>
      </c>
      <c r="AZ108" s="197" cm="1">
        <f t="array" aca="1" ref="AZ108" ca="1">IF(TblConstr[[#This Row],[Hour]:[Hour]]&gt;12,OFFSET(TblConstr[[#This Row],[Alc]],-12,0),0)+OFFSET(TblConstr[[#This Row],[Tot Alc]],-1,0)-TblConstr[[#This Row],[Dest Alc]]</f>
        <v>30</v>
      </c>
      <c r="BA108" s="197" cm="1">
        <f t="array" aca="1" ref="BA108" ca="1">IF(TblConstr[[#This Row],[Hour]:[Hour]]&gt;12,OFFSET(TblConstr[[#This Row],[Far]],-12,0),0)+OFFSET(TblConstr[[#This Row],[Tot Farm]],-1,0)-TblConstr[[#This Row],[Dest Farm]]</f>
        <v>30</v>
      </c>
      <c r="BB108" s="197" cm="1">
        <f t="array" aca="1" ref="BB108" ca="1">IF(TblConstr[[#This Row],[Hour]:[Hour]]&gt;12,OFFSET(TblConstr[[#This Row],[Smi]],-12,0),0)+OFFSET(TblConstr[[#This Row],[Tot Smi]],-1,0)-TblConstr[[#This Row],[Dest Smi]]</f>
        <v>0</v>
      </c>
      <c r="BC108" s="197" cm="1">
        <f t="array" aca="1" ref="BC108" ca="1">IF(TblConstr[[#This Row],[Hour]:[Hour]]&gt;12,OFFSET(TblConstr[[#This Row],[Mas]],-12,0),0)+OFFSET(TblConstr[[#This Row],[Tot Mas]],-1,0)-TblConstr[[#This Row],[Dest Mas]]</f>
        <v>0</v>
      </c>
      <c r="BD108" s="198" cm="1">
        <f t="array" aca="1" ref="BD108" ca="1">IF(TblConstr[[#This Row],[Hour]:[Hour]]&gt;12,OFFSET(TblConstr[[#This Row],[Ly]],-12,0),0)+OFFSET(TblConstr[[#This Row],[Tot Ly]],-1,0)-TblConstr[[#This Row],[Dest Ly]]</f>
        <v>20</v>
      </c>
      <c r="BE108" s="198" cm="1">
        <f t="array" aca="1" ref="BE108" ca="1">IF(TblConstr[[#This Row],[Hour]:[Hour]]&gt;12,OFFSET(TblConstr[[#This Row],[Hav]],-12,0),0)+OFFSET(TblConstr[[#This Row],[Tot Hav]],-1,0)-TblConstr[[#This Row],[Dest Hav]]</f>
        <v>0</v>
      </c>
      <c r="BF108" s="392" cm="1">
        <f t="array" aca="1" ref="BF108" ca="1">IF(TblConstr[[#This Row],[Hour]:[Hour]]&gt;12,OFFSET(TblConstr[[#This Row],[OM]],-12,0),0)+OFFSET(TblConstr[[#This Row],[Tot OM]],-1,0)-TblConstr[[#This Row],[Dest OM]]</f>
        <v>0</v>
      </c>
      <c r="BG108" s="392" cm="1">
        <f t="array" aca="1" ref="BG108" ca="1">IF(TblConstr[[#This Row],[Hour]:[Hour]]&gt;12,OFFSET(TblConstr[[#This Row],[GN]],-12,0),0)+OFFSET(TblConstr[[#This Row],[Tot GN]],-1,0)-TblConstr[[#This Row],[Dest GN]]</f>
        <v>0</v>
      </c>
      <c r="BH108" s="396" cm="1">
        <f t="array" aca="1" ref="BH108" ca="1">IF(TblConstr[[#This Row],[Hour]:[Hour]]&gt;12,OFFSET(TblConstr[[#This Row],[Fac]],-12,0),0)+OFFSET(TblConstr[[#This Row],[Tot Fac]],-1,0)-TblConstr[[#This Row],[Dest Fac]]</f>
        <v>0</v>
      </c>
      <c r="BI108" s="396" cm="1">
        <f t="array" aca="1" ref="BI108" ca="1">IF(TblConstr[[#This Row],[Hour]:[Hour]]&gt;12,OFFSET(TblConstr[[#This Row],[GT]],-12,0),0)+OFFSET(TblConstr[[#This Row],[Tot GT]],-1,0)-TblConstr[[#This Row],[Dest GT]]</f>
        <v>0</v>
      </c>
      <c r="BJ108" s="396" cm="1">
        <f t="array" aca="1" ref="BJ108" ca="1">IF(TblConstr[[#This Row],[Hour]:[Hour]]&gt;12,OFFSET(TblConstr[[#This Row],[Bar]],-12,0),0)+OFFSET(TblConstr[[#This Row],[Tot Bar]],-1,0)-TblConstr[[#This Row],[Dest Bar]]</f>
        <v>0</v>
      </c>
      <c r="BK108" s="396" cm="1">
        <f t="array" aca="1" ref="BK108" ca="1">IF(TblConstr[[#This Row],[Hour]:[Hour]]&gt;12,OFFSET(TblConstr[[#This Row],[Shr]],-12,0),0)+OFFSET(TblConstr[[#This Row],[Tot Shr]],-1,0)-TblConstr[[#This Row],[Dest Shr]]</f>
        <v>0</v>
      </c>
      <c r="BL108" s="400" cm="1">
        <f t="array" aca="1" ref="BL108" ca="1">IF(TblConstr[[#This Row],[Hour]:[Hour]]&gt;12,OFFSET(TblConstr[[#This Row],[Tow]],-12,0),0)+OFFSET(TblConstr[[#This Row],[Tot Tow]],-1,0)-TblConstr[[#This Row],[Dest Tow]]</f>
        <v>0</v>
      </c>
      <c r="BM108" s="400" cm="1">
        <f t="array" aca="1" ref="BM108" ca="1">IF(TblConstr[[#This Row],[Hour]:[Hour]]&gt;12,OFFSET(TblConstr[[#This Row],[Tem]],-12,0),0)+OFFSET(TblConstr[[#This Row],[Tot Tem]],-1,0)-TblConstr[[#This Row],[Dest Tem]]</f>
        <v>0</v>
      </c>
      <c r="BN108" s="400" cm="1">
        <f t="array" aca="1" ref="BN108" ca="1">IF(TblConstr[[#This Row],[Hour]:[Hour]]&gt;12,OFFSET(TblConstr[[#This Row],[WG]],-12,0),0)+OFFSET(TblConstr[[#This Row],[Tot WG]],-1,0)-TblConstr[[#This Row],[Dest WG]]</f>
        <v>0</v>
      </c>
      <c r="BO108" s="199" cm="1">
        <f t="array" aca="1" ref="BO108" ca="1">IF(TblConstr[[#This Row],[Hour]:[Hour]]&gt;12,OFFSET(TblConstr[[#This Row],[DM]],-12,0),0)+OFFSET(TblConstr[[#This Row],[Tot DM]],-1,0)-TblConstr[[#This Row],[Dest DM]]</f>
        <v>0</v>
      </c>
      <c r="BP108" s="199" cm="1">
        <f t="array" aca="1" ref="BP108" ca="1">IF(TblConstr[[#This Row],[Hour]:[Hour]]&gt;12,OFFSET(TblConstr[[#This Row],[Sch]],-12,0),0)+OFFSET(TblConstr[[#This Row],[Tot Sch]],-1,0)-TblConstr[[#This Row],[Dest Sch]]</f>
        <v>0</v>
      </c>
      <c r="BQ108" s="200" cm="1">
        <f t="array" aca="1" ref="BQ108" ca="1">IF(TblConstr[[#This Row],[Hour]:[Hour]]&gt;12,OFFSET(TblConstr[[#This Row],[Doc]],-12,0),0)+OFFSET(TblConstr[[#This Row],[Tot Doc]],-1,0)-TblConstr[[#This Row],[Dest Doc]]</f>
        <v>0</v>
      </c>
      <c r="BR108" s="150"/>
      <c r="BS108" s="162"/>
      <c r="BT108" s="97">
        <f ca="1">TblConstr[[#This Row],[Land]]</f>
        <v>250</v>
      </c>
      <c r="BU108" s="167">
        <f ca="1">TblImps[[#This Row],[Time]]</f>
        <v>44815.083333333081</v>
      </c>
      <c r="BV108" s="150"/>
      <c r="BW108" s="187"/>
      <c r="BX108" s="187"/>
      <c r="BY108" s="187"/>
      <c r="BZ108" s="187"/>
      <c r="CA108" s="187"/>
      <c r="CB108" s="187"/>
      <c r="CC108" s="187"/>
      <c r="CD108" s="187"/>
      <c r="CE108" s="187"/>
      <c r="CF108" s="187"/>
      <c r="CG108" s="187"/>
      <c r="CH108" s="187"/>
      <c r="CI108" s="187"/>
      <c r="CJ108" s="187"/>
      <c r="CK108" s="187"/>
      <c r="CL108" s="187"/>
      <c r="CM108" s="187"/>
      <c r="CN108" s="187"/>
      <c r="CO108" s="187"/>
      <c r="CP108" s="150"/>
      <c r="CQ108" s="189">
        <f ca="1">-SUM(TblConstr[[#This Row],[Alc]:[Mas]])+SUM(TblConstr[[#This Row],[Dest Alc]:[Dest Mas]])+Rezone!L108+IF("Ch_"&amp; home_land=TblConstr[[#Headers],[Ch_Plain]],TblConstr[[#This Row],[Home Land]])+IF(TblConstr[[#This Row],[Hour]:[Hour]]&gt;12,OFFSET(TblExplore[[#This Row],[Plains Explore]],-12,0),0)</f>
        <v>0</v>
      </c>
      <c r="CR108" s="190">
        <f ca="1">-SUM(TblConstr[[#This Row],[Ly]:[Hav]])+SUM(TblConstr[[#This Row],[Dest Ly]:[Dest Hav]]) +Rezone!M108 + IF("Ch_"&amp; home_land=TblConstr[[#Headers],[Ch_Forest]],TblConstr[[#This Row],[Home Land]])+IF(TblConstr[[#This Row],[Hour]:[Hour]]&gt;12,OFFSET(TblExplore[[#This Row],[Forest Explore]],-12,0),0)</f>
        <v>0</v>
      </c>
      <c r="CS108" s="390">
        <f ca="1">-SUM(TblConstr[[#This Row],[OM]:[GN]])+SUM(TblConstr[[#This Row],[Dest OM]:[Dest GN]]) +Rezone!N108 + IF("Ch_"&amp; home_land=TblConstr[[#Headers],[Ch_Mountain]],TblConstr[[#This Row],[Home Land]])+IF(TblConstr[[#This Row],[Hour]:[Hour]]&gt;12,OFFSET(TblExplore[[#This Row],[Mountain Explore]],-12,0),0)</f>
        <v>0</v>
      </c>
      <c r="CT108" s="191">
        <f ca="1">-SUM(TblConstr[[#This Row],[Fac]:[Shr]])+SUM(TblConstr[[#This Row],[Dest Fac]:[Dest Shr]]) +Rezone!O108 + IF("Ch_" &amp; home_land=TblConstr[[#Headers],[Ch_Hill]],TblConstr[[#This Row],[Home Land]])+IF(TblConstr[[#This Row],[Hour]:[Hour]]&gt;12,OFFSET(TblExplore[[#This Row],[Hill Explore]],-12,0),0)</f>
        <v>0</v>
      </c>
      <c r="CU108" s="192">
        <f ca="1">-SUM(TblConstr[[#This Row],[Tow]:[WG]])+SUM(TblConstr[[#This Row],[Dest Tow]:[Dest WG]]) +Rezone!P108 + IF("Ch_" &amp; home_land=TblConstr[[#Headers],[Ch_Swamp]],TblConstr[[#This Row],[Home Land]])+IF(TblConstr[[#This Row],[Hour]:[Hour]]&gt;12,OFFSET(TblExplore[[#This Row],[Swamp Explore]],-12,0),0)</f>
        <v>0</v>
      </c>
      <c r="CV108" s="193">
        <f ca="1" xml:space="preserve"> - SUM(TblConstr[[#This Row],[DM]:[Sch]])+SUM(TblConstr[[#This Row],[Dest DM]:[Dest Sch]]) +Rezone!Q108 + IF("Ch_" &amp; home_land=TblConstr[[#Headers],[Ch_Cavern]],TblConstr[[#This Row],[Home Land]])+IF(TblConstr[[#This Row],[Hour]:[Hour]]&gt;12,OFFSET(TblExplore[[#This Row],[Cavern Explore]],-12,0),0)</f>
        <v>0</v>
      </c>
      <c r="CW108" s="194">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50"/>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83">
        <f>TblRezone[[#This Row],[Hour]]</f>
        <v>106</v>
      </c>
      <c r="B109" s="184">
        <f ca="1">SUM(TblConstr[[#This Row],[Plain]:[Water]])</f>
        <v>160</v>
      </c>
      <c r="C109" s="185">
        <f ca="1">SUM(TblConstr[[#This Row],[Tot Hom]:[Tot Doc]])</f>
        <v>90</v>
      </c>
      <c r="D109" s="185">
        <f t="shared" si="21"/>
        <v>0</v>
      </c>
      <c r="E109" s="186"/>
      <c r="F109" s="62">
        <f ca="1">TblConstr[[#This Row],[Barren]]+TblConstr[[#This Row],[Buildings]]+TblConstr[[#This Row],[Incoming]]</f>
        <v>250</v>
      </c>
      <c r="G109" s="195">
        <f ca="1">OFFSET(TblConstr[[#This Row],[Plain]],-1,0)+TblConstr[[#This Row],[Ch_Plain]]</f>
        <v>40</v>
      </c>
      <c r="H109" s="190">
        <f ca="1">OFFSET(TblConstr[[#This Row],[Forest]],-1,0)+TblConstr[[#This Row],[Ch_Forest]]</f>
        <v>20</v>
      </c>
      <c r="I109" s="390">
        <f ca="1">OFFSET(TblConstr[[#This Row],[Mountain]],-1,0)+TblConstr[[#This Row],[Ch_Mountain]]</f>
        <v>20</v>
      </c>
      <c r="J109" s="394">
        <f ca="1">OFFSET(TblConstr[[#This Row],[Hill]],-1,0)+TblConstr[[#This Row],[Ch_Hill]]</f>
        <v>20</v>
      </c>
      <c r="K109" s="398">
        <f ca="1">OFFSET(TblConstr[[#This Row],[Swamp]],-1,0)+TblConstr[[#This Row],[Ch_Swamp]]</f>
        <v>20</v>
      </c>
      <c r="L109" s="193">
        <f ca="1">OFFSET(TblConstr[[#This Row],[Cavern]],-1,0)+TblConstr[[#This Row],[Ch_Cavern]]</f>
        <v>20</v>
      </c>
      <c r="M109" s="194">
        <f ca="1">OFFSET(TblConstr[[#This Row],[Water]],-1,0)+TblConstr[[#This Row],[Ch_Water]]</f>
        <v>20</v>
      </c>
      <c r="N109" s="388">
        <f>TblRezone[[#This Row],[Hour]]</f>
        <v>106</v>
      </c>
      <c r="O109" s="187"/>
      <c r="P109" s="187"/>
      <c r="Q109" s="187"/>
      <c r="R109" s="166"/>
      <c r="S109" s="187"/>
      <c r="T109" s="187"/>
      <c r="U109" s="187"/>
      <c r="V109" s="187"/>
      <c r="W109" s="187"/>
      <c r="X109" s="187"/>
      <c r="Y109" s="187"/>
      <c r="Z109" s="187"/>
      <c r="AA109" s="187"/>
      <c r="AB109" s="187"/>
      <c r="AC109" s="187"/>
      <c r="AD109" s="187"/>
      <c r="AE109" s="187"/>
      <c r="AF109" s="187"/>
      <c r="AG109" s="187"/>
      <c r="AH109" s="53">
        <f ca="1">TblImps[[#This Row],[Time]]</f>
        <v>44815.124999999745</v>
      </c>
      <c r="AI109" s="188">
        <f ca="1">MIN(25%,(TblConstr[[#This Row],[Tot Fac]]+TblConstr[[#This Row],[Dest Fac]])/(TblConstr[[#This Row],[Land]]-TblExplore[[#This Row],[Land Bonus]]*20))</f>
        <v>0</v>
      </c>
      <c r="AJ109" s="188">
        <f ca="1">MIN(25%,(TblConstr[[#This Row],[Tot Fac]]+TblConstr[[#This Row],[Dest Fac]])/TblConstr[[#This Row],[Land]])</f>
        <v>0</v>
      </c>
      <c r="AK109" s="97">
        <f ca="1">TblProd[[#This Row],[Platinum]]</f>
        <v>676908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50"/>
      <c r="AV109" s="97">
        <f ca="1">ROUND((TblConstr[[#This Row],[Land]]-250 - IF(TblExplore[[#This Row],[Land Bonus]]&lt;&gt;0,20,0))*1.25 + 850 + 0,0)</f>
        <v>850</v>
      </c>
      <c r="AW109" s="97">
        <f ca="1">ROUND((TblConstr[[#This Row],[Land]]-250 - IF(TblExplore[[#This Row],[Land Bonus]]&lt;&gt;0,20,0))*0.285 + 87.5 + 0/4.25,0)</f>
        <v>88</v>
      </c>
      <c r="AX109" s="162"/>
      <c r="AY109" s="196" cm="1">
        <f t="array" aca="1" ref="AY109" ca="1">IF(TblConstr[[#This Row],[Hour]:[Hour]]&gt;12,OFFSET(TblConstr[[#This Row],[Hom]],-12,0),0)+OFFSET(TblConstr[[#This Row],[Tot Hom]],-1,0)-TblConstr[[#This Row],[Dest Hom]]</f>
        <v>10</v>
      </c>
      <c r="AZ109" s="197" cm="1">
        <f t="array" aca="1" ref="AZ109" ca="1">IF(TblConstr[[#This Row],[Hour]:[Hour]]&gt;12,OFFSET(TblConstr[[#This Row],[Alc]],-12,0),0)+OFFSET(TblConstr[[#This Row],[Tot Alc]],-1,0)-TblConstr[[#This Row],[Dest Alc]]</f>
        <v>30</v>
      </c>
      <c r="BA109" s="197" cm="1">
        <f t="array" aca="1" ref="BA109" ca="1">IF(TblConstr[[#This Row],[Hour]:[Hour]]&gt;12,OFFSET(TblConstr[[#This Row],[Far]],-12,0),0)+OFFSET(TblConstr[[#This Row],[Tot Farm]],-1,0)-TblConstr[[#This Row],[Dest Farm]]</f>
        <v>30</v>
      </c>
      <c r="BB109" s="197" cm="1">
        <f t="array" aca="1" ref="BB109" ca="1">IF(TblConstr[[#This Row],[Hour]:[Hour]]&gt;12,OFFSET(TblConstr[[#This Row],[Smi]],-12,0),0)+OFFSET(TblConstr[[#This Row],[Tot Smi]],-1,0)-TblConstr[[#This Row],[Dest Smi]]</f>
        <v>0</v>
      </c>
      <c r="BC109" s="197" cm="1">
        <f t="array" aca="1" ref="BC109" ca="1">IF(TblConstr[[#This Row],[Hour]:[Hour]]&gt;12,OFFSET(TblConstr[[#This Row],[Mas]],-12,0),0)+OFFSET(TblConstr[[#This Row],[Tot Mas]],-1,0)-TblConstr[[#This Row],[Dest Mas]]</f>
        <v>0</v>
      </c>
      <c r="BD109" s="198" cm="1">
        <f t="array" aca="1" ref="BD109" ca="1">IF(TblConstr[[#This Row],[Hour]:[Hour]]&gt;12,OFFSET(TblConstr[[#This Row],[Ly]],-12,0),0)+OFFSET(TblConstr[[#This Row],[Tot Ly]],-1,0)-TblConstr[[#This Row],[Dest Ly]]</f>
        <v>20</v>
      </c>
      <c r="BE109" s="198" cm="1">
        <f t="array" aca="1" ref="BE109" ca="1">IF(TblConstr[[#This Row],[Hour]:[Hour]]&gt;12,OFFSET(TblConstr[[#This Row],[Hav]],-12,0),0)+OFFSET(TblConstr[[#This Row],[Tot Hav]],-1,0)-TblConstr[[#This Row],[Dest Hav]]</f>
        <v>0</v>
      </c>
      <c r="BF109" s="392" cm="1">
        <f t="array" aca="1" ref="BF109" ca="1">IF(TblConstr[[#This Row],[Hour]:[Hour]]&gt;12,OFFSET(TblConstr[[#This Row],[OM]],-12,0),0)+OFFSET(TblConstr[[#This Row],[Tot OM]],-1,0)-TblConstr[[#This Row],[Dest OM]]</f>
        <v>0</v>
      </c>
      <c r="BG109" s="392" cm="1">
        <f t="array" aca="1" ref="BG109" ca="1">IF(TblConstr[[#This Row],[Hour]:[Hour]]&gt;12,OFFSET(TblConstr[[#This Row],[GN]],-12,0),0)+OFFSET(TblConstr[[#This Row],[Tot GN]],-1,0)-TblConstr[[#This Row],[Dest GN]]</f>
        <v>0</v>
      </c>
      <c r="BH109" s="396" cm="1">
        <f t="array" aca="1" ref="BH109" ca="1">IF(TblConstr[[#This Row],[Hour]:[Hour]]&gt;12,OFFSET(TblConstr[[#This Row],[Fac]],-12,0),0)+OFFSET(TblConstr[[#This Row],[Tot Fac]],-1,0)-TblConstr[[#This Row],[Dest Fac]]</f>
        <v>0</v>
      </c>
      <c r="BI109" s="396" cm="1">
        <f t="array" aca="1" ref="BI109" ca="1">IF(TblConstr[[#This Row],[Hour]:[Hour]]&gt;12,OFFSET(TblConstr[[#This Row],[GT]],-12,0),0)+OFFSET(TblConstr[[#This Row],[Tot GT]],-1,0)-TblConstr[[#This Row],[Dest GT]]</f>
        <v>0</v>
      </c>
      <c r="BJ109" s="396" cm="1">
        <f t="array" aca="1" ref="BJ109" ca="1">IF(TblConstr[[#This Row],[Hour]:[Hour]]&gt;12,OFFSET(TblConstr[[#This Row],[Bar]],-12,0),0)+OFFSET(TblConstr[[#This Row],[Tot Bar]],-1,0)-TblConstr[[#This Row],[Dest Bar]]</f>
        <v>0</v>
      </c>
      <c r="BK109" s="396" cm="1">
        <f t="array" aca="1" ref="BK109" ca="1">IF(TblConstr[[#This Row],[Hour]:[Hour]]&gt;12,OFFSET(TblConstr[[#This Row],[Shr]],-12,0),0)+OFFSET(TblConstr[[#This Row],[Tot Shr]],-1,0)-TblConstr[[#This Row],[Dest Shr]]</f>
        <v>0</v>
      </c>
      <c r="BL109" s="400" cm="1">
        <f t="array" aca="1" ref="BL109" ca="1">IF(TblConstr[[#This Row],[Hour]:[Hour]]&gt;12,OFFSET(TblConstr[[#This Row],[Tow]],-12,0),0)+OFFSET(TblConstr[[#This Row],[Tot Tow]],-1,0)-TblConstr[[#This Row],[Dest Tow]]</f>
        <v>0</v>
      </c>
      <c r="BM109" s="400" cm="1">
        <f t="array" aca="1" ref="BM109" ca="1">IF(TblConstr[[#This Row],[Hour]:[Hour]]&gt;12,OFFSET(TblConstr[[#This Row],[Tem]],-12,0),0)+OFFSET(TblConstr[[#This Row],[Tot Tem]],-1,0)-TblConstr[[#This Row],[Dest Tem]]</f>
        <v>0</v>
      </c>
      <c r="BN109" s="400" cm="1">
        <f t="array" aca="1" ref="BN109" ca="1">IF(TblConstr[[#This Row],[Hour]:[Hour]]&gt;12,OFFSET(TblConstr[[#This Row],[WG]],-12,0),0)+OFFSET(TblConstr[[#This Row],[Tot WG]],-1,0)-TblConstr[[#This Row],[Dest WG]]</f>
        <v>0</v>
      </c>
      <c r="BO109" s="199" cm="1">
        <f t="array" aca="1" ref="BO109" ca="1">IF(TblConstr[[#This Row],[Hour]:[Hour]]&gt;12,OFFSET(TblConstr[[#This Row],[DM]],-12,0),0)+OFFSET(TblConstr[[#This Row],[Tot DM]],-1,0)-TblConstr[[#This Row],[Dest DM]]</f>
        <v>0</v>
      </c>
      <c r="BP109" s="199" cm="1">
        <f t="array" aca="1" ref="BP109" ca="1">IF(TblConstr[[#This Row],[Hour]:[Hour]]&gt;12,OFFSET(TblConstr[[#This Row],[Sch]],-12,0),0)+OFFSET(TblConstr[[#This Row],[Tot Sch]],-1,0)-TblConstr[[#This Row],[Dest Sch]]</f>
        <v>0</v>
      </c>
      <c r="BQ109" s="200" cm="1">
        <f t="array" aca="1" ref="BQ109" ca="1">IF(TblConstr[[#This Row],[Hour]:[Hour]]&gt;12,OFFSET(TblConstr[[#This Row],[Doc]],-12,0),0)+OFFSET(TblConstr[[#This Row],[Tot Doc]],-1,0)-TblConstr[[#This Row],[Dest Doc]]</f>
        <v>0</v>
      </c>
      <c r="BR109" s="150"/>
      <c r="BS109" s="162"/>
      <c r="BT109" s="97">
        <f ca="1">TblConstr[[#This Row],[Land]]</f>
        <v>250</v>
      </c>
      <c r="BU109" s="167">
        <f ca="1">TblImps[[#This Row],[Time]]</f>
        <v>44815.124999999745</v>
      </c>
      <c r="BV109" s="150"/>
      <c r="BW109" s="187"/>
      <c r="BX109" s="187"/>
      <c r="BY109" s="187"/>
      <c r="BZ109" s="187"/>
      <c r="CA109" s="187"/>
      <c r="CB109" s="187"/>
      <c r="CC109" s="187"/>
      <c r="CD109" s="187"/>
      <c r="CE109" s="187"/>
      <c r="CF109" s="187"/>
      <c r="CG109" s="187"/>
      <c r="CH109" s="187"/>
      <c r="CI109" s="187"/>
      <c r="CJ109" s="187"/>
      <c r="CK109" s="187"/>
      <c r="CL109" s="187"/>
      <c r="CM109" s="187"/>
      <c r="CN109" s="187"/>
      <c r="CO109" s="187"/>
      <c r="CP109" s="150"/>
      <c r="CQ109" s="189">
        <f ca="1">-SUM(TblConstr[[#This Row],[Alc]:[Mas]])+SUM(TblConstr[[#This Row],[Dest Alc]:[Dest Mas]])+Rezone!L109+IF("Ch_"&amp; home_land=TblConstr[[#Headers],[Ch_Plain]],TblConstr[[#This Row],[Home Land]])+IF(TblConstr[[#This Row],[Hour]:[Hour]]&gt;12,OFFSET(TblExplore[[#This Row],[Plains Explore]],-12,0),0)</f>
        <v>0</v>
      </c>
      <c r="CR109" s="190">
        <f ca="1">-SUM(TblConstr[[#This Row],[Ly]:[Hav]])+SUM(TblConstr[[#This Row],[Dest Ly]:[Dest Hav]]) +Rezone!M109 + IF("Ch_"&amp; home_land=TblConstr[[#Headers],[Ch_Forest]],TblConstr[[#This Row],[Home Land]])+IF(TblConstr[[#This Row],[Hour]:[Hour]]&gt;12,OFFSET(TblExplore[[#This Row],[Forest Explore]],-12,0),0)</f>
        <v>0</v>
      </c>
      <c r="CS109" s="390">
        <f ca="1">-SUM(TblConstr[[#This Row],[OM]:[GN]])+SUM(TblConstr[[#This Row],[Dest OM]:[Dest GN]]) +Rezone!N109 + IF("Ch_"&amp; home_land=TblConstr[[#Headers],[Ch_Mountain]],TblConstr[[#This Row],[Home Land]])+IF(TblConstr[[#This Row],[Hour]:[Hour]]&gt;12,OFFSET(TblExplore[[#This Row],[Mountain Explore]],-12,0),0)</f>
        <v>0</v>
      </c>
      <c r="CT109" s="191">
        <f ca="1">-SUM(TblConstr[[#This Row],[Fac]:[Shr]])+SUM(TblConstr[[#This Row],[Dest Fac]:[Dest Shr]]) +Rezone!O109 + IF("Ch_" &amp; home_land=TblConstr[[#Headers],[Ch_Hill]],TblConstr[[#This Row],[Home Land]])+IF(TblConstr[[#This Row],[Hour]:[Hour]]&gt;12,OFFSET(TblExplore[[#This Row],[Hill Explore]],-12,0),0)</f>
        <v>0</v>
      </c>
      <c r="CU109" s="192">
        <f ca="1">-SUM(TblConstr[[#This Row],[Tow]:[WG]])+SUM(TblConstr[[#This Row],[Dest Tow]:[Dest WG]]) +Rezone!P109 + IF("Ch_" &amp; home_land=TblConstr[[#Headers],[Ch_Swamp]],TblConstr[[#This Row],[Home Land]])+IF(TblConstr[[#This Row],[Hour]:[Hour]]&gt;12,OFFSET(TblExplore[[#This Row],[Swamp Explore]],-12,0),0)</f>
        <v>0</v>
      </c>
      <c r="CV109" s="193">
        <f ca="1" xml:space="preserve"> - SUM(TblConstr[[#This Row],[DM]:[Sch]])+SUM(TblConstr[[#This Row],[Dest DM]:[Dest Sch]]) +Rezone!Q109 + IF("Ch_" &amp; home_land=TblConstr[[#Headers],[Ch_Cavern]],TblConstr[[#This Row],[Home Land]])+IF(TblConstr[[#This Row],[Hour]:[Hour]]&gt;12,OFFSET(TblExplore[[#This Row],[Cavern Explore]],-12,0),0)</f>
        <v>0</v>
      </c>
      <c r="CW109" s="194">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50"/>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83">
        <f>TblRezone[[#This Row],[Hour]]</f>
        <v>107</v>
      </c>
      <c r="B110" s="184">
        <f ca="1">SUM(TblConstr[[#This Row],[Plain]:[Water]])</f>
        <v>160</v>
      </c>
      <c r="C110" s="185">
        <f ca="1">SUM(TblConstr[[#This Row],[Tot Hom]:[Tot Doc]])</f>
        <v>90</v>
      </c>
      <c r="D110" s="185">
        <f t="shared" si="21"/>
        <v>0</v>
      </c>
      <c r="E110" s="186"/>
      <c r="F110" s="62">
        <f ca="1">TblConstr[[#This Row],[Barren]]+TblConstr[[#This Row],[Buildings]]+TblConstr[[#This Row],[Incoming]]</f>
        <v>250</v>
      </c>
      <c r="G110" s="195">
        <f ca="1">OFFSET(TblConstr[[#This Row],[Plain]],-1,0)+TblConstr[[#This Row],[Ch_Plain]]</f>
        <v>40</v>
      </c>
      <c r="H110" s="190">
        <f ca="1">OFFSET(TblConstr[[#This Row],[Forest]],-1,0)+TblConstr[[#This Row],[Ch_Forest]]</f>
        <v>20</v>
      </c>
      <c r="I110" s="390">
        <f ca="1">OFFSET(TblConstr[[#This Row],[Mountain]],-1,0)+TblConstr[[#This Row],[Ch_Mountain]]</f>
        <v>20</v>
      </c>
      <c r="J110" s="394">
        <f ca="1">OFFSET(TblConstr[[#This Row],[Hill]],-1,0)+TblConstr[[#This Row],[Ch_Hill]]</f>
        <v>20</v>
      </c>
      <c r="K110" s="398">
        <f ca="1">OFFSET(TblConstr[[#This Row],[Swamp]],-1,0)+TblConstr[[#This Row],[Ch_Swamp]]</f>
        <v>20</v>
      </c>
      <c r="L110" s="193">
        <f ca="1">OFFSET(TblConstr[[#This Row],[Cavern]],-1,0)+TblConstr[[#This Row],[Ch_Cavern]]</f>
        <v>20</v>
      </c>
      <c r="M110" s="194">
        <f ca="1">OFFSET(TblConstr[[#This Row],[Water]],-1,0)+TblConstr[[#This Row],[Ch_Water]]</f>
        <v>20</v>
      </c>
      <c r="N110" s="388">
        <f>TblRezone[[#This Row],[Hour]]</f>
        <v>107</v>
      </c>
      <c r="O110" s="187"/>
      <c r="P110" s="187"/>
      <c r="Q110" s="187"/>
      <c r="R110" s="166"/>
      <c r="S110" s="187"/>
      <c r="T110" s="187"/>
      <c r="U110" s="187"/>
      <c r="V110" s="187"/>
      <c r="W110" s="187"/>
      <c r="X110" s="187"/>
      <c r="Y110" s="187"/>
      <c r="Z110" s="187"/>
      <c r="AA110" s="187"/>
      <c r="AB110" s="187"/>
      <c r="AC110" s="187"/>
      <c r="AD110" s="187"/>
      <c r="AE110" s="187"/>
      <c r="AF110" s="187"/>
      <c r="AG110" s="187"/>
      <c r="AH110" s="53">
        <f ca="1">TblImps[[#This Row],[Time]]</f>
        <v>44815.16666666641</v>
      </c>
      <c r="AI110" s="188">
        <f ca="1">MIN(25%,(TblConstr[[#This Row],[Tot Fac]]+TblConstr[[#This Row],[Dest Fac]])/(TblConstr[[#This Row],[Land]]-TblExplore[[#This Row],[Land Bonus]]*20))</f>
        <v>0</v>
      </c>
      <c r="AJ110" s="188">
        <f ca="1">MIN(25%,(TblConstr[[#This Row],[Tot Fac]]+TblConstr[[#This Row],[Dest Fac]])/TblConstr[[#This Row],[Land]])</f>
        <v>0</v>
      </c>
      <c r="AK110" s="97">
        <f ca="1">TblProd[[#This Row],[Platinum]]</f>
        <v>682394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50"/>
      <c r="AV110" s="97">
        <f ca="1">ROUND((TblConstr[[#This Row],[Land]]-250 - IF(TblExplore[[#This Row],[Land Bonus]]&lt;&gt;0,20,0))*1.25 + 850 + 0,0)</f>
        <v>850</v>
      </c>
      <c r="AW110" s="97">
        <f ca="1">ROUND((TblConstr[[#This Row],[Land]]-250 - IF(TblExplore[[#This Row],[Land Bonus]]&lt;&gt;0,20,0))*0.285 + 87.5 + 0/4.25,0)</f>
        <v>88</v>
      </c>
      <c r="AX110" s="162"/>
      <c r="AY110" s="196" cm="1">
        <f t="array" aca="1" ref="AY110" ca="1">IF(TblConstr[[#This Row],[Hour]:[Hour]]&gt;12,OFFSET(TblConstr[[#This Row],[Hom]],-12,0),0)+OFFSET(TblConstr[[#This Row],[Tot Hom]],-1,0)-TblConstr[[#This Row],[Dest Hom]]</f>
        <v>10</v>
      </c>
      <c r="AZ110" s="197" cm="1">
        <f t="array" aca="1" ref="AZ110" ca="1">IF(TblConstr[[#This Row],[Hour]:[Hour]]&gt;12,OFFSET(TblConstr[[#This Row],[Alc]],-12,0),0)+OFFSET(TblConstr[[#This Row],[Tot Alc]],-1,0)-TblConstr[[#This Row],[Dest Alc]]</f>
        <v>30</v>
      </c>
      <c r="BA110" s="197" cm="1">
        <f t="array" aca="1" ref="BA110" ca="1">IF(TblConstr[[#This Row],[Hour]:[Hour]]&gt;12,OFFSET(TblConstr[[#This Row],[Far]],-12,0),0)+OFFSET(TblConstr[[#This Row],[Tot Farm]],-1,0)-TblConstr[[#This Row],[Dest Farm]]</f>
        <v>30</v>
      </c>
      <c r="BB110" s="197" cm="1">
        <f t="array" aca="1" ref="BB110" ca="1">IF(TblConstr[[#This Row],[Hour]:[Hour]]&gt;12,OFFSET(TblConstr[[#This Row],[Smi]],-12,0),0)+OFFSET(TblConstr[[#This Row],[Tot Smi]],-1,0)-TblConstr[[#This Row],[Dest Smi]]</f>
        <v>0</v>
      </c>
      <c r="BC110" s="197" cm="1">
        <f t="array" aca="1" ref="BC110" ca="1">IF(TblConstr[[#This Row],[Hour]:[Hour]]&gt;12,OFFSET(TblConstr[[#This Row],[Mas]],-12,0),0)+OFFSET(TblConstr[[#This Row],[Tot Mas]],-1,0)-TblConstr[[#This Row],[Dest Mas]]</f>
        <v>0</v>
      </c>
      <c r="BD110" s="198" cm="1">
        <f t="array" aca="1" ref="BD110" ca="1">IF(TblConstr[[#This Row],[Hour]:[Hour]]&gt;12,OFFSET(TblConstr[[#This Row],[Ly]],-12,0),0)+OFFSET(TblConstr[[#This Row],[Tot Ly]],-1,0)-TblConstr[[#This Row],[Dest Ly]]</f>
        <v>20</v>
      </c>
      <c r="BE110" s="198" cm="1">
        <f t="array" aca="1" ref="BE110" ca="1">IF(TblConstr[[#This Row],[Hour]:[Hour]]&gt;12,OFFSET(TblConstr[[#This Row],[Hav]],-12,0),0)+OFFSET(TblConstr[[#This Row],[Tot Hav]],-1,0)-TblConstr[[#This Row],[Dest Hav]]</f>
        <v>0</v>
      </c>
      <c r="BF110" s="392" cm="1">
        <f t="array" aca="1" ref="BF110" ca="1">IF(TblConstr[[#This Row],[Hour]:[Hour]]&gt;12,OFFSET(TblConstr[[#This Row],[OM]],-12,0),0)+OFFSET(TblConstr[[#This Row],[Tot OM]],-1,0)-TblConstr[[#This Row],[Dest OM]]</f>
        <v>0</v>
      </c>
      <c r="BG110" s="392" cm="1">
        <f t="array" aca="1" ref="BG110" ca="1">IF(TblConstr[[#This Row],[Hour]:[Hour]]&gt;12,OFFSET(TblConstr[[#This Row],[GN]],-12,0),0)+OFFSET(TblConstr[[#This Row],[Tot GN]],-1,0)-TblConstr[[#This Row],[Dest GN]]</f>
        <v>0</v>
      </c>
      <c r="BH110" s="396" cm="1">
        <f t="array" aca="1" ref="BH110" ca="1">IF(TblConstr[[#This Row],[Hour]:[Hour]]&gt;12,OFFSET(TblConstr[[#This Row],[Fac]],-12,0),0)+OFFSET(TblConstr[[#This Row],[Tot Fac]],-1,0)-TblConstr[[#This Row],[Dest Fac]]</f>
        <v>0</v>
      </c>
      <c r="BI110" s="396" cm="1">
        <f t="array" aca="1" ref="BI110" ca="1">IF(TblConstr[[#This Row],[Hour]:[Hour]]&gt;12,OFFSET(TblConstr[[#This Row],[GT]],-12,0),0)+OFFSET(TblConstr[[#This Row],[Tot GT]],-1,0)-TblConstr[[#This Row],[Dest GT]]</f>
        <v>0</v>
      </c>
      <c r="BJ110" s="396" cm="1">
        <f t="array" aca="1" ref="BJ110" ca="1">IF(TblConstr[[#This Row],[Hour]:[Hour]]&gt;12,OFFSET(TblConstr[[#This Row],[Bar]],-12,0),0)+OFFSET(TblConstr[[#This Row],[Tot Bar]],-1,0)-TblConstr[[#This Row],[Dest Bar]]</f>
        <v>0</v>
      </c>
      <c r="BK110" s="396" cm="1">
        <f t="array" aca="1" ref="BK110" ca="1">IF(TblConstr[[#This Row],[Hour]:[Hour]]&gt;12,OFFSET(TblConstr[[#This Row],[Shr]],-12,0),0)+OFFSET(TblConstr[[#This Row],[Tot Shr]],-1,0)-TblConstr[[#This Row],[Dest Shr]]</f>
        <v>0</v>
      </c>
      <c r="BL110" s="400" cm="1">
        <f t="array" aca="1" ref="BL110" ca="1">IF(TblConstr[[#This Row],[Hour]:[Hour]]&gt;12,OFFSET(TblConstr[[#This Row],[Tow]],-12,0),0)+OFFSET(TblConstr[[#This Row],[Tot Tow]],-1,0)-TblConstr[[#This Row],[Dest Tow]]</f>
        <v>0</v>
      </c>
      <c r="BM110" s="400" cm="1">
        <f t="array" aca="1" ref="BM110" ca="1">IF(TblConstr[[#This Row],[Hour]:[Hour]]&gt;12,OFFSET(TblConstr[[#This Row],[Tem]],-12,0),0)+OFFSET(TblConstr[[#This Row],[Tot Tem]],-1,0)-TblConstr[[#This Row],[Dest Tem]]</f>
        <v>0</v>
      </c>
      <c r="BN110" s="400" cm="1">
        <f t="array" aca="1" ref="BN110" ca="1">IF(TblConstr[[#This Row],[Hour]:[Hour]]&gt;12,OFFSET(TblConstr[[#This Row],[WG]],-12,0),0)+OFFSET(TblConstr[[#This Row],[Tot WG]],-1,0)-TblConstr[[#This Row],[Dest WG]]</f>
        <v>0</v>
      </c>
      <c r="BO110" s="199" cm="1">
        <f t="array" aca="1" ref="BO110" ca="1">IF(TblConstr[[#This Row],[Hour]:[Hour]]&gt;12,OFFSET(TblConstr[[#This Row],[DM]],-12,0),0)+OFFSET(TblConstr[[#This Row],[Tot DM]],-1,0)-TblConstr[[#This Row],[Dest DM]]</f>
        <v>0</v>
      </c>
      <c r="BP110" s="199" cm="1">
        <f t="array" aca="1" ref="BP110" ca="1">IF(TblConstr[[#This Row],[Hour]:[Hour]]&gt;12,OFFSET(TblConstr[[#This Row],[Sch]],-12,0),0)+OFFSET(TblConstr[[#This Row],[Tot Sch]],-1,0)-TblConstr[[#This Row],[Dest Sch]]</f>
        <v>0</v>
      </c>
      <c r="BQ110" s="200" cm="1">
        <f t="array" aca="1" ref="BQ110" ca="1">IF(TblConstr[[#This Row],[Hour]:[Hour]]&gt;12,OFFSET(TblConstr[[#This Row],[Doc]],-12,0),0)+OFFSET(TblConstr[[#This Row],[Tot Doc]],-1,0)-TblConstr[[#This Row],[Dest Doc]]</f>
        <v>0</v>
      </c>
      <c r="BR110" s="150"/>
      <c r="BS110" s="162"/>
      <c r="BT110" s="97">
        <f ca="1">TblConstr[[#This Row],[Land]]</f>
        <v>250</v>
      </c>
      <c r="BU110" s="167">
        <f ca="1">TblImps[[#This Row],[Time]]</f>
        <v>44815.16666666641</v>
      </c>
      <c r="BV110" s="150"/>
      <c r="BW110" s="187"/>
      <c r="BX110" s="187"/>
      <c r="BY110" s="187"/>
      <c r="BZ110" s="187"/>
      <c r="CA110" s="187"/>
      <c r="CB110" s="187"/>
      <c r="CC110" s="187"/>
      <c r="CD110" s="187"/>
      <c r="CE110" s="187"/>
      <c r="CF110" s="187"/>
      <c r="CG110" s="187"/>
      <c r="CH110" s="187"/>
      <c r="CI110" s="187"/>
      <c r="CJ110" s="187"/>
      <c r="CK110" s="187"/>
      <c r="CL110" s="187"/>
      <c r="CM110" s="187"/>
      <c r="CN110" s="187"/>
      <c r="CO110" s="187"/>
      <c r="CP110" s="150"/>
      <c r="CQ110" s="189">
        <f ca="1">-SUM(TblConstr[[#This Row],[Alc]:[Mas]])+SUM(TblConstr[[#This Row],[Dest Alc]:[Dest Mas]])+Rezone!L110+IF("Ch_"&amp; home_land=TblConstr[[#Headers],[Ch_Plain]],TblConstr[[#This Row],[Home Land]])+IF(TblConstr[[#This Row],[Hour]:[Hour]]&gt;12,OFFSET(TblExplore[[#This Row],[Plains Explore]],-12,0),0)</f>
        <v>0</v>
      </c>
      <c r="CR110" s="190">
        <f ca="1">-SUM(TblConstr[[#This Row],[Ly]:[Hav]])+SUM(TblConstr[[#This Row],[Dest Ly]:[Dest Hav]]) +Rezone!M110 + IF("Ch_"&amp; home_land=TblConstr[[#Headers],[Ch_Forest]],TblConstr[[#This Row],[Home Land]])+IF(TblConstr[[#This Row],[Hour]:[Hour]]&gt;12,OFFSET(TblExplore[[#This Row],[Forest Explore]],-12,0),0)</f>
        <v>0</v>
      </c>
      <c r="CS110" s="390">
        <f ca="1">-SUM(TblConstr[[#This Row],[OM]:[GN]])+SUM(TblConstr[[#This Row],[Dest OM]:[Dest GN]]) +Rezone!N110 + IF("Ch_"&amp; home_land=TblConstr[[#Headers],[Ch_Mountain]],TblConstr[[#This Row],[Home Land]])+IF(TblConstr[[#This Row],[Hour]:[Hour]]&gt;12,OFFSET(TblExplore[[#This Row],[Mountain Explore]],-12,0),0)</f>
        <v>0</v>
      </c>
      <c r="CT110" s="191">
        <f ca="1">-SUM(TblConstr[[#This Row],[Fac]:[Shr]])+SUM(TblConstr[[#This Row],[Dest Fac]:[Dest Shr]]) +Rezone!O110 + IF("Ch_" &amp; home_land=TblConstr[[#Headers],[Ch_Hill]],TblConstr[[#This Row],[Home Land]])+IF(TblConstr[[#This Row],[Hour]:[Hour]]&gt;12,OFFSET(TblExplore[[#This Row],[Hill Explore]],-12,0),0)</f>
        <v>0</v>
      </c>
      <c r="CU110" s="192">
        <f ca="1">-SUM(TblConstr[[#This Row],[Tow]:[WG]])+SUM(TblConstr[[#This Row],[Dest Tow]:[Dest WG]]) +Rezone!P110 + IF("Ch_" &amp; home_land=TblConstr[[#Headers],[Ch_Swamp]],TblConstr[[#This Row],[Home Land]])+IF(TblConstr[[#This Row],[Hour]:[Hour]]&gt;12,OFFSET(TblExplore[[#This Row],[Swamp Explore]],-12,0),0)</f>
        <v>0</v>
      </c>
      <c r="CV110" s="193">
        <f ca="1" xml:space="preserve"> - SUM(TblConstr[[#This Row],[DM]:[Sch]])+SUM(TblConstr[[#This Row],[Dest DM]:[Dest Sch]]) +Rezone!Q110 + IF("Ch_" &amp; home_land=TblConstr[[#Headers],[Ch_Cavern]],TblConstr[[#This Row],[Home Land]])+IF(TblConstr[[#This Row],[Hour]:[Hour]]&gt;12,OFFSET(TblExplore[[#This Row],[Cavern Explore]],-12,0),0)</f>
        <v>0</v>
      </c>
      <c r="CW110" s="194">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50"/>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83">
        <f>TblRezone[[#This Row],[Hour]]</f>
        <v>108</v>
      </c>
      <c r="B111" s="184">
        <f ca="1">SUM(TblConstr[[#This Row],[Plain]:[Water]])</f>
        <v>160</v>
      </c>
      <c r="C111" s="185">
        <f ca="1">SUM(TblConstr[[#This Row],[Tot Hom]:[Tot Doc]])</f>
        <v>90</v>
      </c>
      <c r="D111" s="185">
        <f t="shared" si="21"/>
        <v>0</v>
      </c>
      <c r="E111" s="186"/>
      <c r="F111" s="62">
        <f ca="1">TblConstr[[#This Row],[Barren]]+TblConstr[[#This Row],[Buildings]]+TblConstr[[#This Row],[Incoming]]</f>
        <v>250</v>
      </c>
      <c r="G111" s="195">
        <f ca="1">OFFSET(TblConstr[[#This Row],[Plain]],-1,0)+TblConstr[[#This Row],[Ch_Plain]]</f>
        <v>40</v>
      </c>
      <c r="H111" s="190">
        <f ca="1">OFFSET(TblConstr[[#This Row],[Forest]],-1,0)+TblConstr[[#This Row],[Ch_Forest]]</f>
        <v>20</v>
      </c>
      <c r="I111" s="390">
        <f ca="1">OFFSET(TblConstr[[#This Row],[Mountain]],-1,0)+TblConstr[[#This Row],[Ch_Mountain]]</f>
        <v>20</v>
      </c>
      <c r="J111" s="394">
        <f ca="1">OFFSET(TblConstr[[#This Row],[Hill]],-1,0)+TblConstr[[#This Row],[Ch_Hill]]</f>
        <v>20</v>
      </c>
      <c r="K111" s="398">
        <f ca="1">OFFSET(TblConstr[[#This Row],[Swamp]],-1,0)+TblConstr[[#This Row],[Ch_Swamp]]</f>
        <v>20</v>
      </c>
      <c r="L111" s="193">
        <f ca="1">OFFSET(TblConstr[[#This Row],[Cavern]],-1,0)+TblConstr[[#This Row],[Ch_Cavern]]</f>
        <v>20</v>
      </c>
      <c r="M111" s="194">
        <f ca="1">OFFSET(TblConstr[[#This Row],[Water]],-1,0)+TblConstr[[#This Row],[Ch_Water]]</f>
        <v>20</v>
      </c>
      <c r="N111" s="388">
        <f>TblRezone[[#This Row],[Hour]]</f>
        <v>108</v>
      </c>
      <c r="O111" s="187"/>
      <c r="P111" s="187"/>
      <c r="Q111" s="187"/>
      <c r="R111" s="166"/>
      <c r="S111" s="187"/>
      <c r="T111" s="187"/>
      <c r="U111" s="187"/>
      <c r="V111" s="187"/>
      <c r="W111" s="187"/>
      <c r="X111" s="187"/>
      <c r="Y111" s="187"/>
      <c r="Z111" s="187"/>
      <c r="AA111" s="187"/>
      <c r="AB111" s="187"/>
      <c r="AC111" s="187"/>
      <c r="AD111" s="187"/>
      <c r="AE111" s="187"/>
      <c r="AF111" s="187"/>
      <c r="AG111" s="187"/>
      <c r="AH111" s="53">
        <f ca="1">TblImps[[#This Row],[Time]]</f>
        <v>44815.208333333074</v>
      </c>
      <c r="AI111" s="188">
        <f ca="1">MIN(25%,(TblConstr[[#This Row],[Tot Fac]]+TblConstr[[#This Row],[Dest Fac]])/(TblConstr[[#This Row],[Land]]-TblExplore[[#This Row],[Land Bonus]]*20))</f>
        <v>0</v>
      </c>
      <c r="AJ111" s="188">
        <f ca="1">MIN(25%,(TblConstr[[#This Row],[Tot Fac]]+TblConstr[[#This Row],[Dest Fac]])/TblConstr[[#This Row],[Land]])</f>
        <v>0</v>
      </c>
      <c r="AK111" s="97">
        <f ca="1">TblProd[[#This Row],[Platinum]]</f>
        <v>687880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50"/>
      <c r="AV111" s="97">
        <f ca="1">ROUND((TblConstr[[#This Row],[Land]]-250 - IF(TblExplore[[#This Row],[Land Bonus]]&lt;&gt;0,20,0))*1.25 + 850 + 0,0)</f>
        <v>850</v>
      </c>
      <c r="AW111" s="97">
        <f ca="1">ROUND((TblConstr[[#This Row],[Land]]-250 - IF(TblExplore[[#This Row],[Land Bonus]]&lt;&gt;0,20,0))*0.285 + 87.5 + 0/4.25,0)</f>
        <v>88</v>
      </c>
      <c r="AX111" s="162"/>
      <c r="AY111" s="196" cm="1">
        <f t="array" aca="1" ref="AY111" ca="1">IF(TblConstr[[#This Row],[Hour]:[Hour]]&gt;12,OFFSET(TblConstr[[#This Row],[Hom]],-12,0),0)+OFFSET(TblConstr[[#This Row],[Tot Hom]],-1,0)-TblConstr[[#This Row],[Dest Hom]]</f>
        <v>10</v>
      </c>
      <c r="AZ111" s="197" cm="1">
        <f t="array" aca="1" ref="AZ111" ca="1">IF(TblConstr[[#This Row],[Hour]:[Hour]]&gt;12,OFFSET(TblConstr[[#This Row],[Alc]],-12,0),0)+OFFSET(TblConstr[[#This Row],[Tot Alc]],-1,0)-TblConstr[[#This Row],[Dest Alc]]</f>
        <v>30</v>
      </c>
      <c r="BA111" s="197" cm="1">
        <f t="array" aca="1" ref="BA111" ca="1">IF(TblConstr[[#This Row],[Hour]:[Hour]]&gt;12,OFFSET(TblConstr[[#This Row],[Far]],-12,0),0)+OFFSET(TblConstr[[#This Row],[Tot Farm]],-1,0)-TblConstr[[#This Row],[Dest Farm]]</f>
        <v>30</v>
      </c>
      <c r="BB111" s="197" cm="1">
        <f t="array" aca="1" ref="BB111" ca="1">IF(TblConstr[[#This Row],[Hour]:[Hour]]&gt;12,OFFSET(TblConstr[[#This Row],[Smi]],-12,0),0)+OFFSET(TblConstr[[#This Row],[Tot Smi]],-1,0)-TblConstr[[#This Row],[Dest Smi]]</f>
        <v>0</v>
      </c>
      <c r="BC111" s="197" cm="1">
        <f t="array" aca="1" ref="BC111" ca="1">IF(TblConstr[[#This Row],[Hour]:[Hour]]&gt;12,OFFSET(TblConstr[[#This Row],[Mas]],-12,0),0)+OFFSET(TblConstr[[#This Row],[Tot Mas]],-1,0)-TblConstr[[#This Row],[Dest Mas]]</f>
        <v>0</v>
      </c>
      <c r="BD111" s="198" cm="1">
        <f t="array" aca="1" ref="BD111" ca="1">IF(TblConstr[[#This Row],[Hour]:[Hour]]&gt;12,OFFSET(TblConstr[[#This Row],[Ly]],-12,0),0)+OFFSET(TblConstr[[#This Row],[Tot Ly]],-1,0)-TblConstr[[#This Row],[Dest Ly]]</f>
        <v>20</v>
      </c>
      <c r="BE111" s="198" cm="1">
        <f t="array" aca="1" ref="BE111" ca="1">IF(TblConstr[[#This Row],[Hour]:[Hour]]&gt;12,OFFSET(TblConstr[[#This Row],[Hav]],-12,0),0)+OFFSET(TblConstr[[#This Row],[Tot Hav]],-1,0)-TblConstr[[#This Row],[Dest Hav]]</f>
        <v>0</v>
      </c>
      <c r="BF111" s="392" cm="1">
        <f t="array" aca="1" ref="BF111" ca="1">IF(TblConstr[[#This Row],[Hour]:[Hour]]&gt;12,OFFSET(TblConstr[[#This Row],[OM]],-12,0),0)+OFFSET(TblConstr[[#This Row],[Tot OM]],-1,0)-TblConstr[[#This Row],[Dest OM]]</f>
        <v>0</v>
      </c>
      <c r="BG111" s="392" cm="1">
        <f t="array" aca="1" ref="BG111" ca="1">IF(TblConstr[[#This Row],[Hour]:[Hour]]&gt;12,OFFSET(TblConstr[[#This Row],[GN]],-12,0),0)+OFFSET(TblConstr[[#This Row],[Tot GN]],-1,0)-TblConstr[[#This Row],[Dest GN]]</f>
        <v>0</v>
      </c>
      <c r="BH111" s="396" cm="1">
        <f t="array" aca="1" ref="BH111" ca="1">IF(TblConstr[[#This Row],[Hour]:[Hour]]&gt;12,OFFSET(TblConstr[[#This Row],[Fac]],-12,0),0)+OFFSET(TblConstr[[#This Row],[Tot Fac]],-1,0)-TblConstr[[#This Row],[Dest Fac]]</f>
        <v>0</v>
      </c>
      <c r="BI111" s="396" cm="1">
        <f t="array" aca="1" ref="BI111" ca="1">IF(TblConstr[[#This Row],[Hour]:[Hour]]&gt;12,OFFSET(TblConstr[[#This Row],[GT]],-12,0),0)+OFFSET(TblConstr[[#This Row],[Tot GT]],-1,0)-TblConstr[[#This Row],[Dest GT]]</f>
        <v>0</v>
      </c>
      <c r="BJ111" s="396" cm="1">
        <f t="array" aca="1" ref="BJ111" ca="1">IF(TblConstr[[#This Row],[Hour]:[Hour]]&gt;12,OFFSET(TblConstr[[#This Row],[Bar]],-12,0),0)+OFFSET(TblConstr[[#This Row],[Tot Bar]],-1,0)-TblConstr[[#This Row],[Dest Bar]]</f>
        <v>0</v>
      </c>
      <c r="BK111" s="396" cm="1">
        <f t="array" aca="1" ref="BK111" ca="1">IF(TblConstr[[#This Row],[Hour]:[Hour]]&gt;12,OFFSET(TblConstr[[#This Row],[Shr]],-12,0),0)+OFFSET(TblConstr[[#This Row],[Tot Shr]],-1,0)-TblConstr[[#This Row],[Dest Shr]]</f>
        <v>0</v>
      </c>
      <c r="BL111" s="400" cm="1">
        <f t="array" aca="1" ref="BL111" ca="1">IF(TblConstr[[#This Row],[Hour]:[Hour]]&gt;12,OFFSET(TblConstr[[#This Row],[Tow]],-12,0),0)+OFFSET(TblConstr[[#This Row],[Tot Tow]],-1,0)-TblConstr[[#This Row],[Dest Tow]]</f>
        <v>0</v>
      </c>
      <c r="BM111" s="400" cm="1">
        <f t="array" aca="1" ref="BM111" ca="1">IF(TblConstr[[#This Row],[Hour]:[Hour]]&gt;12,OFFSET(TblConstr[[#This Row],[Tem]],-12,0),0)+OFFSET(TblConstr[[#This Row],[Tot Tem]],-1,0)-TblConstr[[#This Row],[Dest Tem]]</f>
        <v>0</v>
      </c>
      <c r="BN111" s="400" cm="1">
        <f t="array" aca="1" ref="BN111" ca="1">IF(TblConstr[[#This Row],[Hour]:[Hour]]&gt;12,OFFSET(TblConstr[[#This Row],[WG]],-12,0),0)+OFFSET(TblConstr[[#This Row],[Tot WG]],-1,0)-TblConstr[[#This Row],[Dest WG]]</f>
        <v>0</v>
      </c>
      <c r="BO111" s="199" cm="1">
        <f t="array" aca="1" ref="BO111" ca="1">IF(TblConstr[[#This Row],[Hour]:[Hour]]&gt;12,OFFSET(TblConstr[[#This Row],[DM]],-12,0),0)+OFFSET(TblConstr[[#This Row],[Tot DM]],-1,0)-TblConstr[[#This Row],[Dest DM]]</f>
        <v>0</v>
      </c>
      <c r="BP111" s="199" cm="1">
        <f t="array" aca="1" ref="BP111" ca="1">IF(TblConstr[[#This Row],[Hour]:[Hour]]&gt;12,OFFSET(TblConstr[[#This Row],[Sch]],-12,0),0)+OFFSET(TblConstr[[#This Row],[Tot Sch]],-1,0)-TblConstr[[#This Row],[Dest Sch]]</f>
        <v>0</v>
      </c>
      <c r="BQ111" s="200" cm="1">
        <f t="array" aca="1" ref="BQ111" ca="1">IF(TblConstr[[#This Row],[Hour]:[Hour]]&gt;12,OFFSET(TblConstr[[#This Row],[Doc]],-12,0),0)+OFFSET(TblConstr[[#This Row],[Tot Doc]],-1,0)-TblConstr[[#This Row],[Dest Doc]]</f>
        <v>0</v>
      </c>
      <c r="BR111" s="150"/>
      <c r="BS111" s="162"/>
      <c r="BT111" s="97">
        <f ca="1">TblConstr[[#This Row],[Land]]</f>
        <v>250</v>
      </c>
      <c r="BU111" s="167">
        <f ca="1">TblImps[[#This Row],[Time]]</f>
        <v>44815.208333333074</v>
      </c>
      <c r="BV111" s="150"/>
      <c r="BW111" s="187"/>
      <c r="BX111" s="187"/>
      <c r="BY111" s="187"/>
      <c r="BZ111" s="187"/>
      <c r="CA111" s="187"/>
      <c r="CB111" s="187"/>
      <c r="CC111" s="187"/>
      <c r="CD111" s="187"/>
      <c r="CE111" s="187"/>
      <c r="CF111" s="187"/>
      <c r="CG111" s="187"/>
      <c r="CH111" s="187"/>
      <c r="CI111" s="187"/>
      <c r="CJ111" s="187"/>
      <c r="CK111" s="187"/>
      <c r="CL111" s="187"/>
      <c r="CM111" s="187"/>
      <c r="CN111" s="187"/>
      <c r="CO111" s="187"/>
      <c r="CP111" s="150"/>
      <c r="CQ111" s="189">
        <f ca="1">-SUM(TblConstr[[#This Row],[Alc]:[Mas]])+SUM(TblConstr[[#This Row],[Dest Alc]:[Dest Mas]])+Rezone!L111+IF("Ch_"&amp; home_land=TblConstr[[#Headers],[Ch_Plain]],TblConstr[[#This Row],[Home Land]])+IF(TblConstr[[#This Row],[Hour]:[Hour]]&gt;12,OFFSET(TblExplore[[#This Row],[Plains Explore]],-12,0),0)</f>
        <v>0</v>
      </c>
      <c r="CR111" s="190">
        <f ca="1">-SUM(TblConstr[[#This Row],[Ly]:[Hav]])+SUM(TblConstr[[#This Row],[Dest Ly]:[Dest Hav]]) +Rezone!M111 + IF("Ch_"&amp; home_land=TblConstr[[#Headers],[Ch_Forest]],TblConstr[[#This Row],[Home Land]])+IF(TblConstr[[#This Row],[Hour]:[Hour]]&gt;12,OFFSET(TblExplore[[#This Row],[Forest Explore]],-12,0),0)</f>
        <v>0</v>
      </c>
      <c r="CS111" s="390">
        <f ca="1">-SUM(TblConstr[[#This Row],[OM]:[GN]])+SUM(TblConstr[[#This Row],[Dest OM]:[Dest GN]]) +Rezone!N111 + IF("Ch_"&amp; home_land=TblConstr[[#Headers],[Ch_Mountain]],TblConstr[[#This Row],[Home Land]])+IF(TblConstr[[#This Row],[Hour]:[Hour]]&gt;12,OFFSET(TblExplore[[#This Row],[Mountain Explore]],-12,0),0)</f>
        <v>0</v>
      </c>
      <c r="CT111" s="191">
        <f ca="1">-SUM(TblConstr[[#This Row],[Fac]:[Shr]])+SUM(TblConstr[[#This Row],[Dest Fac]:[Dest Shr]]) +Rezone!O111 + IF("Ch_" &amp; home_land=TblConstr[[#Headers],[Ch_Hill]],TblConstr[[#This Row],[Home Land]])+IF(TblConstr[[#This Row],[Hour]:[Hour]]&gt;12,OFFSET(TblExplore[[#This Row],[Hill Explore]],-12,0),0)</f>
        <v>0</v>
      </c>
      <c r="CU111" s="192">
        <f ca="1">-SUM(TblConstr[[#This Row],[Tow]:[WG]])+SUM(TblConstr[[#This Row],[Dest Tow]:[Dest WG]]) +Rezone!P111 + IF("Ch_" &amp; home_land=TblConstr[[#Headers],[Ch_Swamp]],TblConstr[[#This Row],[Home Land]])+IF(TblConstr[[#This Row],[Hour]:[Hour]]&gt;12,OFFSET(TblExplore[[#This Row],[Swamp Explore]],-12,0),0)</f>
        <v>0</v>
      </c>
      <c r="CV111" s="193">
        <f ca="1" xml:space="preserve"> - SUM(TblConstr[[#This Row],[DM]:[Sch]])+SUM(TblConstr[[#This Row],[Dest DM]:[Dest Sch]]) +Rezone!Q111 + IF("Ch_" &amp; home_land=TblConstr[[#Headers],[Ch_Cavern]],TblConstr[[#This Row],[Home Land]])+IF(TblConstr[[#This Row],[Hour]:[Hour]]&gt;12,OFFSET(TblExplore[[#This Row],[Cavern Explore]],-12,0),0)</f>
        <v>0</v>
      </c>
      <c r="CW111" s="194">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50"/>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83">
        <f>TblRezone[[#This Row],[Hour]]</f>
        <v>109</v>
      </c>
      <c r="B112" s="184">
        <f ca="1">SUM(TblConstr[[#This Row],[Plain]:[Water]])</f>
        <v>160</v>
      </c>
      <c r="C112" s="185">
        <f ca="1">SUM(TblConstr[[#This Row],[Tot Hom]:[Tot Doc]])</f>
        <v>90</v>
      </c>
      <c r="D112" s="185">
        <f t="shared" si="21"/>
        <v>0</v>
      </c>
      <c r="E112" s="186"/>
      <c r="F112" s="62">
        <f ca="1">TblConstr[[#This Row],[Barren]]+TblConstr[[#This Row],[Buildings]]+TblConstr[[#This Row],[Incoming]]</f>
        <v>250</v>
      </c>
      <c r="G112" s="195">
        <f ca="1">OFFSET(TblConstr[[#This Row],[Plain]],-1,0)+TblConstr[[#This Row],[Ch_Plain]]</f>
        <v>40</v>
      </c>
      <c r="H112" s="190">
        <f ca="1">OFFSET(TblConstr[[#This Row],[Forest]],-1,0)+TblConstr[[#This Row],[Ch_Forest]]</f>
        <v>20</v>
      </c>
      <c r="I112" s="390">
        <f ca="1">OFFSET(TblConstr[[#This Row],[Mountain]],-1,0)+TblConstr[[#This Row],[Ch_Mountain]]</f>
        <v>20</v>
      </c>
      <c r="J112" s="394">
        <f ca="1">OFFSET(TblConstr[[#This Row],[Hill]],-1,0)+TblConstr[[#This Row],[Ch_Hill]]</f>
        <v>20</v>
      </c>
      <c r="K112" s="398">
        <f ca="1">OFFSET(TblConstr[[#This Row],[Swamp]],-1,0)+TblConstr[[#This Row],[Ch_Swamp]]</f>
        <v>20</v>
      </c>
      <c r="L112" s="193">
        <f ca="1">OFFSET(TblConstr[[#This Row],[Cavern]],-1,0)+TblConstr[[#This Row],[Ch_Cavern]]</f>
        <v>20</v>
      </c>
      <c r="M112" s="194">
        <f ca="1">OFFSET(TblConstr[[#This Row],[Water]],-1,0)+TblConstr[[#This Row],[Ch_Water]]</f>
        <v>20</v>
      </c>
      <c r="N112" s="388">
        <f>TblRezone[[#This Row],[Hour]]</f>
        <v>109</v>
      </c>
      <c r="O112" s="187"/>
      <c r="P112" s="187"/>
      <c r="Q112" s="187"/>
      <c r="R112" s="187"/>
      <c r="S112" s="187"/>
      <c r="T112" s="187"/>
      <c r="U112" s="187"/>
      <c r="V112" s="187"/>
      <c r="W112" s="187"/>
      <c r="X112" s="187"/>
      <c r="Y112" s="187"/>
      <c r="Z112" s="187"/>
      <c r="AA112" s="187"/>
      <c r="AB112" s="187"/>
      <c r="AC112" s="187"/>
      <c r="AD112" s="187"/>
      <c r="AE112" s="187"/>
      <c r="AF112" s="187"/>
      <c r="AG112" s="187"/>
      <c r="AH112" s="53">
        <f ca="1">TblImps[[#This Row],[Time]]</f>
        <v>44815.249999999738</v>
      </c>
      <c r="AI112" s="188">
        <f ca="1">MIN(25%,(TblConstr[[#This Row],[Tot Fac]]+TblConstr[[#This Row],[Dest Fac]])/(TblConstr[[#This Row],[Land]]-TblExplore[[#This Row],[Land Bonus]]*20))</f>
        <v>0</v>
      </c>
      <c r="AJ112" s="188">
        <f ca="1">MIN(25%,(TblConstr[[#This Row],[Tot Fac]]+TblConstr[[#This Row],[Dest Fac]])/TblConstr[[#This Row],[Land]])</f>
        <v>0</v>
      </c>
      <c r="AK112" s="97">
        <f ca="1">TblProd[[#This Row],[Platinum]]</f>
        <v>693366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50"/>
      <c r="AV112" s="97">
        <f ca="1">ROUND((TblConstr[[#This Row],[Land]]-250 - IF(TblExplore[[#This Row],[Land Bonus]]&lt;&gt;0,20,0))*1.25 + 850 + 0,0)</f>
        <v>850</v>
      </c>
      <c r="AW112" s="97">
        <f ca="1">ROUND((TblConstr[[#This Row],[Land]]-250 - IF(TblExplore[[#This Row],[Land Bonus]]&lt;&gt;0,20,0))*0.285 + 87.5 + 0/4.25,0)</f>
        <v>88</v>
      </c>
      <c r="AX112" s="162"/>
      <c r="AY112" s="196" cm="1">
        <f t="array" aca="1" ref="AY112" ca="1">IF(TblConstr[[#This Row],[Hour]:[Hour]]&gt;12,OFFSET(TblConstr[[#This Row],[Hom]],-12,0),0)+OFFSET(TblConstr[[#This Row],[Tot Hom]],-1,0)-TblConstr[[#This Row],[Dest Hom]]</f>
        <v>10</v>
      </c>
      <c r="AZ112" s="197" cm="1">
        <f t="array" aca="1" ref="AZ112" ca="1">IF(TblConstr[[#This Row],[Hour]:[Hour]]&gt;12,OFFSET(TblConstr[[#This Row],[Alc]],-12,0),0)+OFFSET(TblConstr[[#This Row],[Tot Alc]],-1,0)-TblConstr[[#This Row],[Dest Alc]]</f>
        <v>30</v>
      </c>
      <c r="BA112" s="197" cm="1">
        <f t="array" aca="1" ref="BA112" ca="1">IF(TblConstr[[#This Row],[Hour]:[Hour]]&gt;12,OFFSET(TblConstr[[#This Row],[Far]],-12,0),0)+OFFSET(TblConstr[[#This Row],[Tot Farm]],-1,0)-TblConstr[[#This Row],[Dest Farm]]</f>
        <v>30</v>
      </c>
      <c r="BB112" s="197" cm="1">
        <f t="array" aca="1" ref="BB112" ca="1">IF(TblConstr[[#This Row],[Hour]:[Hour]]&gt;12,OFFSET(TblConstr[[#This Row],[Smi]],-12,0),0)+OFFSET(TblConstr[[#This Row],[Tot Smi]],-1,0)-TblConstr[[#This Row],[Dest Smi]]</f>
        <v>0</v>
      </c>
      <c r="BC112" s="197" cm="1">
        <f t="array" aca="1" ref="BC112" ca="1">IF(TblConstr[[#This Row],[Hour]:[Hour]]&gt;12,OFFSET(TblConstr[[#This Row],[Mas]],-12,0),0)+OFFSET(TblConstr[[#This Row],[Tot Mas]],-1,0)-TblConstr[[#This Row],[Dest Mas]]</f>
        <v>0</v>
      </c>
      <c r="BD112" s="198" cm="1">
        <f t="array" aca="1" ref="BD112" ca="1">IF(TblConstr[[#This Row],[Hour]:[Hour]]&gt;12,OFFSET(TblConstr[[#This Row],[Ly]],-12,0),0)+OFFSET(TblConstr[[#This Row],[Tot Ly]],-1,0)-TblConstr[[#This Row],[Dest Ly]]</f>
        <v>20</v>
      </c>
      <c r="BE112" s="198" cm="1">
        <f t="array" aca="1" ref="BE112" ca="1">IF(TblConstr[[#This Row],[Hour]:[Hour]]&gt;12,OFFSET(TblConstr[[#This Row],[Hav]],-12,0),0)+OFFSET(TblConstr[[#This Row],[Tot Hav]],-1,0)-TblConstr[[#This Row],[Dest Hav]]</f>
        <v>0</v>
      </c>
      <c r="BF112" s="392" cm="1">
        <f t="array" aca="1" ref="BF112" ca="1">IF(TblConstr[[#This Row],[Hour]:[Hour]]&gt;12,OFFSET(TblConstr[[#This Row],[OM]],-12,0),0)+OFFSET(TblConstr[[#This Row],[Tot OM]],-1,0)-TblConstr[[#This Row],[Dest OM]]</f>
        <v>0</v>
      </c>
      <c r="BG112" s="392" cm="1">
        <f t="array" aca="1" ref="BG112" ca="1">IF(TblConstr[[#This Row],[Hour]:[Hour]]&gt;12,OFFSET(TblConstr[[#This Row],[GN]],-12,0),0)+OFFSET(TblConstr[[#This Row],[Tot GN]],-1,0)-TblConstr[[#This Row],[Dest GN]]</f>
        <v>0</v>
      </c>
      <c r="BH112" s="396" cm="1">
        <f t="array" aca="1" ref="BH112" ca="1">IF(TblConstr[[#This Row],[Hour]:[Hour]]&gt;12,OFFSET(TblConstr[[#This Row],[Fac]],-12,0),0)+OFFSET(TblConstr[[#This Row],[Tot Fac]],-1,0)-TblConstr[[#This Row],[Dest Fac]]</f>
        <v>0</v>
      </c>
      <c r="BI112" s="396" cm="1">
        <f t="array" aca="1" ref="BI112" ca="1">IF(TblConstr[[#This Row],[Hour]:[Hour]]&gt;12,OFFSET(TblConstr[[#This Row],[GT]],-12,0),0)+OFFSET(TblConstr[[#This Row],[Tot GT]],-1,0)-TblConstr[[#This Row],[Dest GT]]</f>
        <v>0</v>
      </c>
      <c r="BJ112" s="396" cm="1">
        <f t="array" aca="1" ref="BJ112" ca="1">IF(TblConstr[[#This Row],[Hour]:[Hour]]&gt;12,OFFSET(TblConstr[[#This Row],[Bar]],-12,0),0)+OFFSET(TblConstr[[#This Row],[Tot Bar]],-1,0)-TblConstr[[#This Row],[Dest Bar]]</f>
        <v>0</v>
      </c>
      <c r="BK112" s="396" cm="1">
        <f t="array" aca="1" ref="BK112" ca="1">IF(TblConstr[[#This Row],[Hour]:[Hour]]&gt;12,OFFSET(TblConstr[[#This Row],[Shr]],-12,0),0)+OFFSET(TblConstr[[#This Row],[Tot Shr]],-1,0)-TblConstr[[#This Row],[Dest Shr]]</f>
        <v>0</v>
      </c>
      <c r="BL112" s="400" cm="1">
        <f t="array" aca="1" ref="BL112" ca="1">IF(TblConstr[[#This Row],[Hour]:[Hour]]&gt;12,OFFSET(TblConstr[[#This Row],[Tow]],-12,0),0)+OFFSET(TblConstr[[#This Row],[Tot Tow]],-1,0)-TblConstr[[#This Row],[Dest Tow]]</f>
        <v>0</v>
      </c>
      <c r="BM112" s="400" cm="1">
        <f t="array" aca="1" ref="BM112" ca="1">IF(TblConstr[[#This Row],[Hour]:[Hour]]&gt;12,OFFSET(TblConstr[[#This Row],[Tem]],-12,0),0)+OFFSET(TblConstr[[#This Row],[Tot Tem]],-1,0)-TblConstr[[#This Row],[Dest Tem]]</f>
        <v>0</v>
      </c>
      <c r="BN112" s="400" cm="1">
        <f t="array" aca="1" ref="BN112" ca="1">IF(TblConstr[[#This Row],[Hour]:[Hour]]&gt;12,OFFSET(TblConstr[[#This Row],[WG]],-12,0),0)+OFFSET(TblConstr[[#This Row],[Tot WG]],-1,0)-TblConstr[[#This Row],[Dest WG]]</f>
        <v>0</v>
      </c>
      <c r="BO112" s="199" cm="1">
        <f t="array" aca="1" ref="BO112" ca="1">IF(TblConstr[[#This Row],[Hour]:[Hour]]&gt;12,OFFSET(TblConstr[[#This Row],[DM]],-12,0),0)+OFFSET(TblConstr[[#This Row],[Tot DM]],-1,0)-TblConstr[[#This Row],[Dest DM]]</f>
        <v>0</v>
      </c>
      <c r="BP112" s="199" cm="1">
        <f t="array" aca="1" ref="BP112" ca="1">IF(TblConstr[[#This Row],[Hour]:[Hour]]&gt;12,OFFSET(TblConstr[[#This Row],[Sch]],-12,0),0)+OFFSET(TblConstr[[#This Row],[Tot Sch]],-1,0)-TblConstr[[#This Row],[Dest Sch]]</f>
        <v>0</v>
      </c>
      <c r="BQ112" s="200" cm="1">
        <f t="array" aca="1" ref="BQ112" ca="1">IF(TblConstr[[#This Row],[Hour]:[Hour]]&gt;12,OFFSET(TblConstr[[#This Row],[Doc]],-12,0),0)+OFFSET(TblConstr[[#This Row],[Tot Doc]],-1,0)-TblConstr[[#This Row],[Dest Doc]]</f>
        <v>0</v>
      </c>
      <c r="BR112" s="150"/>
      <c r="BS112" s="162"/>
      <c r="BT112" s="97">
        <f ca="1">TblConstr[[#This Row],[Land]]</f>
        <v>250</v>
      </c>
      <c r="BU112" s="167">
        <f ca="1">TblImps[[#This Row],[Time]]</f>
        <v>44815.249999999738</v>
      </c>
      <c r="BV112" s="150"/>
      <c r="BW112" s="187"/>
      <c r="BX112" s="187"/>
      <c r="BY112" s="187"/>
      <c r="BZ112" s="187"/>
      <c r="CA112" s="187"/>
      <c r="CB112" s="187"/>
      <c r="CC112" s="187"/>
      <c r="CD112" s="187"/>
      <c r="CE112" s="187"/>
      <c r="CF112" s="187"/>
      <c r="CG112" s="187"/>
      <c r="CH112" s="187"/>
      <c r="CI112" s="187"/>
      <c r="CJ112" s="187"/>
      <c r="CK112" s="187"/>
      <c r="CL112" s="187"/>
      <c r="CM112" s="187"/>
      <c r="CN112" s="187"/>
      <c r="CO112" s="187"/>
      <c r="CP112" s="150"/>
      <c r="CQ112" s="189">
        <f ca="1">-SUM(TblConstr[[#This Row],[Alc]:[Mas]])+SUM(TblConstr[[#This Row],[Dest Alc]:[Dest Mas]])+Rezone!L112+IF("Ch_"&amp; home_land=TblConstr[[#Headers],[Ch_Plain]],TblConstr[[#This Row],[Home Land]])+IF(TblConstr[[#This Row],[Hour]:[Hour]]&gt;12,OFFSET(TblExplore[[#This Row],[Plains Explore]],-12,0),0)</f>
        <v>0</v>
      </c>
      <c r="CR112" s="190">
        <f ca="1">-SUM(TblConstr[[#This Row],[Ly]:[Hav]])+SUM(TblConstr[[#This Row],[Dest Ly]:[Dest Hav]]) +Rezone!M112 + IF("Ch_"&amp; home_land=TblConstr[[#Headers],[Ch_Forest]],TblConstr[[#This Row],[Home Land]])+IF(TblConstr[[#This Row],[Hour]:[Hour]]&gt;12,OFFSET(TblExplore[[#This Row],[Forest Explore]],-12,0),0)</f>
        <v>0</v>
      </c>
      <c r="CS112" s="390">
        <f ca="1">-SUM(TblConstr[[#This Row],[OM]:[GN]])+SUM(TblConstr[[#This Row],[Dest OM]:[Dest GN]]) +Rezone!N112 + IF("Ch_"&amp; home_land=TblConstr[[#Headers],[Ch_Mountain]],TblConstr[[#This Row],[Home Land]])+IF(TblConstr[[#This Row],[Hour]:[Hour]]&gt;12,OFFSET(TblExplore[[#This Row],[Mountain Explore]],-12,0),0)</f>
        <v>0</v>
      </c>
      <c r="CT112" s="191">
        <f ca="1">-SUM(TblConstr[[#This Row],[Fac]:[Shr]])+SUM(TblConstr[[#This Row],[Dest Fac]:[Dest Shr]]) +Rezone!O112 + IF("Ch_" &amp; home_land=TblConstr[[#Headers],[Ch_Hill]],TblConstr[[#This Row],[Home Land]])+IF(TblConstr[[#This Row],[Hour]:[Hour]]&gt;12,OFFSET(TblExplore[[#This Row],[Hill Explore]],-12,0),0)</f>
        <v>0</v>
      </c>
      <c r="CU112" s="192">
        <f ca="1">-SUM(TblConstr[[#This Row],[Tow]:[WG]])+SUM(TblConstr[[#This Row],[Dest Tow]:[Dest WG]]) +Rezone!P112 + IF("Ch_" &amp; home_land=TblConstr[[#Headers],[Ch_Swamp]],TblConstr[[#This Row],[Home Land]])+IF(TblConstr[[#This Row],[Hour]:[Hour]]&gt;12,OFFSET(TblExplore[[#This Row],[Swamp Explore]],-12,0),0)</f>
        <v>0</v>
      </c>
      <c r="CV112" s="193">
        <f ca="1" xml:space="preserve"> - SUM(TblConstr[[#This Row],[DM]:[Sch]])+SUM(TblConstr[[#This Row],[Dest DM]:[Dest Sch]]) +Rezone!Q112 + IF("Ch_" &amp; home_land=TblConstr[[#Headers],[Ch_Cavern]],TblConstr[[#This Row],[Home Land]])+IF(TblConstr[[#This Row],[Hour]:[Hour]]&gt;12,OFFSET(TblExplore[[#This Row],[Cavern Explore]],-12,0),0)</f>
        <v>0</v>
      </c>
      <c r="CW112" s="194">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50"/>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83">
        <f>TblRezone[[#This Row],[Hour]]</f>
        <v>110</v>
      </c>
      <c r="B113" s="184">
        <f ca="1">SUM(TblConstr[[#This Row],[Plain]:[Water]])</f>
        <v>160</v>
      </c>
      <c r="C113" s="185">
        <f ca="1">SUM(TblConstr[[#This Row],[Tot Hom]:[Tot Doc]])</f>
        <v>90</v>
      </c>
      <c r="D113" s="185">
        <f t="shared" si="21"/>
        <v>0</v>
      </c>
      <c r="E113" s="186"/>
      <c r="F113" s="62">
        <f ca="1">TblConstr[[#This Row],[Barren]]+TblConstr[[#This Row],[Buildings]]+TblConstr[[#This Row],[Incoming]]</f>
        <v>250</v>
      </c>
      <c r="G113" s="195">
        <f ca="1">OFFSET(TblConstr[[#This Row],[Plain]],-1,0)+TblConstr[[#This Row],[Ch_Plain]]</f>
        <v>40</v>
      </c>
      <c r="H113" s="190">
        <f ca="1">OFFSET(TblConstr[[#This Row],[Forest]],-1,0)+TblConstr[[#This Row],[Ch_Forest]]</f>
        <v>20</v>
      </c>
      <c r="I113" s="390">
        <f ca="1">OFFSET(TblConstr[[#This Row],[Mountain]],-1,0)+TblConstr[[#This Row],[Ch_Mountain]]</f>
        <v>20</v>
      </c>
      <c r="J113" s="394">
        <f ca="1">OFFSET(TblConstr[[#This Row],[Hill]],-1,0)+TblConstr[[#This Row],[Ch_Hill]]</f>
        <v>20</v>
      </c>
      <c r="K113" s="398">
        <f ca="1">OFFSET(TblConstr[[#This Row],[Swamp]],-1,0)+TblConstr[[#This Row],[Ch_Swamp]]</f>
        <v>20</v>
      </c>
      <c r="L113" s="193">
        <f ca="1">OFFSET(TblConstr[[#This Row],[Cavern]],-1,0)+TblConstr[[#This Row],[Ch_Cavern]]</f>
        <v>20</v>
      </c>
      <c r="M113" s="194">
        <f ca="1">OFFSET(TblConstr[[#This Row],[Water]],-1,0)+TblConstr[[#This Row],[Ch_Water]]</f>
        <v>20</v>
      </c>
      <c r="N113" s="388">
        <f>TblRezone[[#This Row],[Hour]]</f>
        <v>110</v>
      </c>
      <c r="O113" s="187"/>
      <c r="P113" s="187"/>
      <c r="Q113" s="187"/>
      <c r="R113" s="187"/>
      <c r="S113" s="187"/>
      <c r="T113" s="187"/>
      <c r="U113" s="187"/>
      <c r="V113" s="187"/>
      <c r="W113" s="187"/>
      <c r="X113" s="187"/>
      <c r="Y113" s="187"/>
      <c r="Z113" s="187"/>
      <c r="AA113" s="187"/>
      <c r="AB113" s="187"/>
      <c r="AC113" s="187"/>
      <c r="AD113" s="187"/>
      <c r="AE113" s="187"/>
      <c r="AF113" s="187"/>
      <c r="AG113" s="187"/>
      <c r="AH113" s="53">
        <f ca="1">TblImps[[#This Row],[Time]]</f>
        <v>44815.291666666402</v>
      </c>
      <c r="AI113" s="188">
        <f ca="1">MIN(25%,(TblConstr[[#This Row],[Tot Fac]]+TblConstr[[#This Row],[Dest Fac]])/(TblConstr[[#This Row],[Land]]-TblExplore[[#This Row],[Land Bonus]]*20))</f>
        <v>0</v>
      </c>
      <c r="AJ113" s="188">
        <f ca="1">MIN(25%,(TblConstr[[#This Row],[Tot Fac]]+TblConstr[[#This Row],[Dest Fac]])/TblConstr[[#This Row],[Land]])</f>
        <v>0</v>
      </c>
      <c r="AK113" s="97">
        <f ca="1">TblProd[[#This Row],[Platinum]]</f>
        <v>698852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50"/>
      <c r="AV113" s="97">
        <f ca="1">ROUND((TblConstr[[#This Row],[Land]]-250 - IF(TblExplore[[#This Row],[Land Bonus]]&lt;&gt;0,20,0))*1.25 + 850 + 0,0)</f>
        <v>850</v>
      </c>
      <c r="AW113" s="97">
        <f ca="1">ROUND((TblConstr[[#This Row],[Land]]-250 - IF(TblExplore[[#This Row],[Land Bonus]]&lt;&gt;0,20,0))*0.285 + 87.5 + 0/4.25,0)</f>
        <v>88</v>
      </c>
      <c r="AX113" s="162"/>
      <c r="AY113" s="196" cm="1">
        <f t="array" aca="1" ref="AY113" ca="1">IF(TblConstr[[#This Row],[Hour]:[Hour]]&gt;12,OFFSET(TblConstr[[#This Row],[Hom]],-12,0),0)+OFFSET(TblConstr[[#This Row],[Tot Hom]],-1,0)-TblConstr[[#This Row],[Dest Hom]]</f>
        <v>10</v>
      </c>
      <c r="AZ113" s="197" cm="1">
        <f t="array" aca="1" ref="AZ113" ca="1">IF(TblConstr[[#This Row],[Hour]:[Hour]]&gt;12,OFFSET(TblConstr[[#This Row],[Alc]],-12,0),0)+OFFSET(TblConstr[[#This Row],[Tot Alc]],-1,0)-TblConstr[[#This Row],[Dest Alc]]</f>
        <v>30</v>
      </c>
      <c r="BA113" s="197" cm="1">
        <f t="array" aca="1" ref="BA113" ca="1">IF(TblConstr[[#This Row],[Hour]:[Hour]]&gt;12,OFFSET(TblConstr[[#This Row],[Far]],-12,0),0)+OFFSET(TblConstr[[#This Row],[Tot Farm]],-1,0)-TblConstr[[#This Row],[Dest Farm]]</f>
        <v>30</v>
      </c>
      <c r="BB113" s="197" cm="1">
        <f t="array" aca="1" ref="BB113" ca="1">IF(TblConstr[[#This Row],[Hour]:[Hour]]&gt;12,OFFSET(TblConstr[[#This Row],[Smi]],-12,0),0)+OFFSET(TblConstr[[#This Row],[Tot Smi]],-1,0)-TblConstr[[#This Row],[Dest Smi]]</f>
        <v>0</v>
      </c>
      <c r="BC113" s="197" cm="1">
        <f t="array" aca="1" ref="BC113" ca="1">IF(TblConstr[[#This Row],[Hour]:[Hour]]&gt;12,OFFSET(TblConstr[[#This Row],[Mas]],-12,0),0)+OFFSET(TblConstr[[#This Row],[Tot Mas]],-1,0)-TblConstr[[#This Row],[Dest Mas]]</f>
        <v>0</v>
      </c>
      <c r="BD113" s="198" cm="1">
        <f t="array" aca="1" ref="BD113" ca="1">IF(TblConstr[[#This Row],[Hour]:[Hour]]&gt;12,OFFSET(TblConstr[[#This Row],[Ly]],-12,0),0)+OFFSET(TblConstr[[#This Row],[Tot Ly]],-1,0)-TblConstr[[#This Row],[Dest Ly]]</f>
        <v>20</v>
      </c>
      <c r="BE113" s="198" cm="1">
        <f t="array" aca="1" ref="BE113" ca="1">IF(TblConstr[[#This Row],[Hour]:[Hour]]&gt;12,OFFSET(TblConstr[[#This Row],[Hav]],-12,0),0)+OFFSET(TblConstr[[#This Row],[Tot Hav]],-1,0)-TblConstr[[#This Row],[Dest Hav]]</f>
        <v>0</v>
      </c>
      <c r="BF113" s="392" cm="1">
        <f t="array" aca="1" ref="BF113" ca="1">IF(TblConstr[[#This Row],[Hour]:[Hour]]&gt;12,OFFSET(TblConstr[[#This Row],[OM]],-12,0),0)+OFFSET(TblConstr[[#This Row],[Tot OM]],-1,0)-TblConstr[[#This Row],[Dest OM]]</f>
        <v>0</v>
      </c>
      <c r="BG113" s="392" cm="1">
        <f t="array" aca="1" ref="BG113" ca="1">IF(TblConstr[[#This Row],[Hour]:[Hour]]&gt;12,OFFSET(TblConstr[[#This Row],[GN]],-12,0),0)+OFFSET(TblConstr[[#This Row],[Tot GN]],-1,0)-TblConstr[[#This Row],[Dest GN]]</f>
        <v>0</v>
      </c>
      <c r="BH113" s="396" cm="1">
        <f t="array" aca="1" ref="BH113" ca="1">IF(TblConstr[[#This Row],[Hour]:[Hour]]&gt;12,OFFSET(TblConstr[[#This Row],[Fac]],-12,0),0)+OFFSET(TblConstr[[#This Row],[Tot Fac]],-1,0)-TblConstr[[#This Row],[Dest Fac]]</f>
        <v>0</v>
      </c>
      <c r="BI113" s="396" cm="1">
        <f t="array" aca="1" ref="BI113" ca="1">IF(TblConstr[[#This Row],[Hour]:[Hour]]&gt;12,OFFSET(TblConstr[[#This Row],[GT]],-12,0),0)+OFFSET(TblConstr[[#This Row],[Tot GT]],-1,0)-TblConstr[[#This Row],[Dest GT]]</f>
        <v>0</v>
      </c>
      <c r="BJ113" s="396" cm="1">
        <f t="array" aca="1" ref="BJ113" ca="1">IF(TblConstr[[#This Row],[Hour]:[Hour]]&gt;12,OFFSET(TblConstr[[#This Row],[Bar]],-12,0),0)+OFFSET(TblConstr[[#This Row],[Tot Bar]],-1,0)-TblConstr[[#This Row],[Dest Bar]]</f>
        <v>0</v>
      </c>
      <c r="BK113" s="396" cm="1">
        <f t="array" aca="1" ref="BK113" ca="1">IF(TblConstr[[#This Row],[Hour]:[Hour]]&gt;12,OFFSET(TblConstr[[#This Row],[Shr]],-12,0),0)+OFFSET(TblConstr[[#This Row],[Tot Shr]],-1,0)-TblConstr[[#This Row],[Dest Shr]]</f>
        <v>0</v>
      </c>
      <c r="BL113" s="400" cm="1">
        <f t="array" aca="1" ref="BL113" ca="1">IF(TblConstr[[#This Row],[Hour]:[Hour]]&gt;12,OFFSET(TblConstr[[#This Row],[Tow]],-12,0),0)+OFFSET(TblConstr[[#This Row],[Tot Tow]],-1,0)-TblConstr[[#This Row],[Dest Tow]]</f>
        <v>0</v>
      </c>
      <c r="BM113" s="400" cm="1">
        <f t="array" aca="1" ref="BM113" ca="1">IF(TblConstr[[#This Row],[Hour]:[Hour]]&gt;12,OFFSET(TblConstr[[#This Row],[Tem]],-12,0),0)+OFFSET(TblConstr[[#This Row],[Tot Tem]],-1,0)-TblConstr[[#This Row],[Dest Tem]]</f>
        <v>0</v>
      </c>
      <c r="BN113" s="400" cm="1">
        <f t="array" aca="1" ref="BN113" ca="1">IF(TblConstr[[#This Row],[Hour]:[Hour]]&gt;12,OFFSET(TblConstr[[#This Row],[WG]],-12,0),0)+OFFSET(TblConstr[[#This Row],[Tot WG]],-1,0)-TblConstr[[#This Row],[Dest WG]]</f>
        <v>0</v>
      </c>
      <c r="BO113" s="199" cm="1">
        <f t="array" aca="1" ref="BO113" ca="1">IF(TblConstr[[#This Row],[Hour]:[Hour]]&gt;12,OFFSET(TblConstr[[#This Row],[DM]],-12,0),0)+OFFSET(TblConstr[[#This Row],[Tot DM]],-1,0)-TblConstr[[#This Row],[Dest DM]]</f>
        <v>0</v>
      </c>
      <c r="BP113" s="199" cm="1">
        <f t="array" aca="1" ref="BP113" ca="1">IF(TblConstr[[#This Row],[Hour]:[Hour]]&gt;12,OFFSET(TblConstr[[#This Row],[Sch]],-12,0),0)+OFFSET(TblConstr[[#This Row],[Tot Sch]],-1,0)-TblConstr[[#This Row],[Dest Sch]]</f>
        <v>0</v>
      </c>
      <c r="BQ113" s="200" cm="1">
        <f t="array" aca="1" ref="BQ113" ca="1">IF(TblConstr[[#This Row],[Hour]:[Hour]]&gt;12,OFFSET(TblConstr[[#This Row],[Doc]],-12,0),0)+OFFSET(TblConstr[[#This Row],[Tot Doc]],-1,0)-TblConstr[[#This Row],[Dest Doc]]</f>
        <v>0</v>
      </c>
      <c r="BR113" s="150"/>
      <c r="BS113" s="162"/>
      <c r="BT113" s="97">
        <f ca="1">TblConstr[[#This Row],[Land]]</f>
        <v>250</v>
      </c>
      <c r="BU113" s="167">
        <f ca="1">TblImps[[#This Row],[Time]]</f>
        <v>44815.291666666402</v>
      </c>
      <c r="BV113" s="150"/>
      <c r="BW113" s="187"/>
      <c r="BX113" s="187"/>
      <c r="BY113" s="187"/>
      <c r="BZ113" s="187"/>
      <c r="CA113" s="187"/>
      <c r="CB113" s="187"/>
      <c r="CC113" s="187"/>
      <c r="CD113" s="187"/>
      <c r="CE113" s="187"/>
      <c r="CF113" s="187"/>
      <c r="CG113" s="187"/>
      <c r="CH113" s="187"/>
      <c r="CI113" s="187"/>
      <c r="CJ113" s="187"/>
      <c r="CK113" s="187"/>
      <c r="CL113" s="187"/>
      <c r="CM113" s="187"/>
      <c r="CN113" s="187"/>
      <c r="CO113" s="187"/>
      <c r="CP113" s="150"/>
      <c r="CQ113" s="189">
        <f ca="1">-SUM(TblConstr[[#This Row],[Alc]:[Mas]])+SUM(TblConstr[[#This Row],[Dest Alc]:[Dest Mas]])+Rezone!L113+IF("Ch_"&amp; home_land=TblConstr[[#Headers],[Ch_Plain]],TblConstr[[#This Row],[Home Land]])+IF(TblConstr[[#This Row],[Hour]:[Hour]]&gt;12,OFFSET(TblExplore[[#This Row],[Plains Explore]],-12,0),0)</f>
        <v>0</v>
      </c>
      <c r="CR113" s="190">
        <f ca="1">-SUM(TblConstr[[#This Row],[Ly]:[Hav]])+SUM(TblConstr[[#This Row],[Dest Ly]:[Dest Hav]]) +Rezone!M113 + IF("Ch_"&amp; home_land=TblConstr[[#Headers],[Ch_Forest]],TblConstr[[#This Row],[Home Land]])+IF(TblConstr[[#This Row],[Hour]:[Hour]]&gt;12,OFFSET(TblExplore[[#This Row],[Forest Explore]],-12,0),0)</f>
        <v>0</v>
      </c>
      <c r="CS113" s="390">
        <f ca="1">-SUM(TblConstr[[#This Row],[OM]:[GN]])+SUM(TblConstr[[#This Row],[Dest OM]:[Dest GN]]) +Rezone!N113 + IF("Ch_"&amp; home_land=TblConstr[[#Headers],[Ch_Mountain]],TblConstr[[#This Row],[Home Land]])+IF(TblConstr[[#This Row],[Hour]:[Hour]]&gt;12,OFFSET(TblExplore[[#This Row],[Mountain Explore]],-12,0),0)</f>
        <v>0</v>
      </c>
      <c r="CT113" s="191">
        <f ca="1">-SUM(TblConstr[[#This Row],[Fac]:[Shr]])+SUM(TblConstr[[#This Row],[Dest Fac]:[Dest Shr]]) +Rezone!O113 + IF("Ch_" &amp; home_land=TblConstr[[#Headers],[Ch_Hill]],TblConstr[[#This Row],[Home Land]])+IF(TblConstr[[#This Row],[Hour]:[Hour]]&gt;12,OFFSET(TblExplore[[#This Row],[Hill Explore]],-12,0),0)</f>
        <v>0</v>
      </c>
      <c r="CU113" s="192">
        <f ca="1">-SUM(TblConstr[[#This Row],[Tow]:[WG]])+SUM(TblConstr[[#This Row],[Dest Tow]:[Dest WG]]) +Rezone!P113 + IF("Ch_" &amp; home_land=TblConstr[[#Headers],[Ch_Swamp]],TblConstr[[#This Row],[Home Land]])+IF(TblConstr[[#This Row],[Hour]:[Hour]]&gt;12,OFFSET(TblExplore[[#This Row],[Swamp Explore]],-12,0),0)</f>
        <v>0</v>
      </c>
      <c r="CV113" s="193">
        <f ca="1" xml:space="preserve"> - SUM(TblConstr[[#This Row],[DM]:[Sch]])+SUM(TblConstr[[#This Row],[Dest DM]:[Dest Sch]]) +Rezone!Q113 + IF("Ch_" &amp; home_land=TblConstr[[#Headers],[Ch_Cavern]],TblConstr[[#This Row],[Home Land]])+IF(TblConstr[[#This Row],[Hour]:[Hour]]&gt;12,OFFSET(TblExplore[[#This Row],[Cavern Explore]],-12,0),0)</f>
        <v>0</v>
      </c>
      <c r="CW113" s="194">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50"/>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83">
        <f>TblRezone[[#This Row],[Hour]]</f>
        <v>111</v>
      </c>
      <c r="B114" s="184">
        <f ca="1">SUM(TblConstr[[#This Row],[Plain]:[Water]])</f>
        <v>160</v>
      </c>
      <c r="C114" s="185">
        <f ca="1">SUM(TblConstr[[#This Row],[Tot Hom]:[Tot Doc]])</f>
        <v>90</v>
      </c>
      <c r="D114" s="185">
        <f t="shared" si="21"/>
        <v>0</v>
      </c>
      <c r="E114" s="186"/>
      <c r="F114" s="62">
        <f ca="1">TblConstr[[#This Row],[Barren]]+TblConstr[[#This Row],[Buildings]]+TblConstr[[#This Row],[Incoming]]</f>
        <v>250</v>
      </c>
      <c r="G114" s="195">
        <f ca="1">OFFSET(TblConstr[[#This Row],[Plain]],-1,0)+TblConstr[[#This Row],[Ch_Plain]]</f>
        <v>40</v>
      </c>
      <c r="H114" s="190">
        <f ca="1">OFFSET(TblConstr[[#This Row],[Forest]],-1,0)+TblConstr[[#This Row],[Ch_Forest]]</f>
        <v>20</v>
      </c>
      <c r="I114" s="390">
        <f ca="1">OFFSET(TblConstr[[#This Row],[Mountain]],-1,0)+TblConstr[[#This Row],[Ch_Mountain]]</f>
        <v>20</v>
      </c>
      <c r="J114" s="394">
        <f ca="1">OFFSET(TblConstr[[#This Row],[Hill]],-1,0)+TblConstr[[#This Row],[Ch_Hill]]</f>
        <v>20</v>
      </c>
      <c r="K114" s="398">
        <f ca="1">OFFSET(TblConstr[[#This Row],[Swamp]],-1,0)+TblConstr[[#This Row],[Ch_Swamp]]</f>
        <v>20</v>
      </c>
      <c r="L114" s="193">
        <f ca="1">OFFSET(TblConstr[[#This Row],[Cavern]],-1,0)+TblConstr[[#This Row],[Ch_Cavern]]</f>
        <v>20</v>
      </c>
      <c r="M114" s="194">
        <f ca="1">OFFSET(TblConstr[[#This Row],[Water]],-1,0)+TblConstr[[#This Row],[Ch_Water]]</f>
        <v>20</v>
      </c>
      <c r="N114" s="388">
        <f>TblRezone[[#This Row],[Hour]]</f>
        <v>111</v>
      </c>
      <c r="O114" s="187"/>
      <c r="P114" s="187"/>
      <c r="Q114" s="187"/>
      <c r="R114" s="187"/>
      <c r="S114" s="187"/>
      <c r="T114" s="187"/>
      <c r="U114" s="187"/>
      <c r="V114" s="187"/>
      <c r="W114" s="187"/>
      <c r="X114" s="187"/>
      <c r="Y114" s="187"/>
      <c r="Z114" s="187"/>
      <c r="AA114" s="187"/>
      <c r="AB114" s="187"/>
      <c r="AC114" s="187"/>
      <c r="AD114" s="187"/>
      <c r="AE114" s="187"/>
      <c r="AF114" s="187"/>
      <c r="AG114" s="187"/>
      <c r="AH114" s="53">
        <f ca="1">TblImps[[#This Row],[Time]]</f>
        <v>44815.333333333067</v>
      </c>
      <c r="AI114" s="188">
        <f ca="1">MIN(25%,(TblConstr[[#This Row],[Tot Fac]]+TblConstr[[#This Row],[Dest Fac]])/(TblConstr[[#This Row],[Land]]-TblExplore[[#This Row],[Land Bonus]]*20))</f>
        <v>0</v>
      </c>
      <c r="AJ114" s="188">
        <f ca="1">MIN(25%,(TblConstr[[#This Row],[Tot Fac]]+TblConstr[[#This Row],[Dest Fac]])/TblConstr[[#This Row],[Land]])</f>
        <v>0</v>
      </c>
      <c r="AK114" s="97">
        <f ca="1">TblProd[[#This Row],[Platinum]]</f>
        <v>704338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50"/>
      <c r="AV114" s="97">
        <f ca="1">ROUND((TblConstr[[#This Row],[Land]]-250 - IF(TblExplore[[#This Row],[Land Bonus]]&lt;&gt;0,20,0))*1.25 + 850 + 0,0)</f>
        <v>850</v>
      </c>
      <c r="AW114" s="97">
        <f ca="1">ROUND((TblConstr[[#This Row],[Land]]-250 - IF(TblExplore[[#This Row],[Land Bonus]]&lt;&gt;0,20,0))*0.285 + 87.5 + 0/4.25,0)</f>
        <v>88</v>
      </c>
      <c r="AX114" s="162"/>
      <c r="AY114" s="196" cm="1">
        <f t="array" aca="1" ref="AY114" ca="1">IF(TblConstr[[#This Row],[Hour]:[Hour]]&gt;12,OFFSET(TblConstr[[#This Row],[Hom]],-12,0),0)+OFFSET(TblConstr[[#This Row],[Tot Hom]],-1,0)-TblConstr[[#This Row],[Dest Hom]]</f>
        <v>10</v>
      </c>
      <c r="AZ114" s="197" cm="1">
        <f t="array" aca="1" ref="AZ114" ca="1">IF(TblConstr[[#This Row],[Hour]:[Hour]]&gt;12,OFFSET(TblConstr[[#This Row],[Alc]],-12,0),0)+OFFSET(TblConstr[[#This Row],[Tot Alc]],-1,0)-TblConstr[[#This Row],[Dest Alc]]</f>
        <v>30</v>
      </c>
      <c r="BA114" s="197" cm="1">
        <f t="array" aca="1" ref="BA114" ca="1">IF(TblConstr[[#This Row],[Hour]:[Hour]]&gt;12,OFFSET(TblConstr[[#This Row],[Far]],-12,0),0)+OFFSET(TblConstr[[#This Row],[Tot Farm]],-1,0)-TblConstr[[#This Row],[Dest Farm]]</f>
        <v>30</v>
      </c>
      <c r="BB114" s="197" cm="1">
        <f t="array" aca="1" ref="BB114" ca="1">IF(TblConstr[[#This Row],[Hour]:[Hour]]&gt;12,OFFSET(TblConstr[[#This Row],[Smi]],-12,0),0)+OFFSET(TblConstr[[#This Row],[Tot Smi]],-1,0)-TblConstr[[#This Row],[Dest Smi]]</f>
        <v>0</v>
      </c>
      <c r="BC114" s="197" cm="1">
        <f t="array" aca="1" ref="BC114" ca="1">IF(TblConstr[[#This Row],[Hour]:[Hour]]&gt;12,OFFSET(TblConstr[[#This Row],[Mas]],-12,0),0)+OFFSET(TblConstr[[#This Row],[Tot Mas]],-1,0)-TblConstr[[#This Row],[Dest Mas]]</f>
        <v>0</v>
      </c>
      <c r="BD114" s="198" cm="1">
        <f t="array" aca="1" ref="BD114" ca="1">IF(TblConstr[[#This Row],[Hour]:[Hour]]&gt;12,OFFSET(TblConstr[[#This Row],[Ly]],-12,0),0)+OFFSET(TblConstr[[#This Row],[Tot Ly]],-1,0)-TblConstr[[#This Row],[Dest Ly]]</f>
        <v>20</v>
      </c>
      <c r="BE114" s="198" cm="1">
        <f t="array" aca="1" ref="BE114" ca="1">IF(TblConstr[[#This Row],[Hour]:[Hour]]&gt;12,OFFSET(TblConstr[[#This Row],[Hav]],-12,0),0)+OFFSET(TblConstr[[#This Row],[Tot Hav]],-1,0)-TblConstr[[#This Row],[Dest Hav]]</f>
        <v>0</v>
      </c>
      <c r="BF114" s="392" cm="1">
        <f t="array" aca="1" ref="BF114" ca="1">IF(TblConstr[[#This Row],[Hour]:[Hour]]&gt;12,OFFSET(TblConstr[[#This Row],[OM]],-12,0),0)+OFFSET(TblConstr[[#This Row],[Tot OM]],-1,0)-TblConstr[[#This Row],[Dest OM]]</f>
        <v>0</v>
      </c>
      <c r="BG114" s="392" cm="1">
        <f t="array" aca="1" ref="BG114" ca="1">IF(TblConstr[[#This Row],[Hour]:[Hour]]&gt;12,OFFSET(TblConstr[[#This Row],[GN]],-12,0),0)+OFFSET(TblConstr[[#This Row],[Tot GN]],-1,0)-TblConstr[[#This Row],[Dest GN]]</f>
        <v>0</v>
      </c>
      <c r="BH114" s="396" cm="1">
        <f t="array" aca="1" ref="BH114" ca="1">IF(TblConstr[[#This Row],[Hour]:[Hour]]&gt;12,OFFSET(TblConstr[[#This Row],[Fac]],-12,0),0)+OFFSET(TblConstr[[#This Row],[Tot Fac]],-1,0)-TblConstr[[#This Row],[Dest Fac]]</f>
        <v>0</v>
      </c>
      <c r="BI114" s="396" cm="1">
        <f t="array" aca="1" ref="BI114" ca="1">IF(TblConstr[[#This Row],[Hour]:[Hour]]&gt;12,OFFSET(TblConstr[[#This Row],[GT]],-12,0),0)+OFFSET(TblConstr[[#This Row],[Tot GT]],-1,0)-TblConstr[[#This Row],[Dest GT]]</f>
        <v>0</v>
      </c>
      <c r="BJ114" s="396" cm="1">
        <f t="array" aca="1" ref="BJ114" ca="1">IF(TblConstr[[#This Row],[Hour]:[Hour]]&gt;12,OFFSET(TblConstr[[#This Row],[Bar]],-12,0),0)+OFFSET(TblConstr[[#This Row],[Tot Bar]],-1,0)-TblConstr[[#This Row],[Dest Bar]]</f>
        <v>0</v>
      </c>
      <c r="BK114" s="396" cm="1">
        <f t="array" aca="1" ref="BK114" ca="1">IF(TblConstr[[#This Row],[Hour]:[Hour]]&gt;12,OFFSET(TblConstr[[#This Row],[Shr]],-12,0),0)+OFFSET(TblConstr[[#This Row],[Tot Shr]],-1,0)-TblConstr[[#This Row],[Dest Shr]]</f>
        <v>0</v>
      </c>
      <c r="BL114" s="400" cm="1">
        <f t="array" aca="1" ref="BL114" ca="1">IF(TblConstr[[#This Row],[Hour]:[Hour]]&gt;12,OFFSET(TblConstr[[#This Row],[Tow]],-12,0),0)+OFFSET(TblConstr[[#This Row],[Tot Tow]],-1,0)-TblConstr[[#This Row],[Dest Tow]]</f>
        <v>0</v>
      </c>
      <c r="BM114" s="400" cm="1">
        <f t="array" aca="1" ref="BM114" ca="1">IF(TblConstr[[#This Row],[Hour]:[Hour]]&gt;12,OFFSET(TblConstr[[#This Row],[Tem]],-12,0),0)+OFFSET(TblConstr[[#This Row],[Tot Tem]],-1,0)-TblConstr[[#This Row],[Dest Tem]]</f>
        <v>0</v>
      </c>
      <c r="BN114" s="400" cm="1">
        <f t="array" aca="1" ref="BN114" ca="1">IF(TblConstr[[#This Row],[Hour]:[Hour]]&gt;12,OFFSET(TblConstr[[#This Row],[WG]],-12,0),0)+OFFSET(TblConstr[[#This Row],[Tot WG]],-1,0)-TblConstr[[#This Row],[Dest WG]]</f>
        <v>0</v>
      </c>
      <c r="BO114" s="199" cm="1">
        <f t="array" aca="1" ref="BO114" ca="1">IF(TblConstr[[#This Row],[Hour]:[Hour]]&gt;12,OFFSET(TblConstr[[#This Row],[DM]],-12,0),0)+OFFSET(TblConstr[[#This Row],[Tot DM]],-1,0)-TblConstr[[#This Row],[Dest DM]]</f>
        <v>0</v>
      </c>
      <c r="BP114" s="199" cm="1">
        <f t="array" aca="1" ref="BP114" ca="1">IF(TblConstr[[#This Row],[Hour]:[Hour]]&gt;12,OFFSET(TblConstr[[#This Row],[Sch]],-12,0),0)+OFFSET(TblConstr[[#This Row],[Tot Sch]],-1,0)-TblConstr[[#This Row],[Dest Sch]]</f>
        <v>0</v>
      </c>
      <c r="BQ114" s="200" cm="1">
        <f t="array" aca="1" ref="BQ114" ca="1">IF(TblConstr[[#This Row],[Hour]:[Hour]]&gt;12,OFFSET(TblConstr[[#This Row],[Doc]],-12,0),0)+OFFSET(TblConstr[[#This Row],[Tot Doc]],-1,0)-TblConstr[[#This Row],[Dest Doc]]</f>
        <v>0</v>
      </c>
      <c r="BR114" s="150"/>
      <c r="BS114" s="162"/>
      <c r="BT114" s="97">
        <f ca="1">TblConstr[[#This Row],[Land]]</f>
        <v>250</v>
      </c>
      <c r="BU114" s="167">
        <f ca="1">TblImps[[#This Row],[Time]]</f>
        <v>44815.333333333067</v>
      </c>
      <c r="BV114" s="150"/>
      <c r="BW114" s="187"/>
      <c r="BX114" s="166"/>
      <c r="BY114" s="187"/>
      <c r="BZ114" s="187"/>
      <c r="CA114" s="187"/>
      <c r="CB114" s="187"/>
      <c r="CC114" s="187"/>
      <c r="CD114" s="187"/>
      <c r="CE114" s="187"/>
      <c r="CF114" s="187"/>
      <c r="CG114" s="187"/>
      <c r="CH114" s="187"/>
      <c r="CI114" s="187"/>
      <c r="CJ114" s="187"/>
      <c r="CK114" s="187"/>
      <c r="CL114" s="187"/>
      <c r="CM114" s="187"/>
      <c r="CN114" s="187"/>
      <c r="CO114" s="187"/>
      <c r="CP114" s="150"/>
      <c r="CQ114" s="189">
        <f ca="1">-SUM(TblConstr[[#This Row],[Alc]:[Mas]])+SUM(TblConstr[[#This Row],[Dest Alc]:[Dest Mas]])+Rezone!L114+IF("Ch_"&amp; home_land=TblConstr[[#Headers],[Ch_Plain]],TblConstr[[#This Row],[Home Land]])+IF(TblConstr[[#This Row],[Hour]:[Hour]]&gt;12,OFFSET(TblExplore[[#This Row],[Plains Explore]],-12,0),0)</f>
        <v>0</v>
      </c>
      <c r="CR114" s="190">
        <f ca="1">-SUM(TblConstr[[#This Row],[Ly]:[Hav]])+SUM(TblConstr[[#This Row],[Dest Ly]:[Dest Hav]]) +Rezone!M114 + IF("Ch_"&amp; home_land=TblConstr[[#Headers],[Ch_Forest]],TblConstr[[#This Row],[Home Land]])+IF(TblConstr[[#This Row],[Hour]:[Hour]]&gt;12,OFFSET(TblExplore[[#This Row],[Forest Explore]],-12,0),0)</f>
        <v>0</v>
      </c>
      <c r="CS114" s="390">
        <f ca="1">-SUM(TblConstr[[#This Row],[OM]:[GN]])+SUM(TblConstr[[#This Row],[Dest OM]:[Dest GN]]) +Rezone!N114 + IF("Ch_"&amp; home_land=TblConstr[[#Headers],[Ch_Mountain]],TblConstr[[#This Row],[Home Land]])+IF(TblConstr[[#This Row],[Hour]:[Hour]]&gt;12,OFFSET(TblExplore[[#This Row],[Mountain Explore]],-12,0),0)</f>
        <v>0</v>
      </c>
      <c r="CT114" s="191">
        <f ca="1">-SUM(TblConstr[[#This Row],[Fac]:[Shr]])+SUM(TblConstr[[#This Row],[Dest Fac]:[Dest Shr]]) +Rezone!O114 + IF("Ch_" &amp; home_land=TblConstr[[#Headers],[Ch_Hill]],TblConstr[[#This Row],[Home Land]])+IF(TblConstr[[#This Row],[Hour]:[Hour]]&gt;12,OFFSET(TblExplore[[#This Row],[Hill Explore]],-12,0),0)</f>
        <v>0</v>
      </c>
      <c r="CU114" s="192">
        <f ca="1">-SUM(TblConstr[[#This Row],[Tow]:[WG]])+SUM(TblConstr[[#This Row],[Dest Tow]:[Dest WG]]) +Rezone!P114 + IF("Ch_" &amp; home_land=TblConstr[[#Headers],[Ch_Swamp]],TblConstr[[#This Row],[Home Land]])+IF(TblConstr[[#This Row],[Hour]:[Hour]]&gt;12,OFFSET(TblExplore[[#This Row],[Swamp Explore]],-12,0),0)</f>
        <v>0</v>
      </c>
      <c r="CV114" s="193">
        <f ca="1" xml:space="preserve"> - SUM(TblConstr[[#This Row],[DM]:[Sch]])+SUM(TblConstr[[#This Row],[Dest DM]:[Dest Sch]]) +Rezone!Q114 + IF("Ch_" &amp; home_land=TblConstr[[#Headers],[Ch_Cavern]],TblConstr[[#This Row],[Home Land]])+IF(TblConstr[[#This Row],[Hour]:[Hour]]&gt;12,OFFSET(TblExplore[[#This Row],[Cavern Explore]],-12,0),0)</f>
        <v>0</v>
      </c>
      <c r="CW114" s="194">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50"/>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83">
        <f>TblRezone[[#This Row],[Hour]]</f>
        <v>112</v>
      </c>
      <c r="B115" s="184">
        <f ca="1">SUM(TblConstr[[#This Row],[Plain]:[Water]])</f>
        <v>160</v>
      </c>
      <c r="C115" s="185">
        <f ca="1">SUM(TblConstr[[#This Row],[Tot Hom]:[Tot Doc]])</f>
        <v>90</v>
      </c>
      <c r="D115" s="185">
        <f t="shared" si="21"/>
        <v>0</v>
      </c>
      <c r="E115" s="186"/>
      <c r="F115" s="62">
        <f ca="1">TblConstr[[#This Row],[Barren]]+TblConstr[[#This Row],[Buildings]]+TblConstr[[#This Row],[Incoming]]</f>
        <v>250</v>
      </c>
      <c r="G115" s="195">
        <f ca="1">OFFSET(TblConstr[[#This Row],[Plain]],-1,0)+TblConstr[[#This Row],[Ch_Plain]]</f>
        <v>40</v>
      </c>
      <c r="H115" s="190">
        <f ca="1">OFFSET(TblConstr[[#This Row],[Forest]],-1,0)+TblConstr[[#This Row],[Ch_Forest]]</f>
        <v>20</v>
      </c>
      <c r="I115" s="390">
        <f ca="1">OFFSET(TblConstr[[#This Row],[Mountain]],-1,0)+TblConstr[[#This Row],[Ch_Mountain]]</f>
        <v>20</v>
      </c>
      <c r="J115" s="394">
        <f ca="1">OFFSET(TblConstr[[#This Row],[Hill]],-1,0)+TblConstr[[#This Row],[Ch_Hill]]</f>
        <v>20</v>
      </c>
      <c r="K115" s="398">
        <f ca="1">OFFSET(TblConstr[[#This Row],[Swamp]],-1,0)+TblConstr[[#This Row],[Ch_Swamp]]</f>
        <v>20</v>
      </c>
      <c r="L115" s="193">
        <f ca="1">OFFSET(TblConstr[[#This Row],[Cavern]],-1,0)+TblConstr[[#This Row],[Ch_Cavern]]</f>
        <v>20</v>
      </c>
      <c r="M115" s="194">
        <f ca="1">OFFSET(TblConstr[[#This Row],[Water]],-1,0)+TblConstr[[#This Row],[Ch_Water]]</f>
        <v>20</v>
      </c>
      <c r="N115" s="388">
        <f>TblRezone[[#This Row],[Hour]]</f>
        <v>112</v>
      </c>
      <c r="O115" s="187"/>
      <c r="P115" s="187"/>
      <c r="Q115" s="187"/>
      <c r="R115" s="187"/>
      <c r="S115" s="187"/>
      <c r="T115" s="187"/>
      <c r="U115" s="187"/>
      <c r="V115" s="187"/>
      <c r="W115" s="187"/>
      <c r="X115" s="187"/>
      <c r="Y115" s="187"/>
      <c r="Z115" s="187"/>
      <c r="AA115" s="187"/>
      <c r="AB115" s="187"/>
      <c r="AC115" s="187"/>
      <c r="AD115" s="187"/>
      <c r="AE115" s="187"/>
      <c r="AF115" s="187"/>
      <c r="AG115" s="187"/>
      <c r="AH115" s="53">
        <f ca="1">TblImps[[#This Row],[Time]]</f>
        <v>44815.374999999731</v>
      </c>
      <c r="AI115" s="188">
        <f ca="1">MIN(25%,(TblConstr[[#This Row],[Tot Fac]]+TblConstr[[#This Row],[Dest Fac]])/(TblConstr[[#This Row],[Land]]-TblExplore[[#This Row],[Land Bonus]]*20))</f>
        <v>0</v>
      </c>
      <c r="AJ115" s="188">
        <f ca="1">MIN(25%,(TblConstr[[#This Row],[Tot Fac]]+TblConstr[[#This Row],[Dest Fac]])/TblConstr[[#This Row],[Land]])</f>
        <v>0</v>
      </c>
      <c r="AK115" s="97">
        <f ca="1">TblProd[[#This Row],[Platinum]]</f>
        <v>709824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50"/>
      <c r="AV115" s="97">
        <f ca="1">ROUND((TblConstr[[#This Row],[Land]]-250 - IF(TblExplore[[#This Row],[Land Bonus]]&lt;&gt;0,20,0))*1.25 + 850 + 0,0)</f>
        <v>850</v>
      </c>
      <c r="AW115" s="97">
        <f ca="1">ROUND((TblConstr[[#This Row],[Land]]-250 - IF(TblExplore[[#This Row],[Land Bonus]]&lt;&gt;0,20,0))*0.285 + 87.5 + 0/4.25,0)</f>
        <v>88</v>
      </c>
      <c r="AX115" s="162"/>
      <c r="AY115" s="196" cm="1">
        <f t="array" aca="1" ref="AY115" ca="1">IF(TblConstr[[#This Row],[Hour]:[Hour]]&gt;12,OFFSET(TblConstr[[#This Row],[Hom]],-12,0),0)+OFFSET(TblConstr[[#This Row],[Tot Hom]],-1,0)-TblConstr[[#This Row],[Dest Hom]]</f>
        <v>10</v>
      </c>
      <c r="AZ115" s="197" cm="1">
        <f t="array" aca="1" ref="AZ115" ca="1">IF(TblConstr[[#This Row],[Hour]:[Hour]]&gt;12,OFFSET(TblConstr[[#This Row],[Alc]],-12,0),0)+OFFSET(TblConstr[[#This Row],[Tot Alc]],-1,0)-TblConstr[[#This Row],[Dest Alc]]</f>
        <v>30</v>
      </c>
      <c r="BA115" s="197" cm="1">
        <f t="array" aca="1" ref="BA115" ca="1">IF(TblConstr[[#This Row],[Hour]:[Hour]]&gt;12,OFFSET(TblConstr[[#This Row],[Far]],-12,0),0)+OFFSET(TblConstr[[#This Row],[Tot Farm]],-1,0)-TblConstr[[#This Row],[Dest Farm]]</f>
        <v>30</v>
      </c>
      <c r="BB115" s="197" cm="1">
        <f t="array" aca="1" ref="BB115" ca="1">IF(TblConstr[[#This Row],[Hour]:[Hour]]&gt;12,OFFSET(TblConstr[[#This Row],[Smi]],-12,0),0)+OFFSET(TblConstr[[#This Row],[Tot Smi]],-1,0)-TblConstr[[#This Row],[Dest Smi]]</f>
        <v>0</v>
      </c>
      <c r="BC115" s="197" cm="1">
        <f t="array" aca="1" ref="BC115" ca="1">IF(TblConstr[[#This Row],[Hour]:[Hour]]&gt;12,OFFSET(TblConstr[[#This Row],[Mas]],-12,0),0)+OFFSET(TblConstr[[#This Row],[Tot Mas]],-1,0)-TblConstr[[#This Row],[Dest Mas]]</f>
        <v>0</v>
      </c>
      <c r="BD115" s="198" cm="1">
        <f t="array" aca="1" ref="BD115" ca="1">IF(TblConstr[[#This Row],[Hour]:[Hour]]&gt;12,OFFSET(TblConstr[[#This Row],[Ly]],-12,0),0)+OFFSET(TblConstr[[#This Row],[Tot Ly]],-1,0)-TblConstr[[#This Row],[Dest Ly]]</f>
        <v>20</v>
      </c>
      <c r="BE115" s="198" cm="1">
        <f t="array" aca="1" ref="BE115" ca="1">IF(TblConstr[[#This Row],[Hour]:[Hour]]&gt;12,OFFSET(TblConstr[[#This Row],[Hav]],-12,0),0)+OFFSET(TblConstr[[#This Row],[Tot Hav]],-1,0)-TblConstr[[#This Row],[Dest Hav]]</f>
        <v>0</v>
      </c>
      <c r="BF115" s="392" cm="1">
        <f t="array" aca="1" ref="BF115" ca="1">IF(TblConstr[[#This Row],[Hour]:[Hour]]&gt;12,OFFSET(TblConstr[[#This Row],[OM]],-12,0),0)+OFFSET(TblConstr[[#This Row],[Tot OM]],-1,0)-TblConstr[[#This Row],[Dest OM]]</f>
        <v>0</v>
      </c>
      <c r="BG115" s="392" cm="1">
        <f t="array" aca="1" ref="BG115" ca="1">IF(TblConstr[[#This Row],[Hour]:[Hour]]&gt;12,OFFSET(TblConstr[[#This Row],[GN]],-12,0),0)+OFFSET(TblConstr[[#This Row],[Tot GN]],-1,0)-TblConstr[[#This Row],[Dest GN]]</f>
        <v>0</v>
      </c>
      <c r="BH115" s="396" cm="1">
        <f t="array" aca="1" ref="BH115" ca="1">IF(TblConstr[[#This Row],[Hour]:[Hour]]&gt;12,OFFSET(TblConstr[[#This Row],[Fac]],-12,0),0)+OFFSET(TblConstr[[#This Row],[Tot Fac]],-1,0)-TblConstr[[#This Row],[Dest Fac]]</f>
        <v>0</v>
      </c>
      <c r="BI115" s="396" cm="1">
        <f t="array" aca="1" ref="BI115" ca="1">IF(TblConstr[[#This Row],[Hour]:[Hour]]&gt;12,OFFSET(TblConstr[[#This Row],[GT]],-12,0),0)+OFFSET(TblConstr[[#This Row],[Tot GT]],-1,0)-TblConstr[[#This Row],[Dest GT]]</f>
        <v>0</v>
      </c>
      <c r="BJ115" s="396" cm="1">
        <f t="array" aca="1" ref="BJ115" ca="1">IF(TblConstr[[#This Row],[Hour]:[Hour]]&gt;12,OFFSET(TblConstr[[#This Row],[Bar]],-12,0),0)+OFFSET(TblConstr[[#This Row],[Tot Bar]],-1,0)-TblConstr[[#This Row],[Dest Bar]]</f>
        <v>0</v>
      </c>
      <c r="BK115" s="396" cm="1">
        <f t="array" aca="1" ref="BK115" ca="1">IF(TblConstr[[#This Row],[Hour]:[Hour]]&gt;12,OFFSET(TblConstr[[#This Row],[Shr]],-12,0),0)+OFFSET(TblConstr[[#This Row],[Tot Shr]],-1,0)-TblConstr[[#This Row],[Dest Shr]]</f>
        <v>0</v>
      </c>
      <c r="BL115" s="400" cm="1">
        <f t="array" aca="1" ref="BL115" ca="1">IF(TblConstr[[#This Row],[Hour]:[Hour]]&gt;12,OFFSET(TblConstr[[#This Row],[Tow]],-12,0),0)+OFFSET(TblConstr[[#This Row],[Tot Tow]],-1,0)-TblConstr[[#This Row],[Dest Tow]]</f>
        <v>0</v>
      </c>
      <c r="BM115" s="400" cm="1">
        <f t="array" aca="1" ref="BM115" ca="1">IF(TblConstr[[#This Row],[Hour]:[Hour]]&gt;12,OFFSET(TblConstr[[#This Row],[Tem]],-12,0),0)+OFFSET(TblConstr[[#This Row],[Tot Tem]],-1,0)-TblConstr[[#This Row],[Dest Tem]]</f>
        <v>0</v>
      </c>
      <c r="BN115" s="400" cm="1">
        <f t="array" aca="1" ref="BN115" ca="1">IF(TblConstr[[#This Row],[Hour]:[Hour]]&gt;12,OFFSET(TblConstr[[#This Row],[WG]],-12,0),0)+OFFSET(TblConstr[[#This Row],[Tot WG]],-1,0)-TblConstr[[#This Row],[Dest WG]]</f>
        <v>0</v>
      </c>
      <c r="BO115" s="199" cm="1">
        <f t="array" aca="1" ref="BO115" ca="1">IF(TblConstr[[#This Row],[Hour]:[Hour]]&gt;12,OFFSET(TblConstr[[#This Row],[DM]],-12,0),0)+OFFSET(TblConstr[[#This Row],[Tot DM]],-1,0)-TblConstr[[#This Row],[Dest DM]]</f>
        <v>0</v>
      </c>
      <c r="BP115" s="199" cm="1">
        <f t="array" aca="1" ref="BP115" ca="1">IF(TblConstr[[#This Row],[Hour]:[Hour]]&gt;12,OFFSET(TblConstr[[#This Row],[Sch]],-12,0),0)+OFFSET(TblConstr[[#This Row],[Tot Sch]],-1,0)-TblConstr[[#This Row],[Dest Sch]]</f>
        <v>0</v>
      </c>
      <c r="BQ115" s="200" cm="1">
        <f t="array" aca="1" ref="BQ115" ca="1">IF(TblConstr[[#This Row],[Hour]:[Hour]]&gt;12,OFFSET(TblConstr[[#This Row],[Doc]],-12,0),0)+OFFSET(TblConstr[[#This Row],[Tot Doc]],-1,0)-TblConstr[[#This Row],[Dest Doc]]</f>
        <v>0</v>
      </c>
      <c r="BR115" s="150"/>
      <c r="BS115" s="162"/>
      <c r="BT115" s="97">
        <f ca="1">TblConstr[[#This Row],[Land]]</f>
        <v>250</v>
      </c>
      <c r="BU115" s="167">
        <f ca="1">TblImps[[#This Row],[Time]]</f>
        <v>44815.374999999731</v>
      </c>
      <c r="BV115" s="150"/>
      <c r="BW115" s="187"/>
      <c r="BX115" s="187"/>
      <c r="BY115" s="187"/>
      <c r="BZ115" s="187"/>
      <c r="CA115" s="187"/>
      <c r="CB115" s="187"/>
      <c r="CC115" s="187"/>
      <c r="CD115" s="187"/>
      <c r="CE115" s="187"/>
      <c r="CF115" s="187"/>
      <c r="CG115" s="187"/>
      <c r="CH115" s="187"/>
      <c r="CI115" s="187"/>
      <c r="CJ115" s="187"/>
      <c r="CK115" s="187"/>
      <c r="CL115" s="187"/>
      <c r="CM115" s="187"/>
      <c r="CN115" s="187"/>
      <c r="CO115" s="187"/>
      <c r="CP115" s="150"/>
      <c r="CQ115" s="189">
        <f ca="1">-SUM(TblConstr[[#This Row],[Alc]:[Mas]])+SUM(TblConstr[[#This Row],[Dest Alc]:[Dest Mas]])+Rezone!L115+IF("Ch_"&amp; home_land=TblConstr[[#Headers],[Ch_Plain]],TblConstr[[#This Row],[Home Land]])+IF(TblConstr[[#This Row],[Hour]:[Hour]]&gt;12,OFFSET(TblExplore[[#This Row],[Plains Explore]],-12,0),0)</f>
        <v>0</v>
      </c>
      <c r="CR115" s="190">
        <f ca="1">-SUM(TblConstr[[#This Row],[Ly]:[Hav]])+SUM(TblConstr[[#This Row],[Dest Ly]:[Dest Hav]]) +Rezone!M115 + IF("Ch_"&amp; home_land=TblConstr[[#Headers],[Ch_Forest]],TblConstr[[#This Row],[Home Land]])+IF(TblConstr[[#This Row],[Hour]:[Hour]]&gt;12,OFFSET(TblExplore[[#This Row],[Forest Explore]],-12,0),0)</f>
        <v>0</v>
      </c>
      <c r="CS115" s="390">
        <f ca="1">-SUM(TblConstr[[#This Row],[OM]:[GN]])+SUM(TblConstr[[#This Row],[Dest OM]:[Dest GN]]) +Rezone!N115 + IF("Ch_"&amp; home_land=TblConstr[[#Headers],[Ch_Mountain]],TblConstr[[#This Row],[Home Land]])+IF(TblConstr[[#This Row],[Hour]:[Hour]]&gt;12,OFFSET(TblExplore[[#This Row],[Mountain Explore]],-12,0),0)</f>
        <v>0</v>
      </c>
      <c r="CT115" s="191">
        <f ca="1">-SUM(TblConstr[[#This Row],[Fac]:[Shr]])+SUM(TblConstr[[#This Row],[Dest Fac]:[Dest Shr]]) +Rezone!O115 + IF("Ch_" &amp; home_land=TblConstr[[#Headers],[Ch_Hill]],TblConstr[[#This Row],[Home Land]])+IF(TblConstr[[#This Row],[Hour]:[Hour]]&gt;12,OFFSET(TblExplore[[#This Row],[Hill Explore]],-12,0),0)</f>
        <v>0</v>
      </c>
      <c r="CU115" s="192">
        <f ca="1">-SUM(TblConstr[[#This Row],[Tow]:[WG]])+SUM(TblConstr[[#This Row],[Dest Tow]:[Dest WG]]) +Rezone!P115 + IF("Ch_" &amp; home_land=TblConstr[[#Headers],[Ch_Swamp]],TblConstr[[#This Row],[Home Land]])+IF(TblConstr[[#This Row],[Hour]:[Hour]]&gt;12,OFFSET(TblExplore[[#This Row],[Swamp Explore]],-12,0),0)</f>
        <v>0</v>
      </c>
      <c r="CV115" s="193">
        <f ca="1" xml:space="preserve"> - SUM(TblConstr[[#This Row],[DM]:[Sch]])+SUM(TblConstr[[#This Row],[Dest DM]:[Dest Sch]]) +Rezone!Q115 + IF("Ch_" &amp; home_land=TblConstr[[#Headers],[Ch_Cavern]],TblConstr[[#This Row],[Home Land]])+IF(TblConstr[[#This Row],[Hour]:[Hour]]&gt;12,OFFSET(TblExplore[[#This Row],[Cavern Explore]],-12,0),0)</f>
        <v>0</v>
      </c>
      <c r="CW115" s="194">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50"/>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83">
        <f>TblRezone[[#This Row],[Hour]]</f>
        <v>113</v>
      </c>
      <c r="B116" s="184">
        <f ca="1">SUM(TblConstr[[#This Row],[Plain]:[Water]])</f>
        <v>160</v>
      </c>
      <c r="C116" s="185">
        <f ca="1">SUM(TblConstr[[#This Row],[Tot Hom]:[Tot Doc]])</f>
        <v>90</v>
      </c>
      <c r="D116" s="185">
        <f t="shared" si="21"/>
        <v>0</v>
      </c>
      <c r="E116" s="186"/>
      <c r="F116" s="62">
        <f ca="1">TblConstr[[#This Row],[Barren]]+TblConstr[[#This Row],[Buildings]]+TblConstr[[#This Row],[Incoming]]</f>
        <v>250</v>
      </c>
      <c r="G116" s="195">
        <f ca="1">OFFSET(TblConstr[[#This Row],[Plain]],-1,0)+TblConstr[[#This Row],[Ch_Plain]]</f>
        <v>40</v>
      </c>
      <c r="H116" s="190">
        <f ca="1">OFFSET(TblConstr[[#This Row],[Forest]],-1,0)+TblConstr[[#This Row],[Ch_Forest]]</f>
        <v>20</v>
      </c>
      <c r="I116" s="390">
        <f ca="1">OFFSET(TblConstr[[#This Row],[Mountain]],-1,0)+TblConstr[[#This Row],[Ch_Mountain]]</f>
        <v>20</v>
      </c>
      <c r="J116" s="394">
        <f ca="1">OFFSET(TblConstr[[#This Row],[Hill]],-1,0)+TblConstr[[#This Row],[Ch_Hill]]</f>
        <v>20</v>
      </c>
      <c r="K116" s="398">
        <f ca="1">OFFSET(TblConstr[[#This Row],[Swamp]],-1,0)+TblConstr[[#This Row],[Ch_Swamp]]</f>
        <v>20</v>
      </c>
      <c r="L116" s="193">
        <f ca="1">OFFSET(TblConstr[[#This Row],[Cavern]],-1,0)+TblConstr[[#This Row],[Ch_Cavern]]</f>
        <v>20</v>
      </c>
      <c r="M116" s="194">
        <f ca="1">OFFSET(TblConstr[[#This Row],[Water]],-1,0)+TblConstr[[#This Row],[Ch_Water]]</f>
        <v>20</v>
      </c>
      <c r="N116" s="388">
        <f>TblRezone[[#This Row],[Hour]]</f>
        <v>113</v>
      </c>
      <c r="O116" s="187"/>
      <c r="P116" s="187"/>
      <c r="Q116" s="187"/>
      <c r="R116" s="187"/>
      <c r="S116" s="187"/>
      <c r="T116" s="187"/>
      <c r="U116" s="187"/>
      <c r="V116" s="187"/>
      <c r="W116" s="187"/>
      <c r="X116" s="187"/>
      <c r="Y116" s="187"/>
      <c r="Z116" s="187"/>
      <c r="AA116" s="187"/>
      <c r="AB116" s="187"/>
      <c r="AC116" s="187"/>
      <c r="AD116" s="187"/>
      <c r="AE116" s="187"/>
      <c r="AF116" s="187"/>
      <c r="AG116" s="187"/>
      <c r="AH116" s="53">
        <f ca="1">TblImps[[#This Row],[Time]]</f>
        <v>44815.416666666395</v>
      </c>
      <c r="AI116" s="188">
        <f ca="1">MIN(25%,(TblConstr[[#This Row],[Tot Fac]]+TblConstr[[#This Row],[Dest Fac]])/(TblConstr[[#This Row],[Land]]-TblExplore[[#This Row],[Land Bonus]]*20))</f>
        <v>0</v>
      </c>
      <c r="AJ116" s="188">
        <f ca="1">MIN(25%,(TblConstr[[#This Row],[Tot Fac]]+TblConstr[[#This Row],[Dest Fac]])/TblConstr[[#This Row],[Land]])</f>
        <v>0</v>
      </c>
      <c r="AK116" s="97">
        <f ca="1">TblProd[[#This Row],[Platinum]]</f>
        <v>715310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50"/>
      <c r="AV116" s="97">
        <f ca="1">ROUND((TblConstr[[#This Row],[Land]]-250 - IF(TblExplore[[#This Row],[Land Bonus]]&lt;&gt;0,20,0))*1.25 + 850 + 0,0)</f>
        <v>850</v>
      </c>
      <c r="AW116" s="97">
        <f ca="1">ROUND((TblConstr[[#This Row],[Land]]-250 - IF(TblExplore[[#This Row],[Land Bonus]]&lt;&gt;0,20,0))*0.285 + 87.5 + 0/4.25,0)</f>
        <v>88</v>
      </c>
      <c r="AX116" s="162"/>
      <c r="AY116" s="196" cm="1">
        <f t="array" aca="1" ref="AY116" ca="1">IF(TblConstr[[#This Row],[Hour]:[Hour]]&gt;12,OFFSET(TblConstr[[#This Row],[Hom]],-12,0),0)+OFFSET(TblConstr[[#This Row],[Tot Hom]],-1,0)-TblConstr[[#This Row],[Dest Hom]]</f>
        <v>10</v>
      </c>
      <c r="AZ116" s="197" cm="1">
        <f t="array" aca="1" ref="AZ116" ca="1">IF(TblConstr[[#This Row],[Hour]:[Hour]]&gt;12,OFFSET(TblConstr[[#This Row],[Alc]],-12,0),0)+OFFSET(TblConstr[[#This Row],[Tot Alc]],-1,0)-TblConstr[[#This Row],[Dest Alc]]</f>
        <v>30</v>
      </c>
      <c r="BA116" s="197" cm="1">
        <f t="array" aca="1" ref="BA116" ca="1">IF(TblConstr[[#This Row],[Hour]:[Hour]]&gt;12,OFFSET(TblConstr[[#This Row],[Far]],-12,0),0)+OFFSET(TblConstr[[#This Row],[Tot Farm]],-1,0)-TblConstr[[#This Row],[Dest Farm]]</f>
        <v>30</v>
      </c>
      <c r="BB116" s="197" cm="1">
        <f t="array" aca="1" ref="BB116" ca="1">IF(TblConstr[[#This Row],[Hour]:[Hour]]&gt;12,OFFSET(TblConstr[[#This Row],[Smi]],-12,0),0)+OFFSET(TblConstr[[#This Row],[Tot Smi]],-1,0)-TblConstr[[#This Row],[Dest Smi]]</f>
        <v>0</v>
      </c>
      <c r="BC116" s="197" cm="1">
        <f t="array" aca="1" ref="BC116" ca="1">IF(TblConstr[[#This Row],[Hour]:[Hour]]&gt;12,OFFSET(TblConstr[[#This Row],[Mas]],-12,0),0)+OFFSET(TblConstr[[#This Row],[Tot Mas]],-1,0)-TblConstr[[#This Row],[Dest Mas]]</f>
        <v>0</v>
      </c>
      <c r="BD116" s="198" cm="1">
        <f t="array" aca="1" ref="BD116" ca="1">IF(TblConstr[[#This Row],[Hour]:[Hour]]&gt;12,OFFSET(TblConstr[[#This Row],[Ly]],-12,0),0)+OFFSET(TblConstr[[#This Row],[Tot Ly]],-1,0)-TblConstr[[#This Row],[Dest Ly]]</f>
        <v>20</v>
      </c>
      <c r="BE116" s="198" cm="1">
        <f t="array" aca="1" ref="BE116" ca="1">IF(TblConstr[[#This Row],[Hour]:[Hour]]&gt;12,OFFSET(TblConstr[[#This Row],[Hav]],-12,0),0)+OFFSET(TblConstr[[#This Row],[Tot Hav]],-1,0)-TblConstr[[#This Row],[Dest Hav]]</f>
        <v>0</v>
      </c>
      <c r="BF116" s="392" cm="1">
        <f t="array" aca="1" ref="BF116" ca="1">IF(TblConstr[[#This Row],[Hour]:[Hour]]&gt;12,OFFSET(TblConstr[[#This Row],[OM]],-12,0),0)+OFFSET(TblConstr[[#This Row],[Tot OM]],-1,0)-TblConstr[[#This Row],[Dest OM]]</f>
        <v>0</v>
      </c>
      <c r="BG116" s="392" cm="1">
        <f t="array" aca="1" ref="BG116" ca="1">IF(TblConstr[[#This Row],[Hour]:[Hour]]&gt;12,OFFSET(TblConstr[[#This Row],[GN]],-12,0),0)+OFFSET(TblConstr[[#This Row],[Tot GN]],-1,0)-TblConstr[[#This Row],[Dest GN]]</f>
        <v>0</v>
      </c>
      <c r="BH116" s="396" cm="1">
        <f t="array" aca="1" ref="BH116" ca="1">IF(TblConstr[[#This Row],[Hour]:[Hour]]&gt;12,OFFSET(TblConstr[[#This Row],[Fac]],-12,0),0)+OFFSET(TblConstr[[#This Row],[Tot Fac]],-1,0)-TblConstr[[#This Row],[Dest Fac]]</f>
        <v>0</v>
      </c>
      <c r="BI116" s="396" cm="1">
        <f t="array" aca="1" ref="BI116" ca="1">IF(TblConstr[[#This Row],[Hour]:[Hour]]&gt;12,OFFSET(TblConstr[[#This Row],[GT]],-12,0),0)+OFFSET(TblConstr[[#This Row],[Tot GT]],-1,0)-TblConstr[[#This Row],[Dest GT]]</f>
        <v>0</v>
      </c>
      <c r="BJ116" s="396" cm="1">
        <f t="array" aca="1" ref="BJ116" ca="1">IF(TblConstr[[#This Row],[Hour]:[Hour]]&gt;12,OFFSET(TblConstr[[#This Row],[Bar]],-12,0),0)+OFFSET(TblConstr[[#This Row],[Tot Bar]],-1,0)-TblConstr[[#This Row],[Dest Bar]]</f>
        <v>0</v>
      </c>
      <c r="BK116" s="396" cm="1">
        <f t="array" aca="1" ref="BK116" ca="1">IF(TblConstr[[#This Row],[Hour]:[Hour]]&gt;12,OFFSET(TblConstr[[#This Row],[Shr]],-12,0),0)+OFFSET(TblConstr[[#This Row],[Tot Shr]],-1,0)-TblConstr[[#This Row],[Dest Shr]]</f>
        <v>0</v>
      </c>
      <c r="BL116" s="400" cm="1">
        <f t="array" aca="1" ref="BL116" ca="1">IF(TblConstr[[#This Row],[Hour]:[Hour]]&gt;12,OFFSET(TblConstr[[#This Row],[Tow]],-12,0),0)+OFFSET(TblConstr[[#This Row],[Tot Tow]],-1,0)-TblConstr[[#This Row],[Dest Tow]]</f>
        <v>0</v>
      </c>
      <c r="BM116" s="400" cm="1">
        <f t="array" aca="1" ref="BM116" ca="1">IF(TblConstr[[#This Row],[Hour]:[Hour]]&gt;12,OFFSET(TblConstr[[#This Row],[Tem]],-12,0),0)+OFFSET(TblConstr[[#This Row],[Tot Tem]],-1,0)-TblConstr[[#This Row],[Dest Tem]]</f>
        <v>0</v>
      </c>
      <c r="BN116" s="400" cm="1">
        <f t="array" aca="1" ref="BN116" ca="1">IF(TblConstr[[#This Row],[Hour]:[Hour]]&gt;12,OFFSET(TblConstr[[#This Row],[WG]],-12,0),0)+OFFSET(TblConstr[[#This Row],[Tot WG]],-1,0)-TblConstr[[#This Row],[Dest WG]]</f>
        <v>0</v>
      </c>
      <c r="BO116" s="199" cm="1">
        <f t="array" aca="1" ref="BO116" ca="1">IF(TblConstr[[#This Row],[Hour]:[Hour]]&gt;12,OFFSET(TblConstr[[#This Row],[DM]],-12,0),0)+OFFSET(TblConstr[[#This Row],[Tot DM]],-1,0)-TblConstr[[#This Row],[Dest DM]]</f>
        <v>0</v>
      </c>
      <c r="BP116" s="199" cm="1">
        <f t="array" aca="1" ref="BP116" ca="1">IF(TblConstr[[#This Row],[Hour]:[Hour]]&gt;12,OFFSET(TblConstr[[#This Row],[Sch]],-12,0),0)+OFFSET(TblConstr[[#This Row],[Tot Sch]],-1,0)-TblConstr[[#This Row],[Dest Sch]]</f>
        <v>0</v>
      </c>
      <c r="BQ116" s="200" cm="1">
        <f t="array" aca="1" ref="BQ116" ca="1">IF(TblConstr[[#This Row],[Hour]:[Hour]]&gt;12,OFFSET(TblConstr[[#This Row],[Doc]],-12,0),0)+OFFSET(TblConstr[[#This Row],[Tot Doc]],-1,0)-TblConstr[[#This Row],[Dest Doc]]</f>
        <v>0</v>
      </c>
      <c r="BR116" s="150"/>
      <c r="BS116" s="162"/>
      <c r="BT116" s="97">
        <f ca="1">TblConstr[[#This Row],[Land]]</f>
        <v>250</v>
      </c>
      <c r="BU116" s="167">
        <f ca="1">TblImps[[#This Row],[Time]]</f>
        <v>44815.416666666395</v>
      </c>
      <c r="BV116" s="150"/>
      <c r="BW116" s="187"/>
      <c r="BX116" s="187"/>
      <c r="BY116" s="187"/>
      <c r="BZ116" s="187"/>
      <c r="CA116" s="187"/>
      <c r="CB116" s="187"/>
      <c r="CC116" s="187"/>
      <c r="CD116" s="187"/>
      <c r="CE116" s="187"/>
      <c r="CF116" s="187"/>
      <c r="CG116" s="187"/>
      <c r="CH116" s="187"/>
      <c r="CI116" s="187"/>
      <c r="CJ116" s="187"/>
      <c r="CK116" s="187"/>
      <c r="CL116" s="187"/>
      <c r="CM116" s="187"/>
      <c r="CN116" s="187"/>
      <c r="CO116" s="187"/>
      <c r="CP116" s="150"/>
      <c r="CQ116" s="189">
        <f ca="1">-SUM(TblConstr[[#This Row],[Alc]:[Mas]])+SUM(TblConstr[[#This Row],[Dest Alc]:[Dest Mas]])+Rezone!L116+IF("Ch_"&amp; home_land=TblConstr[[#Headers],[Ch_Plain]],TblConstr[[#This Row],[Home Land]])+IF(TblConstr[[#This Row],[Hour]:[Hour]]&gt;12,OFFSET(TblExplore[[#This Row],[Plains Explore]],-12,0),0)</f>
        <v>0</v>
      </c>
      <c r="CR116" s="190">
        <f ca="1">-SUM(TblConstr[[#This Row],[Ly]:[Hav]])+SUM(TblConstr[[#This Row],[Dest Ly]:[Dest Hav]]) +Rezone!M116 + IF("Ch_"&amp; home_land=TblConstr[[#Headers],[Ch_Forest]],TblConstr[[#This Row],[Home Land]])+IF(TblConstr[[#This Row],[Hour]:[Hour]]&gt;12,OFFSET(TblExplore[[#This Row],[Forest Explore]],-12,0),0)</f>
        <v>0</v>
      </c>
      <c r="CS116" s="390">
        <f ca="1">-SUM(TblConstr[[#This Row],[OM]:[GN]])+SUM(TblConstr[[#This Row],[Dest OM]:[Dest GN]]) +Rezone!N116 + IF("Ch_"&amp; home_land=TblConstr[[#Headers],[Ch_Mountain]],TblConstr[[#This Row],[Home Land]])+IF(TblConstr[[#This Row],[Hour]:[Hour]]&gt;12,OFFSET(TblExplore[[#This Row],[Mountain Explore]],-12,0),0)</f>
        <v>0</v>
      </c>
      <c r="CT116" s="191">
        <f ca="1">-SUM(TblConstr[[#This Row],[Fac]:[Shr]])+SUM(TblConstr[[#This Row],[Dest Fac]:[Dest Shr]]) +Rezone!O116 + IF("Ch_" &amp; home_land=TblConstr[[#Headers],[Ch_Hill]],TblConstr[[#This Row],[Home Land]])+IF(TblConstr[[#This Row],[Hour]:[Hour]]&gt;12,OFFSET(TblExplore[[#This Row],[Hill Explore]],-12,0),0)</f>
        <v>0</v>
      </c>
      <c r="CU116" s="192">
        <f ca="1">-SUM(TblConstr[[#This Row],[Tow]:[WG]])+SUM(TblConstr[[#This Row],[Dest Tow]:[Dest WG]]) +Rezone!P116 + IF("Ch_" &amp; home_land=TblConstr[[#Headers],[Ch_Swamp]],TblConstr[[#This Row],[Home Land]])+IF(TblConstr[[#This Row],[Hour]:[Hour]]&gt;12,OFFSET(TblExplore[[#This Row],[Swamp Explore]],-12,0),0)</f>
        <v>0</v>
      </c>
      <c r="CV116" s="193">
        <f ca="1" xml:space="preserve"> - SUM(TblConstr[[#This Row],[DM]:[Sch]])+SUM(TblConstr[[#This Row],[Dest DM]:[Dest Sch]]) +Rezone!Q116 + IF("Ch_" &amp; home_land=TblConstr[[#Headers],[Ch_Cavern]],TblConstr[[#This Row],[Home Land]])+IF(TblConstr[[#This Row],[Hour]:[Hour]]&gt;12,OFFSET(TblExplore[[#This Row],[Cavern Explore]],-12,0),0)</f>
        <v>0</v>
      </c>
      <c r="CW116" s="194">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50"/>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83">
        <f>TblRezone[[#This Row],[Hour]]</f>
        <v>114</v>
      </c>
      <c r="B117" s="184">
        <f ca="1">SUM(TblConstr[[#This Row],[Plain]:[Water]])</f>
        <v>160</v>
      </c>
      <c r="C117" s="185">
        <f ca="1">SUM(TblConstr[[#This Row],[Tot Hom]:[Tot Doc]])</f>
        <v>90</v>
      </c>
      <c r="D117" s="185">
        <f t="shared" si="21"/>
        <v>0</v>
      </c>
      <c r="E117" s="186"/>
      <c r="F117" s="62">
        <f ca="1">TblConstr[[#This Row],[Barren]]+TblConstr[[#This Row],[Buildings]]+TblConstr[[#This Row],[Incoming]]</f>
        <v>250</v>
      </c>
      <c r="G117" s="195">
        <f ca="1">OFFSET(TblConstr[[#This Row],[Plain]],-1,0)+TblConstr[[#This Row],[Ch_Plain]]</f>
        <v>40</v>
      </c>
      <c r="H117" s="190">
        <f ca="1">OFFSET(TblConstr[[#This Row],[Forest]],-1,0)+TblConstr[[#This Row],[Ch_Forest]]</f>
        <v>20</v>
      </c>
      <c r="I117" s="390">
        <f ca="1">OFFSET(TblConstr[[#This Row],[Mountain]],-1,0)+TblConstr[[#This Row],[Ch_Mountain]]</f>
        <v>20</v>
      </c>
      <c r="J117" s="394">
        <f ca="1">OFFSET(TblConstr[[#This Row],[Hill]],-1,0)+TblConstr[[#This Row],[Ch_Hill]]</f>
        <v>20</v>
      </c>
      <c r="K117" s="398">
        <f ca="1">OFFSET(TblConstr[[#This Row],[Swamp]],-1,0)+TblConstr[[#This Row],[Ch_Swamp]]</f>
        <v>20</v>
      </c>
      <c r="L117" s="193">
        <f ca="1">OFFSET(TblConstr[[#This Row],[Cavern]],-1,0)+TblConstr[[#This Row],[Ch_Cavern]]</f>
        <v>20</v>
      </c>
      <c r="M117" s="194">
        <f ca="1">OFFSET(TblConstr[[#This Row],[Water]],-1,0)+TblConstr[[#This Row],[Ch_Water]]</f>
        <v>20</v>
      </c>
      <c r="N117" s="388">
        <f>TblRezone[[#This Row],[Hour]]</f>
        <v>114</v>
      </c>
      <c r="O117" s="187"/>
      <c r="P117" s="187"/>
      <c r="Q117" s="187"/>
      <c r="R117" s="187"/>
      <c r="S117" s="187"/>
      <c r="T117" s="187"/>
      <c r="U117" s="187"/>
      <c r="V117" s="187"/>
      <c r="W117" s="187"/>
      <c r="X117" s="187"/>
      <c r="Y117" s="187"/>
      <c r="Z117" s="187"/>
      <c r="AA117" s="187"/>
      <c r="AB117" s="187"/>
      <c r="AC117" s="187"/>
      <c r="AD117" s="187"/>
      <c r="AE117" s="187"/>
      <c r="AF117" s="187"/>
      <c r="AG117" s="187"/>
      <c r="AH117" s="53">
        <f ca="1">TblImps[[#This Row],[Time]]</f>
        <v>44815.458333333059</v>
      </c>
      <c r="AI117" s="188">
        <f ca="1">MIN(25%,(TblConstr[[#This Row],[Tot Fac]]+TblConstr[[#This Row],[Dest Fac]])/(TblConstr[[#This Row],[Land]]-TblExplore[[#This Row],[Land Bonus]]*20))</f>
        <v>0</v>
      </c>
      <c r="AJ117" s="188">
        <f ca="1">MIN(25%,(TblConstr[[#This Row],[Tot Fac]]+TblConstr[[#This Row],[Dest Fac]])/TblConstr[[#This Row],[Land]])</f>
        <v>0</v>
      </c>
      <c r="AK117" s="97">
        <f ca="1">TblProd[[#This Row],[Platinum]]</f>
        <v>720796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50"/>
      <c r="AV117" s="97">
        <f ca="1">ROUND((TblConstr[[#This Row],[Land]]-250 - IF(TblExplore[[#This Row],[Land Bonus]]&lt;&gt;0,20,0))*1.25 + 850 + 0,0)</f>
        <v>850</v>
      </c>
      <c r="AW117" s="97">
        <f ca="1">ROUND((TblConstr[[#This Row],[Land]]-250 - IF(TblExplore[[#This Row],[Land Bonus]]&lt;&gt;0,20,0))*0.285 + 87.5 + 0/4.25,0)</f>
        <v>88</v>
      </c>
      <c r="AX117" s="162"/>
      <c r="AY117" s="196" cm="1">
        <f t="array" aca="1" ref="AY117" ca="1">IF(TblConstr[[#This Row],[Hour]:[Hour]]&gt;12,OFFSET(TblConstr[[#This Row],[Hom]],-12,0),0)+OFFSET(TblConstr[[#This Row],[Tot Hom]],-1,0)-TblConstr[[#This Row],[Dest Hom]]</f>
        <v>10</v>
      </c>
      <c r="AZ117" s="197" cm="1">
        <f t="array" aca="1" ref="AZ117" ca="1">IF(TblConstr[[#This Row],[Hour]:[Hour]]&gt;12,OFFSET(TblConstr[[#This Row],[Alc]],-12,0),0)+OFFSET(TblConstr[[#This Row],[Tot Alc]],-1,0)-TblConstr[[#This Row],[Dest Alc]]</f>
        <v>30</v>
      </c>
      <c r="BA117" s="197" cm="1">
        <f t="array" aca="1" ref="BA117" ca="1">IF(TblConstr[[#This Row],[Hour]:[Hour]]&gt;12,OFFSET(TblConstr[[#This Row],[Far]],-12,0),0)+OFFSET(TblConstr[[#This Row],[Tot Farm]],-1,0)-TblConstr[[#This Row],[Dest Farm]]</f>
        <v>30</v>
      </c>
      <c r="BB117" s="197" cm="1">
        <f t="array" aca="1" ref="BB117" ca="1">IF(TblConstr[[#This Row],[Hour]:[Hour]]&gt;12,OFFSET(TblConstr[[#This Row],[Smi]],-12,0),0)+OFFSET(TblConstr[[#This Row],[Tot Smi]],-1,0)-TblConstr[[#This Row],[Dest Smi]]</f>
        <v>0</v>
      </c>
      <c r="BC117" s="197" cm="1">
        <f t="array" aca="1" ref="BC117" ca="1">IF(TblConstr[[#This Row],[Hour]:[Hour]]&gt;12,OFFSET(TblConstr[[#This Row],[Mas]],-12,0),0)+OFFSET(TblConstr[[#This Row],[Tot Mas]],-1,0)-TblConstr[[#This Row],[Dest Mas]]</f>
        <v>0</v>
      </c>
      <c r="BD117" s="198" cm="1">
        <f t="array" aca="1" ref="BD117" ca="1">IF(TblConstr[[#This Row],[Hour]:[Hour]]&gt;12,OFFSET(TblConstr[[#This Row],[Ly]],-12,0),0)+OFFSET(TblConstr[[#This Row],[Tot Ly]],-1,0)-TblConstr[[#This Row],[Dest Ly]]</f>
        <v>20</v>
      </c>
      <c r="BE117" s="198" cm="1">
        <f t="array" aca="1" ref="BE117" ca="1">IF(TblConstr[[#This Row],[Hour]:[Hour]]&gt;12,OFFSET(TblConstr[[#This Row],[Hav]],-12,0),0)+OFFSET(TblConstr[[#This Row],[Tot Hav]],-1,0)-TblConstr[[#This Row],[Dest Hav]]</f>
        <v>0</v>
      </c>
      <c r="BF117" s="392" cm="1">
        <f t="array" aca="1" ref="BF117" ca="1">IF(TblConstr[[#This Row],[Hour]:[Hour]]&gt;12,OFFSET(TblConstr[[#This Row],[OM]],-12,0),0)+OFFSET(TblConstr[[#This Row],[Tot OM]],-1,0)-TblConstr[[#This Row],[Dest OM]]</f>
        <v>0</v>
      </c>
      <c r="BG117" s="392" cm="1">
        <f t="array" aca="1" ref="BG117" ca="1">IF(TblConstr[[#This Row],[Hour]:[Hour]]&gt;12,OFFSET(TblConstr[[#This Row],[GN]],-12,0),0)+OFFSET(TblConstr[[#This Row],[Tot GN]],-1,0)-TblConstr[[#This Row],[Dest GN]]</f>
        <v>0</v>
      </c>
      <c r="BH117" s="396" cm="1">
        <f t="array" aca="1" ref="BH117" ca="1">IF(TblConstr[[#This Row],[Hour]:[Hour]]&gt;12,OFFSET(TblConstr[[#This Row],[Fac]],-12,0),0)+OFFSET(TblConstr[[#This Row],[Tot Fac]],-1,0)-TblConstr[[#This Row],[Dest Fac]]</f>
        <v>0</v>
      </c>
      <c r="BI117" s="396" cm="1">
        <f t="array" aca="1" ref="BI117" ca="1">IF(TblConstr[[#This Row],[Hour]:[Hour]]&gt;12,OFFSET(TblConstr[[#This Row],[GT]],-12,0),0)+OFFSET(TblConstr[[#This Row],[Tot GT]],-1,0)-TblConstr[[#This Row],[Dest GT]]</f>
        <v>0</v>
      </c>
      <c r="BJ117" s="396" cm="1">
        <f t="array" aca="1" ref="BJ117" ca="1">IF(TblConstr[[#This Row],[Hour]:[Hour]]&gt;12,OFFSET(TblConstr[[#This Row],[Bar]],-12,0),0)+OFFSET(TblConstr[[#This Row],[Tot Bar]],-1,0)-TblConstr[[#This Row],[Dest Bar]]</f>
        <v>0</v>
      </c>
      <c r="BK117" s="396" cm="1">
        <f t="array" aca="1" ref="BK117" ca="1">IF(TblConstr[[#This Row],[Hour]:[Hour]]&gt;12,OFFSET(TblConstr[[#This Row],[Shr]],-12,0),0)+OFFSET(TblConstr[[#This Row],[Tot Shr]],-1,0)-TblConstr[[#This Row],[Dest Shr]]</f>
        <v>0</v>
      </c>
      <c r="BL117" s="400" cm="1">
        <f t="array" aca="1" ref="BL117" ca="1">IF(TblConstr[[#This Row],[Hour]:[Hour]]&gt;12,OFFSET(TblConstr[[#This Row],[Tow]],-12,0),0)+OFFSET(TblConstr[[#This Row],[Tot Tow]],-1,0)-TblConstr[[#This Row],[Dest Tow]]</f>
        <v>0</v>
      </c>
      <c r="BM117" s="400" cm="1">
        <f t="array" aca="1" ref="BM117" ca="1">IF(TblConstr[[#This Row],[Hour]:[Hour]]&gt;12,OFFSET(TblConstr[[#This Row],[Tem]],-12,0),0)+OFFSET(TblConstr[[#This Row],[Tot Tem]],-1,0)-TblConstr[[#This Row],[Dest Tem]]</f>
        <v>0</v>
      </c>
      <c r="BN117" s="400" cm="1">
        <f t="array" aca="1" ref="BN117" ca="1">IF(TblConstr[[#This Row],[Hour]:[Hour]]&gt;12,OFFSET(TblConstr[[#This Row],[WG]],-12,0),0)+OFFSET(TblConstr[[#This Row],[Tot WG]],-1,0)-TblConstr[[#This Row],[Dest WG]]</f>
        <v>0</v>
      </c>
      <c r="BO117" s="199" cm="1">
        <f t="array" aca="1" ref="BO117" ca="1">IF(TblConstr[[#This Row],[Hour]:[Hour]]&gt;12,OFFSET(TblConstr[[#This Row],[DM]],-12,0),0)+OFFSET(TblConstr[[#This Row],[Tot DM]],-1,0)-TblConstr[[#This Row],[Dest DM]]</f>
        <v>0</v>
      </c>
      <c r="BP117" s="199" cm="1">
        <f t="array" aca="1" ref="BP117" ca="1">IF(TblConstr[[#This Row],[Hour]:[Hour]]&gt;12,OFFSET(TblConstr[[#This Row],[Sch]],-12,0),0)+OFFSET(TblConstr[[#This Row],[Tot Sch]],-1,0)-TblConstr[[#This Row],[Dest Sch]]</f>
        <v>0</v>
      </c>
      <c r="BQ117" s="200" cm="1">
        <f t="array" aca="1" ref="BQ117" ca="1">IF(TblConstr[[#This Row],[Hour]:[Hour]]&gt;12,OFFSET(TblConstr[[#This Row],[Doc]],-12,0),0)+OFFSET(TblConstr[[#This Row],[Tot Doc]],-1,0)-TblConstr[[#This Row],[Dest Doc]]</f>
        <v>0</v>
      </c>
      <c r="BR117" s="150"/>
      <c r="BS117" s="162"/>
      <c r="BT117" s="97">
        <f ca="1">TblConstr[[#This Row],[Land]]</f>
        <v>250</v>
      </c>
      <c r="BU117" s="167">
        <f ca="1">TblImps[[#This Row],[Time]]</f>
        <v>44815.458333333059</v>
      </c>
      <c r="BV117" s="150"/>
      <c r="BW117" s="187"/>
      <c r="BX117" s="187"/>
      <c r="BY117" s="187"/>
      <c r="BZ117" s="187"/>
      <c r="CA117" s="187"/>
      <c r="CB117" s="187"/>
      <c r="CC117" s="187"/>
      <c r="CD117" s="187"/>
      <c r="CE117" s="187"/>
      <c r="CF117" s="187"/>
      <c r="CG117" s="187"/>
      <c r="CH117" s="187"/>
      <c r="CI117" s="187"/>
      <c r="CJ117" s="187"/>
      <c r="CK117" s="187"/>
      <c r="CL117" s="187"/>
      <c r="CM117" s="187"/>
      <c r="CN117" s="187"/>
      <c r="CO117" s="187"/>
      <c r="CP117" s="150"/>
      <c r="CQ117" s="189">
        <f ca="1">-SUM(TblConstr[[#This Row],[Alc]:[Mas]])+SUM(TblConstr[[#This Row],[Dest Alc]:[Dest Mas]])+Rezone!L117+IF("Ch_"&amp; home_land=TblConstr[[#Headers],[Ch_Plain]],TblConstr[[#This Row],[Home Land]])+IF(TblConstr[[#This Row],[Hour]:[Hour]]&gt;12,OFFSET(TblExplore[[#This Row],[Plains Explore]],-12,0),0)</f>
        <v>0</v>
      </c>
      <c r="CR117" s="190">
        <f ca="1">-SUM(TblConstr[[#This Row],[Ly]:[Hav]])+SUM(TblConstr[[#This Row],[Dest Ly]:[Dest Hav]]) +Rezone!M117 + IF("Ch_"&amp; home_land=TblConstr[[#Headers],[Ch_Forest]],TblConstr[[#This Row],[Home Land]])+IF(TblConstr[[#This Row],[Hour]:[Hour]]&gt;12,OFFSET(TblExplore[[#This Row],[Forest Explore]],-12,0),0)</f>
        <v>0</v>
      </c>
      <c r="CS117" s="390">
        <f ca="1">-SUM(TblConstr[[#This Row],[OM]:[GN]])+SUM(TblConstr[[#This Row],[Dest OM]:[Dest GN]]) +Rezone!N117 + IF("Ch_"&amp; home_land=TblConstr[[#Headers],[Ch_Mountain]],TblConstr[[#This Row],[Home Land]])+IF(TblConstr[[#This Row],[Hour]:[Hour]]&gt;12,OFFSET(TblExplore[[#This Row],[Mountain Explore]],-12,0),0)</f>
        <v>0</v>
      </c>
      <c r="CT117" s="191">
        <f ca="1">-SUM(TblConstr[[#This Row],[Fac]:[Shr]])+SUM(TblConstr[[#This Row],[Dest Fac]:[Dest Shr]]) +Rezone!O117 + IF("Ch_" &amp; home_land=TblConstr[[#Headers],[Ch_Hill]],TblConstr[[#This Row],[Home Land]])+IF(TblConstr[[#This Row],[Hour]:[Hour]]&gt;12,OFFSET(TblExplore[[#This Row],[Hill Explore]],-12,0),0)</f>
        <v>0</v>
      </c>
      <c r="CU117" s="192">
        <f ca="1">-SUM(TblConstr[[#This Row],[Tow]:[WG]])+SUM(TblConstr[[#This Row],[Dest Tow]:[Dest WG]]) +Rezone!P117 + IF("Ch_" &amp; home_land=TblConstr[[#Headers],[Ch_Swamp]],TblConstr[[#This Row],[Home Land]])+IF(TblConstr[[#This Row],[Hour]:[Hour]]&gt;12,OFFSET(TblExplore[[#This Row],[Swamp Explore]],-12,0),0)</f>
        <v>0</v>
      </c>
      <c r="CV117" s="193">
        <f ca="1" xml:space="preserve"> - SUM(TblConstr[[#This Row],[DM]:[Sch]])+SUM(TblConstr[[#This Row],[Dest DM]:[Dest Sch]]) +Rezone!Q117 + IF("Ch_" &amp; home_land=TblConstr[[#Headers],[Ch_Cavern]],TblConstr[[#This Row],[Home Land]])+IF(TblConstr[[#This Row],[Hour]:[Hour]]&gt;12,OFFSET(TblExplore[[#This Row],[Cavern Explore]],-12,0),0)</f>
        <v>0</v>
      </c>
      <c r="CW117" s="194">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50"/>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83">
        <f>TblRezone[[#This Row],[Hour]]</f>
        <v>115</v>
      </c>
      <c r="B118" s="184">
        <f ca="1">SUM(TblConstr[[#This Row],[Plain]:[Water]])</f>
        <v>160</v>
      </c>
      <c r="C118" s="185">
        <f ca="1">SUM(TblConstr[[#This Row],[Tot Hom]:[Tot Doc]])</f>
        <v>90</v>
      </c>
      <c r="D118" s="185">
        <f t="shared" si="21"/>
        <v>0</v>
      </c>
      <c r="E118" s="186"/>
      <c r="F118" s="62">
        <f ca="1">TblConstr[[#This Row],[Barren]]+TblConstr[[#This Row],[Buildings]]+TblConstr[[#This Row],[Incoming]]</f>
        <v>250</v>
      </c>
      <c r="G118" s="195">
        <f ca="1">OFFSET(TblConstr[[#This Row],[Plain]],-1,0)+TblConstr[[#This Row],[Ch_Plain]]</f>
        <v>40</v>
      </c>
      <c r="H118" s="190">
        <f ca="1">OFFSET(TblConstr[[#This Row],[Forest]],-1,0)+TblConstr[[#This Row],[Ch_Forest]]</f>
        <v>20</v>
      </c>
      <c r="I118" s="390">
        <f ca="1">OFFSET(TblConstr[[#This Row],[Mountain]],-1,0)+TblConstr[[#This Row],[Ch_Mountain]]</f>
        <v>20</v>
      </c>
      <c r="J118" s="394">
        <f ca="1">OFFSET(TblConstr[[#This Row],[Hill]],-1,0)+TblConstr[[#This Row],[Ch_Hill]]</f>
        <v>20</v>
      </c>
      <c r="K118" s="398">
        <f ca="1">OFFSET(TblConstr[[#This Row],[Swamp]],-1,0)+TblConstr[[#This Row],[Ch_Swamp]]</f>
        <v>20</v>
      </c>
      <c r="L118" s="193">
        <f ca="1">OFFSET(TblConstr[[#This Row],[Cavern]],-1,0)+TblConstr[[#This Row],[Ch_Cavern]]</f>
        <v>20</v>
      </c>
      <c r="M118" s="194">
        <f ca="1">OFFSET(TblConstr[[#This Row],[Water]],-1,0)+TblConstr[[#This Row],[Ch_Water]]</f>
        <v>20</v>
      </c>
      <c r="N118" s="388">
        <f>TblRezone[[#This Row],[Hour]]</f>
        <v>115</v>
      </c>
      <c r="O118" s="187"/>
      <c r="P118" s="187"/>
      <c r="Q118" s="187"/>
      <c r="R118" s="187"/>
      <c r="S118" s="187"/>
      <c r="T118" s="187"/>
      <c r="U118" s="187"/>
      <c r="V118" s="187"/>
      <c r="W118" s="187"/>
      <c r="X118" s="187"/>
      <c r="Y118" s="187"/>
      <c r="Z118" s="187"/>
      <c r="AA118" s="187"/>
      <c r="AB118" s="187"/>
      <c r="AC118" s="187"/>
      <c r="AD118" s="187"/>
      <c r="AE118" s="187"/>
      <c r="AF118" s="187"/>
      <c r="AG118" s="187"/>
      <c r="AH118" s="53">
        <f ca="1">TblImps[[#This Row],[Time]]</f>
        <v>44815.499999999724</v>
      </c>
      <c r="AI118" s="188">
        <f ca="1">MIN(25%,(TblConstr[[#This Row],[Tot Fac]]+TblConstr[[#This Row],[Dest Fac]])/(TblConstr[[#This Row],[Land]]-TblExplore[[#This Row],[Land Bonus]]*20))</f>
        <v>0</v>
      </c>
      <c r="AJ118" s="188">
        <f ca="1">MIN(25%,(TblConstr[[#This Row],[Tot Fac]]+TblConstr[[#This Row],[Dest Fac]])/TblConstr[[#This Row],[Land]])</f>
        <v>0</v>
      </c>
      <c r="AK118" s="97">
        <f ca="1">TblProd[[#This Row],[Platinum]]</f>
        <v>726282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50"/>
      <c r="AV118" s="97">
        <f ca="1">ROUND((TblConstr[[#This Row],[Land]]-250 - IF(TblExplore[[#This Row],[Land Bonus]]&lt;&gt;0,20,0))*1.25 + 850 + 0,0)</f>
        <v>850</v>
      </c>
      <c r="AW118" s="97">
        <f ca="1">ROUND((TblConstr[[#This Row],[Land]]-250 - IF(TblExplore[[#This Row],[Land Bonus]]&lt;&gt;0,20,0))*0.285 + 87.5 + 0/4.25,0)</f>
        <v>88</v>
      </c>
      <c r="AX118" s="162"/>
      <c r="AY118" s="196" cm="1">
        <f t="array" aca="1" ref="AY118" ca="1">IF(TblConstr[[#This Row],[Hour]:[Hour]]&gt;12,OFFSET(TblConstr[[#This Row],[Hom]],-12,0),0)+OFFSET(TblConstr[[#This Row],[Tot Hom]],-1,0)-TblConstr[[#This Row],[Dest Hom]]</f>
        <v>10</v>
      </c>
      <c r="AZ118" s="197" cm="1">
        <f t="array" aca="1" ref="AZ118" ca="1">IF(TblConstr[[#This Row],[Hour]:[Hour]]&gt;12,OFFSET(TblConstr[[#This Row],[Alc]],-12,0),0)+OFFSET(TblConstr[[#This Row],[Tot Alc]],-1,0)-TblConstr[[#This Row],[Dest Alc]]</f>
        <v>30</v>
      </c>
      <c r="BA118" s="197" cm="1">
        <f t="array" aca="1" ref="BA118" ca="1">IF(TblConstr[[#This Row],[Hour]:[Hour]]&gt;12,OFFSET(TblConstr[[#This Row],[Far]],-12,0),0)+OFFSET(TblConstr[[#This Row],[Tot Farm]],-1,0)-TblConstr[[#This Row],[Dest Farm]]</f>
        <v>30</v>
      </c>
      <c r="BB118" s="197" cm="1">
        <f t="array" aca="1" ref="BB118" ca="1">IF(TblConstr[[#This Row],[Hour]:[Hour]]&gt;12,OFFSET(TblConstr[[#This Row],[Smi]],-12,0),0)+OFFSET(TblConstr[[#This Row],[Tot Smi]],-1,0)-TblConstr[[#This Row],[Dest Smi]]</f>
        <v>0</v>
      </c>
      <c r="BC118" s="197" cm="1">
        <f t="array" aca="1" ref="BC118" ca="1">IF(TblConstr[[#This Row],[Hour]:[Hour]]&gt;12,OFFSET(TblConstr[[#This Row],[Mas]],-12,0),0)+OFFSET(TblConstr[[#This Row],[Tot Mas]],-1,0)-TblConstr[[#This Row],[Dest Mas]]</f>
        <v>0</v>
      </c>
      <c r="BD118" s="198" cm="1">
        <f t="array" aca="1" ref="BD118" ca="1">IF(TblConstr[[#This Row],[Hour]:[Hour]]&gt;12,OFFSET(TblConstr[[#This Row],[Ly]],-12,0),0)+OFFSET(TblConstr[[#This Row],[Tot Ly]],-1,0)-TblConstr[[#This Row],[Dest Ly]]</f>
        <v>20</v>
      </c>
      <c r="BE118" s="198" cm="1">
        <f t="array" aca="1" ref="BE118" ca="1">IF(TblConstr[[#This Row],[Hour]:[Hour]]&gt;12,OFFSET(TblConstr[[#This Row],[Hav]],-12,0),0)+OFFSET(TblConstr[[#This Row],[Tot Hav]],-1,0)-TblConstr[[#This Row],[Dest Hav]]</f>
        <v>0</v>
      </c>
      <c r="BF118" s="392" cm="1">
        <f t="array" aca="1" ref="BF118" ca="1">IF(TblConstr[[#This Row],[Hour]:[Hour]]&gt;12,OFFSET(TblConstr[[#This Row],[OM]],-12,0),0)+OFFSET(TblConstr[[#This Row],[Tot OM]],-1,0)-TblConstr[[#This Row],[Dest OM]]</f>
        <v>0</v>
      </c>
      <c r="BG118" s="392" cm="1">
        <f t="array" aca="1" ref="BG118" ca="1">IF(TblConstr[[#This Row],[Hour]:[Hour]]&gt;12,OFFSET(TblConstr[[#This Row],[GN]],-12,0),0)+OFFSET(TblConstr[[#This Row],[Tot GN]],-1,0)-TblConstr[[#This Row],[Dest GN]]</f>
        <v>0</v>
      </c>
      <c r="BH118" s="396" cm="1">
        <f t="array" aca="1" ref="BH118" ca="1">IF(TblConstr[[#This Row],[Hour]:[Hour]]&gt;12,OFFSET(TblConstr[[#This Row],[Fac]],-12,0),0)+OFFSET(TblConstr[[#This Row],[Tot Fac]],-1,0)-TblConstr[[#This Row],[Dest Fac]]</f>
        <v>0</v>
      </c>
      <c r="BI118" s="396" cm="1">
        <f t="array" aca="1" ref="BI118" ca="1">IF(TblConstr[[#This Row],[Hour]:[Hour]]&gt;12,OFFSET(TblConstr[[#This Row],[GT]],-12,0),0)+OFFSET(TblConstr[[#This Row],[Tot GT]],-1,0)-TblConstr[[#This Row],[Dest GT]]</f>
        <v>0</v>
      </c>
      <c r="BJ118" s="396" cm="1">
        <f t="array" aca="1" ref="BJ118" ca="1">IF(TblConstr[[#This Row],[Hour]:[Hour]]&gt;12,OFFSET(TblConstr[[#This Row],[Bar]],-12,0),0)+OFFSET(TblConstr[[#This Row],[Tot Bar]],-1,0)-TblConstr[[#This Row],[Dest Bar]]</f>
        <v>0</v>
      </c>
      <c r="BK118" s="396" cm="1">
        <f t="array" aca="1" ref="BK118" ca="1">IF(TblConstr[[#This Row],[Hour]:[Hour]]&gt;12,OFFSET(TblConstr[[#This Row],[Shr]],-12,0),0)+OFFSET(TblConstr[[#This Row],[Tot Shr]],-1,0)-TblConstr[[#This Row],[Dest Shr]]</f>
        <v>0</v>
      </c>
      <c r="BL118" s="400" cm="1">
        <f t="array" aca="1" ref="BL118" ca="1">IF(TblConstr[[#This Row],[Hour]:[Hour]]&gt;12,OFFSET(TblConstr[[#This Row],[Tow]],-12,0),0)+OFFSET(TblConstr[[#This Row],[Tot Tow]],-1,0)-TblConstr[[#This Row],[Dest Tow]]</f>
        <v>0</v>
      </c>
      <c r="BM118" s="400" cm="1">
        <f t="array" aca="1" ref="BM118" ca="1">IF(TblConstr[[#This Row],[Hour]:[Hour]]&gt;12,OFFSET(TblConstr[[#This Row],[Tem]],-12,0),0)+OFFSET(TblConstr[[#This Row],[Tot Tem]],-1,0)-TblConstr[[#This Row],[Dest Tem]]</f>
        <v>0</v>
      </c>
      <c r="BN118" s="400" cm="1">
        <f t="array" aca="1" ref="BN118" ca="1">IF(TblConstr[[#This Row],[Hour]:[Hour]]&gt;12,OFFSET(TblConstr[[#This Row],[WG]],-12,0),0)+OFFSET(TblConstr[[#This Row],[Tot WG]],-1,0)-TblConstr[[#This Row],[Dest WG]]</f>
        <v>0</v>
      </c>
      <c r="BO118" s="199" cm="1">
        <f t="array" aca="1" ref="BO118" ca="1">IF(TblConstr[[#This Row],[Hour]:[Hour]]&gt;12,OFFSET(TblConstr[[#This Row],[DM]],-12,0),0)+OFFSET(TblConstr[[#This Row],[Tot DM]],-1,0)-TblConstr[[#This Row],[Dest DM]]</f>
        <v>0</v>
      </c>
      <c r="BP118" s="199" cm="1">
        <f t="array" aca="1" ref="BP118" ca="1">IF(TblConstr[[#This Row],[Hour]:[Hour]]&gt;12,OFFSET(TblConstr[[#This Row],[Sch]],-12,0),0)+OFFSET(TblConstr[[#This Row],[Tot Sch]],-1,0)-TblConstr[[#This Row],[Dest Sch]]</f>
        <v>0</v>
      </c>
      <c r="BQ118" s="200" cm="1">
        <f t="array" aca="1" ref="BQ118" ca="1">IF(TblConstr[[#This Row],[Hour]:[Hour]]&gt;12,OFFSET(TblConstr[[#This Row],[Doc]],-12,0),0)+OFFSET(TblConstr[[#This Row],[Tot Doc]],-1,0)-TblConstr[[#This Row],[Dest Doc]]</f>
        <v>0</v>
      </c>
      <c r="BR118" s="150"/>
      <c r="BS118" s="162"/>
      <c r="BT118" s="97">
        <f ca="1">TblConstr[[#This Row],[Land]]</f>
        <v>250</v>
      </c>
      <c r="BU118" s="167">
        <f ca="1">TblImps[[#This Row],[Time]]</f>
        <v>44815.499999999724</v>
      </c>
      <c r="BV118" s="150"/>
      <c r="BW118" s="187"/>
      <c r="BX118" s="187"/>
      <c r="BY118" s="187"/>
      <c r="BZ118" s="187"/>
      <c r="CA118" s="187"/>
      <c r="CB118" s="187"/>
      <c r="CC118" s="187"/>
      <c r="CD118" s="187"/>
      <c r="CE118" s="187"/>
      <c r="CF118" s="187"/>
      <c r="CG118" s="187"/>
      <c r="CH118" s="187"/>
      <c r="CI118" s="187"/>
      <c r="CJ118" s="187"/>
      <c r="CK118" s="187"/>
      <c r="CL118" s="187"/>
      <c r="CM118" s="187"/>
      <c r="CN118" s="187"/>
      <c r="CO118" s="187"/>
      <c r="CP118" s="150"/>
      <c r="CQ118" s="189">
        <f ca="1">-SUM(TblConstr[[#This Row],[Alc]:[Mas]])+SUM(TblConstr[[#This Row],[Dest Alc]:[Dest Mas]])+Rezone!L118+IF("Ch_"&amp; home_land=TblConstr[[#Headers],[Ch_Plain]],TblConstr[[#This Row],[Home Land]])+IF(TblConstr[[#This Row],[Hour]:[Hour]]&gt;12,OFFSET(TblExplore[[#This Row],[Plains Explore]],-12,0),0)</f>
        <v>0</v>
      </c>
      <c r="CR118" s="190">
        <f ca="1">-SUM(TblConstr[[#This Row],[Ly]:[Hav]])+SUM(TblConstr[[#This Row],[Dest Ly]:[Dest Hav]]) +Rezone!M118 + IF("Ch_"&amp; home_land=TblConstr[[#Headers],[Ch_Forest]],TblConstr[[#This Row],[Home Land]])+IF(TblConstr[[#This Row],[Hour]:[Hour]]&gt;12,OFFSET(TblExplore[[#This Row],[Forest Explore]],-12,0),0)</f>
        <v>0</v>
      </c>
      <c r="CS118" s="390">
        <f ca="1">-SUM(TblConstr[[#This Row],[OM]:[GN]])+SUM(TblConstr[[#This Row],[Dest OM]:[Dest GN]]) +Rezone!N118 + IF("Ch_"&amp; home_land=TblConstr[[#Headers],[Ch_Mountain]],TblConstr[[#This Row],[Home Land]])+IF(TblConstr[[#This Row],[Hour]:[Hour]]&gt;12,OFFSET(TblExplore[[#This Row],[Mountain Explore]],-12,0),0)</f>
        <v>0</v>
      </c>
      <c r="CT118" s="191">
        <f ca="1">-SUM(TblConstr[[#This Row],[Fac]:[Shr]])+SUM(TblConstr[[#This Row],[Dest Fac]:[Dest Shr]]) +Rezone!O118 + IF("Ch_" &amp; home_land=TblConstr[[#Headers],[Ch_Hill]],TblConstr[[#This Row],[Home Land]])+IF(TblConstr[[#This Row],[Hour]:[Hour]]&gt;12,OFFSET(TblExplore[[#This Row],[Hill Explore]],-12,0),0)</f>
        <v>0</v>
      </c>
      <c r="CU118" s="192">
        <f ca="1">-SUM(TblConstr[[#This Row],[Tow]:[WG]])+SUM(TblConstr[[#This Row],[Dest Tow]:[Dest WG]]) +Rezone!P118 + IF("Ch_" &amp; home_land=TblConstr[[#Headers],[Ch_Swamp]],TblConstr[[#This Row],[Home Land]])+IF(TblConstr[[#This Row],[Hour]:[Hour]]&gt;12,OFFSET(TblExplore[[#This Row],[Swamp Explore]],-12,0),0)</f>
        <v>0</v>
      </c>
      <c r="CV118" s="193">
        <f ca="1" xml:space="preserve"> - SUM(TblConstr[[#This Row],[DM]:[Sch]])+SUM(TblConstr[[#This Row],[Dest DM]:[Dest Sch]]) +Rezone!Q118 + IF("Ch_" &amp; home_land=TblConstr[[#Headers],[Ch_Cavern]],TblConstr[[#This Row],[Home Land]])+IF(TblConstr[[#This Row],[Hour]:[Hour]]&gt;12,OFFSET(TblExplore[[#This Row],[Cavern Explore]],-12,0),0)</f>
        <v>0</v>
      </c>
      <c r="CW118" s="194">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50"/>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83">
        <f>TblRezone[[#This Row],[Hour]]</f>
        <v>116</v>
      </c>
      <c r="B119" s="184">
        <f ca="1">SUM(TblConstr[[#This Row],[Plain]:[Water]])</f>
        <v>160</v>
      </c>
      <c r="C119" s="185">
        <f ca="1">SUM(TblConstr[[#This Row],[Tot Hom]:[Tot Doc]])</f>
        <v>90</v>
      </c>
      <c r="D119" s="185">
        <f t="shared" si="21"/>
        <v>0</v>
      </c>
      <c r="E119" s="186"/>
      <c r="F119" s="62">
        <f ca="1">TblConstr[[#This Row],[Barren]]+TblConstr[[#This Row],[Buildings]]+TblConstr[[#This Row],[Incoming]]</f>
        <v>250</v>
      </c>
      <c r="G119" s="195">
        <f ca="1">OFFSET(TblConstr[[#This Row],[Plain]],-1,0)+TblConstr[[#This Row],[Ch_Plain]]</f>
        <v>40</v>
      </c>
      <c r="H119" s="190">
        <f ca="1">OFFSET(TblConstr[[#This Row],[Forest]],-1,0)+TblConstr[[#This Row],[Ch_Forest]]</f>
        <v>20</v>
      </c>
      <c r="I119" s="390">
        <f ca="1">OFFSET(TblConstr[[#This Row],[Mountain]],-1,0)+TblConstr[[#This Row],[Ch_Mountain]]</f>
        <v>20</v>
      </c>
      <c r="J119" s="394">
        <f ca="1">OFFSET(TblConstr[[#This Row],[Hill]],-1,0)+TblConstr[[#This Row],[Ch_Hill]]</f>
        <v>20</v>
      </c>
      <c r="K119" s="398">
        <f ca="1">OFFSET(TblConstr[[#This Row],[Swamp]],-1,0)+TblConstr[[#This Row],[Ch_Swamp]]</f>
        <v>20</v>
      </c>
      <c r="L119" s="193">
        <f ca="1">OFFSET(TblConstr[[#This Row],[Cavern]],-1,0)+TblConstr[[#This Row],[Ch_Cavern]]</f>
        <v>20</v>
      </c>
      <c r="M119" s="194">
        <f ca="1">OFFSET(TblConstr[[#This Row],[Water]],-1,0)+TblConstr[[#This Row],[Ch_Water]]</f>
        <v>20</v>
      </c>
      <c r="N119" s="388">
        <f>TblRezone[[#This Row],[Hour]]</f>
        <v>116</v>
      </c>
      <c r="O119" s="187"/>
      <c r="P119" s="187"/>
      <c r="Q119" s="187"/>
      <c r="R119" s="187"/>
      <c r="S119" s="187"/>
      <c r="T119" s="187"/>
      <c r="U119" s="187"/>
      <c r="V119" s="187"/>
      <c r="W119" s="187"/>
      <c r="X119" s="187"/>
      <c r="Y119" s="187"/>
      <c r="Z119" s="187"/>
      <c r="AA119" s="187"/>
      <c r="AB119" s="187"/>
      <c r="AC119" s="187"/>
      <c r="AD119" s="187"/>
      <c r="AE119" s="187"/>
      <c r="AF119" s="187"/>
      <c r="AG119" s="187"/>
      <c r="AH119" s="53">
        <f ca="1">TblImps[[#This Row],[Time]]</f>
        <v>44815.541666666388</v>
      </c>
      <c r="AI119" s="188">
        <f ca="1">MIN(25%,(TblConstr[[#This Row],[Tot Fac]]+TblConstr[[#This Row],[Dest Fac]])/(TblConstr[[#This Row],[Land]]-TblExplore[[#This Row],[Land Bonus]]*20))</f>
        <v>0</v>
      </c>
      <c r="AJ119" s="188">
        <f ca="1">MIN(25%,(TblConstr[[#This Row],[Tot Fac]]+TblConstr[[#This Row],[Dest Fac]])/TblConstr[[#This Row],[Land]])</f>
        <v>0</v>
      </c>
      <c r="AK119" s="97">
        <f ca="1">TblProd[[#This Row],[Platinum]]</f>
        <v>731768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50"/>
      <c r="AV119" s="97">
        <f ca="1">ROUND((TblConstr[[#This Row],[Land]]-250 - IF(TblExplore[[#This Row],[Land Bonus]]&lt;&gt;0,20,0))*1.25 + 850 + 0,0)</f>
        <v>850</v>
      </c>
      <c r="AW119" s="97">
        <f ca="1">ROUND((TblConstr[[#This Row],[Land]]-250 - IF(TblExplore[[#This Row],[Land Bonus]]&lt;&gt;0,20,0))*0.285 + 87.5 + 0/4.25,0)</f>
        <v>88</v>
      </c>
      <c r="AX119" s="162"/>
      <c r="AY119" s="196" cm="1">
        <f t="array" aca="1" ref="AY119" ca="1">IF(TblConstr[[#This Row],[Hour]:[Hour]]&gt;12,OFFSET(TblConstr[[#This Row],[Hom]],-12,0),0)+OFFSET(TblConstr[[#This Row],[Tot Hom]],-1,0)-TblConstr[[#This Row],[Dest Hom]]</f>
        <v>10</v>
      </c>
      <c r="AZ119" s="197" cm="1">
        <f t="array" aca="1" ref="AZ119" ca="1">IF(TblConstr[[#This Row],[Hour]:[Hour]]&gt;12,OFFSET(TblConstr[[#This Row],[Alc]],-12,0),0)+OFFSET(TblConstr[[#This Row],[Tot Alc]],-1,0)-TblConstr[[#This Row],[Dest Alc]]</f>
        <v>30</v>
      </c>
      <c r="BA119" s="197" cm="1">
        <f t="array" aca="1" ref="BA119" ca="1">IF(TblConstr[[#This Row],[Hour]:[Hour]]&gt;12,OFFSET(TblConstr[[#This Row],[Far]],-12,0),0)+OFFSET(TblConstr[[#This Row],[Tot Farm]],-1,0)-TblConstr[[#This Row],[Dest Farm]]</f>
        <v>30</v>
      </c>
      <c r="BB119" s="197" cm="1">
        <f t="array" aca="1" ref="BB119" ca="1">IF(TblConstr[[#This Row],[Hour]:[Hour]]&gt;12,OFFSET(TblConstr[[#This Row],[Smi]],-12,0),0)+OFFSET(TblConstr[[#This Row],[Tot Smi]],-1,0)-TblConstr[[#This Row],[Dest Smi]]</f>
        <v>0</v>
      </c>
      <c r="BC119" s="197" cm="1">
        <f t="array" aca="1" ref="BC119" ca="1">IF(TblConstr[[#This Row],[Hour]:[Hour]]&gt;12,OFFSET(TblConstr[[#This Row],[Mas]],-12,0),0)+OFFSET(TblConstr[[#This Row],[Tot Mas]],-1,0)-TblConstr[[#This Row],[Dest Mas]]</f>
        <v>0</v>
      </c>
      <c r="BD119" s="198" cm="1">
        <f t="array" aca="1" ref="BD119" ca="1">IF(TblConstr[[#This Row],[Hour]:[Hour]]&gt;12,OFFSET(TblConstr[[#This Row],[Ly]],-12,0),0)+OFFSET(TblConstr[[#This Row],[Tot Ly]],-1,0)-TblConstr[[#This Row],[Dest Ly]]</f>
        <v>20</v>
      </c>
      <c r="BE119" s="198" cm="1">
        <f t="array" aca="1" ref="BE119" ca="1">IF(TblConstr[[#This Row],[Hour]:[Hour]]&gt;12,OFFSET(TblConstr[[#This Row],[Hav]],-12,0),0)+OFFSET(TblConstr[[#This Row],[Tot Hav]],-1,0)-TblConstr[[#This Row],[Dest Hav]]</f>
        <v>0</v>
      </c>
      <c r="BF119" s="392" cm="1">
        <f t="array" aca="1" ref="BF119" ca="1">IF(TblConstr[[#This Row],[Hour]:[Hour]]&gt;12,OFFSET(TblConstr[[#This Row],[OM]],-12,0),0)+OFFSET(TblConstr[[#This Row],[Tot OM]],-1,0)-TblConstr[[#This Row],[Dest OM]]</f>
        <v>0</v>
      </c>
      <c r="BG119" s="392" cm="1">
        <f t="array" aca="1" ref="BG119" ca="1">IF(TblConstr[[#This Row],[Hour]:[Hour]]&gt;12,OFFSET(TblConstr[[#This Row],[GN]],-12,0),0)+OFFSET(TblConstr[[#This Row],[Tot GN]],-1,0)-TblConstr[[#This Row],[Dest GN]]</f>
        <v>0</v>
      </c>
      <c r="BH119" s="396" cm="1">
        <f t="array" aca="1" ref="BH119" ca="1">IF(TblConstr[[#This Row],[Hour]:[Hour]]&gt;12,OFFSET(TblConstr[[#This Row],[Fac]],-12,0),0)+OFFSET(TblConstr[[#This Row],[Tot Fac]],-1,0)-TblConstr[[#This Row],[Dest Fac]]</f>
        <v>0</v>
      </c>
      <c r="BI119" s="396" cm="1">
        <f t="array" aca="1" ref="BI119" ca="1">IF(TblConstr[[#This Row],[Hour]:[Hour]]&gt;12,OFFSET(TblConstr[[#This Row],[GT]],-12,0),0)+OFFSET(TblConstr[[#This Row],[Tot GT]],-1,0)-TblConstr[[#This Row],[Dest GT]]</f>
        <v>0</v>
      </c>
      <c r="BJ119" s="396" cm="1">
        <f t="array" aca="1" ref="BJ119" ca="1">IF(TblConstr[[#This Row],[Hour]:[Hour]]&gt;12,OFFSET(TblConstr[[#This Row],[Bar]],-12,0),0)+OFFSET(TblConstr[[#This Row],[Tot Bar]],-1,0)-TblConstr[[#This Row],[Dest Bar]]</f>
        <v>0</v>
      </c>
      <c r="BK119" s="396" cm="1">
        <f t="array" aca="1" ref="BK119" ca="1">IF(TblConstr[[#This Row],[Hour]:[Hour]]&gt;12,OFFSET(TblConstr[[#This Row],[Shr]],-12,0),0)+OFFSET(TblConstr[[#This Row],[Tot Shr]],-1,0)-TblConstr[[#This Row],[Dest Shr]]</f>
        <v>0</v>
      </c>
      <c r="BL119" s="400" cm="1">
        <f t="array" aca="1" ref="BL119" ca="1">IF(TblConstr[[#This Row],[Hour]:[Hour]]&gt;12,OFFSET(TblConstr[[#This Row],[Tow]],-12,0),0)+OFFSET(TblConstr[[#This Row],[Tot Tow]],-1,0)-TblConstr[[#This Row],[Dest Tow]]</f>
        <v>0</v>
      </c>
      <c r="BM119" s="400" cm="1">
        <f t="array" aca="1" ref="BM119" ca="1">IF(TblConstr[[#This Row],[Hour]:[Hour]]&gt;12,OFFSET(TblConstr[[#This Row],[Tem]],-12,0),0)+OFFSET(TblConstr[[#This Row],[Tot Tem]],-1,0)-TblConstr[[#This Row],[Dest Tem]]</f>
        <v>0</v>
      </c>
      <c r="BN119" s="400" cm="1">
        <f t="array" aca="1" ref="BN119" ca="1">IF(TblConstr[[#This Row],[Hour]:[Hour]]&gt;12,OFFSET(TblConstr[[#This Row],[WG]],-12,0),0)+OFFSET(TblConstr[[#This Row],[Tot WG]],-1,0)-TblConstr[[#This Row],[Dest WG]]</f>
        <v>0</v>
      </c>
      <c r="BO119" s="199" cm="1">
        <f t="array" aca="1" ref="BO119" ca="1">IF(TblConstr[[#This Row],[Hour]:[Hour]]&gt;12,OFFSET(TblConstr[[#This Row],[DM]],-12,0),0)+OFFSET(TblConstr[[#This Row],[Tot DM]],-1,0)-TblConstr[[#This Row],[Dest DM]]</f>
        <v>0</v>
      </c>
      <c r="BP119" s="199" cm="1">
        <f t="array" aca="1" ref="BP119" ca="1">IF(TblConstr[[#This Row],[Hour]:[Hour]]&gt;12,OFFSET(TblConstr[[#This Row],[Sch]],-12,0),0)+OFFSET(TblConstr[[#This Row],[Tot Sch]],-1,0)-TblConstr[[#This Row],[Dest Sch]]</f>
        <v>0</v>
      </c>
      <c r="BQ119" s="200" cm="1">
        <f t="array" aca="1" ref="BQ119" ca="1">IF(TblConstr[[#This Row],[Hour]:[Hour]]&gt;12,OFFSET(TblConstr[[#This Row],[Doc]],-12,0),0)+OFFSET(TblConstr[[#This Row],[Tot Doc]],-1,0)-TblConstr[[#This Row],[Dest Doc]]</f>
        <v>0</v>
      </c>
      <c r="BR119" s="150"/>
      <c r="BS119" s="162"/>
      <c r="BT119" s="97">
        <f ca="1">TblConstr[[#This Row],[Land]]</f>
        <v>250</v>
      </c>
      <c r="BU119" s="167">
        <f ca="1">TblImps[[#This Row],[Time]]</f>
        <v>44815.541666666388</v>
      </c>
      <c r="BV119" s="150"/>
      <c r="BW119" s="187"/>
      <c r="BX119" s="187"/>
      <c r="BY119" s="187"/>
      <c r="BZ119" s="187"/>
      <c r="CA119" s="187"/>
      <c r="CB119" s="187"/>
      <c r="CC119" s="187"/>
      <c r="CD119" s="187"/>
      <c r="CE119" s="187"/>
      <c r="CF119" s="187"/>
      <c r="CG119" s="187"/>
      <c r="CH119" s="187"/>
      <c r="CI119" s="187"/>
      <c r="CJ119" s="187"/>
      <c r="CK119" s="187"/>
      <c r="CL119" s="187"/>
      <c r="CM119" s="187"/>
      <c r="CN119" s="187"/>
      <c r="CO119" s="187"/>
      <c r="CP119" s="150"/>
      <c r="CQ119" s="189">
        <f ca="1">-SUM(TblConstr[[#This Row],[Alc]:[Mas]])+SUM(TblConstr[[#This Row],[Dest Alc]:[Dest Mas]])+Rezone!L119+IF("Ch_"&amp; home_land=TblConstr[[#Headers],[Ch_Plain]],TblConstr[[#This Row],[Home Land]])+IF(TblConstr[[#This Row],[Hour]:[Hour]]&gt;12,OFFSET(TblExplore[[#This Row],[Plains Explore]],-12,0),0)</f>
        <v>0</v>
      </c>
      <c r="CR119" s="190">
        <f ca="1">-SUM(TblConstr[[#This Row],[Ly]:[Hav]])+SUM(TblConstr[[#This Row],[Dest Ly]:[Dest Hav]]) +Rezone!M119 + IF("Ch_"&amp; home_land=TblConstr[[#Headers],[Ch_Forest]],TblConstr[[#This Row],[Home Land]])+IF(TblConstr[[#This Row],[Hour]:[Hour]]&gt;12,OFFSET(TblExplore[[#This Row],[Forest Explore]],-12,0),0)</f>
        <v>0</v>
      </c>
      <c r="CS119" s="390">
        <f ca="1">-SUM(TblConstr[[#This Row],[OM]:[GN]])+SUM(TblConstr[[#This Row],[Dest OM]:[Dest GN]]) +Rezone!N119 + IF("Ch_"&amp; home_land=TblConstr[[#Headers],[Ch_Mountain]],TblConstr[[#This Row],[Home Land]])+IF(TblConstr[[#This Row],[Hour]:[Hour]]&gt;12,OFFSET(TblExplore[[#This Row],[Mountain Explore]],-12,0),0)</f>
        <v>0</v>
      </c>
      <c r="CT119" s="191">
        <f ca="1">-SUM(TblConstr[[#This Row],[Fac]:[Shr]])+SUM(TblConstr[[#This Row],[Dest Fac]:[Dest Shr]]) +Rezone!O119 + IF("Ch_" &amp; home_land=TblConstr[[#Headers],[Ch_Hill]],TblConstr[[#This Row],[Home Land]])+IF(TblConstr[[#This Row],[Hour]:[Hour]]&gt;12,OFFSET(TblExplore[[#This Row],[Hill Explore]],-12,0),0)</f>
        <v>0</v>
      </c>
      <c r="CU119" s="192">
        <f ca="1">-SUM(TblConstr[[#This Row],[Tow]:[WG]])+SUM(TblConstr[[#This Row],[Dest Tow]:[Dest WG]]) +Rezone!P119 + IF("Ch_" &amp; home_land=TblConstr[[#Headers],[Ch_Swamp]],TblConstr[[#This Row],[Home Land]])+IF(TblConstr[[#This Row],[Hour]:[Hour]]&gt;12,OFFSET(TblExplore[[#This Row],[Swamp Explore]],-12,0),0)</f>
        <v>0</v>
      </c>
      <c r="CV119" s="193">
        <f ca="1" xml:space="preserve"> - SUM(TblConstr[[#This Row],[DM]:[Sch]])+SUM(TblConstr[[#This Row],[Dest DM]:[Dest Sch]]) +Rezone!Q119 + IF("Ch_" &amp; home_land=TblConstr[[#Headers],[Ch_Cavern]],TblConstr[[#This Row],[Home Land]])+IF(TblConstr[[#This Row],[Hour]:[Hour]]&gt;12,OFFSET(TblExplore[[#This Row],[Cavern Explore]],-12,0),0)</f>
        <v>0</v>
      </c>
      <c r="CW119" s="194">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50"/>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83">
        <f>TblRezone[[#This Row],[Hour]]</f>
        <v>117</v>
      </c>
      <c r="B120" s="184">
        <f ca="1">SUM(TblConstr[[#This Row],[Plain]:[Water]])</f>
        <v>160</v>
      </c>
      <c r="C120" s="185">
        <f ca="1">SUM(TblConstr[[#This Row],[Tot Hom]:[Tot Doc]])</f>
        <v>90</v>
      </c>
      <c r="D120" s="185">
        <f t="shared" si="21"/>
        <v>0</v>
      </c>
      <c r="E120" s="186"/>
      <c r="F120" s="62">
        <f ca="1">TblConstr[[#This Row],[Barren]]+TblConstr[[#This Row],[Buildings]]+TblConstr[[#This Row],[Incoming]]</f>
        <v>250</v>
      </c>
      <c r="G120" s="195">
        <f ca="1">OFFSET(TblConstr[[#This Row],[Plain]],-1,0)+TblConstr[[#This Row],[Ch_Plain]]</f>
        <v>40</v>
      </c>
      <c r="H120" s="190">
        <f ca="1">OFFSET(TblConstr[[#This Row],[Forest]],-1,0)+TblConstr[[#This Row],[Ch_Forest]]</f>
        <v>20</v>
      </c>
      <c r="I120" s="390">
        <f ca="1">OFFSET(TblConstr[[#This Row],[Mountain]],-1,0)+TblConstr[[#This Row],[Ch_Mountain]]</f>
        <v>20</v>
      </c>
      <c r="J120" s="394">
        <f ca="1">OFFSET(TblConstr[[#This Row],[Hill]],-1,0)+TblConstr[[#This Row],[Ch_Hill]]</f>
        <v>20</v>
      </c>
      <c r="K120" s="398">
        <f ca="1">OFFSET(TblConstr[[#This Row],[Swamp]],-1,0)+TblConstr[[#This Row],[Ch_Swamp]]</f>
        <v>20</v>
      </c>
      <c r="L120" s="193">
        <f ca="1">OFFSET(TblConstr[[#This Row],[Cavern]],-1,0)+TblConstr[[#This Row],[Ch_Cavern]]</f>
        <v>20</v>
      </c>
      <c r="M120" s="194">
        <f ca="1">OFFSET(TblConstr[[#This Row],[Water]],-1,0)+TblConstr[[#This Row],[Ch_Water]]</f>
        <v>20</v>
      </c>
      <c r="N120" s="388">
        <f>TblRezone[[#This Row],[Hour]]</f>
        <v>117</v>
      </c>
      <c r="O120" s="187"/>
      <c r="P120" s="187"/>
      <c r="Q120" s="187"/>
      <c r="R120" s="187"/>
      <c r="S120" s="187"/>
      <c r="T120" s="187"/>
      <c r="U120" s="187"/>
      <c r="V120" s="187"/>
      <c r="W120" s="187"/>
      <c r="X120" s="187"/>
      <c r="Y120" s="187"/>
      <c r="Z120" s="187"/>
      <c r="AA120" s="187"/>
      <c r="AB120" s="187"/>
      <c r="AC120" s="187"/>
      <c r="AD120" s="187"/>
      <c r="AE120" s="187"/>
      <c r="AF120" s="187"/>
      <c r="AG120" s="187"/>
      <c r="AH120" s="53">
        <f ca="1">TblImps[[#This Row],[Time]]</f>
        <v>44815.583333333052</v>
      </c>
      <c r="AI120" s="188">
        <f ca="1">MIN(25%,(TblConstr[[#This Row],[Tot Fac]]+TblConstr[[#This Row],[Dest Fac]])/(TblConstr[[#This Row],[Land]]-TblExplore[[#This Row],[Land Bonus]]*20))</f>
        <v>0</v>
      </c>
      <c r="AJ120" s="188">
        <f ca="1">MIN(25%,(TblConstr[[#This Row],[Tot Fac]]+TblConstr[[#This Row],[Dest Fac]])/TblConstr[[#This Row],[Land]])</f>
        <v>0</v>
      </c>
      <c r="AK120" s="97">
        <f ca="1">TblProd[[#This Row],[Platinum]]</f>
        <v>737254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50"/>
      <c r="AV120" s="97">
        <f ca="1">ROUND((TblConstr[[#This Row],[Land]]-250 - IF(TblExplore[[#This Row],[Land Bonus]]&lt;&gt;0,20,0))*1.25 + 850 + 0,0)</f>
        <v>850</v>
      </c>
      <c r="AW120" s="97">
        <f ca="1">ROUND((TblConstr[[#This Row],[Land]]-250 - IF(TblExplore[[#This Row],[Land Bonus]]&lt;&gt;0,20,0))*0.285 + 87.5 + 0/4.25,0)</f>
        <v>88</v>
      </c>
      <c r="AX120" s="162"/>
      <c r="AY120" s="196" cm="1">
        <f t="array" aca="1" ref="AY120" ca="1">IF(TblConstr[[#This Row],[Hour]:[Hour]]&gt;12,OFFSET(TblConstr[[#This Row],[Hom]],-12,0),0)+OFFSET(TblConstr[[#This Row],[Tot Hom]],-1,0)-TblConstr[[#This Row],[Dest Hom]]</f>
        <v>10</v>
      </c>
      <c r="AZ120" s="197" cm="1">
        <f t="array" aca="1" ref="AZ120" ca="1">IF(TblConstr[[#This Row],[Hour]:[Hour]]&gt;12,OFFSET(TblConstr[[#This Row],[Alc]],-12,0),0)+OFFSET(TblConstr[[#This Row],[Tot Alc]],-1,0)-TblConstr[[#This Row],[Dest Alc]]</f>
        <v>30</v>
      </c>
      <c r="BA120" s="197" cm="1">
        <f t="array" aca="1" ref="BA120" ca="1">IF(TblConstr[[#This Row],[Hour]:[Hour]]&gt;12,OFFSET(TblConstr[[#This Row],[Far]],-12,0),0)+OFFSET(TblConstr[[#This Row],[Tot Farm]],-1,0)-TblConstr[[#This Row],[Dest Farm]]</f>
        <v>30</v>
      </c>
      <c r="BB120" s="197" cm="1">
        <f t="array" aca="1" ref="BB120" ca="1">IF(TblConstr[[#This Row],[Hour]:[Hour]]&gt;12,OFFSET(TblConstr[[#This Row],[Smi]],-12,0),0)+OFFSET(TblConstr[[#This Row],[Tot Smi]],-1,0)-TblConstr[[#This Row],[Dest Smi]]</f>
        <v>0</v>
      </c>
      <c r="BC120" s="197" cm="1">
        <f t="array" aca="1" ref="BC120" ca="1">IF(TblConstr[[#This Row],[Hour]:[Hour]]&gt;12,OFFSET(TblConstr[[#This Row],[Mas]],-12,0),0)+OFFSET(TblConstr[[#This Row],[Tot Mas]],-1,0)-TblConstr[[#This Row],[Dest Mas]]</f>
        <v>0</v>
      </c>
      <c r="BD120" s="198" cm="1">
        <f t="array" aca="1" ref="BD120" ca="1">IF(TblConstr[[#This Row],[Hour]:[Hour]]&gt;12,OFFSET(TblConstr[[#This Row],[Ly]],-12,0),0)+OFFSET(TblConstr[[#This Row],[Tot Ly]],-1,0)-TblConstr[[#This Row],[Dest Ly]]</f>
        <v>20</v>
      </c>
      <c r="BE120" s="198" cm="1">
        <f t="array" aca="1" ref="BE120" ca="1">IF(TblConstr[[#This Row],[Hour]:[Hour]]&gt;12,OFFSET(TblConstr[[#This Row],[Hav]],-12,0),0)+OFFSET(TblConstr[[#This Row],[Tot Hav]],-1,0)-TblConstr[[#This Row],[Dest Hav]]</f>
        <v>0</v>
      </c>
      <c r="BF120" s="392" cm="1">
        <f t="array" aca="1" ref="BF120" ca="1">IF(TblConstr[[#This Row],[Hour]:[Hour]]&gt;12,OFFSET(TblConstr[[#This Row],[OM]],-12,0),0)+OFFSET(TblConstr[[#This Row],[Tot OM]],-1,0)-TblConstr[[#This Row],[Dest OM]]</f>
        <v>0</v>
      </c>
      <c r="BG120" s="392" cm="1">
        <f t="array" aca="1" ref="BG120" ca="1">IF(TblConstr[[#This Row],[Hour]:[Hour]]&gt;12,OFFSET(TblConstr[[#This Row],[GN]],-12,0),0)+OFFSET(TblConstr[[#This Row],[Tot GN]],-1,0)-TblConstr[[#This Row],[Dest GN]]</f>
        <v>0</v>
      </c>
      <c r="BH120" s="396" cm="1">
        <f t="array" aca="1" ref="BH120" ca="1">IF(TblConstr[[#This Row],[Hour]:[Hour]]&gt;12,OFFSET(TblConstr[[#This Row],[Fac]],-12,0),0)+OFFSET(TblConstr[[#This Row],[Tot Fac]],-1,0)-TblConstr[[#This Row],[Dest Fac]]</f>
        <v>0</v>
      </c>
      <c r="BI120" s="396" cm="1">
        <f t="array" aca="1" ref="BI120" ca="1">IF(TblConstr[[#This Row],[Hour]:[Hour]]&gt;12,OFFSET(TblConstr[[#This Row],[GT]],-12,0),0)+OFFSET(TblConstr[[#This Row],[Tot GT]],-1,0)-TblConstr[[#This Row],[Dest GT]]</f>
        <v>0</v>
      </c>
      <c r="BJ120" s="396" cm="1">
        <f t="array" aca="1" ref="BJ120" ca="1">IF(TblConstr[[#This Row],[Hour]:[Hour]]&gt;12,OFFSET(TblConstr[[#This Row],[Bar]],-12,0),0)+OFFSET(TblConstr[[#This Row],[Tot Bar]],-1,0)-TblConstr[[#This Row],[Dest Bar]]</f>
        <v>0</v>
      </c>
      <c r="BK120" s="396" cm="1">
        <f t="array" aca="1" ref="BK120" ca="1">IF(TblConstr[[#This Row],[Hour]:[Hour]]&gt;12,OFFSET(TblConstr[[#This Row],[Shr]],-12,0),0)+OFFSET(TblConstr[[#This Row],[Tot Shr]],-1,0)-TblConstr[[#This Row],[Dest Shr]]</f>
        <v>0</v>
      </c>
      <c r="BL120" s="400" cm="1">
        <f t="array" aca="1" ref="BL120" ca="1">IF(TblConstr[[#This Row],[Hour]:[Hour]]&gt;12,OFFSET(TblConstr[[#This Row],[Tow]],-12,0),0)+OFFSET(TblConstr[[#This Row],[Tot Tow]],-1,0)-TblConstr[[#This Row],[Dest Tow]]</f>
        <v>0</v>
      </c>
      <c r="BM120" s="400" cm="1">
        <f t="array" aca="1" ref="BM120" ca="1">IF(TblConstr[[#This Row],[Hour]:[Hour]]&gt;12,OFFSET(TblConstr[[#This Row],[Tem]],-12,0),0)+OFFSET(TblConstr[[#This Row],[Tot Tem]],-1,0)-TblConstr[[#This Row],[Dest Tem]]</f>
        <v>0</v>
      </c>
      <c r="BN120" s="400" cm="1">
        <f t="array" aca="1" ref="BN120" ca="1">IF(TblConstr[[#This Row],[Hour]:[Hour]]&gt;12,OFFSET(TblConstr[[#This Row],[WG]],-12,0),0)+OFFSET(TblConstr[[#This Row],[Tot WG]],-1,0)-TblConstr[[#This Row],[Dest WG]]</f>
        <v>0</v>
      </c>
      <c r="BO120" s="199" cm="1">
        <f t="array" aca="1" ref="BO120" ca="1">IF(TblConstr[[#This Row],[Hour]:[Hour]]&gt;12,OFFSET(TblConstr[[#This Row],[DM]],-12,0),0)+OFFSET(TblConstr[[#This Row],[Tot DM]],-1,0)-TblConstr[[#This Row],[Dest DM]]</f>
        <v>0</v>
      </c>
      <c r="BP120" s="199" cm="1">
        <f t="array" aca="1" ref="BP120" ca="1">IF(TblConstr[[#This Row],[Hour]:[Hour]]&gt;12,OFFSET(TblConstr[[#This Row],[Sch]],-12,0),0)+OFFSET(TblConstr[[#This Row],[Tot Sch]],-1,0)-TblConstr[[#This Row],[Dest Sch]]</f>
        <v>0</v>
      </c>
      <c r="BQ120" s="200" cm="1">
        <f t="array" aca="1" ref="BQ120" ca="1">IF(TblConstr[[#This Row],[Hour]:[Hour]]&gt;12,OFFSET(TblConstr[[#This Row],[Doc]],-12,0),0)+OFFSET(TblConstr[[#This Row],[Tot Doc]],-1,0)-TblConstr[[#This Row],[Dest Doc]]</f>
        <v>0</v>
      </c>
      <c r="BR120" s="150"/>
      <c r="BS120" s="162"/>
      <c r="BT120" s="97">
        <f ca="1">TblConstr[[#This Row],[Land]]</f>
        <v>250</v>
      </c>
      <c r="BU120" s="167">
        <f ca="1">TblImps[[#This Row],[Time]]</f>
        <v>44815.583333333052</v>
      </c>
      <c r="BV120" s="150"/>
      <c r="BW120" s="187"/>
      <c r="BX120" s="187"/>
      <c r="BY120" s="187"/>
      <c r="BZ120" s="187"/>
      <c r="CA120" s="187"/>
      <c r="CB120" s="187"/>
      <c r="CC120" s="187"/>
      <c r="CD120" s="187"/>
      <c r="CE120" s="187"/>
      <c r="CF120" s="187"/>
      <c r="CG120" s="187"/>
      <c r="CH120" s="187"/>
      <c r="CI120" s="187"/>
      <c r="CJ120" s="187"/>
      <c r="CK120" s="187"/>
      <c r="CL120" s="187"/>
      <c r="CM120" s="187"/>
      <c r="CN120" s="187"/>
      <c r="CO120" s="187"/>
      <c r="CP120" s="150"/>
      <c r="CQ120" s="189">
        <f ca="1">-SUM(TblConstr[[#This Row],[Alc]:[Mas]])+SUM(TblConstr[[#This Row],[Dest Alc]:[Dest Mas]])+Rezone!L120+IF("Ch_"&amp; home_land=TblConstr[[#Headers],[Ch_Plain]],TblConstr[[#This Row],[Home Land]])+IF(TblConstr[[#This Row],[Hour]:[Hour]]&gt;12,OFFSET(TblExplore[[#This Row],[Plains Explore]],-12,0),0)</f>
        <v>0</v>
      </c>
      <c r="CR120" s="190">
        <f ca="1">-SUM(TblConstr[[#This Row],[Ly]:[Hav]])+SUM(TblConstr[[#This Row],[Dest Ly]:[Dest Hav]]) +Rezone!M120 + IF("Ch_"&amp; home_land=TblConstr[[#Headers],[Ch_Forest]],TblConstr[[#This Row],[Home Land]])+IF(TblConstr[[#This Row],[Hour]:[Hour]]&gt;12,OFFSET(TblExplore[[#This Row],[Forest Explore]],-12,0),0)</f>
        <v>0</v>
      </c>
      <c r="CS120" s="390">
        <f ca="1">-SUM(TblConstr[[#This Row],[OM]:[GN]])+SUM(TblConstr[[#This Row],[Dest OM]:[Dest GN]]) +Rezone!N120 + IF("Ch_"&amp; home_land=TblConstr[[#Headers],[Ch_Mountain]],TblConstr[[#This Row],[Home Land]])+IF(TblConstr[[#This Row],[Hour]:[Hour]]&gt;12,OFFSET(TblExplore[[#This Row],[Mountain Explore]],-12,0),0)</f>
        <v>0</v>
      </c>
      <c r="CT120" s="191">
        <f ca="1">-SUM(TblConstr[[#This Row],[Fac]:[Shr]])+SUM(TblConstr[[#This Row],[Dest Fac]:[Dest Shr]]) +Rezone!O120 + IF("Ch_" &amp; home_land=TblConstr[[#Headers],[Ch_Hill]],TblConstr[[#This Row],[Home Land]])+IF(TblConstr[[#This Row],[Hour]:[Hour]]&gt;12,OFFSET(TblExplore[[#This Row],[Hill Explore]],-12,0),0)</f>
        <v>0</v>
      </c>
      <c r="CU120" s="192">
        <f ca="1">-SUM(TblConstr[[#This Row],[Tow]:[WG]])+SUM(TblConstr[[#This Row],[Dest Tow]:[Dest WG]]) +Rezone!P120 + IF("Ch_" &amp; home_land=TblConstr[[#Headers],[Ch_Swamp]],TblConstr[[#This Row],[Home Land]])+IF(TblConstr[[#This Row],[Hour]:[Hour]]&gt;12,OFFSET(TblExplore[[#This Row],[Swamp Explore]],-12,0),0)</f>
        <v>0</v>
      </c>
      <c r="CV120" s="193">
        <f ca="1" xml:space="preserve"> - SUM(TblConstr[[#This Row],[DM]:[Sch]])+SUM(TblConstr[[#This Row],[Dest DM]:[Dest Sch]]) +Rezone!Q120 + IF("Ch_" &amp; home_land=TblConstr[[#Headers],[Ch_Cavern]],TblConstr[[#This Row],[Home Land]])+IF(TblConstr[[#This Row],[Hour]:[Hour]]&gt;12,OFFSET(TblExplore[[#This Row],[Cavern Explore]],-12,0),0)</f>
        <v>0</v>
      </c>
      <c r="CW120" s="194">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50"/>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83">
        <f>TblRezone[[#This Row],[Hour]]</f>
        <v>118</v>
      </c>
      <c r="B121" s="184">
        <f ca="1">SUM(TblConstr[[#This Row],[Plain]:[Water]])</f>
        <v>160</v>
      </c>
      <c r="C121" s="185">
        <f ca="1">SUM(TblConstr[[#This Row],[Tot Hom]:[Tot Doc]])</f>
        <v>90</v>
      </c>
      <c r="D121" s="185">
        <f t="shared" si="21"/>
        <v>0</v>
      </c>
      <c r="E121" s="186"/>
      <c r="F121" s="62">
        <f ca="1">TblConstr[[#This Row],[Barren]]+TblConstr[[#This Row],[Buildings]]+TblConstr[[#This Row],[Incoming]]</f>
        <v>250</v>
      </c>
      <c r="G121" s="195">
        <f ca="1">OFFSET(TblConstr[[#This Row],[Plain]],-1,0)+TblConstr[[#This Row],[Ch_Plain]]</f>
        <v>40</v>
      </c>
      <c r="H121" s="190">
        <f ca="1">OFFSET(TblConstr[[#This Row],[Forest]],-1,0)+TblConstr[[#This Row],[Ch_Forest]]</f>
        <v>20</v>
      </c>
      <c r="I121" s="390">
        <f ca="1">OFFSET(TblConstr[[#This Row],[Mountain]],-1,0)+TblConstr[[#This Row],[Ch_Mountain]]</f>
        <v>20</v>
      </c>
      <c r="J121" s="394">
        <f ca="1">OFFSET(TblConstr[[#This Row],[Hill]],-1,0)+TblConstr[[#This Row],[Ch_Hill]]</f>
        <v>20</v>
      </c>
      <c r="K121" s="398">
        <f ca="1">OFFSET(TblConstr[[#This Row],[Swamp]],-1,0)+TblConstr[[#This Row],[Ch_Swamp]]</f>
        <v>20</v>
      </c>
      <c r="L121" s="193">
        <f ca="1">OFFSET(TblConstr[[#This Row],[Cavern]],-1,0)+TblConstr[[#This Row],[Ch_Cavern]]</f>
        <v>20</v>
      </c>
      <c r="M121" s="194">
        <f ca="1">OFFSET(TblConstr[[#This Row],[Water]],-1,0)+TblConstr[[#This Row],[Ch_Water]]</f>
        <v>20</v>
      </c>
      <c r="N121" s="388">
        <f>TblRezone[[#This Row],[Hour]]</f>
        <v>118</v>
      </c>
      <c r="O121" s="187"/>
      <c r="P121" s="187"/>
      <c r="Q121" s="187"/>
      <c r="R121" s="187"/>
      <c r="S121" s="187"/>
      <c r="T121" s="187"/>
      <c r="U121" s="187"/>
      <c r="V121" s="187"/>
      <c r="W121" s="187"/>
      <c r="X121" s="187"/>
      <c r="Y121" s="187"/>
      <c r="Z121" s="187"/>
      <c r="AA121" s="187"/>
      <c r="AB121" s="187"/>
      <c r="AC121" s="187"/>
      <c r="AD121" s="187"/>
      <c r="AE121" s="187"/>
      <c r="AF121" s="187"/>
      <c r="AG121" s="187"/>
      <c r="AH121" s="53">
        <f ca="1">TblImps[[#This Row],[Time]]</f>
        <v>44815.624999999716</v>
      </c>
      <c r="AI121" s="188">
        <f ca="1">MIN(25%,(TblConstr[[#This Row],[Tot Fac]]+TblConstr[[#This Row],[Dest Fac]])/(TblConstr[[#This Row],[Land]]-TblExplore[[#This Row],[Land Bonus]]*20))</f>
        <v>0</v>
      </c>
      <c r="AJ121" s="188">
        <f ca="1">MIN(25%,(TblConstr[[#This Row],[Tot Fac]]+TblConstr[[#This Row],[Dest Fac]])/TblConstr[[#This Row],[Land]])</f>
        <v>0</v>
      </c>
      <c r="AK121" s="97">
        <f ca="1">TblProd[[#This Row],[Platinum]]</f>
        <v>742740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50"/>
      <c r="AV121" s="97">
        <f ca="1">ROUND((TblConstr[[#This Row],[Land]]-250 - IF(TblExplore[[#This Row],[Land Bonus]]&lt;&gt;0,20,0))*1.25 + 850 + 0,0)</f>
        <v>850</v>
      </c>
      <c r="AW121" s="97">
        <f ca="1">ROUND((TblConstr[[#This Row],[Land]]-250 - IF(TblExplore[[#This Row],[Land Bonus]]&lt;&gt;0,20,0))*0.285 + 87.5 + 0/4.25,0)</f>
        <v>88</v>
      </c>
      <c r="AX121" s="162"/>
      <c r="AY121" s="196" cm="1">
        <f t="array" aca="1" ref="AY121" ca="1">IF(TblConstr[[#This Row],[Hour]:[Hour]]&gt;12,OFFSET(TblConstr[[#This Row],[Hom]],-12,0),0)+OFFSET(TblConstr[[#This Row],[Tot Hom]],-1,0)-TblConstr[[#This Row],[Dest Hom]]</f>
        <v>10</v>
      </c>
      <c r="AZ121" s="197" cm="1">
        <f t="array" aca="1" ref="AZ121" ca="1">IF(TblConstr[[#This Row],[Hour]:[Hour]]&gt;12,OFFSET(TblConstr[[#This Row],[Alc]],-12,0),0)+OFFSET(TblConstr[[#This Row],[Tot Alc]],-1,0)-TblConstr[[#This Row],[Dest Alc]]</f>
        <v>30</v>
      </c>
      <c r="BA121" s="197" cm="1">
        <f t="array" aca="1" ref="BA121" ca="1">IF(TblConstr[[#This Row],[Hour]:[Hour]]&gt;12,OFFSET(TblConstr[[#This Row],[Far]],-12,0),0)+OFFSET(TblConstr[[#This Row],[Tot Farm]],-1,0)-TblConstr[[#This Row],[Dest Farm]]</f>
        <v>30</v>
      </c>
      <c r="BB121" s="197" cm="1">
        <f t="array" aca="1" ref="BB121" ca="1">IF(TblConstr[[#This Row],[Hour]:[Hour]]&gt;12,OFFSET(TblConstr[[#This Row],[Smi]],-12,0),0)+OFFSET(TblConstr[[#This Row],[Tot Smi]],-1,0)-TblConstr[[#This Row],[Dest Smi]]</f>
        <v>0</v>
      </c>
      <c r="BC121" s="197" cm="1">
        <f t="array" aca="1" ref="BC121" ca="1">IF(TblConstr[[#This Row],[Hour]:[Hour]]&gt;12,OFFSET(TblConstr[[#This Row],[Mas]],-12,0),0)+OFFSET(TblConstr[[#This Row],[Tot Mas]],-1,0)-TblConstr[[#This Row],[Dest Mas]]</f>
        <v>0</v>
      </c>
      <c r="BD121" s="198" cm="1">
        <f t="array" aca="1" ref="BD121" ca="1">IF(TblConstr[[#This Row],[Hour]:[Hour]]&gt;12,OFFSET(TblConstr[[#This Row],[Ly]],-12,0),0)+OFFSET(TblConstr[[#This Row],[Tot Ly]],-1,0)-TblConstr[[#This Row],[Dest Ly]]</f>
        <v>20</v>
      </c>
      <c r="BE121" s="198" cm="1">
        <f t="array" aca="1" ref="BE121" ca="1">IF(TblConstr[[#This Row],[Hour]:[Hour]]&gt;12,OFFSET(TblConstr[[#This Row],[Hav]],-12,0),0)+OFFSET(TblConstr[[#This Row],[Tot Hav]],-1,0)-TblConstr[[#This Row],[Dest Hav]]</f>
        <v>0</v>
      </c>
      <c r="BF121" s="392" cm="1">
        <f t="array" aca="1" ref="BF121" ca="1">IF(TblConstr[[#This Row],[Hour]:[Hour]]&gt;12,OFFSET(TblConstr[[#This Row],[OM]],-12,0),0)+OFFSET(TblConstr[[#This Row],[Tot OM]],-1,0)-TblConstr[[#This Row],[Dest OM]]</f>
        <v>0</v>
      </c>
      <c r="BG121" s="392" cm="1">
        <f t="array" aca="1" ref="BG121" ca="1">IF(TblConstr[[#This Row],[Hour]:[Hour]]&gt;12,OFFSET(TblConstr[[#This Row],[GN]],-12,0),0)+OFFSET(TblConstr[[#This Row],[Tot GN]],-1,0)-TblConstr[[#This Row],[Dest GN]]</f>
        <v>0</v>
      </c>
      <c r="BH121" s="396" cm="1">
        <f t="array" aca="1" ref="BH121" ca="1">IF(TblConstr[[#This Row],[Hour]:[Hour]]&gt;12,OFFSET(TblConstr[[#This Row],[Fac]],-12,0),0)+OFFSET(TblConstr[[#This Row],[Tot Fac]],-1,0)-TblConstr[[#This Row],[Dest Fac]]</f>
        <v>0</v>
      </c>
      <c r="BI121" s="396" cm="1">
        <f t="array" aca="1" ref="BI121" ca="1">IF(TblConstr[[#This Row],[Hour]:[Hour]]&gt;12,OFFSET(TblConstr[[#This Row],[GT]],-12,0),0)+OFFSET(TblConstr[[#This Row],[Tot GT]],-1,0)-TblConstr[[#This Row],[Dest GT]]</f>
        <v>0</v>
      </c>
      <c r="BJ121" s="396" cm="1">
        <f t="array" aca="1" ref="BJ121" ca="1">IF(TblConstr[[#This Row],[Hour]:[Hour]]&gt;12,OFFSET(TblConstr[[#This Row],[Bar]],-12,0),0)+OFFSET(TblConstr[[#This Row],[Tot Bar]],-1,0)-TblConstr[[#This Row],[Dest Bar]]</f>
        <v>0</v>
      </c>
      <c r="BK121" s="396" cm="1">
        <f t="array" aca="1" ref="BK121" ca="1">IF(TblConstr[[#This Row],[Hour]:[Hour]]&gt;12,OFFSET(TblConstr[[#This Row],[Shr]],-12,0),0)+OFFSET(TblConstr[[#This Row],[Tot Shr]],-1,0)-TblConstr[[#This Row],[Dest Shr]]</f>
        <v>0</v>
      </c>
      <c r="BL121" s="400" cm="1">
        <f t="array" aca="1" ref="BL121" ca="1">IF(TblConstr[[#This Row],[Hour]:[Hour]]&gt;12,OFFSET(TblConstr[[#This Row],[Tow]],-12,0),0)+OFFSET(TblConstr[[#This Row],[Tot Tow]],-1,0)-TblConstr[[#This Row],[Dest Tow]]</f>
        <v>0</v>
      </c>
      <c r="BM121" s="400" cm="1">
        <f t="array" aca="1" ref="BM121" ca="1">IF(TblConstr[[#This Row],[Hour]:[Hour]]&gt;12,OFFSET(TblConstr[[#This Row],[Tem]],-12,0),0)+OFFSET(TblConstr[[#This Row],[Tot Tem]],-1,0)-TblConstr[[#This Row],[Dest Tem]]</f>
        <v>0</v>
      </c>
      <c r="BN121" s="400" cm="1">
        <f t="array" aca="1" ref="BN121" ca="1">IF(TblConstr[[#This Row],[Hour]:[Hour]]&gt;12,OFFSET(TblConstr[[#This Row],[WG]],-12,0),0)+OFFSET(TblConstr[[#This Row],[Tot WG]],-1,0)-TblConstr[[#This Row],[Dest WG]]</f>
        <v>0</v>
      </c>
      <c r="BO121" s="199" cm="1">
        <f t="array" aca="1" ref="BO121" ca="1">IF(TblConstr[[#This Row],[Hour]:[Hour]]&gt;12,OFFSET(TblConstr[[#This Row],[DM]],-12,0),0)+OFFSET(TblConstr[[#This Row],[Tot DM]],-1,0)-TblConstr[[#This Row],[Dest DM]]</f>
        <v>0</v>
      </c>
      <c r="BP121" s="199" cm="1">
        <f t="array" aca="1" ref="BP121" ca="1">IF(TblConstr[[#This Row],[Hour]:[Hour]]&gt;12,OFFSET(TblConstr[[#This Row],[Sch]],-12,0),0)+OFFSET(TblConstr[[#This Row],[Tot Sch]],-1,0)-TblConstr[[#This Row],[Dest Sch]]</f>
        <v>0</v>
      </c>
      <c r="BQ121" s="200" cm="1">
        <f t="array" aca="1" ref="BQ121" ca="1">IF(TblConstr[[#This Row],[Hour]:[Hour]]&gt;12,OFFSET(TblConstr[[#This Row],[Doc]],-12,0),0)+OFFSET(TblConstr[[#This Row],[Tot Doc]],-1,0)-TblConstr[[#This Row],[Dest Doc]]</f>
        <v>0</v>
      </c>
      <c r="BR121" s="150"/>
      <c r="BS121" s="162"/>
      <c r="BT121" s="97">
        <f ca="1">TblConstr[[#This Row],[Land]]</f>
        <v>250</v>
      </c>
      <c r="BU121" s="167">
        <f ca="1">TblImps[[#This Row],[Time]]</f>
        <v>44815.624999999716</v>
      </c>
      <c r="BV121" s="150"/>
      <c r="BW121" s="187"/>
      <c r="BX121" s="187"/>
      <c r="BY121" s="187"/>
      <c r="BZ121" s="187"/>
      <c r="CA121" s="187"/>
      <c r="CB121" s="187"/>
      <c r="CC121" s="187"/>
      <c r="CD121" s="187"/>
      <c r="CE121" s="187"/>
      <c r="CF121" s="187"/>
      <c r="CG121" s="187"/>
      <c r="CH121" s="187"/>
      <c r="CI121" s="187"/>
      <c r="CJ121" s="187"/>
      <c r="CK121" s="187"/>
      <c r="CL121" s="187"/>
      <c r="CM121" s="187"/>
      <c r="CN121" s="187"/>
      <c r="CO121" s="187"/>
      <c r="CP121" s="150"/>
      <c r="CQ121" s="189">
        <f ca="1">-SUM(TblConstr[[#This Row],[Alc]:[Mas]])+SUM(TblConstr[[#This Row],[Dest Alc]:[Dest Mas]])+Rezone!L121+IF("Ch_"&amp; home_land=TblConstr[[#Headers],[Ch_Plain]],TblConstr[[#This Row],[Home Land]])+IF(TblConstr[[#This Row],[Hour]:[Hour]]&gt;12,OFFSET(TblExplore[[#This Row],[Plains Explore]],-12,0),0)</f>
        <v>0</v>
      </c>
      <c r="CR121" s="190">
        <f ca="1">-SUM(TblConstr[[#This Row],[Ly]:[Hav]])+SUM(TblConstr[[#This Row],[Dest Ly]:[Dest Hav]]) +Rezone!M121 + IF("Ch_"&amp; home_land=TblConstr[[#Headers],[Ch_Forest]],TblConstr[[#This Row],[Home Land]])+IF(TblConstr[[#This Row],[Hour]:[Hour]]&gt;12,OFFSET(TblExplore[[#This Row],[Forest Explore]],-12,0),0)</f>
        <v>0</v>
      </c>
      <c r="CS121" s="390">
        <f ca="1">-SUM(TblConstr[[#This Row],[OM]:[GN]])+SUM(TblConstr[[#This Row],[Dest OM]:[Dest GN]]) +Rezone!N121 + IF("Ch_"&amp; home_land=TblConstr[[#Headers],[Ch_Mountain]],TblConstr[[#This Row],[Home Land]])+IF(TblConstr[[#This Row],[Hour]:[Hour]]&gt;12,OFFSET(TblExplore[[#This Row],[Mountain Explore]],-12,0),0)</f>
        <v>0</v>
      </c>
      <c r="CT121" s="191">
        <f ca="1">-SUM(TblConstr[[#This Row],[Fac]:[Shr]])+SUM(TblConstr[[#This Row],[Dest Fac]:[Dest Shr]]) +Rezone!O121 + IF("Ch_" &amp; home_land=TblConstr[[#Headers],[Ch_Hill]],TblConstr[[#This Row],[Home Land]])+IF(TblConstr[[#This Row],[Hour]:[Hour]]&gt;12,OFFSET(TblExplore[[#This Row],[Hill Explore]],-12,0),0)</f>
        <v>0</v>
      </c>
      <c r="CU121" s="192">
        <f ca="1">-SUM(TblConstr[[#This Row],[Tow]:[WG]])+SUM(TblConstr[[#This Row],[Dest Tow]:[Dest WG]]) +Rezone!P121 + IF("Ch_" &amp; home_land=TblConstr[[#Headers],[Ch_Swamp]],TblConstr[[#This Row],[Home Land]])+IF(TblConstr[[#This Row],[Hour]:[Hour]]&gt;12,OFFSET(TblExplore[[#This Row],[Swamp Explore]],-12,0),0)</f>
        <v>0</v>
      </c>
      <c r="CV121" s="193">
        <f ca="1" xml:space="preserve"> - SUM(TblConstr[[#This Row],[DM]:[Sch]])+SUM(TblConstr[[#This Row],[Dest DM]:[Dest Sch]]) +Rezone!Q121 + IF("Ch_" &amp; home_land=TblConstr[[#Headers],[Ch_Cavern]],TblConstr[[#This Row],[Home Land]])+IF(TblConstr[[#This Row],[Hour]:[Hour]]&gt;12,OFFSET(TblExplore[[#This Row],[Cavern Explore]],-12,0),0)</f>
        <v>0</v>
      </c>
      <c r="CW121" s="194">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50"/>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83">
        <f>TblRezone[[#This Row],[Hour]]</f>
        <v>119</v>
      </c>
      <c r="B122" s="184">
        <f ca="1">SUM(TblConstr[[#This Row],[Plain]:[Water]])</f>
        <v>160</v>
      </c>
      <c r="C122" s="185">
        <f ca="1">SUM(TblConstr[[#This Row],[Tot Hom]:[Tot Doc]])</f>
        <v>90</v>
      </c>
      <c r="D122" s="185">
        <f t="shared" si="21"/>
        <v>0</v>
      </c>
      <c r="E122" s="186"/>
      <c r="F122" s="62">
        <f ca="1">TblConstr[[#This Row],[Barren]]+TblConstr[[#This Row],[Buildings]]+TblConstr[[#This Row],[Incoming]]</f>
        <v>250</v>
      </c>
      <c r="G122" s="195">
        <f ca="1">OFFSET(TblConstr[[#This Row],[Plain]],-1,0)+TblConstr[[#This Row],[Ch_Plain]]</f>
        <v>40</v>
      </c>
      <c r="H122" s="190">
        <f ca="1">OFFSET(TblConstr[[#This Row],[Forest]],-1,0)+TblConstr[[#This Row],[Ch_Forest]]</f>
        <v>20</v>
      </c>
      <c r="I122" s="390">
        <f ca="1">OFFSET(TblConstr[[#This Row],[Mountain]],-1,0)+TblConstr[[#This Row],[Ch_Mountain]]</f>
        <v>20</v>
      </c>
      <c r="J122" s="394">
        <f ca="1">OFFSET(TblConstr[[#This Row],[Hill]],-1,0)+TblConstr[[#This Row],[Ch_Hill]]</f>
        <v>20</v>
      </c>
      <c r="K122" s="398">
        <f ca="1">OFFSET(TblConstr[[#This Row],[Swamp]],-1,0)+TblConstr[[#This Row],[Ch_Swamp]]</f>
        <v>20</v>
      </c>
      <c r="L122" s="193">
        <f ca="1">OFFSET(TblConstr[[#This Row],[Cavern]],-1,0)+TblConstr[[#This Row],[Ch_Cavern]]</f>
        <v>20</v>
      </c>
      <c r="M122" s="194">
        <f ca="1">OFFSET(TblConstr[[#This Row],[Water]],-1,0)+TblConstr[[#This Row],[Ch_Water]]</f>
        <v>20</v>
      </c>
      <c r="N122" s="388">
        <f>TblRezone[[#This Row],[Hour]]</f>
        <v>119</v>
      </c>
      <c r="O122" s="187"/>
      <c r="P122" s="187"/>
      <c r="Q122" s="187"/>
      <c r="R122" s="187"/>
      <c r="S122" s="187"/>
      <c r="T122" s="187"/>
      <c r="U122" s="187"/>
      <c r="V122" s="187"/>
      <c r="W122" s="187"/>
      <c r="X122" s="187"/>
      <c r="Y122" s="187"/>
      <c r="Z122" s="187"/>
      <c r="AA122" s="187"/>
      <c r="AB122" s="187"/>
      <c r="AC122" s="187"/>
      <c r="AD122" s="187"/>
      <c r="AE122" s="187"/>
      <c r="AF122" s="187"/>
      <c r="AG122" s="187"/>
      <c r="AH122" s="53">
        <f ca="1">TblImps[[#This Row],[Time]]</f>
        <v>44815.66666666638</v>
      </c>
      <c r="AI122" s="188">
        <f ca="1">MIN(25%,(TblConstr[[#This Row],[Tot Fac]]+TblConstr[[#This Row],[Dest Fac]])/(TblConstr[[#This Row],[Land]]-TblExplore[[#This Row],[Land Bonus]]*20))</f>
        <v>0</v>
      </c>
      <c r="AJ122" s="188">
        <f ca="1">MIN(25%,(TblConstr[[#This Row],[Tot Fac]]+TblConstr[[#This Row],[Dest Fac]])/TblConstr[[#This Row],[Land]])</f>
        <v>0</v>
      </c>
      <c r="AK122" s="97">
        <f ca="1">TblProd[[#This Row],[Platinum]]</f>
        <v>748226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50"/>
      <c r="AV122" s="97">
        <f ca="1">ROUND((TblConstr[[#This Row],[Land]]-250 - IF(TblExplore[[#This Row],[Land Bonus]]&lt;&gt;0,20,0))*1.25 + 850 + 0,0)</f>
        <v>850</v>
      </c>
      <c r="AW122" s="97">
        <f ca="1">ROUND((TblConstr[[#This Row],[Land]]-250 - IF(TblExplore[[#This Row],[Land Bonus]]&lt;&gt;0,20,0))*0.285 + 87.5 + 0/4.25,0)</f>
        <v>88</v>
      </c>
      <c r="AX122" s="162"/>
      <c r="AY122" s="196" cm="1">
        <f t="array" aca="1" ref="AY122" ca="1">IF(TblConstr[[#This Row],[Hour]:[Hour]]&gt;12,OFFSET(TblConstr[[#This Row],[Hom]],-12,0),0)+OFFSET(TblConstr[[#This Row],[Tot Hom]],-1,0)-TblConstr[[#This Row],[Dest Hom]]</f>
        <v>10</v>
      </c>
      <c r="AZ122" s="197" cm="1">
        <f t="array" aca="1" ref="AZ122" ca="1">IF(TblConstr[[#This Row],[Hour]:[Hour]]&gt;12,OFFSET(TblConstr[[#This Row],[Alc]],-12,0),0)+OFFSET(TblConstr[[#This Row],[Tot Alc]],-1,0)-TblConstr[[#This Row],[Dest Alc]]</f>
        <v>30</v>
      </c>
      <c r="BA122" s="197" cm="1">
        <f t="array" aca="1" ref="BA122" ca="1">IF(TblConstr[[#This Row],[Hour]:[Hour]]&gt;12,OFFSET(TblConstr[[#This Row],[Far]],-12,0),0)+OFFSET(TblConstr[[#This Row],[Tot Farm]],-1,0)-TblConstr[[#This Row],[Dest Farm]]</f>
        <v>30</v>
      </c>
      <c r="BB122" s="197" cm="1">
        <f t="array" aca="1" ref="BB122" ca="1">IF(TblConstr[[#This Row],[Hour]:[Hour]]&gt;12,OFFSET(TblConstr[[#This Row],[Smi]],-12,0),0)+OFFSET(TblConstr[[#This Row],[Tot Smi]],-1,0)-TblConstr[[#This Row],[Dest Smi]]</f>
        <v>0</v>
      </c>
      <c r="BC122" s="197" cm="1">
        <f t="array" aca="1" ref="BC122" ca="1">IF(TblConstr[[#This Row],[Hour]:[Hour]]&gt;12,OFFSET(TblConstr[[#This Row],[Mas]],-12,0),0)+OFFSET(TblConstr[[#This Row],[Tot Mas]],-1,0)-TblConstr[[#This Row],[Dest Mas]]</f>
        <v>0</v>
      </c>
      <c r="BD122" s="198" cm="1">
        <f t="array" aca="1" ref="BD122" ca="1">IF(TblConstr[[#This Row],[Hour]:[Hour]]&gt;12,OFFSET(TblConstr[[#This Row],[Ly]],-12,0),0)+OFFSET(TblConstr[[#This Row],[Tot Ly]],-1,0)-TblConstr[[#This Row],[Dest Ly]]</f>
        <v>20</v>
      </c>
      <c r="BE122" s="198" cm="1">
        <f t="array" aca="1" ref="BE122" ca="1">IF(TblConstr[[#This Row],[Hour]:[Hour]]&gt;12,OFFSET(TblConstr[[#This Row],[Hav]],-12,0),0)+OFFSET(TblConstr[[#This Row],[Tot Hav]],-1,0)-TblConstr[[#This Row],[Dest Hav]]</f>
        <v>0</v>
      </c>
      <c r="BF122" s="392" cm="1">
        <f t="array" aca="1" ref="BF122" ca="1">IF(TblConstr[[#This Row],[Hour]:[Hour]]&gt;12,OFFSET(TblConstr[[#This Row],[OM]],-12,0),0)+OFFSET(TblConstr[[#This Row],[Tot OM]],-1,0)-TblConstr[[#This Row],[Dest OM]]</f>
        <v>0</v>
      </c>
      <c r="BG122" s="392" cm="1">
        <f t="array" aca="1" ref="BG122" ca="1">IF(TblConstr[[#This Row],[Hour]:[Hour]]&gt;12,OFFSET(TblConstr[[#This Row],[GN]],-12,0),0)+OFFSET(TblConstr[[#This Row],[Tot GN]],-1,0)-TblConstr[[#This Row],[Dest GN]]</f>
        <v>0</v>
      </c>
      <c r="BH122" s="396" cm="1">
        <f t="array" aca="1" ref="BH122" ca="1">IF(TblConstr[[#This Row],[Hour]:[Hour]]&gt;12,OFFSET(TblConstr[[#This Row],[Fac]],-12,0),0)+OFFSET(TblConstr[[#This Row],[Tot Fac]],-1,0)-TblConstr[[#This Row],[Dest Fac]]</f>
        <v>0</v>
      </c>
      <c r="BI122" s="396" cm="1">
        <f t="array" aca="1" ref="BI122" ca="1">IF(TblConstr[[#This Row],[Hour]:[Hour]]&gt;12,OFFSET(TblConstr[[#This Row],[GT]],-12,0),0)+OFFSET(TblConstr[[#This Row],[Tot GT]],-1,0)-TblConstr[[#This Row],[Dest GT]]</f>
        <v>0</v>
      </c>
      <c r="BJ122" s="396" cm="1">
        <f t="array" aca="1" ref="BJ122" ca="1">IF(TblConstr[[#This Row],[Hour]:[Hour]]&gt;12,OFFSET(TblConstr[[#This Row],[Bar]],-12,0),0)+OFFSET(TblConstr[[#This Row],[Tot Bar]],-1,0)-TblConstr[[#This Row],[Dest Bar]]</f>
        <v>0</v>
      </c>
      <c r="BK122" s="396" cm="1">
        <f t="array" aca="1" ref="BK122" ca="1">IF(TblConstr[[#This Row],[Hour]:[Hour]]&gt;12,OFFSET(TblConstr[[#This Row],[Shr]],-12,0),0)+OFFSET(TblConstr[[#This Row],[Tot Shr]],-1,0)-TblConstr[[#This Row],[Dest Shr]]</f>
        <v>0</v>
      </c>
      <c r="BL122" s="400" cm="1">
        <f t="array" aca="1" ref="BL122" ca="1">IF(TblConstr[[#This Row],[Hour]:[Hour]]&gt;12,OFFSET(TblConstr[[#This Row],[Tow]],-12,0),0)+OFFSET(TblConstr[[#This Row],[Tot Tow]],-1,0)-TblConstr[[#This Row],[Dest Tow]]</f>
        <v>0</v>
      </c>
      <c r="BM122" s="400" cm="1">
        <f t="array" aca="1" ref="BM122" ca="1">IF(TblConstr[[#This Row],[Hour]:[Hour]]&gt;12,OFFSET(TblConstr[[#This Row],[Tem]],-12,0),0)+OFFSET(TblConstr[[#This Row],[Tot Tem]],-1,0)-TblConstr[[#This Row],[Dest Tem]]</f>
        <v>0</v>
      </c>
      <c r="BN122" s="400" cm="1">
        <f t="array" aca="1" ref="BN122" ca="1">IF(TblConstr[[#This Row],[Hour]:[Hour]]&gt;12,OFFSET(TblConstr[[#This Row],[WG]],-12,0),0)+OFFSET(TblConstr[[#This Row],[Tot WG]],-1,0)-TblConstr[[#This Row],[Dest WG]]</f>
        <v>0</v>
      </c>
      <c r="BO122" s="199" cm="1">
        <f t="array" aca="1" ref="BO122" ca="1">IF(TblConstr[[#This Row],[Hour]:[Hour]]&gt;12,OFFSET(TblConstr[[#This Row],[DM]],-12,0),0)+OFFSET(TblConstr[[#This Row],[Tot DM]],-1,0)-TblConstr[[#This Row],[Dest DM]]</f>
        <v>0</v>
      </c>
      <c r="BP122" s="199" cm="1">
        <f t="array" aca="1" ref="BP122" ca="1">IF(TblConstr[[#This Row],[Hour]:[Hour]]&gt;12,OFFSET(TblConstr[[#This Row],[Sch]],-12,0),0)+OFFSET(TblConstr[[#This Row],[Tot Sch]],-1,0)-TblConstr[[#This Row],[Dest Sch]]</f>
        <v>0</v>
      </c>
      <c r="BQ122" s="200" cm="1">
        <f t="array" aca="1" ref="BQ122" ca="1">IF(TblConstr[[#This Row],[Hour]:[Hour]]&gt;12,OFFSET(TblConstr[[#This Row],[Doc]],-12,0),0)+OFFSET(TblConstr[[#This Row],[Tot Doc]],-1,0)-TblConstr[[#This Row],[Dest Doc]]</f>
        <v>0</v>
      </c>
      <c r="BR122" s="150"/>
      <c r="BS122" s="162"/>
      <c r="BT122" s="97">
        <f ca="1">TblConstr[[#This Row],[Land]]</f>
        <v>250</v>
      </c>
      <c r="BU122" s="167">
        <f ca="1">TblImps[[#This Row],[Time]]</f>
        <v>44815.66666666638</v>
      </c>
      <c r="BV122" s="150"/>
      <c r="BW122" s="187"/>
      <c r="BX122" s="187"/>
      <c r="BY122" s="187"/>
      <c r="BZ122" s="187"/>
      <c r="CA122" s="187"/>
      <c r="CB122" s="187"/>
      <c r="CC122" s="187"/>
      <c r="CD122" s="187"/>
      <c r="CE122" s="187"/>
      <c r="CF122" s="187"/>
      <c r="CG122" s="187"/>
      <c r="CH122" s="187"/>
      <c r="CI122" s="187"/>
      <c r="CJ122" s="187"/>
      <c r="CK122" s="187"/>
      <c r="CL122" s="187"/>
      <c r="CM122" s="187"/>
      <c r="CN122" s="187"/>
      <c r="CO122" s="187"/>
      <c r="CP122" s="150"/>
      <c r="CQ122" s="189">
        <f ca="1">-SUM(TblConstr[[#This Row],[Alc]:[Mas]])+SUM(TblConstr[[#This Row],[Dest Alc]:[Dest Mas]])+Rezone!L122+IF("Ch_"&amp; home_land=TblConstr[[#Headers],[Ch_Plain]],TblConstr[[#This Row],[Home Land]])+IF(TblConstr[[#This Row],[Hour]:[Hour]]&gt;12,OFFSET(TblExplore[[#This Row],[Plains Explore]],-12,0),0)</f>
        <v>0</v>
      </c>
      <c r="CR122" s="190">
        <f ca="1">-SUM(TblConstr[[#This Row],[Ly]:[Hav]])+SUM(TblConstr[[#This Row],[Dest Ly]:[Dest Hav]]) +Rezone!M122 + IF("Ch_"&amp; home_land=TblConstr[[#Headers],[Ch_Forest]],TblConstr[[#This Row],[Home Land]])+IF(TblConstr[[#This Row],[Hour]:[Hour]]&gt;12,OFFSET(TblExplore[[#This Row],[Forest Explore]],-12,0),0)</f>
        <v>0</v>
      </c>
      <c r="CS122" s="390">
        <f ca="1">-SUM(TblConstr[[#This Row],[OM]:[GN]])+SUM(TblConstr[[#This Row],[Dest OM]:[Dest GN]]) +Rezone!N122 + IF("Ch_"&amp; home_land=TblConstr[[#Headers],[Ch_Mountain]],TblConstr[[#This Row],[Home Land]])+IF(TblConstr[[#This Row],[Hour]:[Hour]]&gt;12,OFFSET(TblExplore[[#This Row],[Mountain Explore]],-12,0),0)</f>
        <v>0</v>
      </c>
      <c r="CT122" s="191">
        <f ca="1">-SUM(TblConstr[[#This Row],[Fac]:[Shr]])+SUM(TblConstr[[#This Row],[Dest Fac]:[Dest Shr]]) +Rezone!O122 + IF("Ch_" &amp; home_land=TblConstr[[#Headers],[Ch_Hill]],TblConstr[[#This Row],[Home Land]])+IF(TblConstr[[#This Row],[Hour]:[Hour]]&gt;12,OFFSET(TblExplore[[#This Row],[Hill Explore]],-12,0),0)</f>
        <v>0</v>
      </c>
      <c r="CU122" s="192">
        <f ca="1">-SUM(TblConstr[[#This Row],[Tow]:[WG]])+SUM(TblConstr[[#This Row],[Dest Tow]:[Dest WG]]) +Rezone!P122 + IF("Ch_" &amp; home_land=TblConstr[[#Headers],[Ch_Swamp]],TblConstr[[#This Row],[Home Land]])+IF(TblConstr[[#This Row],[Hour]:[Hour]]&gt;12,OFFSET(TblExplore[[#This Row],[Swamp Explore]],-12,0),0)</f>
        <v>0</v>
      </c>
      <c r="CV122" s="193">
        <f ca="1" xml:space="preserve"> - SUM(TblConstr[[#This Row],[DM]:[Sch]])+SUM(TblConstr[[#This Row],[Dest DM]:[Dest Sch]]) +Rezone!Q122 + IF("Ch_" &amp; home_land=TblConstr[[#Headers],[Ch_Cavern]],TblConstr[[#This Row],[Home Land]])+IF(TblConstr[[#This Row],[Hour]:[Hour]]&gt;12,OFFSET(TblExplore[[#This Row],[Cavern Explore]],-12,0),0)</f>
        <v>0</v>
      </c>
      <c r="CW122" s="194">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50"/>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83">
        <f>TblRezone[[#This Row],[Hour]]</f>
        <v>120</v>
      </c>
      <c r="B123" s="184">
        <f ca="1">SUM(TblConstr[[#This Row],[Plain]:[Water]])</f>
        <v>160</v>
      </c>
      <c r="C123" s="185">
        <f ca="1">SUM(TblConstr[[#This Row],[Tot Hom]:[Tot Doc]])</f>
        <v>90</v>
      </c>
      <c r="D123" s="185">
        <f t="shared" si="21"/>
        <v>0</v>
      </c>
      <c r="E123" s="186"/>
      <c r="F123" s="62">
        <f ca="1">TblConstr[[#This Row],[Barren]]+TblConstr[[#This Row],[Buildings]]+TblConstr[[#This Row],[Incoming]]</f>
        <v>250</v>
      </c>
      <c r="G123" s="195">
        <f ca="1">OFFSET(TblConstr[[#This Row],[Plain]],-1,0)+TblConstr[[#This Row],[Ch_Plain]]</f>
        <v>40</v>
      </c>
      <c r="H123" s="190">
        <f ca="1">OFFSET(TblConstr[[#This Row],[Forest]],-1,0)+TblConstr[[#This Row],[Ch_Forest]]</f>
        <v>20</v>
      </c>
      <c r="I123" s="390">
        <f ca="1">OFFSET(TblConstr[[#This Row],[Mountain]],-1,0)+TblConstr[[#This Row],[Ch_Mountain]]</f>
        <v>20</v>
      </c>
      <c r="J123" s="394">
        <f ca="1">OFFSET(TblConstr[[#This Row],[Hill]],-1,0)+TblConstr[[#This Row],[Ch_Hill]]</f>
        <v>20</v>
      </c>
      <c r="K123" s="398">
        <f ca="1">OFFSET(TblConstr[[#This Row],[Swamp]],-1,0)+TblConstr[[#This Row],[Ch_Swamp]]</f>
        <v>20</v>
      </c>
      <c r="L123" s="193">
        <f ca="1">OFFSET(TblConstr[[#This Row],[Cavern]],-1,0)+TblConstr[[#This Row],[Ch_Cavern]]</f>
        <v>20</v>
      </c>
      <c r="M123" s="194">
        <f ca="1">OFFSET(TblConstr[[#This Row],[Water]],-1,0)+TblConstr[[#This Row],[Ch_Water]]</f>
        <v>20</v>
      </c>
      <c r="N123" s="388">
        <f>TblRezone[[#This Row],[Hour]]</f>
        <v>120</v>
      </c>
      <c r="O123" s="187"/>
      <c r="P123" s="187"/>
      <c r="Q123" s="187"/>
      <c r="R123" s="187"/>
      <c r="S123" s="187"/>
      <c r="T123" s="187"/>
      <c r="U123" s="187"/>
      <c r="V123" s="187"/>
      <c r="W123" s="187"/>
      <c r="X123" s="187"/>
      <c r="Y123" s="187"/>
      <c r="Z123" s="187"/>
      <c r="AA123" s="187"/>
      <c r="AB123" s="187"/>
      <c r="AC123" s="187"/>
      <c r="AD123" s="187"/>
      <c r="AE123" s="187"/>
      <c r="AF123" s="187"/>
      <c r="AG123" s="187"/>
      <c r="AH123" s="53">
        <f ca="1">TblImps[[#This Row],[Time]]</f>
        <v>44815.708333333045</v>
      </c>
      <c r="AI123" s="188">
        <f ca="1">MIN(25%,(TblConstr[[#This Row],[Tot Fac]]+TblConstr[[#This Row],[Dest Fac]])/(TblConstr[[#This Row],[Land]]-TblExplore[[#This Row],[Land Bonus]]*20))</f>
        <v>0</v>
      </c>
      <c r="AJ123" s="188">
        <f ca="1">MIN(25%,(TblConstr[[#This Row],[Tot Fac]]+TblConstr[[#This Row],[Dest Fac]])/TblConstr[[#This Row],[Land]])</f>
        <v>0</v>
      </c>
      <c r="AK123" s="97">
        <f ca="1">TblProd[[#This Row],[Platinum]]</f>
        <v>753712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50"/>
      <c r="AV123" s="97">
        <f ca="1">ROUND((TblConstr[[#This Row],[Land]]-250 - IF(TblExplore[[#This Row],[Land Bonus]]&lt;&gt;0,20,0))*1.25 + 850 + 0,0)</f>
        <v>850</v>
      </c>
      <c r="AW123" s="97">
        <f ca="1">ROUND((TblConstr[[#This Row],[Land]]-250 - IF(TblExplore[[#This Row],[Land Bonus]]&lt;&gt;0,20,0))*0.285 + 87.5 + 0/4.25,0)</f>
        <v>88</v>
      </c>
      <c r="AX123" s="162"/>
      <c r="AY123" s="196" cm="1">
        <f t="array" aca="1" ref="AY123" ca="1">IF(TblConstr[[#This Row],[Hour]:[Hour]]&gt;12,OFFSET(TblConstr[[#This Row],[Hom]],-12,0),0)+OFFSET(TblConstr[[#This Row],[Tot Hom]],-1,0)-TblConstr[[#This Row],[Dest Hom]]</f>
        <v>10</v>
      </c>
      <c r="AZ123" s="197" cm="1">
        <f t="array" aca="1" ref="AZ123" ca="1">IF(TblConstr[[#This Row],[Hour]:[Hour]]&gt;12,OFFSET(TblConstr[[#This Row],[Alc]],-12,0),0)+OFFSET(TblConstr[[#This Row],[Tot Alc]],-1,0)-TblConstr[[#This Row],[Dest Alc]]</f>
        <v>30</v>
      </c>
      <c r="BA123" s="197" cm="1">
        <f t="array" aca="1" ref="BA123" ca="1">IF(TblConstr[[#This Row],[Hour]:[Hour]]&gt;12,OFFSET(TblConstr[[#This Row],[Far]],-12,0),0)+OFFSET(TblConstr[[#This Row],[Tot Farm]],-1,0)-TblConstr[[#This Row],[Dest Farm]]</f>
        <v>30</v>
      </c>
      <c r="BB123" s="197" cm="1">
        <f t="array" aca="1" ref="BB123" ca="1">IF(TblConstr[[#This Row],[Hour]:[Hour]]&gt;12,OFFSET(TblConstr[[#This Row],[Smi]],-12,0),0)+OFFSET(TblConstr[[#This Row],[Tot Smi]],-1,0)-TblConstr[[#This Row],[Dest Smi]]</f>
        <v>0</v>
      </c>
      <c r="BC123" s="197" cm="1">
        <f t="array" aca="1" ref="BC123" ca="1">IF(TblConstr[[#This Row],[Hour]:[Hour]]&gt;12,OFFSET(TblConstr[[#This Row],[Mas]],-12,0),0)+OFFSET(TblConstr[[#This Row],[Tot Mas]],-1,0)-TblConstr[[#This Row],[Dest Mas]]</f>
        <v>0</v>
      </c>
      <c r="BD123" s="198" cm="1">
        <f t="array" aca="1" ref="BD123" ca="1">IF(TblConstr[[#This Row],[Hour]:[Hour]]&gt;12,OFFSET(TblConstr[[#This Row],[Ly]],-12,0),0)+OFFSET(TblConstr[[#This Row],[Tot Ly]],-1,0)-TblConstr[[#This Row],[Dest Ly]]</f>
        <v>20</v>
      </c>
      <c r="BE123" s="198" cm="1">
        <f t="array" aca="1" ref="BE123" ca="1">IF(TblConstr[[#This Row],[Hour]:[Hour]]&gt;12,OFFSET(TblConstr[[#This Row],[Hav]],-12,0),0)+OFFSET(TblConstr[[#This Row],[Tot Hav]],-1,0)-TblConstr[[#This Row],[Dest Hav]]</f>
        <v>0</v>
      </c>
      <c r="BF123" s="392" cm="1">
        <f t="array" aca="1" ref="BF123" ca="1">IF(TblConstr[[#This Row],[Hour]:[Hour]]&gt;12,OFFSET(TblConstr[[#This Row],[OM]],-12,0),0)+OFFSET(TblConstr[[#This Row],[Tot OM]],-1,0)-TblConstr[[#This Row],[Dest OM]]</f>
        <v>0</v>
      </c>
      <c r="BG123" s="392" cm="1">
        <f t="array" aca="1" ref="BG123" ca="1">IF(TblConstr[[#This Row],[Hour]:[Hour]]&gt;12,OFFSET(TblConstr[[#This Row],[GN]],-12,0),0)+OFFSET(TblConstr[[#This Row],[Tot GN]],-1,0)-TblConstr[[#This Row],[Dest GN]]</f>
        <v>0</v>
      </c>
      <c r="BH123" s="396" cm="1">
        <f t="array" aca="1" ref="BH123" ca="1">IF(TblConstr[[#This Row],[Hour]:[Hour]]&gt;12,OFFSET(TblConstr[[#This Row],[Fac]],-12,0),0)+OFFSET(TblConstr[[#This Row],[Tot Fac]],-1,0)-TblConstr[[#This Row],[Dest Fac]]</f>
        <v>0</v>
      </c>
      <c r="BI123" s="396" cm="1">
        <f t="array" aca="1" ref="BI123" ca="1">IF(TblConstr[[#This Row],[Hour]:[Hour]]&gt;12,OFFSET(TblConstr[[#This Row],[GT]],-12,0),0)+OFFSET(TblConstr[[#This Row],[Tot GT]],-1,0)-TblConstr[[#This Row],[Dest GT]]</f>
        <v>0</v>
      </c>
      <c r="BJ123" s="396" cm="1">
        <f t="array" aca="1" ref="BJ123" ca="1">IF(TblConstr[[#This Row],[Hour]:[Hour]]&gt;12,OFFSET(TblConstr[[#This Row],[Bar]],-12,0),0)+OFFSET(TblConstr[[#This Row],[Tot Bar]],-1,0)-TblConstr[[#This Row],[Dest Bar]]</f>
        <v>0</v>
      </c>
      <c r="BK123" s="396" cm="1">
        <f t="array" aca="1" ref="BK123" ca="1">IF(TblConstr[[#This Row],[Hour]:[Hour]]&gt;12,OFFSET(TblConstr[[#This Row],[Shr]],-12,0),0)+OFFSET(TblConstr[[#This Row],[Tot Shr]],-1,0)-TblConstr[[#This Row],[Dest Shr]]</f>
        <v>0</v>
      </c>
      <c r="BL123" s="400" cm="1">
        <f t="array" aca="1" ref="BL123" ca="1">IF(TblConstr[[#This Row],[Hour]:[Hour]]&gt;12,OFFSET(TblConstr[[#This Row],[Tow]],-12,0),0)+OFFSET(TblConstr[[#This Row],[Tot Tow]],-1,0)-TblConstr[[#This Row],[Dest Tow]]</f>
        <v>0</v>
      </c>
      <c r="BM123" s="400" cm="1">
        <f t="array" aca="1" ref="BM123" ca="1">IF(TblConstr[[#This Row],[Hour]:[Hour]]&gt;12,OFFSET(TblConstr[[#This Row],[Tem]],-12,0),0)+OFFSET(TblConstr[[#This Row],[Tot Tem]],-1,0)-TblConstr[[#This Row],[Dest Tem]]</f>
        <v>0</v>
      </c>
      <c r="BN123" s="400" cm="1">
        <f t="array" aca="1" ref="BN123" ca="1">IF(TblConstr[[#This Row],[Hour]:[Hour]]&gt;12,OFFSET(TblConstr[[#This Row],[WG]],-12,0),0)+OFFSET(TblConstr[[#This Row],[Tot WG]],-1,0)-TblConstr[[#This Row],[Dest WG]]</f>
        <v>0</v>
      </c>
      <c r="BO123" s="199" cm="1">
        <f t="array" aca="1" ref="BO123" ca="1">IF(TblConstr[[#This Row],[Hour]:[Hour]]&gt;12,OFFSET(TblConstr[[#This Row],[DM]],-12,0),0)+OFFSET(TblConstr[[#This Row],[Tot DM]],-1,0)-TblConstr[[#This Row],[Dest DM]]</f>
        <v>0</v>
      </c>
      <c r="BP123" s="199" cm="1">
        <f t="array" aca="1" ref="BP123" ca="1">IF(TblConstr[[#This Row],[Hour]:[Hour]]&gt;12,OFFSET(TblConstr[[#This Row],[Sch]],-12,0),0)+OFFSET(TblConstr[[#This Row],[Tot Sch]],-1,0)-TblConstr[[#This Row],[Dest Sch]]</f>
        <v>0</v>
      </c>
      <c r="BQ123" s="200" cm="1">
        <f t="array" aca="1" ref="BQ123" ca="1">IF(TblConstr[[#This Row],[Hour]:[Hour]]&gt;12,OFFSET(TblConstr[[#This Row],[Doc]],-12,0),0)+OFFSET(TblConstr[[#This Row],[Tot Doc]],-1,0)-TblConstr[[#This Row],[Dest Doc]]</f>
        <v>0</v>
      </c>
      <c r="BR123" s="150"/>
      <c r="BS123" s="162"/>
      <c r="BT123" s="97">
        <f ca="1">TblConstr[[#This Row],[Land]]</f>
        <v>250</v>
      </c>
      <c r="BU123" s="167">
        <f ca="1">TblImps[[#This Row],[Time]]</f>
        <v>44815.708333333045</v>
      </c>
      <c r="BV123" s="150"/>
      <c r="BW123" s="187"/>
      <c r="BX123" s="187"/>
      <c r="BY123" s="187"/>
      <c r="BZ123" s="187"/>
      <c r="CA123" s="187"/>
      <c r="CB123" s="187"/>
      <c r="CC123" s="187"/>
      <c r="CD123" s="187"/>
      <c r="CE123" s="187"/>
      <c r="CF123" s="187"/>
      <c r="CG123" s="187"/>
      <c r="CH123" s="187"/>
      <c r="CI123" s="187"/>
      <c r="CJ123" s="187"/>
      <c r="CK123" s="187"/>
      <c r="CL123" s="187"/>
      <c r="CM123" s="187"/>
      <c r="CN123" s="187"/>
      <c r="CO123" s="187"/>
      <c r="CP123" s="150"/>
      <c r="CQ123" s="189">
        <f ca="1">-SUM(TblConstr[[#This Row],[Alc]:[Mas]])+SUM(TblConstr[[#This Row],[Dest Alc]:[Dest Mas]])+Rezone!L123+IF("Ch_"&amp; home_land=TblConstr[[#Headers],[Ch_Plain]],TblConstr[[#This Row],[Home Land]])+IF(TblConstr[[#This Row],[Hour]:[Hour]]&gt;12,OFFSET(TblExplore[[#This Row],[Plains Explore]],-12,0),0)</f>
        <v>0</v>
      </c>
      <c r="CR123" s="190">
        <f ca="1">-SUM(TblConstr[[#This Row],[Ly]:[Hav]])+SUM(TblConstr[[#This Row],[Dest Ly]:[Dest Hav]]) +Rezone!M123 + IF("Ch_"&amp; home_land=TblConstr[[#Headers],[Ch_Forest]],TblConstr[[#This Row],[Home Land]])+IF(TblConstr[[#This Row],[Hour]:[Hour]]&gt;12,OFFSET(TblExplore[[#This Row],[Forest Explore]],-12,0),0)</f>
        <v>0</v>
      </c>
      <c r="CS123" s="390">
        <f ca="1">-SUM(TblConstr[[#This Row],[OM]:[GN]])+SUM(TblConstr[[#This Row],[Dest OM]:[Dest GN]]) +Rezone!N123 + IF("Ch_"&amp; home_land=TblConstr[[#Headers],[Ch_Mountain]],TblConstr[[#This Row],[Home Land]])+IF(TblConstr[[#This Row],[Hour]:[Hour]]&gt;12,OFFSET(TblExplore[[#This Row],[Mountain Explore]],-12,0),0)</f>
        <v>0</v>
      </c>
      <c r="CT123" s="191">
        <f ca="1">-SUM(TblConstr[[#This Row],[Fac]:[Shr]])+SUM(TblConstr[[#This Row],[Dest Fac]:[Dest Shr]]) +Rezone!O123 + IF("Ch_" &amp; home_land=TblConstr[[#Headers],[Ch_Hill]],TblConstr[[#This Row],[Home Land]])+IF(TblConstr[[#This Row],[Hour]:[Hour]]&gt;12,OFFSET(TblExplore[[#This Row],[Hill Explore]],-12,0),0)</f>
        <v>0</v>
      </c>
      <c r="CU123" s="192">
        <f ca="1">-SUM(TblConstr[[#This Row],[Tow]:[WG]])+SUM(TblConstr[[#This Row],[Dest Tow]:[Dest WG]]) +Rezone!P123 + IF("Ch_" &amp; home_land=TblConstr[[#Headers],[Ch_Swamp]],TblConstr[[#This Row],[Home Land]])+IF(TblConstr[[#This Row],[Hour]:[Hour]]&gt;12,OFFSET(TblExplore[[#This Row],[Swamp Explore]],-12,0),0)</f>
        <v>0</v>
      </c>
      <c r="CV123" s="193">
        <f ca="1" xml:space="preserve"> - SUM(TblConstr[[#This Row],[DM]:[Sch]])+SUM(TblConstr[[#This Row],[Dest DM]:[Dest Sch]]) +Rezone!Q123 + IF("Ch_" &amp; home_land=TblConstr[[#Headers],[Ch_Cavern]],TblConstr[[#This Row],[Home Land]])+IF(TblConstr[[#This Row],[Hour]:[Hour]]&gt;12,OFFSET(TblExplore[[#This Row],[Cavern Explore]],-12,0),0)</f>
        <v>0</v>
      </c>
      <c r="CW123" s="194">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50"/>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83">
        <f>TblRezone[[#This Row],[Hour]]</f>
        <v>121</v>
      </c>
      <c r="B124" s="184">
        <f ca="1">SUM(TblConstr[[#This Row],[Plain]:[Water]])</f>
        <v>160</v>
      </c>
      <c r="C124" s="185">
        <f ca="1">SUM(TblConstr[[#This Row],[Tot Hom]:[Tot Doc]])</f>
        <v>90</v>
      </c>
      <c r="D124" s="185">
        <f t="shared" si="21"/>
        <v>0</v>
      </c>
      <c r="E124" s="186"/>
      <c r="F124" s="62">
        <f ca="1">TblConstr[[#This Row],[Barren]]+TblConstr[[#This Row],[Buildings]]+TblConstr[[#This Row],[Incoming]]</f>
        <v>250</v>
      </c>
      <c r="G124" s="195">
        <f ca="1">OFFSET(TblConstr[[#This Row],[Plain]],-1,0)+TblConstr[[#This Row],[Ch_Plain]]</f>
        <v>40</v>
      </c>
      <c r="H124" s="190">
        <f ca="1">OFFSET(TblConstr[[#This Row],[Forest]],-1,0)+TblConstr[[#This Row],[Ch_Forest]]</f>
        <v>20</v>
      </c>
      <c r="I124" s="390">
        <f ca="1">OFFSET(TblConstr[[#This Row],[Mountain]],-1,0)+TblConstr[[#This Row],[Ch_Mountain]]</f>
        <v>20</v>
      </c>
      <c r="J124" s="394">
        <f ca="1">OFFSET(TblConstr[[#This Row],[Hill]],-1,0)+TblConstr[[#This Row],[Ch_Hill]]</f>
        <v>20</v>
      </c>
      <c r="K124" s="398">
        <f ca="1">OFFSET(TblConstr[[#This Row],[Swamp]],-1,0)+TblConstr[[#This Row],[Ch_Swamp]]</f>
        <v>20</v>
      </c>
      <c r="L124" s="193">
        <f ca="1">OFFSET(TblConstr[[#This Row],[Cavern]],-1,0)+TblConstr[[#This Row],[Ch_Cavern]]</f>
        <v>20</v>
      </c>
      <c r="M124" s="194">
        <f ca="1">OFFSET(TblConstr[[#This Row],[Water]],-1,0)+TblConstr[[#This Row],[Ch_Water]]</f>
        <v>20</v>
      </c>
      <c r="N124" s="388">
        <f>TblRezone[[#This Row],[Hour]]</f>
        <v>121</v>
      </c>
      <c r="O124" s="187"/>
      <c r="P124" s="187"/>
      <c r="Q124" s="187"/>
      <c r="R124" s="187"/>
      <c r="S124" s="187"/>
      <c r="T124" s="187"/>
      <c r="U124" s="187"/>
      <c r="V124" s="187"/>
      <c r="W124" s="187"/>
      <c r="X124" s="187"/>
      <c r="Y124" s="187"/>
      <c r="Z124" s="187"/>
      <c r="AA124" s="187"/>
      <c r="AB124" s="187"/>
      <c r="AC124" s="187"/>
      <c r="AD124" s="187"/>
      <c r="AE124" s="187"/>
      <c r="AF124" s="187"/>
      <c r="AG124" s="187"/>
      <c r="AH124" s="53">
        <f ca="1">TblImps[[#This Row],[Time]]</f>
        <v>44815.749999999709</v>
      </c>
      <c r="AI124" s="188">
        <f ca="1">MIN(25%,(TblConstr[[#This Row],[Tot Fac]]+TblConstr[[#This Row],[Dest Fac]])/(TblConstr[[#This Row],[Land]]-TblExplore[[#This Row],[Land Bonus]]*20))</f>
        <v>0</v>
      </c>
      <c r="AJ124" s="188">
        <f ca="1">MIN(25%,(TblConstr[[#This Row],[Tot Fac]]+TblConstr[[#This Row],[Dest Fac]])/TblConstr[[#This Row],[Land]])</f>
        <v>0</v>
      </c>
      <c r="AK124" s="97">
        <f ca="1">TblProd[[#This Row],[Platinum]]</f>
        <v>759198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50"/>
      <c r="AV124" s="97">
        <f ca="1">ROUND((TblConstr[[#This Row],[Land]]-250 - IF(TblExplore[[#This Row],[Land Bonus]]&lt;&gt;0,20,0))*1.25 + 850 + 0,0)</f>
        <v>850</v>
      </c>
      <c r="AW124" s="97">
        <f ca="1">ROUND((TblConstr[[#This Row],[Land]]-250 - IF(TblExplore[[#This Row],[Land Bonus]]&lt;&gt;0,20,0))*0.285 + 87.5 + 0/4.25,0)</f>
        <v>88</v>
      </c>
      <c r="AX124" s="162"/>
      <c r="AY124" s="196" cm="1">
        <f t="array" aca="1" ref="AY124" ca="1">IF(TblConstr[[#This Row],[Hour]:[Hour]]&gt;12,OFFSET(TblConstr[[#This Row],[Hom]],-12,0),0)+OFFSET(TblConstr[[#This Row],[Tot Hom]],-1,0)-TblConstr[[#This Row],[Dest Hom]]</f>
        <v>10</v>
      </c>
      <c r="AZ124" s="197" cm="1">
        <f t="array" aca="1" ref="AZ124" ca="1">IF(TblConstr[[#This Row],[Hour]:[Hour]]&gt;12,OFFSET(TblConstr[[#This Row],[Alc]],-12,0),0)+OFFSET(TblConstr[[#This Row],[Tot Alc]],-1,0)-TblConstr[[#This Row],[Dest Alc]]</f>
        <v>30</v>
      </c>
      <c r="BA124" s="197" cm="1">
        <f t="array" aca="1" ref="BA124" ca="1">IF(TblConstr[[#This Row],[Hour]:[Hour]]&gt;12,OFFSET(TblConstr[[#This Row],[Far]],-12,0),0)+OFFSET(TblConstr[[#This Row],[Tot Farm]],-1,0)-TblConstr[[#This Row],[Dest Farm]]</f>
        <v>30</v>
      </c>
      <c r="BB124" s="197" cm="1">
        <f t="array" aca="1" ref="BB124" ca="1">IF(TblConstr[[#This Row],[Hour]:[Hour]]&gt;12,OFFSET(TblConstr[[#This Row],[Smi]],-12,0),0)+OFFSET(TblConstr[[#This Row],[Tot Smi]],-1,0)-TblConstr[[#This Row],[Dest Smi]]</f>
        <v>0</v>
      </c>
      <c r="BC124" s="197" cm="1">
        <f t="array" aca="1" ref="BC124" ca="1">IF(TblConstr[[#This Row],[Hour]:[Hour]]&gt;12,OFFSET(TblConstr[[#This Row],[Mas]],-12,0),0)+OFFSET(TblConstr[[#This Row],[Tot Mas]],-1,0)-TblConstr[[#This Row],[Dest Mas]]</f>
        <v>0</v>
      </c>
      <c r="BD124" s="198" cm="1">
        <f t="array" aca="1" ref="BD124" ca="1">IF(TblConstr[[#This Row],[Hour]:[Hour]]&gt;12,OFFSET(TblConstr[[#This Row],[Ly]],-12,0),0)+OFFSET(TblConstr[[#This Row],[Tot Ly]],-1,0)-TblConstr[[#This Row],[Dest Ly]]</f>
        <v>20</v>
      </c>
      <c r="BE124" s="198" cm="1">
        <f t="array" aca="1" ref="BE124" ca="1">IF(TblConstr[[#This Row],[Hour]:[Hour]]&gt;12,OFFSET(TblConstr[[#This Row],[Hav]],-12,0),0)+OFFSET(TblConstr[[#This Row],[Tot Hav]],-1,0)-TblConstr[[#This Row],[Dest Hav]]</f>
        <v>0</v>
      </c>
      <c r="BF124" s="392" cm="1">
        <f t="array" aca="1" ref="BF124" ca="1">IF(TblConstr[[#This Row],[Hour]:[Hour]]&gt;12,OFFSET(TblConstr[[#This Row],[OM]],-12,0),0)+OFFSET(TblConstr[[#This Row],[Tot OM]],-1,0)-TblConstr[[#This Row],[Dest OM]]</f>
        <v>0</v>
      </c>
      <c r="BG124" s="392" cm="1">
        <f t="array" aca="1" ref="BG124" ca="1">IF(TblConstr[[#This Row],[Hour]:[Hour]]&gt;12,OFFSET(TblConstr[[#This Row],[GN]],-12,0),0)+OFFSET(TblConstr[[#This Row],[Tot GN]],-1,0)-TblConstr[[#This Row],[Dest GN]]</f>
        <v>0</v>
      </c>
      <c r="BH124" s="396" cm="1">
        <f t="array" aca="1" ref="BH124" ca="1">IF(TblConstr[[#This Row],[Hour]:[Hour]]&gt;12,OFFSET(TblConstr[[#This Row],[Fac]],-12,0),0)+OFFSET(TblConstr[[#This Row],[Tot Fac]],-1,0)-TblConstr[[#This Row],[Dest Fac]]</f>
        <v>0</v>
      </c>
      <c r="BI124" s="396" cm="1">
        <f t="array" aca="1" ref="BI124" ca="1">IF(TblConstr[[#This Row],[Hour]:[Hour]]&gt;12,OFFSET(TblConstr[[#This Row],[GT]],-12,0),0)+OFFSET(TblConstr[[#This Row],[Tot GT]],-1,0)-TblConstr[[#This Row],[Dest GT]]</f>
        <v>0</v>
      </c>
      <c r="BJ124" s="396" cm="1">
        <f t="array" aca="1" ref="BJ124" ca="1">IF(TblConstr[[#This Row],[Hour]:[Hour]]&gt;12,OFFSET(TblConstr[[#This Row],[Bar]],-12,0),0)+OFFSET(TblConstr[[#This Row],[Tot Bar]],-1,0)-TblConstr[[#This Row],[Dest Bar]]</f>
        <v>0</v>
      </c>
      <c r="BK124" s="396" cm="1">
        <f t="array" aca="1" ref="BK124" ca="1">IF(TblConstr[[#This Row],[Hour]:[Hour]]&gt;12,OFFSET(TblConstr[[#This Row],[Shr]],-12,0),0)+OFFSET(TblConstr[[#This Row],[Tot Shr]],-1,0)-TblConstr[[#This Row],[Dest Shr]]</f>
        <v>0</v>
      </c>
      <c r="BL124" s="400" cm="1">
        <f t="array" aca="1" ref="BL124" ca="1">IF(TblConstr[[#This Row],[Hour]:[Hour]]&gt;12,OFFSET(TblConstr[[#This Row],[Tow]],-12,0),0)+OFFSET(TblConstr[[#This Row],[Tot Tow]],-1,0)-TblConstr[[#This Row],[Dest Tow]]</f>
        <v>0</v>
      </c>
      <c r="BM124" s="400" cm="1">
        <f t="array" aca="1" ref="BM124" ca="1">IF(TblConstr[[#This Row],[Hour]:[Hour]]&gt;12,OFFSET(TblConstr[[#This Row],[Tem]],-12,0),0)+OFFSET(TblConstr[[#This Row],[Tot Tem]],-1,0)-TblConstr[[#This Row],[Dest Tem]]</f>
        <v>0</v>
      </c>
      <c r="BN124" s="400" cm="1">
        <f t="array" aca="1" ref="BN124" ca="1">IF(TblConstr[[#This Row],[Hour]:[Hour]]&gt;12,OFFSET(TblConstr[[#This Row],[WG]],-12,0),0)+OFFSET(TblConstr[[#This Row],[Tot WG]],-1,0)-TblConstr[[#This Row],[Dest WG]]</f>
        <v>0</v>
      </c>
      <c r="BO124" s="199" cm="1">
        <f t="array" aca="1" ref="BO124" ca="1">IF(TblConstr[[#This Row],[Hour]:[Hour]]&gt;12,OFFSET(TblConstr[[#This Row],[DM]],-12,0),0)+OFFSET(TblConstr[[#This Row],[Tot DM]],-1,0)-TblConstr[[#This Row],[Dest DM]]</f>
        <v>0</v>
      </c>
      <c r="BP124" s="199" cm="1">
        <f t="array" aca="1" ref="BP124" ca="1">IF(TblConstr[[#This Row],[Hour]:[Hour]]&gt;12,OFFSET(TblConstr[[#This Row],[Sch]],-12,0),0)+OFFSET(TblConstr[[#This Row],[Tot Sch]],-1,0)-TblConstr[[#This Row],[Dest Sch]]</f>
        <v>0</v>
      </c>
      <c r="BQ124" s="200" cm="1">
        <f t="array" aca="1" ref="BQ124" ca="1">IF(TblConstr[[#This Row],[Hour]:[Hour]]&gt;12,OFFSET(TblConstr[[#This Row],[Doc]],-12,0),0)+OFFSET(TblConstr[[#This Row],[Tot Doc]],-1,0)-TblConstr[[#This Row],[Dest Doc]]</f>
        <v>0</v>
      </c>
      <c r="BR124" s="150"/>
      <c r="BS124" s="162"/>
      <c r="BT124" s="97">
        <f ca="1">TblConstr[[#This Row],[Land]]</f>
        <v>250</v>
      </c>
      <c r="BU124" s="167">
        <f ca="1">TblImps[[#This Row],[Time]]</f>
        <v>44815.749999999709</v>
      </c>
      <c r="BV124" s="150"/>
      <c r="BW124" s="187"/>
      <c r="BX124" s="187"/>
      <c r="BY124" s="187"/>
      <c r="BZ124" s="187"/>
      <c r="CA124" s="187"/>
      <c r="CB124" s="187"/>
      <c r="CC124" s="187"/>
      <c r="CD124" s="187"/>
      <c r="CE124" s="187"/>
      <c r="CF124" s="187"/>
      <c r="CG124" s="187"/>
      <c r="CH124" s="187"/>
      <c r="CI124" s="187"/>
      <c r="CJ124" s="187"/>
      <c r="CK124" s="187"/>
      <c r="CL124" s="187"/>
      <c r="CM124" s="187"/>
      <c r="CN124" s="187"/>
      <c r="CO124" s="187"/>
      <c r="CP124" s="150"/>
      <c r="CQ124" s="189">
        <f ca="1">-SUM(TblConstr[[#This Row],[Alc]:[Mas]])+SUM(TblConstr[[#This Row],[Dest Alc]:[Dest Mas]])+Rezone!L124+IF("Ch_"&amp; home_land=TblConstr[[#Headers],[Ch_Plain]],TblConstr[[#This Row],[Home Land]])+IF(TblConstr[[#This Row],[Hour]:[Hour]]&gt;12,OFFSET(TblExplore[[#This Row],[Plains Explore]],-12,0),0)</f>
        <v>0</v>
      </c>
      <c r="CR124" s="190">
        <f ca="1">-SUM(TblConstr[[#This Row],[Ly]:[Hav]])+SUM(TblConstr[[#This Row],[Dest Ly]:[Dest Hav]]) +Rezone!M124 + IF("Ch_"&amp; home_land=TblConstr[[#Headers],[Ch_Forest]],TblConstr[[#This Row],[Home Land]])+IF(TblConstr[[#This Row],[Hour]:[Hour]]&gt;12,OFFSET(TblExplore[[#This Row],[Forest Explore]],-12,0),0)</f>
        <v>0</v>
      </c>
      <c r="CS124" s="390">
        <f ca="1">-SUM(TblConstr[[#This Row],[OM]:[GN]])+SUM(TblConstr[[#This Row],[Dest OM]:[Dest GN]]) +Rezone!N124 + IF("Ch_"&amp; home_land=TblConstr[[#Headers],[Ch_Mountain]],TblConstr[[#This Row],[Home Land]])+IF(TblConstr[[#This Row],[Hour]:[Hour]]&gt;12,OFFSET(TblExplore[[#This Row],[Mountain Explore]],-12,0),0)</f>
        <v>0</v>
      </c>
      <c r="CT124" s="191">
        <f ca="1">-SUM(TblConstr[[#This Row],[Fac]:[Shr]])+SUM(TblConstr[[#This Row],[Dest Fac]:[Dest Shr]]) +Rezone!O124 + IF("Ch_" &amp; home_land=TblConstr[[#Headers],[Ch_Hill]],TblConstr[[#This Row],[Home Land]])+IF(TblConstr[[#This Row],[Hour]:[Hour]]&gt;12,OFFSET(TblExplore[[#This Row],[Hill Explore]],-12,0),0)</f>
        <v>0</v>
      </c>
      <c r="CU124" s="192">
        <f ca="1">-SUM(TblConstr[[#This Row],[Tow]:[WG]])+SUM(TblConstr[[#This Row],[Dest Tow]:[Dest WG]]) +Rezone!P124 + IF("Ch_" &amp; home_land=TblConstr[[#Headers],[Ch_Swamp]],TblConstr[[#This Row],[Home Land]])+IF(TblConstr[[#This Row],[Hour]:[Hour]]&gt;12,OFFSET(TblExplore[[#This Row],[Swamp Explore]],-12,0),0)</f>
        <v>0</v>
      </c>
      <c r="CV124" s="193">
        <f ca="1" xml:space="preserve"> - SUM(TblConstr[[#This Row],[DM]:[Sch]])+SUM(TblConstr[[#This Row],[Dest DM]:[Dest Sch]]) +Rezone!Q124 + IF("Ch_" &amp; home_land=TblConstr[[#Headers],[Ch_Cavern]],TblConstr[[#This Row],[Home Land]])+IF(TblConstr[[#This Row],[Hour]:[Hour]]&gt;12,OFFSET(TblExplore[[#This Row],[Cavern Explore]],-12,0),0)</f>
        <v>0</v>
      </c>
      <c r="CW124" s="194">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50"/>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83">
        <f>TblRezone[[#This Row],[Hour]]</f>
        <v>122</v>
      </c>
      <c r="B125" s="184">
        <f ca="1">SUM(TblConstr[[#This Row],[Plain]:[Water]])</f>
        <v>160</v>
      </c>
      <c r="C125" s="185">
        <f ca="1">SUM(TblConstr[[#This Row],[Tot Hom]:[Tot Doc]])</f>
        <v>90</v>
      </c>
      <c r="D125" s="185">
        <f t="shared" si="21"/>
        <v>0</v>
      </c>
      <c r="E125" s="186"/>
      <c r="F125" s="62">
        <f ca="1">TblConstr[[#This Row],[Barren]]+TblConstr[[#This Row],[Buildings]]+TblConstr[[#This Row],[Incoming]]</f>
        <v>250</v>
      </c>
      <c r="G125" s="195">
        <f ca="1">OFFSET(TblConstr[[#This Row],[Plain]],-1,0)+TblConstr[[#This Row],[Ch_Plain]]</f>
        <v>40</v>
      </c>
      <c r="H125" s="190">
        <f ca="1">OFFSET(TblConstr[[#This Row],[Forest]],-1,0)+TblConstr[[#This Row],[Ch_Forest]]</f>
        <v>20</v>
      </c>
      <c r="I125" s="390">
        <f ca="1">OFFSET(TblConstr[[#This Row],[Mountain]],-1,0)+TblConstr[[#This Row],[Ch_Mountain]]</f>
        <v>20</v>
      </c>
      <c r="J125" s="394">
        <f ca="1">OFFSET(TblConstr[[#This Row],[Hill]],-1,0)+TblConstr[[#This Row],[Ch_Hill]]</f>
        <v>20</v>
      </c>
      <c r="K125" s="398">
        <f ca="1">OFFSET(TblConstr[[#This Row],[Swamp]],-1,0)+TblConstr[[#This Row],[Ch_Swamp]]</f>
        <v>20</v>
      </c>
      <c r="L125" s="193">
        <f ca="1">OFFSET(TblConstr[[#This Row],[Cavern]],-1,0)+TblConstr[[#This Row],[Ch_Cavern]]</f>
        <v>20</v>
      </c>
      <c r="M125" s="194">
        <f ca="1">OFFSET(TblConstr[[#This Row],[Water]],-1,0)+TblConstr[[#This Row],[Ch_Water]]</f>
        <v>20</v>
      </c>
      <c r="N125" s="388">
        <f>TblRezone[[#This Row],[Hour]]</f>
        <v>122</v>
      </c>
      <c r="O125" s="187"/>
      <c r="P125" s="187"/>
      <c r="Q125" s="187"/>
      <c r="R125" s="187"/>
      <c r="S125" s="187"/>
      <c r="T125" s="187"/>
      <c r="U125" s="187"/>
      <c r="V125" s="187"/>
      <c r="W125" s="187"/>
      <c r="X125" s="187"/>
      <c r="Y125" s="187"/>
      <c r="Z125" s="187"/>
      <c r="AA125" s="187"/>
      <c r="AB125" s="187"/>
      <c r="AC125" s="187"/>
      <c r="AD125" s="187"/>
      <c r="AE125" s="187"/>
      <c r="AF125" s="187"/>
      <c r="AG125" s="187"/>
      <c r="AH125" s="53">
        <f ca="1">TblImps[[#This Row],[Time]]</f>
        <v>44815.791666666373</v>
      </c>
      <c r="AI125" s="188">
        <f ca="1">MIN(25%,(TblConstr[[#This Row],[Tot Fac]]+TblConstr[[#This Row],[Dest Fac]])/(TblConstr[[#This Row],[Land]]-TblExplore[[#This Row],[Land Bonus]]*20))</f>
        <v>0</v>
      </c>
      <c r="AJ125" s="188">
        <f ca="1">MIN(25%,(TblConstr[[#This Row],[Tot Fac]]+TblConstr[[#This Row],[Dest Fac]])/TblConstr[[#This Row],[Land]])</f>
        <v>0</v>
      </c>
      <c r="AK125" s="97">
        <f ca="1">TblProd[[#This Row],[Platinum]]</f>
        <v>764684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50"/>
      <c r="AV125" s="97">
        <f ca="1">ROUND((TblConstr[[#This Row],[Land]]-250 - IF(TblExplore[[#This Row],[Land Bonus]]&lt;&gt;0,20,0))*1.25 + 850 + 0,0)</f>
        <v>850</v>
      </c>
      <c r="AW125" s="97">
        <f ca="1">ROUND((TblConstr[[#This Row],[Land]]-250 - IF(TblExplore[[#This Row],[Land Bonus]]&lt;&gt;0,20,0))*0.285 + 87.5 + 0/4.25,0)</f>
        <v>88</v>
      </c>
      <c r="AX125" s="162"/>
      <c r="AY125" s="196" cm="1">
        <f t="array" aca="1" ref="AY125" ca="1">IF(TblConstr[[#This Row],[Hour]:[Hour]]&gt;12,OFFSET(TblConstr[[#This Row],[Hom]],-12,0),0)+OFFSET(TblConstr[[#This Row],[Tot Hom]],-1,0)-TblConstr[[#This Row],[Dest Hom]]</f>
        <v>10</v>
      </c>
      <c r="AZ125" s="197" cm="1">
        <f t="array" aca="1" ref="AZ125" ca="1">IF(TblConstr[[#This Row],[Hour]:[Hour]]&gt;12,OFFSET(TblConstr[[#This Row],[Alc]],-12,0),0)+OFFSET(TblConstr[[#This Row],[Tot Alc]],-1,0)-TblConstr[[#This Row],[Dest Alc]]</f>
        <v>30</v>
      </c>
      <c r="BA125" s="197" cm="1">
        <f t="array" aca="1" ref="BA125" ca="1">IF(TblConstr[[#This Row],[Hour]:[Hour]]&gt;12,OFFSET(TblConstr[[#This Row],[Far]],-12,0),0)+OFFSET(TblConstr[[#This Row],[Tot Farm]],-1,0)-TblConstr[[#This Row],[Dest Farm]]</f>
        <v>30</v>
      </c>
      <c r="BB125" s="197" cm="1">
        <f t="array" aca="1" ref="BB125" ca="1">IF(TblConstr[[#This Row],[Hour]:[Hour]]&gt;12,OFFSET(TblConstr[[#This Row],[Smi]],-12,0),0)+OFFSET(TblConstr[[#This Row],[Tot Smi]],-1,0)-TblConstr[[#This Row],[Dest Smi]]</f>
        <v>0</v>
      </c>
      <c r="BC125" s="197" cm="1">
        <f t="array" aca="1" ref="BC125" ca="1">IF(TblConstr[[#This Row],[Hour]:[Hour]]&gt;12,OFFSET(TblConstr[[#This Row],[Mas]],-12,0),0)+OFFSET(TblConstr[[#This Row],[Tot Mas]],-1,0)-TblConstr[[#This Row],[Dest Mas]]</f>
        <v>0</v>
      </c>
      <c r="BD125" s="198" cm="1">
        <f t="array" aca="1" ref="BD125" ca="1">IF(TblConstr[[#This Row],[Hour]:[Hour]]&gt;12,OFFSET(TblConstr[[#This Row],[Ly]],-12,0),0)+OFFSET(TblConstr[[#This Row],[Tot Ly]],-1,0)-TblConstr[[#This Row],[Dest Ly]]</f>
        <v>20</v>
      </c>
      <c r="BE125" s="198" cm="1">
        <f t="array" aca="1" ref="BE125" ca="1">IF(TblConstr[[#This Row],[Hour]:[Hour]]&gt;12,OFFSET(TblConstr[[#This Row],[Hav]],-12,0),0)+OFFSET(TblConstr[[#This Row],[Tot Hav]],-1,0)-TblConstr[[#This Row],[Dest Hav]]</f>
        <v>0</v>
      </c>
      <c r="BF125" s="392" cm="1">
        <f t="array" aca="1" ref="BF125" ca="1">IF(TblConstr[[#This Row],[Hour]:[Hour]]&gt;12,OFFSET(TblConstr[[#This Row],[OM]],-12,0),0)+OFFSET(TblConstr[[#This Row],[Tot OM]],-1,0)-TblConstr[[#This Row],[Dest OM]]</f>
        <v>0</v>
      </c>
      <c r="BG125" s="392" cm="1">
        <f t="array" aca="1" ref="BG125" ca="1">IF(TblConstr[[#This Row],[Hour]:[Hour]]&gt;12,OFFSET(TblConstr[[#This Row],[GN]],-12,0),0)+OFFSET(TblConstr[[#This Row],[Tot GN]],-1,0)-TblConstr[[#This Row],[Dest GN]]</f>
        <v>0</v>
      </c>
      <c r="BH125" s="396" cm="1">
        <f t="array" aca="1" ref="BH125" ca="1">IF(TblConstr[[#This Row],[Hour]:[Hour]]&gt;12,OFFSET(TblConstr[[#This Row],[Fac]],-12,0),0)+OFFSET(TblConstr[[#This Row],[Tot Fac]],-1,0)-TblConstr[[#This Row],[Dest Fac]]</f>
        <v>0</v>
      </c>
      <c r="BI125" s="396" cm="1">
        <f t="array" aca="1" ref="BI125" ca="1">IF(TblConstr[[#This Row],[Hour]:[Hour]]&gt;12,OFFSET(TblConstr[[#This Row],[GT]],-12,0),0)+OFFSET(TblConstr[[#This Row],[Tot GT]],-1,0)-TblConstr[[#This Row],[Dest GT]]</f>
        <v>0</v>
      </c>
      <c r="BJ125" s="396" cm="1">
        <f t="array" aca="1" ref="BJ125" ca="1">IF(TblConstr[[#This Row],[Hour]:[Hour]]&gt;12,OFFSET(TblConstr[[#This Row],[Bar]],-12,0),0)+OFFSET(TblConstr[[#This Row],[Tot Bar]],-1,0)-TblConstr[[#This Row],[Dest Bar]]</f>
        <v>0</v>
      </c>
      <c r="BK125" s="396" cm="1">
        <f t="array" aca="1" ref="BK125" ca="1">IF(TblConstr[[#This Row],[Hour]:[Hour]]&gt;12,OFFSET(TblConstr[[#This Row],[Shr]],-12,0),0)+OFFSET(TblConstr[[#This Row],[Tot Shr]],-1,0)-TblConstr[[#This Row],[Dest Shr]]</f>
        <v>0</v>
      </c>
      <c r="BL125" s="400" cm="1">
        <f t="array" aca="1" ref="BL125" ca="1">IF(TblConstr[[#This Row],[Hour]:[Hour]]&gt;12,OFFSET(TblConstr[[#This Row],[Tow]],-12,0),0)+OFFSET(TblConstr[[#This Row],[Tot Tow]],-1,0)-TblConstr[[#This Row],[Dest Tow]]</f>
        <v>0</v>
      </c>
      <c r="BM125" s="400" cm="1">
        <f t="array" aca="1" ref="BM125" ca="1">IF(TblConstr[[#This Row],[Hour]:[Hour]]&gt;12,OFFSET(TblConstr[[#This Row],[Tem]],-12,0),0)+OFFSET(TblConstr[[#This Row],[Tot Tem]],-1,0)-TblConstr[[#This Row],[Dest Tem]]</f>
        <v>0</v>
      </c>
      <c r="BN125" s="400" cm="1">
        <f t="array" aca="1" ref="BN125" ca="1">IF(TblConstr[[#This Row],[Hour]:[Hour]]&gt;12,OFFSET(TblConstr[[#This Row],[WG]],-12,0),0)+OFFSET(TblConstr[[#This Row],[Tot WG]],-1,0)-TblConstr[[#This Row],[Dest WG]]</f>
        <v>0</v>
      </c>
      <c r="BO125" s="199" cm="1">
        <f t="array" aca="1" ref="BO125" ca="1">IF(TblConstr[[#This Row],[Hour]:[Hour]]&gt;12,OFFSET(TblConstr[[#This Row],[DM]],-12,0),0)+OFFSET(TblConstr[[#This Row],[Tot DM]],-1,0)-TblConstr[[#This Row],[Dest DM]]</f>
        <v>0</v>
      </c>
      <c r="BP125" s="199" cm="1">
        <f t="array" aca="1" ref="BP125" ca="1">IF(TblConstr[[#This Row],[Hour]:[Hour]]&gt;12,OFFSET(TblConstr[[#This Row],[Sch]],-12,0),0)+OFFSET(TblConstr[[#This Row],[Tot Sch]],-1,0)-TblConstr[[#This Row],[Dest Sch]]</f>
        <v>0</v>
      </c>
      <c r="BQ125" s="200" cm="1">
        <f t="array" aca="1" ref="BQ125" ca="1">IF(TblConstr[[#This Row],[Hour]:[Hour]]&gt;12,OFFSET(TblConstr[[#This Row],[Doc]],-12,0),0)+OFFSET(TblConstr[[#This Row],[Tot Doc]],-1,0)-TblConstr[[#This Row],[Dest Doc]]</f>
        <v>0</v>
      </c>
      <c r="BR125" s="150"/>
      <c r="BS125" s="162"/>
      <c r="BT125" s="97">
        <f ca="1">TblConstr[[#This Row],[Land]]</f>
        <v>250</v>
      </c>
      <c r="BU125" s="167">
        <f ca="1">TblImps[[#This Row],[Time]]</f>
        <v>44815.791666666373</v>
      </c>
      <c r="BV125" s="150"/>
      <c r="BW125" s="187"/>
      <c r="BX125" s="187"/>
      <c r="BY125" s="187"/>
      <c r="BZ125" s="187"/>
      <c r="CA125" s="187"/>
      <c r="CB125" s="187"/>
      <c r="CC125" s="187"/>
      <c r="CD125" s="187"/>
      <c r="CE125" s="187"/>
      <c r="CF125" s="187"/>
      <c r="CG125" s="187"/>
      <c r="CH125" s="187"/>
      <c r="CI125" s="187"/>
      <c r="CJ125" s="187"/>
      <c r="CK125" s="187"/>
      <c r="CL125" s="187"/>
      <c r="CM125" s="187"/>
      <c r="CN125" s="187"/>
      <c r="CO125" s="187"/>
      <c r="CP125" s="150"/>
      <c r="CQ125" s="189">
        <f ca="1">-SUM(TblConstr[[#This Row],[Alc]:[Mas]])+SUM(TblConstr[[#This Row],[Dest Alc]:[Dest Mas]])+Rezone!L125+IF("Ch_"&amp; home_land=TblConstr[[#Headers],[Ch_Plain]],TblConstr[[#This Row],[Home Land]])+IF(TblConstr[[#This Row],[Hour]:[Hour]]&gt;12,OFFSET(TblExplore[[#This Row],[Plains Explore]],-12,0),0)</f>
        <v>0</v>
      </c>
      <c r="CR125" s="190">
        <f ca="1">-SUM(TblConstr[[#This Row],[Ly]:[Hav]])+SUM(TblConstr[[#This Row],[Dest Ly]:[Dest Hav]]) +Rezone!M125 + IF("Ch_"&amp; home_land=TblConstr[[#Headers],[Ch_Forest]],TblConstr[[#This Row],[Home Land]])+IF(TblConstr[[#This Row],[Hour]:[Hour]]&gt;12,OFFSET(TblExplore[[#This Row],[Forest Explore]],-12,0),0)</f>
        <v>0</v>
      </c>
      <c r="CS125" s="390">
        <f ca="1">-SUM(TblConstr[[#This Row],[OM]:[GN]])+SUM(TblConstr[[#This Row],[Dest OM]:[Dest GN]]) +Rezone!N125 + IF("Ch_"&amp; home_land=TblConstr[[#Headers],[Ch_Mountain]],TblConstr[[#This Row],[Home Land]])+IF(TblConstr[[#This Row],[Hour]:[Hour]]&gt;12,OFFSET(TblExplore[[#This Row],[Mountain Explore]],-12,0),0)</f>
        <v>0</v>
      </c>
      <c r="CT125" s="191">
        <f ca="1">-SUM(TblConstr[[#This Row],[Fac]:[Shr]])+SUM(TblConstr[[#This Row],[Dest Fac]:[Dest Shr]]) +Rezone!O125 + IF("Ch_" &amp; home_land=TblConstr[[#Headers],[Ch_Hill]],TblConstr[[#This Row],[Home Land]])+IF(TblConstr[[#This Row],[Hour]:[Hour]]&gt;12,OFFSET(TblExplore[[#This Row],[Hill Explore]],-12,0),0)</f>
        <v>0</v>
      </c>
      <c r="CU125" s="192">
        <f ca="1">-SUM(TblConstr[[#This Row],[Tow]:[WG]])+SUM(TblConstr[[#This Row],[Dest Tow]:[Dest WG]]) +Rezone!P125 + IF("Ch_" &amp; home_land=TblConstr[[#Headers],[Ch_Swamp]],TblConstr[[#This Row],[Home Land]])+IF(TblConstr[[#This Row],[Hour]:[Hour]]&gt;12,OFFSET(TblExplore[[#This Row],[Swamp Explore]],-12,0),0)</f>
        <v>0</v>
      </c>
      <c r="CV125" s="193">
        <f ca="1" xml:space="preserve"> - SUM(TblConstr[[#This Row],[DM]:[Sch]])+SUM(TblConstr[[#This Row],[Dest DM]:[Dest Sch]]) +Rezone!Q125 + IF("Ch_" &amp; home_land=TblConstr[[#Headers],[Ch_Cavern]],TblConstr[[#This Row],[Home Land]])+IF(TblConstr[[#This Row],[Hour]:[Hour]]&gt;12,OFFSET(TblExplore[[#This Row],[Cavern Explore]],-12,0),0)</f>
        <v>0</v>
      </c>
      <c r="CW125" s="194">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50"/>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83">
        <f>TblRezone[[#This Row],[Hour]]</f>
        <v>123</v>
      </c>
      <c r="B126" s="184">
        <f ca="1">SUM(TblConstr[[#This Row],[Plain]:[Water]])</f>
        <v>160</v>
      </c>
      <c r="C126" s="185">
        <f ca="1">SUM(TblConstr[[#This Row],[Tot Hom]:[Tot Doc]])</f>
        <v>90</v>
      </c>
      <c r="D126" s="185">
        <f t="shared" si="21"/>
        <v>0</v>
      </c>
      <c r="E126" s="186"/>
      <c r="F126" s="62">
        <f ca="1">TblConstr[[#This Row],[Barren]]+TblConstr[[#This Row],[Buildings]]+TblConstr[[#This Row],[Incoming]]</f>
        <v>250</v>
      </c>
      <c r="G126" s="195">
        <f ca="1">OFFSET(TblConstr[[#This Row],[Plain]],-1,0)+TblConstr[[#This Row],[Ch_Plain]]</f>
        <v>40</v>
      </c>
      <c r="H126" s="190">
        <f ca="1">OFFSET(TblConstr[[#This Row],[Forest]],-1,0)+TblConstr[[#This Row],[Ch_Forest]]</f>
        <v>20</v>
      </c>
      <c r="I126" s="390">
        <f ca="1">OFFSET(TblConstr[[#This Row],[Mountain]],-1,0)+TblConstr[[#This Row],[Ch_Mountain]]</f>
        <v>20</v>
      </c>
      <c r="J126" s="394">
        <f ca="1">OFFSET(TblConstr[[#This Row],[Hill]],-1,0)+TblConstr[[#This Row],[Ch_Hill]]</f>
        <v>20</v>
      </c>
      <c r="K126" s="398">
        <f ca="1">OFFSET(TblConstr[[#This Row],[Swamp]],-1,0)+TblConstr[[#This Row],[Ch_Swamp]]</f>
        <v>20</v>
      </c>
      <c r="L126" s="193">
        <f ca="1">OFFSET(TblConstr[[#This Row],[Cavern]],-1,0)+TblConstr[[#This Row],[Ch_Cavern]]</f>
        <v>20</v>
      </c>
      <c r="M126" s="194">
        <f ca="1">OFFSET(TblConstr[[#This Row],[Water]],-1,0)+TblConstr[[#This Row],[Ch_Water]]</f>
        <v>20</v>
      </c>
      <c r="N126" s="388">
        <f>TblRezone[[#This Row],[Hour]]</f>
        <v>123</v>
      </c>
      <c r="O126" s="187"/>
      <c r="P126" s="187"/>
      <c r="Q126" s="187"/>
      <c r="R126" s="187"/>
      <c r="S126" s="187"/>
      <c r="T126" s="187"/>
      <c r="U126" s="187"/>
      <c r="V126" s="187"/>
      <c r="W126" s="187"/>
      <c r="X126" s="187"/>
      <c r="Y126" s="187"/>
      <c r="Z126" s="187"/>
      <c r="AA126" s="187"/>
      <c r="AB126" s="187"/>
      <c r="AC126" s="187"/>
      <c r="AD126" s="187"/>
      <c r="AE126" s="187"/>
      <c r="AF126" s="187"/>
      <c r="AG126" s="187"/>
      <c r="AH126" s="53">
        <f ca="1">TblImps[[#This Row],[Time]]</f>
        <v>44815.833333333037</v>
      </c>
      <c r="AI126" s="188">
        <f ca="1">MIN(25%,(TblConstr[[#This Row],[Tot Fac]]+TblConstr[[#This Row],[Dest Fac]])/(TblConstr[[#This Row],[Land]]-TblExplore[[#This Row],[Land Bonus]]*20))</f>
        <v>0</v>
      </c>
      <c r="AJ126" s="188">
        <f ca="1">MIN(25%,(TblConstr[[#This Row],[Tot Fac]]+TblConstr[[#This Row],[Dest Fac]])/TblConstr[[#This Row],[Land]])</f>
        <v>0</v>
      </c>
      <c r="AK126" s="97">
        <f ca="1">TblProd[[#This Row],[Platinum]]</f>
        <v>770170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50"/>
      <c r="AV126" s="97">
        <f ca="1">ROUND((TblConstr[[#This Row],[Land]]-250 - IF(TblExplore[[#This Row],[Land Bonus]]&lt;&gt;0,20,0))*1.25 + 850 + 0,0)</f>
        <v>850</v>
      </c>
      <c r="AW126" s="97">
        <f ca="1">ROUND((TblConstr[[#This Row],[Land]]-250 - IF(TblExplore[[#This Row],[Land Bonus]]&lt;&gt;0,20,0))*0.285 + 87.5 + 0/4.25,0)</f>
        <v>88</v>
      </c>
      <c r="AX126" s="162"/>
      <c r="AY126" s="196" cm="1">
        <f t="array" aca="1" ref="AY126" ca="1">IF(TblConstr[[#This Row],[Hour]:[Hour]]&gt;12,OFFSET(TblConstr[[#This Row],[Hom]],-12,0),0)+OFFSET(TblConstr[[#This Row],[Tot Hom]],-1,0)-TblConstr[[#This Row],[Dest Hom]]</f>
        <v>10</v>
      </c>
      <c r="AZ126" s="197" cm="1">
        <f t="array" aca="1" ref="AZ126" ca="1">IF(TblConstr[[#This Row],[Hour]:[Hour]]&gt;12,OFFSET(TblConstr[[#This Row],[Alc]],-12,0),0)+OFFSET(TblConstr[[#This Row],[Tot Alc]],-1,0)-TblConstr[[#This Row],[Dest Alc]]</f>
        <v>30</v>
      </c>
      <c r="BA126" s="197" cm="1">
        <f t="array" aca="1" ref="BA126" ca="1">IF(TblConstr[[#This Row],[Hour]:[Hour]]&gt;12,OFFSET(TblConstr[[#This Row],[Far]],-12,0),0)+OFFSET(TblConstr[[#This Row],[Tot Farm]],-1,0)-TblConstr[[#This Row],[Dest Farm]]</f>
        <v>30</v>
      </c>
      <c r="BB126" s="197" cm="1">
        <f t="array" aca="1" ref="BB126" ca="1">IF(TblConstr[[#This Row],[Hour]:[Hour]]&gt;12,OFFSET(TblConstr[[#This Row],[Smi]],-12,0),0)+OFFSET(TblConstr[[#This Row],[Tot Smi]],-1,0)-TblConstr[[#This Row],[Dest Smi]]</f>
        <v>0</v>
      </c>
      <c r="BC126" s="197" cm="1">
        <f t="array" aca="1" ref="BC126" ca="1">IF(TblConstr[[#This Row],[Hour]:[Hour]]&gt;12,OFFSET(TblConstr[[#This Row],[Mas]],-12,0),0)+OFFSET(TblConstr[[#This Row],[Tot Mas]],-1,0)-TblConstr[[#This Row],[Dest Mas]]</f>
        <v>0</v>
      </c>
      <c r="BD126" s="198" cm="1">
        <f t="array" aca="1" ref="BD126" ca="1">IF(TblConstr[[#This Row],[Hour]:[Hour]]&gt;12,OFFSET(TblConstr[[#This Row],[Ly]],-12,0),0)+OFFSET(TblConstr[[#This Row],[Tot Ly]],-1,0)-TblConstr[[#This Row],[Dest Ly]]</f>
        <v>20</v>
      </c>
      <c r="BE126" s="198" cm="1">
        <f t="array" aca="1" ref="BE126" ca="1">IF(TblConstr[[#This Row],[Hour]:[Hour]]&gt;12,OFFSET(TblConstr[[#This Row],[Hav]],-12,0),0)+OFFSET(TblConstr[[#This Row],[Tot Hav]],-1,0)-TblConstr[[#This Row],[Dest Hav]]</f>
        <v>0</v>
      </c>
      <c r="BF126" s="392" cm="1">
        <f t="array" aca="1" ref="BF126" ca="1">IF(TblConstr[[#This Row],[Hour]:[Hour]]&gt;12,OFFSET(TblConstr[[#This Row],[OM]],-12,0),0)+OFFSET(TblConstr[[#This Row],[Tot OM]],-1,0)-TblConstr[[#This Row],[Dest OM]]</f>
        <v>0</v>
      </c>
      <c r="BG126" s="392" cm="1">
        <f t="array" aca="1" ref="BG126" ca="1">IF(TblConstr[[#This Row],[Hour]:[Hour]]&gt;12,OFFSET(TblConstr[[#This Row],[GN]],-12,0),0)+OFFSET(TblConstr[[#This Row],[Tot GN]],-1,0)-TblConstr[[#This Row],[Dest GN]]</f>
        <v>0</v>
      </c>
      <c r="BH126" s="396" cm="1">
        <f t="array" aca="1" ref="BH126" ca="1">IF(TblConstr[[#This Row],[Hour]:[Hour]]&gt;12,OFFSET(TblConstr[[#This Row],[Fac]],-12,0),0)+OFFSET(TblConstr[[#This Row],[Tot Fac]],-1,0)-TblConstr[[#This Row],[Dest Fac]]</f>
        <v>0</v>
      </c>
      <c r="BI126" s="396" cm="1">
        <f t="array" aca="1" ref="BI126" ca="1">IF(TblConstr[[#This Row],[Hour]:[Hour]]&gt;12,OFFSET(TblConstr[[#This Row],[GT]],-12,0),0)+OFFSET(TblConstr[[#This Row],[Tot GT]],-1,0)-TblConstr[[#This Row],[Dest GT]]</f>
        <v>0</v>
      </c>
      <c r="BJ126" s="396" cm="1">
        <f t="array" aca="1" ref="BJ126" ca="1">IF(TblConstr[[#This Row],[Hour]:[Hour]]&gt;12,OFFSET(TblConstr[[#This Row],[Bar]],-12,0),0)+OFFSET(TblConstr[[#This Row],[Tot Bar]],-1,0)-TblConstr[[#This Row],[Dest Bar]]</f>
        <v>0</v>
      </c>
      <c r="BK126" s="396" cm="1">
        <f t="array" aca="1" ref="BK126" ca="1">IF(TblConstr[[#This Row],[Hour]:[Hour]]&gt;12,OFFSET(TblConstr[[#This Row],[Shr]],-12,0),0)+OFFSET(TblConstr[[#This Row],[Tot Shr]],-1,0)-TblConstr[[#This Row],[Dest Shr]]</f>
        <v>0</v>
      </c>
      <c r="BL126" s="400" cm="1">
        <f t="array" aca="1" ref="BL126" ca="1">IF(TblConstr[[#This Row],[Hour]:[Hour]]&gt;12,OFFSET(TblConstr[[#This Row],[Tow]],-12,0),0)+OFFSET(TblConstr[[#This Row],[Tot Tow]],-1,0)-TblConstr[[#This Row],[Dest Tow]]</f>
        <v>0</v>
      </c>
      <c r="BM126" s="400" cm="1">
        <f t="array" aca="1" ref="BM126" ca="1">IF(TblConstr[[#This Row],[Hour]:[Hour]]&gt;12,OFFSET(TblConstr[[#This Row],[Tem]],-12,0),0)+OFFSET(TblConstr[[#This Row],[Tot Tem]],-1,0)-TblConstr[[#This Row],[Dest Tem]]</f>
        <v>0</v>
      </c>
      <c r="BN126" s="400" cm="1">
        <f t="array" aca="1" ref="BN126" ca="1">IF(TblConstr[[#This Row],[Hour]:[Hour]]&gt;12,OFFSET(TblConstr[[#This Row],[WG]],-12,0),0)+OFFSET(TblConstr[[#This Row],[Tot WG]],-1,0)-TblConstr[[#This Row],[Dest WG]]</f>
        <v>0</v>
      </c>
      <c r="BO126" s="199" cm="1">
        <f t="array" aca="1" ref="BO126" ca="1">IF(TblConstr[[#This Row],[Hour]:[Hour]]&gt;12,OFFSET(TblConstr[[#This Row],[DM]],-12,0),0)+OFFSET(TblConstr[[#This Row],[Tot DM]],-1,0)-TblConstr[[#This Row],[Dest DM]]</f>
        <v>0</v>
      </c>
      <c r="BP126" s="199" cm="1">
        <f t="array" aca="1" ref="BP126" ca="1">IF(TblConstr[[#This Row],[Hour]:[Hour]]&gt;12,OFFSET(TblConstr[[#This Row],[Sch]],-12,0),0)+OFFSET(TblConstr[[#This Row],[Tot Sch]],-1,0)-TblConstr[[#This Row],[Dest Sch]]</f>
        <v>0</v>
      </c>
      <c r="BQ126" s="200" cm="1">
        <f t="array" aca="1" ref="BQ126" ca="1">IF(TblConstr[[#This Row],[Hour]:[Hour]]&gt;12,OFFSET(TblConstr[[#This Row],[Doc]],-12,0),0)+OFFSET(TblConstr[[#This Row],[Tot Doc]],-1,0)-TblConstr[[#This Row],[Dest Doc]]</f>
        <v>0</v>
      </c>
      <c r="BR126" s="150"/>
      <c r="BS126" s="162"/>
      <c r="BT126" s="97">
        <f ca="1">TblConstr[[#This Row],[Land]]</f>
        <v>250</v>
      </c>
      <c r="BU126" s="167">
        <f ca="1">TblImps[[#This Row],[Time]]</f>
        <v>44815.833333333037</v>
      </c>
      <c r="BV126" s="150"/>
      <c r="BW126" s="187"/>
      <c r="BX126" s="187"/>
      <c r="BY126" s="187"/>
      <c r="BZ126" s="187"/>
      <c r="CA126" s="187"/>
      <c r="CB126" s="187"/>
      <c r="CC126" s="187"/>
      <c r="CD126" s="187"/>
      <c r="CE126" s="187"/>
      <c r="CF126" s="187"/>
      <c r="CG126" s="187"/>
      <c r="CH126" s="187"/>
      <c r="CI126" s="187"/>
      <c r="CJ126" s="187"/>
      <c r="CK126" s="187"/>
      <c r="CL126" s="187"/>
      <c r="CM126" s="187"/>
      <c r="CN126" s="187"/>
      <c r="CO126" s="187"/>
      <c r="CP126" s="150"/>
      <c r="CQ126" s="189">
        <f ca="1">-SUM(TblConstr[[#This Row],[Alc]:[Mas]])+SUM(TblConstr[[#This Row],[Dest Alc]:[Dest Mas]])+Rezone!L126+IF("Ch_"&amp; home_land=TblConstr[[#Headers],[Ch_Plain]],TblConstr[[#This Row],[Home Land]])+IF(TblConstr[[#This Row],[Hour]:[Hour]]&gt;12,OFFSET(TblExplore[[#This Row],[Plains Explore]],-12,0),0)</f>
        <v>0</v>
      </c>
      <c r="CR126" s="190">
        <f ca="1">-SUM(TblConstr[[#This Row],[Ly]:[Hav]])+SUM(TblConstr[[#This Row],[Dest Ly]:[Dest Hav]]) +Rezone!M126 + IF("Ch_"&amp; home_land=TblConstr[[#Headers],[Ch_Forest]],TblConstr[[#This Row],[Home Land]])+IF(TblConstr[[#This Row],[Hour]:[Hour]]&gt;12,OFFSET(TblExplore[[#This Row],[Forest Explore]],-12,0),0)</f>
        <v>0</v>
      </c>
      <c r="CS126" s="390">
        <f ca="1">-SUM(TblConstr[[#This Row],[OM]:[GN]])+SUM(TblConstr[[#This Row],[Dest OM]:[Dest GN]]) +Rezone!N126 + IF("Ch_"&amp; home_land=TblConstr[[#Headers],[Ch_Mountain]],TblConstr[[#This Row],[Home Land]])+IF(TblConstr[[#This Row],[Hour]:[Hour]]&gt;12,OFFSET(TblExplore[[#This Row],[Mountain Explore]],-12,0),0)</f>
        <v>0</v>
      </c>
      <c r="CT126" s="191">
        <f ca="1">-SUM(TblConstr[[#This Row],[Fac]:[Shr]])+SUM(TblConstr[[#This Row],[Dest Fac]:[Dest Shr]]) +Rezone!O126 + IF("Ch_" &amp; home_land=TblConstr[[#Headers],[Ch_Hill]],TblConstr[[#This Row],[Home Land]])+IF(TblConstr[[#This Row],[Hour]:[Hour]]&gt;12,OFFSET(TblExplore[[#This Row],[Hill Explore]],-12,0),0)</f>
        <v>0</v>
      </c>
      <c r="CU126" s="192">
        <f ca="1">-SUM(TblConstr[[#This Row],[Tow]:[WG]])+SUM(TblConstr[[#This Row],[Dest Tow]:[Dest WG]]) +Rezone!P126 + IF("Ch_" &amp; home_land=TblConstr[[#Headers],[Ch_Swamp]],TblConstr[[#This Row],[Home Land]])+IF(TblConstr[[#This Row],[Hour]:[Hour]]&gt;12,OFFSET(TblExplore[[#This Row],[Swamp Explore]],-12,0),0)</f>
        <v>0</v>
      </c>
      <c r="CV126" s="193">
        <f ca="1" xml:space="preserve"> - SUM(TblConstr[[#This Row],[DM]:[Sch]])+SUM(TblConstr[[#This Row],[Dest DM]:[Dest Sch]]) +Rezone!Q126 + IF("Ch_" &amp; home_land=TblConstr[[#Headers],[Ch_Cavern]],TblConstr[[#This Row],[Home Land]])+IF(TblConstr[[#This Row],[Hour]:[Hour]]&gt;12,OFFSET(TblExplore[[#This Row],[Cavern Explore]],-12,0),0)</f>
        <v>0</v>
      </c>
      <c r="CW126" s="194">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50"/>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83">
        <f>TblRezone[[#This Row],[Hour]]</f>
        <v>124</v>
      </c>
      <c r="B127" s="184">
        <f ca="1">SUM(TblConstr[[#This Row],[Plain]:[Water]])</f>
        <v>160</v>
      </c>
      <c r="C127" s="185">
        <f ca="1">SUM(TblConstr[[#This Row],[Tot Hom]:[Tot Doc]])</f>
        <v>90</v>
      </c>
      <c r="D127" s="185">
        <f t="shared" si="21"/>
        <v>0</v>
      </c>
      <c r="E127" s="186"/>
      <c r="F127" s="62">
        <f ca="1">TblConstr[[#This Row],[Barren]]+TblConstr[[#This Row],[Buildings]]+TblConstr[[#This Row],[Incoming]]</f>
        <v>250</v>
      </c>
      <c r="G127" s="195">
        <f ca="1">OFFSET(TblConstr[[#This Row],[Plain]],-1,0)+TblConstr[[#This Row],[Ch_Plain]]</f>
        <v>40</v>
      </c>
      <c r="H127" s="190">
        <f ca="1">OFFSET(TblConstr[[#This Row],[Forest]],-1,0)+TblConstr[[#This Row],[Ch_Forest]]</f>
        <v>20</v>
      </c>
      <c r="I127" s="390">
        <f ca="1">OFFSET(TblConstr[[#This Row],[Mountain]],-1,0)+TblConstr[[#This Row],[Ch_Mountain]]</f>
        <v>20</v>
      </c>
      <c r="J127" s="394">
        <f ca="1">OFFSET(TblConstr[[#This Row],[Hill]],-1,0)+TblConstr[[#This Row],[Ch_Hill]]</f>
        <v>20</v>
      </c>
      <c r="K127" s="398">
        <f ca="1">OFFSET(TblConstr[[#This Row],[Swamp]],-1,0)+TblConstr[[#This Row],[Ch_Swamp]]</f>
        <v>20</v>
      </c>
      <c r="L127" s="193">
        <f ca="1">OFFSET(TblConstr[[#This Row],[Cavern]],-1,0)+TblConstr[[#This Row],[Ch_Cavern]]</f>
        <v>20</v>
      </c>
      <c r="M127" s="194">
        <f ca="1">OFFSET(TblConstr[[#This Row],[Water]],-1,0)+TblConstr[[#This Row],[Ch_Water]]</f>
        <v>20</v>
      </c>
      <c r="N127" s="388">
        <f>TblRezone[[#This Row],[Hour]]</f>
        <v>124</v>
      </c>
      <c r="O127" s="187"/>
      <c r="P127" s="187"/>
      <c r="Q127" s="187"/>
      <c r="R127" s="187"/>
      <c r="S127" s="187"/>
      <c r="T127" s="187"/>
      <c r="U127" s="187"/>
      <c r="V127" s="187"/>
      <c r="W127" s="187"/>
      <c r="X127" s="187"/>
      <c r="Y127" s="187"/>
      <c r="Z127" s="187"/>
      <c r="AA127" s="187"/>
      <c r="AB127" s="187"/>
      <c r="AC127" s="187"/>
      <c r="AD127" s="187"/>
      <c r="AE127" s="187"/>
      <c r="AF127" s="187"/>
      <c r="AG127" s="187"/>
      <c r="AH127" s="53">
        <f ca="1">TblImps[[#This Row],[Time]]</f>
        <v>44815.874999999702</v>
      </c>
      <c r="AI127" s="188">
        <f ca="1">MIN(25%,(TblConstr[[#This Row],[Tot Fac]]+TblConstr[[#This Row],[Dest Fac]])/(TblConstr[[#This Row],[Land]]-TblExplore[[#This Row],[Land Bonus]]*20))</f>
        <v>0</v>
      </c>
      <c r="AJ127" s="188">
        <f ca="1">MIN(25%,(TblConstr[[#This Row],[Tot Fac]]+TblConstr[[#This Row],[Dest Fac]])/TblConstr[[#This Row],[Land]])</f>
        <v>0</v>
      </c>
      <c r="AK127" s="97">
        <f ca="1">TblProd[[#This Row],[Platinum]]</f>
        <v>775656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50"/>
      <c r="AV127" s="97">
        <f ca="1">ROUND((TblConstr[[#This Row],[Land]]-250 - IF(TblExplore[[#This Row],[Land Bonus]]&lt;&gt;0,20,0))*1.25 + 850 + 0,0)</f>
        <v>850</v>
      </c>
      <c r="AW127" s="97">
        <f ca="1">ROUND((TblConstr[[#This Row],[Land]]-250 - IF(TblExplore[[#This Row],[Land Bonus]]&lt;&gt;0,20,0))*0.285 + 87.5 + 0/4.25,0)</f>
        <v>88</v>
      </c>
      <c r="AX127" s="162"/>
      <c r="AY127" s="196" cm="1">
        <f t="array" aca="1" ref="AY127" ca="1">IF(TblConstr[[#This Row],[Hour]:[Hour]]&gt;12,OFFSET(TblConstr[[#This Row],[Hom]],-12,0),0)+OFFSET(TblConstr[[#This Row],[Tot Hom]],-1,0)-TblConstr[[#This Row],[Dest Hom]]</f>
        <v>10</v>
      </c>
      <c r="AZ127" s="197" cm="1">
        <f t="array" aca="1" ref="AZ127" ca="1">IF(TblConstr[[#This Row],[Hour]:[Hour]]&gt;12,OFFSET(TblConstr[[#This Row],[Alc]],-12,0),0)+OFFSET(TblConstr[[#This Row],[Tot Alc]],-1,0)-TblConstr[[#This Row],[Dest Alc]]</f>
        <v>30</v>
      </c>
      <c r="BA127" s="197" cm="1">
        <f t="array" aca="1" ref="BA127" ca="1">IF(TblConstr[[#This Row],[Hour]:[Hour]]&gt;12,OFFSET(TblConstr[[#This Row],[Far]],-12,0),0)+OFFSET(TblConstr[[#This Row],[Tot Farm]],-1,0)-TblConstr[[#This Row],[Dest Farm]]</f>
        <v>30</v>
      </c>
      <c r="BB127" s="197" cm="1">
        <f t="array" aca="1" ref="BB127" ca="1">IF(TblConstr[[#This Row],[Hour]:[Hour]]&gt;12,OFFSET(TblConstr[[#This Row],[Smi]],-12,0),0)+OFFSET(TblConstr[[#This Row],[Tot Smi]],-1,0)-TblConstr[[#This Row],[Dest Smi]]</f>
        <v>0</v>
      </c>
      <c r="BC127" s="197" cm="1">
        <f t="array" aca="1" ref="BC127" ca="1">IF(TblConstr[[#This Row],[Hour]:[Hour]]&gt;12,OFFSET(TblConstr[[#This Row],[Mas]],-12,0),0)+OFFSET(TblConstr[[#This Row],[Tot Mas]],-1,0)-TblConstr[[#This Row],[Dest Mas]]</f>
        <v>0</v>
      </c>
      <c r="BD127" s="198" cm="1">
        <f t="array" aca="1" ref="BD127" ca="1">IF(TblConstr[[#This Row],[Hour]:[Hour]]&gt;12,OFFSET(TblConstr[[#This Row],[Ly]],-12,0),0)+OFFSET(TblConstr[[#This Row],[Tot Ly]],-1,0)-TblConstr[[#This Row],[Dest Ly]]</f>
        <v>20</v>
      </c>
      <c r="BE127" s="198" cm="1">
        <f t="array" aca="1" ref="BE127" ca="1">IF(TblConstr[[#This Row],[Hour]:[Hour]]&gt;12,OFFSET(TblConstr[[#This Row],[Hav]],-12,0),0)+OFFSET(TblConstr[[#This Row],[Tot Hav]],-1,0)-TblConstr[[#This Row],[Dest Hav]]</f>
        <v>0</v>
      </c>
      <c r="BF127" s="392" cm="1">
        <f t="array" aca="1" ref="BF127" ca="1">IF(TblConstr[[#This Row],[Hour]:[Hour]]&gt;12,OFFSET(TblConstr[[#This Row],[OM]],-12,0),0)+OFFSET(TblConstr[[#This Row],[Tot OM]],-1,0)-TblConstr[[#This Row],[Dest OM]]</f>
        <v>0</v>
      </c>
      <c r="BG127" s="392" cm="1">
        <f t="array" aca="1" ref="BG127" ca="1">IF(TblConstr[[#This Row],[Hour]:[Hour]]&gt;12,OFFSET(TblConstr[[#This Row],[GN]],-12,0),0)+OFFSET(TblConstr[[#This Row],[Tot GN]],-1,0)-TblConstr[[#This Row],[Dest GN]]</f>
        <v>0</v>
      </c>
      <c r="BH127" s="396" cm="1">
        <f t="array" aca="1" ref="BH127" ca="1">IF(TblConstr[[#This Row],[Hour]:[Hour]]&gt;12,OFFSET(TblConstr[[#This Row],[Fac]],-12,0),0)+OFFSET(TblConstr[[#This Row],[Tot Fac]],-1,0)-TblConstr[[#This Row],[Dest Fac]]</f>
        <v>0</v>
      </c>
      <c r="BI127" s="396" cm="1">
        <f t="array" aca="1" ref="BI127" ca="1">IF(TblConstr[[#This Row],[Hour]:[Hour]]&gt;12,OFFSET(TblConstr[[#This Row],[GT]],-12,0),0)+OFFSET(TblConstr[[#This Row],[Tot GT]],-1,0)-TblConstr[[#This Row],[Dest GT]]</f>
        <v>0</v>
      </c>
      <c r="BJ127" s="396" cm="1">
        <f t="array" aca="1" ref="BJ127" ca="1">IF(TblConstr[[#This Row],[Hour]:[Hour]]&gt;12,OFFSET(TblConstr[[#This Row],[Bar]],-12,0),0)+OFFSET(TblConstr[[#This Row],[Tot Bar]],-1,0)-TblConstr[[#This Row],[Dest Bar]]</f>
        <v>0</v>
      </c>
      <c r="BK127" s="396" cm="1">
        <f t="array" aca="1" ref="BK127" ca="1">IF(TblConstr[[#This Row],[Hour]:[Hour]]&gt;12,OFFSET(TblConstr[[#This Row],[Shr]],-12,0),0)+OFFSET(TblConstr[[#This Row],[Tot Shr]],-1,0)-TblConstr[[#This Row],[Dest Shr]]</f>
        <v>0</v>
      </c>
      <c r="BL127" s="400" cm="1">
        <f t="array" aca="1" ref="BL127" ca="1">IF(TblConstr[[#This Row],[Hour]:[Hour]]&gt;12,OFFSET(TblConstr[[#This Row],[Tow]],-12,0),0)+OFFSET(TblConstr[[#This Row],[Tot Tow]],-1,0)-TblConstr[[#This Row],[Dest Tow]]</f>
        <v>0</v>
      </c>
      <c r="BM127" s="400" cm="1">
        <f t="array" aca="1" ref="BM127" ca="1">IF(TblConstr[[#This Row],[Hour]:[Hour]]&gt;12,OFFSET(TblConstr[[#This Row],[Tem]],-12,0),0)+OFFSET(TblConstr[[#This Row],[Tot Tem]],-1,0)-TblConstr[[#This Row],[Dest Tem]]</f>
        <v>0</v>
      </c>
      <c r="BN127" s="400" cm="1">
        <f t="array" aca="1" ref="BN127" ca="1">IF(TblConstr[[#This Row],[Hour]:[Hour]]&gt;12,OFFSET(TblConstr[[#This Row],[WG]],-12,0),0)+OFFSET(TblConstr[[#This Row],[Tot WG]],-1,0)-TblConstr[[#This Row],[Dest WG]]</f>
        <v>0</v>
      </c>
      <c r="BO127" s="199" cm="1">
        <f t="array" aca="1" ref="BO127" ca="1">IF(TblConstr[[#This Row],[Hour]:[Hour]]&gt;12,OFFSET(TblConstr[[#This Row],[DM]],-12,0),0)+OFFSET(TblConstr[[#This Row],[Tot DM]],-1,0)-TblConstr[[#This Row],[Dest DM]]</f>
        <v>0</v>
      </c>
      <c r="BP127" s="199" cm="1">
        <f t="array" aca="1" ref="BP127" ca="1">IF(TblConstr[[#This Row],[Hour]:[Hour]]&gt;12,OFFSET(TblConstr[[#This Row],[Sch]],-12,0),0)+OFFSET(TblConstr[[#This Row],[Tot Sch]],-1,0)-TblConstr[[#This Row],[Dest Sch]]</f>
        <v>0</v>
      </c>
      <c r="BQ127" s="200" cm="1">
        <f t="array" aca="1" ref="BQ127" ca="1">IF(TblConstr[[#This Row],[Hour]:[Hour]]&gt;12,OFFSET(TblConstr[[#This Row],[Doc]],-12,0),0)+OFFSET(TblConstr[[#This Row],[Tot Doc]],-1,0)-TblConstr[[#This Row],[Dest Doc]]</f>
        <v>0</v>
      </c>
      <c r="BR127" s="150"/>
      <c r="BS127" s="162"/>
      <c r="BT127" s="97">
        <f ca="1">TblConstr[[#This Row],[Land]]</f>
        <v>250</v>
      </c>
      <c r="BU127" s="167">
        <f ca="1">TblImps[[#This Row],[Time]]</f>
        <v>44815.874999999702</v>
      </c>
      <c r="BV127" s="150"/>
      <c r="BW127" s="187"/>
      <c r="BX127" s="187"/>
      <c r="BY127" s="187"/>
      <c r="BZ127" s="187"/>
      <c r="CA127" s="187"/>
      <c r="CB127" s="187"/>
      <c r="CC127" s="187"/>
      <c r="CD127" s="187"/>
      <c r="CE127" s="187"/>
      <c r="CF127" s="187"/>
      <c r="CG127" s="187"/>
      <c r="CH127" s="187"/>
      <c r="CI127" s="187"/>
      <c r="CJ127" s="187"/>
      <c r="CK127" s="187"/>
      <c r="CL127" s="187"/>
      <c r="CM127" s="187"/>
      <c r="CN127" s="187"/>
      <c r="CO127" s="187"/>
      <c r="CP127" s="150"/>
      <c r="CQ127" s="189">
        <f ca="1">-SUM(TblConstr[[#This Row],[Alc]:[Mas]])+SUM(TblConstr[[#This Row],[Dest Alc]:[Dest Mas]])+Rezone!L127+IF("Ch_"&amp; home_land=TblConstr[[#Headers],[Ch_Plain]],TblConstr[[#This Row],[Home Land]])+IF(TblConstr[[#This Row],[Hour]:[Hour]]&gt;12,OFFSET(TblExplore[[#This Row],[Plains Explore]],-12,0),0)</f>
        <v>0</v>
      </c>
      <c r="CR127" s="190">
        <f ca="1">-SUM(TblConstr[[#This Row],[Ly]:[Hav]])+SUM(TblConstr[[#This Row],[Dest Ly]:[Dest Hav]]) +Rezone!M127 + IF("Ch_"&amp; home_land=TblConstr[[#Headers],[Ch_Forest]],TblConstr[[#This Row],[Home Land]])+IF(TblConstr[[#This Row],[Hour]:[Hour]]&gt;12,OFFSET(TblExplore[[#This Row],[Forest Explore]],-12,0),0)</f>
        <v>0</v>
      </c>
      <c r="CS127" s="390">
        <f ca="1">-SUM(TblConstr[[#This Row],[OM]:[GN]])+SUM(TblConstr[[#This Row],[Dest OM]:[Dest GN]]) +Rezone!N127 + IF("Ch_"&amp; home_land=TblConstr[[#Headers],[Ch_Mountain]],TblConstr[[#This Row],[Home Land]])+IF(TblConstr[[#This Row],[Hour]:[Hour]]&gt;12,OFFSET(TblExplore[[#This Row],[Mountain Explore]],-12,0),0)</f>
        <v>0</v>
      </c>
      <c r="CT127" s="191">
        <f ca="1">-SUM(TblConstr[[#This Row],[Fac]:[Shr]])+SUM(TblConstr[[#This Row],[Dest Fac]:[Dest Shr]]) +Rezone!O127 + IF("Ch_" &amp; home_land=TblConstr[[#Headers],[Ch_Hill]],TblConstr[[#This Row],[Home Land]])+IF(TblConstr[[#This Row],[Hour]:[Hour]]&gt;12,OFFSET(TblExplore[[#This Row],[Hill Explore]],-12,0),0)</f>
        <v>0</v>
      </c>
      <c r="CU127" s="192">
        <f ca="1">-SUM(TblConstr[[#This Row],[Tow]:[WG]])+SUM(TblConstr[[#This Row],[Dest Tow]:[Dest WG]]) +Rezone!P127 + IF("Ch_" &amp; home_land=TblConstr[[#Headers],[Ch_Swamp]],TblConstr[[#This Row],[Home Land]])+IF(TblConstr[[#This Row],[Hour]:[Hour]]&gt;12,OFFSET(TblExplore[[#This Row],[Swamp Explore]],-12,0),0)</f>
        <v>0</v>
      </c>
      <c r="CV127" s="193">
        <f ca="1" xml:space="preserve"> - SUM(TblConstr[[#This Row],[DM]:[Sch]])+SUM(TblConstr[[#This Row],[Dest DM]:[Dest Sch]]) +Rezone!Q127 + IF("Ch_" &amp; home_land=TblConstr[[#Headers],[Ch_Cavern]],TblConstr[[#This Row],[Home Land]])+IF(TblConstr[[#This Row],[Hour]:[Hour]]&gt;12,OFFSET(TblExplore[[#This Row],[Cavern Explore]],-12,0),0)</f>
        <v>0</v>
      </c>
      <c r="CW127" s="194">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50"/>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83">
        <f>TblRezone[[#This Row],[Hour]]</f>
        <v>125</v>
      </c>
      <c r="B128" s="184">
        <f ca="1">SUM(TblConstr[[#This Row],[Plain]:[Water]])</f>
        <v>160</v>
      </c>
      <c r="C128" s="185">
        <f ca="1">SUM(TblConstr[[#This Row],[Tot Hom]:[Tot Doc]])</f>
        <v>90</v>
      </c>
      <c r="D128" s="185">
        <f t="shared" si="21"/>
        <v>0</v>
      </c>
      <c r="E128" s="186"/>
      <c r="F128" s="62">
        <f ca="1">TblConstr[[#This Row],[Barren]]+TblConstr[[#This Row],[Buildings]]+TblConstr[[#This Row],[Incoming]]</f>
        <v>250</v>
      </c>
      <c r="G128" s="195">
        <f ca="1">OFFSET(TblConstr[[#This Row],[Plain]],-1,0)+TblConstr[[#This Row],[Ch_Plain]]</f>
        <v>40</v>
      </c>
      <c r="H128" s="190">
        <f ca="1">OFFSET(TblConstr[[#This Row],[Forest]],-1,0)+TblConstr[[#This Row],[Ch_Forest]]</f>
        <v>20</v>
      </c>
      <c r="I128" s="390">
        <f ca="1">OFFSET(TblConstr[[#This Row],[Mountain]],-1,0)+TblConstr[[#This Row],[Ch_Mountain]]</f>
        <v>20</v>
      </c>
      <c r="J128" s="394">
        <f ca="1">OFFSET(TblConstr[[#This Row],[Hill]],-1,0)+TblConstr[[#This Row],[Ch_Hill]]</f>
        <v>20</v>
      </c>
      <c r="K128" s="398">
        <f ca="1">OFFSET(TblConstr[[#This Row],[Swamp]],-1,0)+TblConstr[[#This Row],[Ch_Swamp]]</f>
        <v>20</v>
      </c>
      <c r="L128" s="193">
        <f ca="1">OFFSET(TblConstr[[#This Row],[Cavern]],-1,0)+TblConstr[[#This Row],[Ch_Cavern]]</f>
        <v>20</v>
      </c>
      <c r="M128" s="194">
        <f ca="1">OFFSET(TblConstr[[#This Row],[Water]],-1,0)+TblConstr[[#This Row],[Ch_Water]]</f>
        <v>20</v>
      </c>
      <c r="N128" s="388">
        <f>TblRezone[[#This Row],[Hour]]</f>
        <v>125</v>
      </c>
      <c r="O128" s="187"/>
      <c r="P128" s="187"/>
      <c r="Q128" s="187"/>
      <c r="R128" s="187"/>
      <c r="S128" s="187"/>
      <c r="T128" s="187"/>
      <c r="U128" s="187"/>
      <c r="V128" s="187"/>
      <c r="W128" s="187"/>
      <c r="X128" s="187"/>
      <c r="Y128" s="187"/>
      <c r="Z128" s="187"/>
      <c r="AA128" s="187"/>
      <c r="AB128" s="187"/>
      <c r="AC128" s="187"/>
      <c r="AD128" s="187"/>
      <c r="AE128" s="187"/>
      <c r="AF128" s="187"/>
      <c r="AG128" s="187"/>
      <c r="AH128" s="53">
        <f ca="1">TblImps[[#This Row],[Time]]</f>
        <v>44815.916666666366</v>
      </c>
      <c r="AI128" s="188">
        <f ca="1">MIN(25%,(TblConstr[[#This Row],[Tot Fac]]+TblConstr[[#This Row],[Dest Fac]])/(TblConstr[[#This Row],[Land]]-TblExplore[[#This Row],[Land Bonus]]*20))</f>
        <v>0</v>
      </c>
      <c r="AJ128" s="188">
        <f ca="1">MIN(25%,(TblConstr[[#This Row],[Tot Fac]]+TblConstr[[#This Row],[Dest Fac]])/TblConstr[[#This Row],[Land]])</f>
        <v>0</v>
      </c>
      <c r="AK128" s="97">
        <f ca="1">TblProd[[#This Row],[Platinum]]</f>
        <v>781142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50"/>
      <c r="AV128" s="97">
        <f ca="1">ROUND((TblConstr[[#This Row],[Land]]-250 - IF(TblExplore[[#This Row],[Land Bonus]]&lt;&gt;0,20,0))*1.25 + 850 + 0,0)</f>
        <v>850</v>
      </c>
      <c r="AW128" s="97">
        <f ca="1">ROUND((TblConstr[[#This Row],[Land]]-250 - IF(TblExplore[[#This Row],[Land Bonus]]&lt;&gt;0,20,0))*0.285 + 87.5 + 0/4.25,0)</f>
        <v>88</v>
      </c>
      <c r="AX128" s="162"/>
      <c r="AY128" s="196" cm="1">
        <f t="array" aca="1" ref="AY128" ca="1">IF(TblConstr[[#This Row],[Hour]:[Hour]]&gt;12,OFFSET(TblConstr[[#This Row],[Hom]],-12,0),0)+OFFSET(TblConstr[[#This Row],[Tot Hom]],-1,0)-TblConstr[[#This Row],[Dest Hom]]</f>
        <v>10</v>
      </c>
      <c r="AZ128" s="197" cm="1">
        <f t="array" aca="1" ref="AZ128" ca="1">IF(TblConstr[[#This Row],[Hour]:[Hour]]&gt;12,OFFSET(TblConstr[[#This Row],[Alc]],-12,0),0)+OFFSET(TblConstr[[#This Row],[Tot Alc]],-1,0)-TblConstr[[#This Row],[Dest Alc]]</f>
        <v>30</v>
      </c>
      <c r="BA128" s="197" cm="1">
        <f t="array" aca="1" ref="BA128" ca="1">IF(TblConstr[[#This Row],[Hour]:[Hour]]&gt;12,OFFSET(TblConstr[[#This Row],[Far]],-12,0),0)+OFFSET(TblConstr[[#This Row],[Tot Farm]],-1,0)-TblConstr[[#This Row],[Dest Farm]]</f>
        <v>30</v>
      </c>
      <c r="BB128" s="197" cm="1">
        <f t="array" aca="1" ref="BB128" ca="1">IF(TblConstr[[#This Row],[Hour]:[Hour]]&gt;12,OFFSET(TblConstr[[#This Row],[Smi]],-12,0),0)+OFFSET(TblConstr[[#This Row],[Tot Smi]],-1,0)-TblConstr[[#This Row],[Dest Smi]]</f>
        <v>0</v>
      </c>
      <c r="BC128" s="197" cm="1">
        <f t="array" aca="1" ref="BC128" ca="1">IF(TblConstr[[#This Row],[Hour]:[Hour]]&gt;12,OFFSET(TblConstr[[#This Row],[Mas]],-12,0),0)+OFFSET(TblConstr[[#This Row],[Tot Mas]],-1,0)-TblConstr[[#This Row],[Dest Mas]]</f>
        <v>0</v>
      </c>
      <c r="BD128" s="198" cm="1">
        <f t="array" aca="1" ref="BD128" ca="1">IF(TblConstr[[#This Row],[Hour]:[Hour]]&gt;12,OFFSET(TblConstr[[#This Row],[Ly]],-12,0),0)+OFFSET(TblConstr[[#This Row],[Tot Ly]],-1,0)-TblConstr[[#This Row],[Dest Ly]]</f>
        <v>20</v>
      </c>
      <c r="BE128" s="198" cm="1">
        <f t="array" aca="1" ref="BE128" ca="1">IF(TblConstr[[#This Row],[Hour]:[Hour]]&gt;12,OFFSET(TblConstr[[#This Row],[Hav]],-12,0),0)+OFFSET(TblConstr[[#This Row],[Tot Hav]],-1,0)-TblConstr[[#This Row],[Dest Hav]]</f>
        <v>0</v>
      </c>
      <c r="BF128" s="392" cm="1">
        <f t="array" aca="1" ref="BF128" ca="1">IF(TblConstr[[#This Row],[Hour]:[Hour]]&gt;12,OFFSET(TblConstr[[#This Row],[OM]],-12,0),0)+OFFSET(TblConstr[[#This Row],[Tot OM]],-1,0)-TblConstr[[#This Row],[Dest OM]]</f>
        <v>0</v>
      </c>
      <c r="BG128" s="392" cm="1">
        <f t="array" aca="1" ref="BG128" ca="1">IF(TblConstr[[#This Row],[Hour]:[Hour]]&gt;12,OFFSET(TblConstr[[#This Row],[GN]],-12,0),0)+OFFSET(TblConstr[[#This Row],[Tot GN]],-1,0)-TblConstr[[#This Row],[Dest GN]]</f>
        <v>0</v>
      </c>
      <c r="BH128" s="396" cm="1">
        <f t="array" aca="1" ref="BH128" ca="1">IF(TblConstr[[#This Row],[Hour]:[Hour]]&gt;12,OFFSET(TblConstr[[#This Row],[Fac]],-12,0),0)+OFFSET(TblConstr[[#This Row],[Tot Fac]],-1,0)-TblConstr[[#This Row],[Dest Fac]]</f>
        <v>0</v>
      </c>
      <c r="BI128" s="396" cm="1">
        <f t="array" aca="1" ref="BI128" ca="1">IF(TblConstr[[#This Row],[Hour]:[Hour]]&gt;12,OFFSET(TblConstr[[#This Row],[GT]],-12,0),0)+OFFSET(TblConstr[[#This Row],[Tot GT]],-1,0)-TblConstr[[#This Row],[Dest GT]]</f>
        <v>0</v>
      </c>
      <c r="BJ128" s="396" cm="1">
        <f t="array" aca="1" ref="BJ128" ca="1">IF(TblConstr[[#This Row],[Hour]:[Hour]]&gt;12,OFFSET(TblConstr[[#This Row],[Bar]],-12,0),0)+OFFSET(TblConstr[[#This Row],[Tot Bar]],-1,0)-TblConstr[[#This Row],[Dest Bar]]</f>
        <v>0</v>
      </c>
      <c r="BK128" s="396" cm="1">
        <f t="array" aca="1" ref="BK128" ca="1">IF(TblConstr[[#This Row],[Hour]:[Hour]]&gt;12,OFFSET(TblConstr[[#This Row],[Shr]],-12,0),0)+OFFSET(TblConstr[[#This Row],[Tot Shr]],-1,0)-TblConstr[[#This Row],[Dest Shr]]</f>
        <v>0</v>
      </c>
      <c r="BL128" s="400" cm="1">
        <f t="array" aca="1" ref="BL128" ca="1">IF(TblConstr[[#This Row],[Hour]:[Hour]]&gt;12,OFFSET(TblConstr[[#This Row],[Tow]],-12,0),0)+OFFSET(TblConstr[[#This Row],[Tot Tow]],-1,0)-TblConstr[[#This Row],[Dest Tow]]</f>
        <v>0</v>
      </c>
      <c r="BM128" s="400" cm="1">
        <f t="array" aca="1" ref="BM128" ca="1">IF(TblConstr[[#This Row],[Hour]:[Hour]]&gt;12,OFFSET(TblConstr[[#This Row],[Tem]],-12,0),0)+OFFSET(TblConstr[[#This Row],[Tot Tem]],-1,0)-TblConstr[[#This Row],[Dest Tem]]</f>
        <v>0</v>
      </c>
      <c r="BN128" s="400" cm="1">
        <f t="array" aca="1" ref="BN128" ca="1">IF(TblConstr[[#This Row],[Hour]:[Hour]]&gt;12,OFFSET(TblConstr[[#This Row],[WG]],-12,0),0)+OFFSET(TblConstr[[#This Row],[Tot WG]],-1,0)-TblConstr[[#This Row],[Dest WG]]</f>
        <v>0</v>
      </c>
      <c r="BO128" s="199" cm="1">
        <f t="array" aca="1" ref="BO128" ca="1">IF(TblConstr[[#This Row],[Hour]:[Hour]]&gt;12,OFFSET(TblConstr[[#This Row],[DM]],-12,0),0)+OFFSET(TblConstr[[#This Row],[Tot DM]],-1,0)-TblConstr[[#This Row],[Dest DM]]</f>
        <v>0</v>
      </c>
      <c r="BP128" s="199" cm="1">
        <f t="array" aca="1" ref="BP128" ca="1">IF(TblConstr[[#This Row],[Hour]:[Hour]]&gt;12,OFFSET(TblConstr[[#This Row],[Sch]],-12,0),0)+OFFSET(TblConstr[[#This Row],[Tot Sch]],-1,0)-TblConstr[[#This Row],[Dest Sch]]</f>
        <v>0</v>
      </c>
      <c r="BQ128" s="200" cm="1">
        <f t="array" aca="1" ref="BQ128" ca="1">IF(TblConstr[[#This Row],[Hour]:[Hour]]&gt;12,OFFSET(TblConstr[[#This Row],[Doc]],-12,0),0)+OFFSET(TblConstr[[#This Row],[Tot Doc]],-1,0)-TblConstr[[#This Row],[Dest Doc]]</f>
        <v>0</v>
      </c>
      <c r="BR128" s="150"/>
      <c r="BS128" s="162"/>
      <c r="BT128" s="97">
        <f ca="1">TblConstr[[#This Row],[Land]]</f>
        <v>250</v>
      </c>
      <c r="BU128" s="167">
        <f ca="1">TblImps[[#This Row],[Time]]</f>
        <v>44815.916666666366</v>
      </c>
      <c r="BV128" s="150"/>
      <c r="BW128" s="187"/>
      <c r="BX128" s="187"/>
      <c r="BY128" s="187"/>
      <c r="BZ128" s="187"/>
      <c r="CA128" s="187"/>
      <c r="CB128" s="187"/>
      <c r="CC128" s="187"/>
      <c r="CD128" s="187"/>
      <c r="CE128" s="187"/>
      <c r="CF128" s="187"/>
      <c r="CG128" s="187"/>
      <c r="CH128" s="187"/>
      <c r="CI128" s="187"/>
      <c r="CJ128" s="187"/>
      <c r="CK128" s="187"/>
      <c r="CL128" s="187"/>
      <c r="CM128" s="187"/>
      <c r="CN128" s="187"/>
      <c r="CO128" s="187"/>
      <c r="CP128" s="150"/>
      <c r="CQ128" s="189">
        <f ca="1">-SUM(TblConstr[[#This Row],[Alc]:[Mas]])+SUM(TblConstr[[#This Row],[Dest Alc]:[Dest Mas]])+Rezone!L128+IF("Ch_"&amp; home_land=TblConstr[[#Headers],[Ch_Plain]],TblConstr[[#This Row],[Home Land]])+IF(TblConstr[[#This Row],[Hour]:[Hour]]&gt;12,OFFSET(TblExplore[[#This Row],[Plains Explore]],-12,0),0)</f>
        <v>0</v>
      </c>
      <c r="CR128" s="190">
        <f ca="1">-SUM(TblConstr[[#This Row],[Ly]:[Hav]])+SUM(TblConstr[[#This Row],[Dest Ly]:[Dest Hav]]) +Rezone!M128 + IF("Ch_"&amp; home_land=TblConstr[[#Headers],[Ch_Forest]],TblConstr[[#This Row],[Home Land]])+IF(TblConstr[[#This Row],[Hour]:[Hour]]&gt;12,OFFSET(TblExplore[[#This Row],[Forest Explore]],-12,0),0)</f>
        <v>0</v>
      </c>
      <c r="CS128" s="390">
        <f ca="1">-SUM(TblConstr[[#This Row],[OM]:[GN]])+SUM(TblConstr[[#This Row],[Dest OM]:[Dest GN]]) +Rezone!N128 + IF("Ch_"&amp; home_land=TblConstr[[#Headers],[Ch_Mountain]],TblConstr[[#This Row],[Home Land]])+IF(TblConstr[[#This Row],[Hour]:[Hour]]&gt;12,OFFSET(TblExplore[[#This Row],[Mountain Explore]],-12,0),0)</f>
        <v>0</v>
      </c>
      <c r="CT128" s="191">
        <f ca="1">-SUM(TblConstr[[#This Row],[Fac]:[Shr]])+SUM(TblConstr[[#This Row],[Dest Fac]:[Dest Shr]]) +Rezone!O128 + IF("Ch_" &amp; home_land=TblConstr[[#Headers],[Ch_Hill]],TblConstr[[#This Row],[Home Land]])+IF(TblConstr[[#This Row],[Hour]:[Hour]]&gt;12,OFFSET(TblExplore[[#This Row],[Hill Explore]],-12,0),0)</f>
        <v>0</v>
      </c>
      <c r="CU128" s="192">
        <f ca="1">-SUM(TblConstr[[#This Row],[Tow]:[WG]])+SUM(TblConstr[[#This Row],[Dest Tow]:[Dest WG]]) +Rezone!P128 + IF("Ch_" &amp; home_land=TblConstr[[#Headers],[Ch_Swamp]],TblConstr[[#This Row],[Home Land]])+IF(TblConstr[[#This Row],[Hour]:[Hour]]&gt;12,OFFSET(TblExplore[[#This Row],[Swamp Explore]],-12,0),0)</f>
        <v>0</v>
      </c>
      <c r="CV128" s="193">
        <f ca="1" xml:space="preserve"> - SUM(TblConstr[[#This Row],[DM]:[Sch]])+SUM(TblConstr[[#This Row],[Dest DM]:[Dest Sch]]) +Rezone!Q128 + IF("Ch_" &amp; home_land=TblConstr[[#Headers],[Ch_Cavern]],TblConstr[[#This Row],[Home Land]])+IF(TblConstr[[#This Row],[Hour]:[Hour]]&gt;12,OFFSET(TblExplore[[#This Row],[Cavern Explore]],-12,0),0)</f>
        <v>0</v>
      </c>
      <c r="CW128" s="194">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50"/>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83">
        <f>TblRezone[[#This Row],[Hour]]</f>
        <v>126</v>
      </c>
      <c r="B129" s="184">
        <f ca="1">SUM(TblConstr[[#This Row],[Plain]:[Water]])</f>
        <v>160</v>
      </c>
      <c r="C129" s="185">
        <f ca="1">SUM(TblConstr[[#This Row],[Tot Hom]:[Tot Doc]])</f>
        <v>90</v>
      </c>
      <c r="D129" s="185">
        <f t="shared" si="21"/>
        <v>0</v>
      </c>
      <c r="E129" s="186"/>
      <c r="F129" s="62">
        <f ca="1">TblConstr[[#This Row],[Barren]]+TblConstr[[#This Row],[Buildings]]+TblConstr[[#This Row],[Incoming]]</f>
        <v>250</v>
      </c>
      <c r="G129" s="195">
        <f ca="1">OFFSET(TblConstr[[#This Row],[Plain]],-1,0)+TblConstr[[#This Row],[Ch_Plain]]</f>
        <v>40</v>
      </c>
      <c r="H129" s="190">
        <f ca="1">OFFSET(TblConstr[[#This Row],[Forest]],-1,0)+TblConstr[[#This Row],[Ch_Forest]]</f>
        <v>20</v>
      </c>
      <c r="I129" s="390">
        <f ca="1">OFFSET(TblConstr[[#This Row],[Mountain]],-1,0)+TblConstr[[#This Row],[Ch_Mountain]]</f>
        <v>20</v>
      </c>
      <c r="J129" s="394">
        <f ca="1">OFFSET(TblConstr[[#This Row],[Hill]],-1,0)+TblConstr[[#This Row],[Ch_Hill]]</f>
        <v>20</v>
      </c>
      <c r="K129" s="398">
        <f ca="1">OFFSET(TblConstr[[#This Row],[Swamp]],-1,0)+TblConstr[[#This Row],[Ch_Swamp]]</f>
        <v>20</v>
      </c>
      <c r="L129" s="193">
        <f ca="1">OFFSET(TblConstr[[#This Row],[Cavern]],-1,0)+TblConstr[[#This Row],[Ch_Cavern]]</f>
        <v>20</v>
      </c>
      <c r="M129" s="194">
        <f ca="1">OFFSET(TblConstr[[#This Row],[Water]],-1,0)+TblConstr[[#This Row],[Ch_Water]]</f>
        <v>20</v>
      </c>
      <c r="N129" s="388">
        <f>TblRezone[[#This Row],[Hour]]</f>
        <v>126</v>
      </c>
      <c r="O129" s="187"/>
      <c r="P129" s="187"/>
      <c r="Q129" s="187"/>
      <c r="R129" s="187"/>
      <c r="S129" s="187"/>
      <c r="T129" s="187"/>
      <c r="U129" s="187"/>
      <c r="V129" s="187"/>
      <c r="W129" s="187"/>
      <c r="X129" s="187"/>
      <c r="Y129" s="187"/>
      <c r="Z129" s="187"/>
      <c r="AA129" s="187"/>
      <c r="AB129" s="187"/>
      <c r="AC129" s="187"/>
      <c r="AD129" s="187"/>
      <c r="AE129" s="187"/>
      <c r="AF129" s="187"/>
      <c r="AG129" s="187"/>
      <c r="AH129" s="53">
        <f ca="1">TblImps[[#This Row],[Time]]</f>
        <v>44815.95833333303</v>
      </c>
      <c r="AI129" s="188">
        <f ca="1">MIN(25%,(TblConstr[[#This Row],[Tot Fac]]+TblConstr[[#This Row],[Dest Fac]])/(TblConstr[[#This Row],[Land]]-TblExplore[[#This Row],[Land Bonus]]*20))</f>
        <v>0</v>
      </c>
      <c r="AJ129" s="188">
        <f ca="1">MIN(25%,(TblConstr[[#This Row],[Tot Fac]]+TblConstr[[#This Row],[Dest Fac]])/TblConstr[[#This Row],[Land]])</f>
        <v>0</v>
      </c>
      <c r="AK129" s="97">
        <f ca="1">TblProd[[#This Row],[Platinum]]</f>
        <v>786628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50"/>
      <c r="AV129" s="97">
        <f ca="1">ROUND((TblConstr[[#This Row],[Land]]-250 - IF(TblExplore[[#This Row],[Land Bonus]]&lt;&gt;0,20,0))*1.25 + 850 + 0,0)</f>
        <v>850</v>
      </c>
      <c r="AW129" s="97">
        <f ca="1">ROUND((TblConstr[[#This Row],[Land]]-250 - IF(TblExplore[[#This Row],[Land Bonus]]&lt;&gt;0,20,0))*0.285 + 87.5 + 0/4.25,0)</f>
        <v>88</v>
      </c>
      <c r="AX129" s="162"/>
      <c r="AY129" s="196" cm="1">
        <f t="array" aca="1" ref="AY129" ca="1">IF(TblConstr[[#This Row],[Hour]:[Hour]]&gt;12,OFFSET(TblConstr[[#This Row],[Hom]],-12,0),0)+OFFSET(TblConstr[[#This Row],[Tot Hom]],-1,0)-TblConstr[[#This Row],[Dest Hom]]</f>
        <v>10</v>
      </c>
      <c r="AZ129" s="197" cm="1">
        <f t="array" aca="1" ref="AZ129" ca="1">IF(TblConstr[[#This Row],[Hour]:[Hour]]&gt;12,OFFSET(TblConstr[[#This Row],[Alc]],-12,0),0)+OFFSET(TblConstr[[#This Row],[Tot Alc]],-1,0)-TblConstr[[#This Row],[Dest Alc]]</f>
        <v>30</v>
      </c>
      <c r="BA129" s="197" cm="1">
        <f t="array" aca="1" ref="BA129" ca="1">IF(TblConstr[[#This Row],[Hour]:[Hour]]&gt;12,OFFSET(TblConstr[[#This Row],[Far]],-12,0),0)+OFFSET(TblConstr[[#This Row],[Tot Farm]],-1,0)-TblConstr[[#This Row],[Dest Farm]]</f>
        <v>30</v>
      </c>
      <c r="BB129" s="197" cm="1">
        <f t="array" aca="1" ref="BB129" ca="1">IF(TblConstr[[#This Row],[Hour]:[Hour]]&gt;12,OFFSET(TblConstr[[#This Row],[Smi]],-12,0),0)+OFFSET(TblConstr[[#This Row],[Tot Smi]],-1,0)-TblConstr[[#This Row],[Dest Smi]]</f>
        <v>0</v>
      </c>
      <c r="BC129" s="197" cm="1">
        <f t="array" aca="1" ref="BC129" ca="1">IF(TblConstr[[#This Row],[Hour]:[Hour]]&gt;12,OFFSET(TblConstr[[#This Row],[Mas]],-12,0),0)+OFFSET(TblConstr[[#This Row],[Tot Mas]],-1,0)-TblConstr[[#This Row],[Dest Mas]]</f>
        <v>0</v>
      </c>
      <c r="BD129" s="198" cm="1">
        <f t="array" aca="1" ref="BD129" ca="1">IF(TblConstr[[#This Row],[Hour]:[Hour]]&gt;12,OFFSET(TblConstr[[#This Row],[Ly]],-12,0),0)+OFFSET(TblConstr[[#This Row],[Tot Ly]],-1,0)-TblConstr[[#This Row],[Dest Ly]]</f>
        <v>20</v>
      </c>
      <c r="BE129" s="198" cm="1">
        <f t="array" aca="1" ref="BE129" ca="1">IF(TblConstr[[#This Row],[Hour]:[Hour]]&gt;12,OFFSET(TblConstr[[#This Row],[Hav]],-12,0),0)+OFFSET(TblConstr[[#This Row],[Tot Hav]],-1,0)-TblConstr[[#This Row],[Dest Hav]]</f>
        <v>0</v>
      </c>
      <c r="BF129" s="392" cm="1">
        <f t="array" aca="1" ref="BF129" ca="1">IF(TblConstr[[#This Row],[Hour]:[Hour]]&gt;12,OFFSET(TblConstr[[#This Row],[OM]],-12,0),0)+OFFSET(TblConstr[[#This Row],[Tot OM]],-1,0)-TblConstr[[#This Row],[Dest OM]]</f>
        <v>0</v>
      </c>
      <c r="BG129" s="392" cm="1">
        <f t="array" aca="1" ref="BG129" ca="1">IF(TblConstr[[#This Row],[Hour]:[Hour]]&gt;12,OFFSET(TblConstr[[#This Row],[GN]],-12,0),0)+OFFSET(TblConstr[[#This Row],[Tot GN]],-1,0)-TblConstr[[#This Row],[Dest GN]]</f>
        <v>0</v>
      </c>
      <c r="BH129" s="396" cm="1">
        <f t="array" aca="1" ref="BH129" ca="1">IF(TblConstr[[#This Row],[Hour]:[Hour]]&gt;12,OFFSET(TblConstr[[#This Row],[Fac]],-12,0),0)+OFFSET(TblConstr[[#This Row],[Tot Fac]],-1,0)-TblConstr[[#This Row],[Dest Fac]]</f>
        <v>0</v>
      </c>
      <c r="BI129" s="396" cm="1">
        <f t="array" aca="1" ref="BI129" ca="1">IF(TblConstr[[#This Row],[Hour]:[Hour]]&gt;12,OFFSET(TblConstr[[#This Row],[GT]],-12,0),0)+OFFSET(TblConstr[[#This Row],[Tot GT]],-1,0)-TblConstr[[#This Row],[Dest GT]]</f>
        <v>0</v>
      </c>
      <c r="BJ129" s="396" cm="1">
        <f t="array" aca="1" ref="BJ129" ca="1">IF(TblConstr[[#This Row],[Hour]:[Hour]]&gt;12,OFFSET(TblConstr[[#This Row],[Bar]],-12,0),0)+OFFSET(TblConstr[[#This Row],[Tot Bar]],-1,0)-TblConstr[[#This Row],[Dest Bar]]</f>
        <v>0</v>
      </c>
      <c r="BK129" s="396" cm="1">
        <f t="array" aca="1" ref="BK129" ca="1">IF(TblConstr[[#This Row],[Hour]:[Hour]]&gt;12,OFFSET(TblConstr[[#This Row],[Shr]],-12,0),0)+OFFSET(TblConstr[[#This Row],[Tot Shr]],-1,0)-TblConstr[[#This Row],[Dest Shr]]</f>
        <v>0</v>
      </c>
      <c r="BL129" s="400" cm="1">
        <f t="array" aca="1" ref="BL129" ca="1">IF(TblConstr[[#This Row],[Hour]:[Hour]]&gt;12,OFFSET(TblConstr[[#This Row],[Tow]],-12,0),0)+OFFSET(TblConstr[[#This Row],[Tot Tow]],-1,0)-TblConstr[[#This Row],[Dest Tow]]</f>
        <v>0</v>
      </c>
      <c r="BM129" s="400" cm="1">
        <f t="array" aca="1" ref="BM129" ca="1">IF(TblConstr[[#This Row],[Hour]:[Hour]]&gt;12,OFFSET(TblConstr[[#This Row],[Tem]],-12,0),0)+OFFSET(TblConstr[[#This Row],[Tot Tem]],-1,0)-TblConstr[[#This Row],[Dest Tem]]</f>
        <v>0</v>
      </c>
      <c r="BN129" s="400" cm="1">
        <f t="array" aca="1" ref="BN129" ca="1">IF(TblConstr[[#This Row],[Hour]:[Hour]]&gt;12,OFFSET(TblConstr[[#This Row],[WG]],-12,0),0)+OFFSET(TblConstr[[#This Row],[Tot WG]],-1,0)-TblConstr[[#This Row],[Dest WG]]</f>
        <v>0</v>
      </c>
      <c r="BO129" s="199" cm="1">
        <f t="array" aca="1" ref="BO129" ca="1">IF(TblConstr[[#This Row],[Hour]:[Hour]]&gt;12,OFFSET(TblConstr[[#This Row],[DM]],-12,0),0)+OFFSET(TblConstr[[#This Row],[Tot DM]],-1,0)-TblConstr[[#This Row],[Dest DM]]</f>
        <v>0</v>
      </c>
      <c r="BP129" s="199" cm="1">
        <f t="array" aca="1" ref="BP129" ca="1">IF(TblConstr[[#This Row],[Hour]:[Hour]]&gt;12,OFFSET(TblConstr[[#This Row],[Sch]],-12,0),0)+OFFSET(TblConstr[[#This Row],[Tot Sch]],-1,0)-TblConstr[[#This Row],[Dest Sch]]</f>
        <v>0</v>
      </c>
      <c r="BQ129" s="200" cm="1">
        <f t="array" aca="1" ref="BQ129" ca="1">IF(TblConstr[[#This Row],[Hour]:[Hour]]&gt;12,OFFSET(TblConstr[[#This Row],[Doc]],-12,0),0)+OFFSET(TblConstr[[#This Row],[Tot Doc]],-1,0)-TblConstr[[#This Row],[Dest Doc]]</f>
        <v>0</v>
      </c>
      <c r="BR129" s="150"/>
      <c r="BS129" s="162"/>
      <c r="BT129" s="97">
        <f ca="1">TblConstr[[#This Row],[Land]]</f>
        <v>250</v>
      </c>
      <c r="BU129" s="167">
        <f ca="1">TblImps[[#This Row],[Time]]</f>
        <v>44815.95833333303</v>
      </c>
      <c r="BV129" s="150"/>
      <c r="BW129" s="187"/>
      <c r="BX129" s="187"/>
      <c r="BY129" s="187"/>
      <c r="BZ129" s="187"/>
      <c r="CA129" s="187"/>
      <c r="CB129" s="187"/>
      <c r="CC129" s="187"/>
      <c r="CD129" s="187"/>
      <c r="CE129" s="187"/>
      <c r="CF129" s="187"/>
      <c r="CG129" s="187"/>
      <c r="CH129" s="187"/>
      <c r="CI129" s="187"/>
      <c r="CJ129" s="187"/>
      <c r="CK129" s="187"/>
      <c r="CL129" s="187"/>
      <c r="CM129" s="187"/>
      <c r="CN129" s="187"/>
      <c r="CO129" s="187"/>
      <c r="CP129" s="150"/>
      <c r="CQ129" s="189">
        <f ca="1">-SUM(TblConstr[[#This Row],[Alc]:[Mas]])+SUM(TblConstr[[#This Row],[Dest Alc]:[Dest Mas]])+Rezone!L129+IF("Ch_"&amp; home_land=TblConstr[[#Headers],[Ch_Plain]],TblConstr[[#This Row],[Home Land]])+IF(TblConstr[[#This Row],[Hour]:[Hour]]&gt;12,OFFSET(TblExplore[[#This Row],[Plains Explore]],-12,0),0)</f>
        <v>0</v>
      </c>
      <c r="CR129" s="190">
        <f ca="1">-SUM(TblConstr[[#This Row],[Ly]:[Hav]])+SUM(TblConstr[[#This Row],[Dest Ly]:[Dest Hav]]) +Rezone!M129 + IF("Ch_"&amp; home_land=TblConstr[[#Headers],[Ch_Forest]],TblConstr[[#This Row],[Home Land]])+IF(TblConstr[[#This Row],[Hour]:[Hour]]&gt;12,OFFSET(TblExplore[[#This Row],[Forest Explore]],-12,0),0)</f>
        <v>0</v>
      </c>
      <c r="CS129" s="390">
        <f ca="1">-SUM(TblConstr[[#This Row],[OM]:[GN]])+SUM(TblConstr[[#This Row],[Dest OM]:[Dest GN]]) +Rezone!N129 + IF("Ch_"&amp; home_land=TblConstr[[#Headers],[Ch_Mountain]],TblConstr[[#This Row],[Home Land]])+IF(TblConstr[[#This Row],[Hour]:[Hour]]&gt;12,OFFSET(TblExplore[[#This Row],[Mountain Explore]],-12,0),0)</f>
        <v>0</v>
      </c>
      <c r="CT129" s="191">
        <f ca="1">-SUM(TblConstr[[#This Row],[Fac]:[Shr]])+SUM(TblConstr[[#This Row],[Dest Fac]:[Dest Shr]]) +Rezone!O129 + IF("Ch_" &amp; home_land=TblConstr[[#Headers],[Ch_Hill]],TblConstr[[#This Row],[Home Land]])+IF(TblConstr[[#This Row],[Hour]:[Hour]]&gt;12,OFFSET(TblExplore[[#This Row],[Hill Explore]],-12,0),0)</f>
        <v>0</v>
      </c>
      <c r="CU129" s="192">
        <f ca="1">-SUM(TblConstr[[#This Row],[Tow]:[WG]])+SUM(TblConstr[[#This Row],[Dest Tow]:[Dest WG]]) +Rezone!P129 + IF("Ch_" &amp; home_land=TblConstr[[#Headers],[Ch_Swamp]],TblConstr[[#This Row],[Home Land]])+IF(TblConstr[[#This Row],[Hour]:[Hour]]&gt;12,OFFSET(TblExplore[[#This Row],[Swamp Explore]],-12,0),0)</f>
        <v>0</v>
      </c>
      <c r="CV129" s="193">
        <f ca="1" xml:space="preserve"> - SUM(TblConstr[[#This Row],[DM]:[Sch]])+SUM(TblConstr[[#This Row],[Dest DM]:[Dest Sch]]) +Rezone!Q129 + IF("Ch_" &amp; home_land=TblConstr[[#Headers],[Ch_Cavern]],TblConstr[[#This Row],[Home Land]])+IF(TblConstr[[#This Row],[Hour]:[Hour]]&gt;12,OFFSET(TblExplore[[#This Row],[Cavern Explore]],-12,0),0)</f>
        <v>0</v>
      </c>
      <c r="CW129" s="194">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50"/>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83">
        <f>TblRezone[[#This Row],[Hour]]</f>
        <v>127</v>
      </c>
      <c r="B130" s="184">
        <f ca="1">SUM(TblConstr[[#This Row],[Plain]:[Water]])</f>
        <v>160</v>
      </c>
      <c r="C130" s="185">
        <f ca="1">SUM(TblConstr[[#This Row],[Tot Hom]:[Tot Doc]])</f>
        <v>90</v>
      </c>
      <c r="D130" s="185">
        <f t="shared" si="21"/>
        <v>0</v>
      </c>
      <c r="E130" s="186"/>
      <c r="F130" s="62">
        <f ca="1">TblConstr[[#This Row],[Barren]]+TblConstr[[#This Row],[Buildings]]+TblConstr[[#This Row],[Incoming]]</f>
        <v>250</v>
      </c>
      <c r="G130" s="195">
        <f ca="1">OFFSET(TblConstr[[#This Row],[Plain]],-1,0)+TblConstr[[#This Row],[Ch_Plain]]</f>
        <v>40</v>
      </c>
      <c r="H130" s="190">
        <f ca="1">OFFSET(TblConstr[[#This Row],[Forest]],-1,0)+TblConstr[[#This Row],[Ch_Forest]]</f>
        <v>20</v>
      </c>
      <c r="I130" s="390">
        <f ca="1">OFFSET(TblConstr[[#This Row],[Mountain]],-1,0)+TblConstr[[#This Row],[Ch_Mountain]]</f>
        <v>20</v>
      </c>
      <c r="J130" s="394">
        <f ca="1">OFFSET(TblConstr[[#This Row],[Hill]],-1,0)+TblConstr[[#This Row],[Ch_Hill]]</f>
        <v>20</v>
      </c>
      <c r="K130" s="398">
        <f ca="1">OFFSET(TblConstr[[#This Row],[Swamp]],-1,0)+TblConstr[[#This Row],[Ch_Swamp]]</f>
        <v>20</v>
      </c>
      <c r="L130" s="193">
        <f ca="1">OFFSET(TblConstr[[#This Row],[Cavern]],-1,0)+TblConstr[[#This Row],[Ch_Cavern]]</f>
        <v>20</v>
      </c>
      <c r="M130" s="194">
        <f ca="1">OFFSET(TblConstr[[#This Row],[Water]],-1,0)+TblConstr[[#This Row],[Ch_Water]]</f>
        <v>20</v>
      </c>
      <c r="N130" s="388">
        <f>TblRezone[[#This Row],[Hour]]</f>
        <v>127</v>
      </c>
      <c r="O130" s="187"/>
      <c r="P130" s="187"/>
      <c r="Q130" s="187"/>
      <c r="R130" s="187"/>
      <c r="S130" s="187"/>
      <c r="T130" s="187"/>
      <c r="U130" s="187"/>
      <c r="V130" s="187"/>
      <c r="W130" s="187"/>
      <c r="X130" s="187"/>
      <c r="Y130" s="187"/>
      <c r="Z130" s="187"/>
      <c r="AA130" s="187"/>
      <c r="AB130" s="187"/>
      <c r="AC130" s="187"/>
      <c r="AD130" s="187"/>
      <c r="AE130" s="187"/>
      <c r="AF130" s="187"/>
      <c r="AG130" s="187"/>
      <c r="AH130" s="53">
        <f ca="1">TblImps[[#This Row],[Time]]</f>
        <v>44815.999999999694</v>
      </c>
      <c r="AI130" s="188">
        <f ca="1">MIN(25%,(TblConstr[[#This Row],[Tot Fac]]+TblConstr[[#This Row],[Dest Fac]])/(TblConstr[[#This Row],[Land]]-TblExplore[[#This Row],[Land Bonus]]*20))</f>
        <v>0</v>
      </c>
      <c r="AJ130" s="188">
        <f ca="1">MIN(25%,(TblConstr[[#This Row],[Tot Fac]]+TblConstr[[#This Row],[Dest Fac]])/TblConstr[[#This Row],[Land]])</f>
        <v>0</v>
      </c>
      <c r="AK130" s="97">
        <f ca="1">TblProd[[#This Row],[Platinum]]</f>
        <v>792114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50"/>
      <c r="AV130" s="97">
        <f ca="1">ROUND((TblConstr[[#This Row],[Land]]-250 - IF(TblExplore[[#This Row],[Land Bonus]]&lt;&gt;0,20,0))*1.25 + 850 + 0,0)</f>
        <v>850</v>
      </c>
      <c r="AW130" s="97">
        <f ca="1">ROUND((TblConstr[[#This Row],[Land]]-250 - IF(TblExplore[[#This Row],[Land Bonus]]&lt;&gt;0,20,0))*0.285 + 87.5 + 0/4.25,0)</f>
        <v>88</v>
      </c>
      <c r="AX130" s="162"/>
      <c r="AY130" s="196" cm="1">
        <f t="array" aca="1" ref="AY130" ca="1">IF(TblConstr[[#This Row],[Hour]:[Hour]]&gt;12,OFFSET(TblConstr[[#This Row],[Hom]],-12,0),0)+OFFSET(TblConstr[[#This Row],[Tot Hom]],-1,0)-TblConstr[[#This Row],[Dest Hom]]</f>
        <v>10</v>
      </c>
      <c r="AZ130" s="197" cm="1">
        <f t="array" aca="1" ref="AZ130" ca="1">IF(TblConstr[[#This Row],[Hour]:[Hour]]&gt;12,OFFSET(TblConstr[[#This Row],[Alc]],-12,0),0)+OFFSET(TblConstr[[#This Row],[Tot Alc]],-1,0)-TblConstr[[#This Row],[Dest Alc]]</f>
        <v>30</v>
      </c>
      <c r="BA130" s="197" cm="1">
        <f t="array" aca="1" ref="BA130" ca="1">IF(TblConstr[[#This Row],[Hour]:[Hour]]&gt;12,OFFSET(TblConstr[[#This Row],[Far]],-12,0),0)+OFFSET(TblConstr[[#This Row],[Tot Farm]],-1,0)-TblConstr[[#This Row],[Dest Farm]]</f>
        <v>30</v>
      </c>
      <c r="BB130" s="197" cm="1">
        <f t="array" aca="1" ref="BB130" ca="1">IF(TblConstr[[#This Row],[Hour]:[Hour]]&gt;12,OFFSET(TblConstr[[#This Row],[Smi]],-12,0),0)+OFFSET(TblConstr[[#This Row],[Tot Smi]],-1,0)-TblConstr[[#This Row],[Dest Smi]]</f>
        <v>0</v>
      </c>
      <c r="BC130" s="197" cm="1">
        <f t="array" aca="1" ref="BC130" ca="1">IF(TblConstr[[#This Row],[Hour]:[Hour]]&gt;12,OFFSET(TblConstr[[#This Row],[Mas]],-12,0),0)+OFFSET(TblConstr[[#This Row],[Tot Mas]],-1,0)-TblConstr[[#This Row],[Dest Mas]]</f>
        <v>0</v>
      </c>
      <c r="BD130" s="198" cm="1">
        <f t="array" aca="1" ref="BD130" ca="1">IF(TblConstr[[#This Row],[Hour]:[Hour]]&gt;12,OFFSET(TblConstr[[#This Row],[Ly]],-12,0),0)+OFFSET(TblConstr[[#This Row],[Tot Ly]],-1,0)-TblConstr[[#This Row],[Dest Ly]]</f>
        <v>20</v>
      </c>
      <c r="BE130" s="198" cm="1">
        <f t="array" aca="1" ref="BE130" ca="1">IF(TblConstr[[#This Row],[Hour]:[Hour]]&gt;12,OFFSET(TblConstr[[#This Row],[Hav]],-12,0),0)+OFFSET(TblConstr[[#This Row],[Tot Hav]],-1,0)-TblConstr[[#This Row],[Dest Hav]]</f>
        <v>0</v>
      </c>
      <c r="BF130" s="392" cm="1">
        <f t="array" aca="1" ref="BF130" ca="1">IF(TblConstr[[#This Row],[Hour]:[Hour]]&gt;12,OFFSET(TblConstr[[#This Row],[OM]],-12,0),0)+OFFSET(TblConstr[[#This Row],[Tot OM]],-1,0)-TblConstr[[#This Row],[Dest OM]]</f>
        <v>0</v>
      </c>
      <c r="BG130" s="392" cm="1">
        <f t="array" aca="1" ref="BG130" ca="1">IF(TblConstr[[#This Row],[Hour]:[Hour]]&gt;12,OFFSET(TblConstr[[#This Row],[GN]],-12,0),0)+OFFSET(TblConstr[[#This Row],[Tot GN]],-1,0)-TblConstr[[#This Row],[Dest GN]]</f>
        <v>0</v>
      </c>
      <c r="BH130" s="396" cm="1">
        <f t="array" aca="1" ref="BH130" ca="1">IF(TblConstr[[#This Row],[Hour]:[Hour]]&gt;12,OFFSET(TblConstr[[#This Row],[Fac]],-12,0),0)+OFFSET(TblConstr[[#This Row],[Tot Fac]],-1,0)-TblConstr[[#This Row],[Dest Fac]]</f>
        <v>0</v>
      </c>
      <c r="BI130" s="396" cm="1">
        <f t="array" aca="1" ref="BI130" ca="1">IF(TblConstr[[#This Row],[Hour]:[Hour]]&gt;12,OFFSET(TblConstr[[#This Row],[GT]],-12,0),0)+OFFSET(TblConstr[[#This Row],[Tot GT]],-1,0)-TblConstr[[#This Row],[Dest GT]]</f>
        <v>0</v>
      </c>
      <c r="BJ130" s="396" cm="1">
        <f t="array" aca="1" ref="BJ130" ca="1">IF(TblConstr[[#This Row],[Hour]:[Hour]]&gt;12,OFFSET(TblConstr[[#This Row],[Bar]],-12,0),0)+OFFSET(TblConstr[[#This Row],[Tot Bar]],-1,0)-TblConstr[[#This Row],[Dest Bar]]</f>
        <v>0</v>
      </c>
      <c r="BK130" s="396" cm="1">
        <f t="array" aca="1" ref="BK130" ca="1">IF(TblConstr[[#This Row],[Hour]:[Hour]]&gt;12,OFFSET(TblConstr[[#This Row],[Shr]],-12,0),0)+OFFSET(TblConstr[[#This Row],[Tot Shr]],-1,0)-TblConstr[[#This Row],[Dest Shr]]</f>
        <v>0</v>
      </c>
      <c r="BL130" s="400" cm="1">
        <f t="array" aca="1" ref="BL130" ca="1">IF(TblConstr[[#This Row],[Hour]:[Hour]]&gt;12,OFFSET(TblConstr[[#This Row],[Tow]],-12,0),0)+OFFSET(TblConstr[[#This Row],[Tot Tow]],-1,0)-TblConstr[[#This Row],[Dest Tow]]</f>
        <v>0</v>
      </c>
      <c r="BM130" s="400" cm="1">
        <f t="array" aca="1" ref="BM130" ca="1">IF(TblConstr[[#This Row],[Hour]:[Hour]]&gt;12,OFFSET(TblConstr[[#This Row],[Tem]],-12,0),0)+OFFSET(TblConstr[[#This Row],[Tot Tem]],-1,0)-TblConstr[[#This Row],[Dest Tem]]</f>
        <v>0</v>
      </c>
      <c r="BN130" s="400" cm="1">
        <f t="array" aca="1" ref="BN130" ca="1">IF(TblConstr[[#This Row],[Hour]:[Hour]]&gt;12,OFFSET(TblConstr[[#This Row],[WG]],-12,0),0)+OFFSET(TblConstr[[#This Row],[Tot WG]],-1,0)-TblConstr[[#This Row],[Dest WG]]</f>
        <v>0</v>
      </c>
      <c r="BO130" s="199" cm="1">
        <f t="array" aca="1" ref="BO130" ca="1">IF(TblConstr[[#This Row],[Hour]:[Hour]]&gt;12,OFFSET(TblConstr[[#This Row],[DM]],-12,0),0)+OFFSET(TblConstr[[#This Row],[Tot DM]],-1,0)-TblConstr[[#This Row],[Dest DM]]</f>
        <v>0</v>
      </c>
      <c r="BP130" s="199" cm="1">
        <f t="array" aca="1" ref="BP130" ca="1">IF(TblConstr[[#This Row],[Hour]:[Hour]]&gt;12,OFFSET(TblConstr[[#This Row],[Sch]],-12,0),0)+OFFSET(TblConstr[[#This Row],[Tot Sch]],-1,0)-TblConstr[[#This Row],[Dest Sch]]</f>
        <v>0</v>
      </c>
      <c r="BQ130" s="200" cm="1">
        <f t="array" aca="1" ref="BQ130" ca="1">IF(TblConstr[[#This Row],[Hour]:[Hour]]&gt;12,OFFSET(TblConstr[[#This Row],[Doc]],-12,0),0)+OFFSET(TblConstr[[#This Row],[Tot Doc]],-1,0)-TblConstr[[#This Row],[Dest Doc]]</f>
        <v>0</v>
      </c>
      <c r="BR130" s="150"/>
      <c r="BS130" s="162"/>
      <c r="BT130" s="97">
        <f ca="1">TblConstr[[#This Row],[Land]]</f>
        <v>250</v>
      </c>
      <c r="BU130" s="167">
        <f ca="1">TblImps[[#This Row],[Time]]</f>
        <v>44815.999999999694</v>
      </c>
      <c r="BV130" s="150"/>
      <c r="BW130" s="187"/>
      <c r="BX130" s="187"/>
      <c r="BY130" s="187"/>
      <c r="BZ130" s="187"/>
      <c r="CA130" s="187"/>
      <c r="CB130" s="187"/>
      <c r="CC130" s="187"/>
      <c r="CD130" s="187"/>
      <c r="CE130" s="187"/>
      <c r="CF130" s="187"/>
      <c r="CG130" s="187"/>
      <c r="CH130" s="187"/>
      <c r="CI130" s="187"/>
      <c r="CJ130" s="187"/>
      <c r="CK130" s="187"/>
      <c r="CL130" s="187"/>
      <c r="CM130" s="187"/>
      <c r="CN130" s="187"/>
      <c r="CO130" s="187"/>
      <c r="CP130" s="150"/>
      <c r="CQ130" s="189">
        <f ca="1">-SUM(TblConstr[[#This Row],[Alc]:[Mas]])+SUM(TblConstr[[#This Row],[Dest Alc]:[Dest Mas]])+Rezone!L130+IF("Ch_"&amp; home_land=TblConstr[[#Headers],[Ch_Plain]],TblConstr[[#This Row],[Home Land]])+IF(TblConstr[[#This Row],[Hour]:[Hour]]&gt;12,OFFSET(TblExplore[[#This Row],[Plains Explore]],-12,0),0)</f>
        <v>0</v>
      </c>
      <c r="CR130" s="190">
        <f ca="1">-SUM(TblConstr[[#This Row],[Ly]:[Hav]])+SUM(TblConstr[[#This Row],[Dest Ly]:[Dest Hav]]) +Rezone!M130 + IF("Ch_"&amp; home_land=TblConstr[[#Headers],[Ch_Forest]],TblConstr[[#This Row],[Home Land]])+IF(TblConstr[[#This Row],[Hour]:[Hour]]&gt;12,OFFSET(TblExplore[[#This Row],[Forest Explore]],-12,0),0)</f>
        <v>0</v>
      </c>
      <c r="CS130" s="390">
        <f ca="1">-SUM(TblConstr[[#This Row],[OM]:[GN]])+SUM(TblConstr[[#This Row],[Dest OM]:[Dest GN]]) +Rezone!N130 + IF("Ch_"&amp; home_land=TblConstr[[#Headers],[Ch_Mountain]],TblConstr[[#This Row],[Home Land]])+IF(TblConstr[[#This Row],[Hour]:[Hour]]&gt;12,OFFSET(TblExplore[[#This Row],[Mountain Explore]],-12,0),0)</f>
        <v>0</v>
      </c>
      <c r="CT130" s="191">
        <f ca="1">-SUM(TblConstr[[#This Row],[Fac]:[Shr]])+SUM(TblConstr[[#This Row],[Dest Fac]:[Dest Shr]]) +Rezone!O130 + IF("Ch_" &amp; home_land=TblConstr[[#Headers],[Ch_Hill]],TblConstr[[#This Row],[Home Land]])+IF(TblConstr[[#This Row],[Hour]:[Hour]]&gt;12,OFFSET(TblExplore[[#This Row],[Hill Explore]],-12,0),0)</f>
        <v>0</v>
      </c>
      <c r="CU130" s="192">
        <f ca="1">-SUM(TblConstr[[#This Row],[Tow]:[WG]])+SUM(TblConstr[[#This Row],[Dest Tow]:[Dest WG]]) +Rezone!P130 + IF("Ch_" &amp; home_land=TblConstr[[#Headers],[Ch_Swamp]],TblConstr[[#This Row],[Home Land]])+IF(TblConstr[[#This Row],[Hour]:[Hour]]&gt;12,OFFSET(TblExplore[[#This Row],[Swamp Explore]],-12,0),0)</f>
        <v>0</v>
      </c>
      <c r="CV130" s="193">
        <f ca="1" xml:space="preserve"> - SUM(TblConstr[[#This Row],[DM]:[Sch]])+SUM(TblConstr[[#This Row],[Dest DM]:[Dest Sch]]) +Rezone!Q130 + IF("Ch_" &amp; home_land=TblConstr[[#Headers],[Ch_Cavern]],TblConstr[[#This Row],[Home Land]])+IF(TblConstr[[#This Row],[Hour]:[Hour]]&gt;12,OFFSET(TblExplore[[#This Row],[Cavern Explore]],-12,0),0)</f>
        <v>0</v>
      </c>
      <c r="CW130" s="194">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50"/>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83">
        <f>TblRezone[[#This Row],[Hour]]</f>
        <v>128</v>
      </c>
      <c r="B131" s="184">
        <f ca="1">SUM(TblConstr[[#This Row],[Plain]:[Water]])</f>
        <v>160</v>
      </c>
      <c r="C131" s="185">
        <f ca="1">SUM(TblConstr[[#This Row],[Tot Hom]:[Tot Doc]])</f>
        <v>90</v>
      </c>
      <c r="D131" s="185">
        <f t="shared" si="21"/>
        <v>0</v>
      </c>
      <c r="E131" s="186"/>
      <c r="F131" s="62">
        <f ca="1">TblConstr[[#This Row],[Barren]]+TblConstr[[#This Row],[Buildings]]+TblConstr[[#This Row],[Incoming]]</f>
        <v>250</v>
      </c>
      <c r="G131" s="195">
        <f ca="1">OFFSET(TblConstr[[#This Row],[Plain]],-1,0)+TblConstr[[#This Row],[Ch_Plain]]</f>
        <v>40</v>
      </c>
      <c r="H131" s="190">
        <f ca="1">OFFSET(TblConstr[[#This Row],[Forest]],-1,0)+TblConstr[[#This Row],[Ch_Forest]]</f>
        <v>20</v>
      </c>
      <c r="I131" s="390">
        <f ca="1">OFFSET(TblConstr[[#This Row],[Mountain]],-1,0)+TblConstr[[#This Row],[Ch_Mountain]]</f>
        <v>20</v>
      </c>
      <c r="J131" s="394">
        <f ca="1">OFFSET(TblConstr[[#This Row],[Hill]],-1,0)+TblConstr[[#This Row],[Ch_Hill]]</f>
        <v>20</v>
      </c>
      <c r="K131" s="398">
        <f ca="1">OFFSET(TblConstr[[#This Row],[Swamp]],-1,0)+TblConstr[[#This Row],[Ch_Swamp]]</f>
        <v>20</v>
      </c>
      <c r="L131" s="193">
        <f ca="1">OFFSET(TblConstr[[#This Row],[Cavern]],-1,0)+TblConstr[[#This Row],[Ch_Cavern]]</f>
        <v>20</v>
      </c>
      <c r="M131" s="194">
        <f ca="1">OFFSET(TblConstr[[#This Row],[Water]],-1,0)+TblConstr[[#This Row],[Ch_Water]]</f>
        <v>20</v>
      </c>
      <c r="N131" s="388">
        <f>TblRezone[[#This Row],[Hour]]</f>
        <v>128</v>
      </c>
      <c r="O131" s="187"/>
      <c r="P131" s="187"/>
      <c r="Q131" s="187"/>
      <c r="R131" s="187"/>
      <c r="S131" s="187"/>
      <c r="T131" s="187"/>
      <c r="U131" s="187"/>
      <c r="V131" s="187"/>
      <c r="W131" s="187"/>
      <c r="X131" s="187"/>
      <c r="Y131" s="187"/>
      <c r="Z131" s="187"/>
      <c r="AA131" s="187"/>
      <c r="AB131" s="187"/>
      <c r="AC131" s="187"/>
      <c r="AD131" s="187"/>
      <c r="AE131" s="187"/>
      <c r="AF131" s="187"/>
      <c r="AG131" s="187"/>
      <c r="AH131" s="53">
        <f ca="1">TblImps[[#This Row],[Time]]</f>
        <v>44816.041666666359</v>
      </c>
      <c r="AI131" s="188">
        <f ca="1">MIN(25%,(TblConstr[[#This Row],[Tot Fac]]+TblConstr[[#This Row],[Dest Fac]])/(TblConstr[[#This Row],[Land]]-TblExplore[[#This Row],[Land Bonus]]*20))</f>
        <v>0</v>
      </c>
      <c r="AJ131" s="188">
        <f ca="1">MIN(25%,(TblConstr[[#This Row],[Tot Fac]]+TblConstr[[#This Row],[Dest Fac]])/TblConstr[[#This Row],[Land]])</f>
        <v>0</v>
      </c>
      <c r="AK131" s="97">
        <f ca="1">TblProd[[#This Row],[Platinum]]</f>
        <v>797600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50"/>
      <c r="AV131" s="97">
        <f ca="1">ROUND((TblConstr[[#This Row],[Land]]-250 - IF(TblExplore[[#This Row],[Land Bonus]]&lt;&gt;0,20,0))*1.25 + 850 + 0,0)</f>
        <v>850</v>
      </c>
      <c r="AW131" s="97">
        <f ca="1">ROUND((TblConstr[[#This Row],[Land]]-250 - IF(TblExplore[[#This Row],[Land Bonus]]&lt;&gt;0,20,0))*0.285 + 87.5 + 0/4.25,0)</f>
        <v>88</v>
      </c>
      <c r="AX131" s="162"/>
      <c r="AY131" s="196" cm="1">
        <f t="array" aca="1" ref="AY131" ca="1">IF(TblConstr[[#This Row],[Hour]:[Hour]]&gt;12,OFFSET(TblConstr[[#This Row],[Hom]],-12,0),0)+OFFSET(TblConstr[[#This Row],[Tot Hom]],-1,0)-TblConstr[[#This Row],[Dest Hom]]</f>
        <v>10</v>
      </c>
      <c r="AZ131" s="197" cm="1">
        <f t="array" aca="1" ref="AZ131" ca="1">IF(TblConstr[[#This Row],[Hour]:[Hour]]&gt;12,OFFSET(TblConstr[[#This Row],[Alc]],-12,0),0)+OFFSET(TblConstr[[#This Row],[Tot Alc]],-1,0)-TblConstr[[#This Row],[Dest Alc]]</f>
        <v>30</v>
      </c>
      <c r="BA131" s="197" cm="1">
        <f t="array" aca="1" ref="BA131" ca="1">IF(TblConstr[[#This Row],[Hour]:[Hour]]&gt;12,OFFSET(TblConstr[[#This Row],[Far]],-12,0),0)+OFFSET(TblConstr[[#This Row],[Tot Farm]],-1,0)-TblConstr[[#This Row],[Dest Farm]]</f>
        <v>30</v>
      </c>
      <c r="BB131" s="197" cm="1">
        <f t="array" aca="1" ref="BB131" ca="1">IF(TblConstr[[#This Row],[Hour]:[Hour]]&gt;12,OFFSET(TblConstr[[#This Row],[Smi]],-12,0),0)+OFFSET(TblConstr[[#This Row],[Tot Smi]],-1,0)-TblConstr[[#This Row],[Dest Smi]]</f>
        <v>0</v>
      </c>
      <c r="BC131" s="197" cm="1">
        <f t="array" aca="1" ref="BC131" ca="1">IF(TblConstr[[#This Row],[Hour]:[Hour]]&gt;12,OFFSET(TblConstr[[#This Row],[Mas]],-12,0),0)+OFFSET(TblConstr[[#This Row],[Tot Mas]],-1,0)-TblConstr[[#This Row],[Dest Mas]]</f>
        <v>0</v>
      </c>
      <c r="BD131" s="198" cm="1">
        <f t="array" aca="1" ref="BD131" ca="1">IF(TblConstr[[#This Row],[Hour]:[Hour]]&gt;12,OFFSET(TblConstr[[#This Row],[Ly]],-12,0),0)+OFFSET(TblConstr[[#This Row],[Tot Ly]],-1,0)-TblConstr[[#This Row],[Dest Ly]]</f>
        <v>20</v>
      </c>
      <c r="BE131" s="198" cm="1">
        <f t="array" aca="1" ref="BE131" ca="1">IF(TblConstr[[#This Row],[Hour]:[Hour]]&gt;12,OFFSET(TblConstr[[#This Row],[Hav]],-12,0),0)+OFFSET(TblConstr[[#This Row],[Tot Hav]],-1,0)-TblConstr[[#This Row],[Dest Hav]]</f>
        <v>0</v>
      </c>
      <c r="BF131" s="392" cm="1">
        <f t="array" aca="1" ref="BF131" ca="1">IF(TblConstr[[#This Row],[Hour]:[Hour]]&gt;12,OFFSET(TblConstr[[#This Row],[OM]],-12,0),0)+OFFSET(TblConstr[[#This Row],[Tot OM]],-1,0)-TblConstr[[#This Row],[Dest OM]]</f>
        <v>0</v>
      </c>
      <c r="BG131" s="392" cm="1">
        <f t="array" aca="1" ref="BG131" ca="1">IF(TblConstr[[#This Row],[Hour]:[Hour]]&gt;12,OFFSET(TblConstr[[#This Row],[GN]],-12,0),0)+OFFSET(TblConstr[[#This Row],[Tot GN]],-1,0)-TblConstr[[#This Row],[Dest GN]]</f>
        <v>0</v>
      </c>
      <c r="BH131" s="396" cm="1">
        <f t="array" aca="1" ref="BH131" ca="1">IF(TblConstr[[#This Row],[Hour]:[Hour]]&gt;12,OFFSET(TblConstr[[#This Row],[Fac]],-12,0),0)+OFFSET(TblConstr[[#This Row],[Tot Fac]],-1,0)-TblConstr[[#This Row],[Dest Fac]]</f>
        <v>0</v>
      </c>
      <c r="BI131" s="396" cm="1">
        <f t="array" aca="1" ref="BI131" ca="1">IF(TblConstr[[#This Row],[Hour]:[Hour]]&gt;12,OFFSET(TblConstr[[#This Row],[GT]],-12,0),0)+OFFSET(TblConstr[[#This Row],[Tot GT]],-1,0)-TblConstr[[#This Row],[Dest GT]]</f>
        <v>0</v>
      </c>
      <c r="BJ131" s="396" cm="1">
        <f t="array" aca="1" ref="BJ131" ca="1">IF(TblConstr[[#This Row],[Hour]:[Hour]]&gt;12,OFFSET(TblConstr[[#This Row],[Bar]],-12,0),0)+OFFSET(TblConstr[[#This Row],[Tot Bar]],-1,0)-TblConstr[[#This Row],[Dest Bar]]</f>
        <v>0</v>
      </c>
      <c r="BK131" s="396" cm="1">
        <f t="array" aca="1" ref="BK131" ca="1">IF(TblConstr[[#This Row],[Hour]:[Hour]]&gt;12,OFFSET(TblConstr[[#This Row],[Shr]],-12,0),0)+OFFSET(TblConstr[[#This Row],[Tot Shr]],-1,0)-TblConstr[[#This Row],[Dest Shr]]</f>
        <v>0</v>
      </c>
      <c r="BL131" s="400" cm="1">
        <f t="array" aca="1" ref="BL131" ca="1">IF(TblConstr[[#This Row],[Hour]:[Hour]]&gt;12,OFFSET(TblConstr[[#This Row],[Tow]],-12,0),0)+OFFSET(TblConstr[[#This Row],[Tot Tow]],-1,0)-TblConstr[[#This Row],[Dest Tow]]</f>
        <v>0</v>
      </c>
      <c r="BM131" s="400" cm="1">
        <f t="array" aca="1" ref="BM131" ca="1">IF(TblConstr[[#This Row],[Hour]:[Hour]]&gt;12,OFFSET(TblConstr[[#This Row],[Tem]],-12,0),0)+OFFSET(TblConstr[[#This Row],[Tot Tem]],-1,0)-TblConstr[[#This Row],[Dest Tem]]</f>
        <v>0</v>
      </c>
      <c r="BN131" s="400" cm="1">
        <f t="array" aca="1" ref="BN131" ca="1">IF(TblConstr[[#This Row],[Hour]:[Hour]]&gt;12,OFFSET(TblConstr[[#This Row],[WG]],-12,0),0)+OFFSET(TblConstr[[#This Row],[Tot WG]],-1,0)-TblConstr[[#This Row],[Dest WG]]</f>
        <v>0</v>
      </c>
      <c r="BO131" s="199" cm="1">
        <f t="array" aca="1" ref="BO131" ca="1">IF(TblConstr[[#This Row],[Hour]:[Hour]]&gt;12,OFFSET(TblConstr[[#This Row],[DM]],-12,0),0)+OFFSET(TblConstr[[#This Row],[Tot DM]],-1,0)-TblConstr[[#This Row],[Dest DM]]</f>
        <v>0</v>
      </c>
      <c r="BP131" s="199" cm="1">
        <f t="array" aca="1" ref="BP131" ca="1">IF(TblConstr[[#This Row],[Hour]:[Hour]]&gt;12,OFFSET(TblConstr[[#This Row],[Sch]],-12,0),0)+OFFSET(TblConstr[[#This Row],[Tot Sch]],-1,0)-TblConstr[[#This Row],[Dest Sch]]</f>
        <v>0</v>
      </c>
      <c r="BQ131" s="200" cm="1">
        <f t="array" aca="1" ref="BQ131" ca="1">IF(TblConstr[[#This Row],[Hour]:[Hour]]&gt;12,OFFSET(TblConstr[[#This Row],[Doc]],-12,0),0)+OFFSET(TblConstr[[#This Row],[Tot Doc]],-1,0)-TblConstr[[#This Row],[Dest Doc]]</f>
        <v>0</v>
      </c>
      <c r="BR131" s="150"/>
      <c r="BS131" s="162"/>
      <c r="BT131" s="97">
        <f ca="1">TblConstr[[#This Row],[Land]]</f>
        <v>250</v>
      </c>
      <c r="BU131" s="167">
        <f ca="1">TblImps[[#This Row],[Time]]</f>
        <v>44816.041666666359</v>
      </c>
      <c r="BV131" s="150"/>
      <c r="BW131" s="187"/>
      <c r="BX131" s="187"/>
      <c r="BY131" s="187"/>
      <c r="BZ131" s="187"/>
      <c r="CA131" s="187"/>
      <c r="CB131" s="187"/>
      <c r="CC131" s="187"/>
      <c r="CD131" s="187"/>
      <c r="CE131" s="187"/>
      <c r="CF131" s="187"/>
      <c r="CG131" s="187"/>
      <c r="CH131" s="187"/>
      <c r="CI131" s="187"/>
      <c r="CJ131" s="187"/>
      <c r="CK131" s="187"/>
      <c r="CL131" s="187"/>
      <c r="CM131" s="187"/>
      <c r="CN131" s="187"/>
      <c r="CO131" s="187"/>
      <c r="CP131" s="150"/>
      <c r="CQ131" s="189">
        <f ca="1">-SUM(TblConstr[[#This Row],[Alc]:[Mas]])+SUM(TblConstr[[#This Row],[Dest Alc]:[Dest Mas]])+Rezone!L131+IF("Ch_"&amp; home_land=TblConstr[[#Headers],[Ch_Plain]],TblConstr[[#This Row],[Home Land]])+IF(TblConstr[[#This Row],[Hour]:[Hour]]&gt;12,OFFSET(TblExplore[[#This Row],[Plains Explore]],-12,0),0)</f>
        <v>0</v>
      </c>
      <c r="CR131" s="190">
        <f ca="1">-SUM(TblConstr[[#This Row],[Ly]:[Hav]])+SUM(TblConstr[[#This Row],[Dest Ly]:[Dest Hav]]) +Rezone!M131 + IF("Ch_"&amp; home_land=TblConstr[[#Headers],[Ch_Forest]],TblConstr[[#This Row],[Home Land]])+IF(TblConstr[[#This Row],[Hour]:[Hour]]&gt;12,OFFSET(TblExplore[[#This Row],[Forest Explore]],-12,0),0)</f>
        <v>0</v>
      </c>
      <c r="CS131" s="390">
        <f ca="1">-SUM(TblConstr[[#This Row],[OM]:[GN]])+SUM(TblConstr[[#This Row],[Dest OM]:[Dest GN]]) +Rezone!N131 + IF("Ch_"&amp; home_land=TblConstr[[#Headers],[Ch_Mountain]],TblConstr[[#This Row],[Home Land]])+IF(TblConstr[[#This Row],[Hour]:[Hour]]&gt;12,OFFSET(TblExplore[[#This Row],[Mountain Explore]],-12,0),0)</f>
        <v>0</v>
      </c>
      <c r="CT131" s="191">
        <f ca="1">-SUM(TblConstr[[#This Row],[Fac]:[Shr]])+SUM(TblConstr[[#This Row],[Dest Fac]:[Dest Shr]]) +Rezone!O131 + IF("Ch_" &amp; home_land=TblConstr[[#Headers],[Ch_Hill]],TblConstr[[#This Row],[Home Land]])+IF(TblConstr[[#This Row],[Hour]:[Hour]]&gt;12,OFFSET(TblExplore[[#This Row],[Hill Explore]],-12,0),0)</f>
        <v>0</v>
      </c>
      <c r="CU131" s="192">
        <f ca="1">-SUM(TblConstr[[#This Row],[Tow]:[WG]])+SUM(TblConstr[[#This Row],[Dest Tow]:[Dest WG]]) +Rezone!P131 + IF("Ch_" &amp; home_land=TblConstr[[#Headers],[Ch_Swamp]],TblConstr[[#This Row],[Home Land]])+IF(TblConstr[[#This Row],[Hour]:[Hour]]&gt;12,OFFSET(TblExplore[[#This Row],[Swamp Explore]],-12,0),0)</f>
        <v>0</v>
      </c>
      <c r="CV131" s="193">
        <f ca="1" xml:space="preserve"> - SUM(TblConstr[[#This Row],[DM]:[Sch]])+SUM(TblConstr[[#This Row],[Dest DM]:[Dest Sch]]) +Rezone!Q131 + IF("Ch_" &amp; home_land=TblConstr[[#Headers],[Ch_Cavern]],TblConstr[[#This Row],[Home Land]])+IF(TblConstr[[#This Row],[Hour]:[Hour]]&gt;12,OFFSET(TblExplore[[#This Row],[Cavern Explore]],-12,0),0)</f>
        <v>0</v>
      </c>
      <c r="CW131" s="194">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50"/>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83">
        <f>TblRezone[[#This Row],[Hour]]</f>
        <v>129</v>
      </c>
      <c r="B132" s="184">
        <f ca="1">SUM(TblConstr[[#This Row],[Plain]:[Water]])</f>
        <v>160</v>
      </c>
      <c r="C132" s="185">
        <f ca="1">SUM(TblConstr[[#This Row],[Tot Hom]:[Tot Doc]])</f>
        <v>90</v>
      </c>
      <c r="D132" s="185">
        <f>SUM(O121:AG132)</f>
        <v>0</v>
      </c>
      <c r="E132" s="186"/>
      <c r="F132" s="62">
        <f ca="1">TblConstr[[#This Row],[Barren]]+TblConstr[[#This Row],[Buildings]]+TblConstr[[#This Row],[Incoming]]</f>
        <v>250</v>
      </c>
      <c r="G132" s="195">
        <f ca="1">OFFSET(TblConstr[[#This Row],[Plain]],-1,0)+TblConstr[[#This Row],[Ch_Plain]]</f>
        <v>40</v>
      </c>
      <c r="H132" s="190">
        <f ca="1">OFFSET(TblConstr[[#This Row],[Forest]],-1,0)+TblConstr[[#This Row],[Ch_Forest]]</f>
        <v>20</v>
      </c>
      <c r="I132" s="390">
        <f ca="1">OFFSET(TblConstr[[#This Row],[Mountain]],-1,0)+TblConstr[[#This Row],[Ch_Mountain]]</f>
        <v>20</v>
      </c>
      <c r="J132" s="394">
        <f ca="1">OFFSET(TblConstr[[#This Row],[Hill]],-1,0)+TblConstr[[#This Row],[Ch_Hill]]</f>
        <v>20</v>
      </c>
      <c r="K132" s="398">
        <f ca="1">OFFSET(TblConstr[[#This Row],[Swamp]],-1,0)+TblConstr[[#This Row],[Ch_Swamp]]</f>
        <v>20</v>
      </c>
      <c r="L132" s="193">
        <f ca="1">OFFSET(TblConstr[[#This Row],[Cavern]],-1,0)+TblConstr[[#This Row],[Ch_Cavern]]</f>
        <v>20</v>
      </c>
      <c r="M132" s="194">
        <f ca="1">OFFSET(TblConstr[[#This Row],[Water]],-1,0)+TblConstr[[#This Row],[Ch_Water]]</f>
        <v>20</v>
      </c>
      <c r="N132" s="388">
        <f>TblRezone[[#This Row],[Hour]]</f>
        <v>129</v>
      </c>
      <c r="O132" s="187"/>
      <c r="P132" s="187"/>
      <c r="Q132" s="187"/>
      <c r="R132" s="187"/>
      <c r="S132" s="187"/>
      <c r="T132" s="187"/>
      <c r="U132" s="187"/>
      <c r="V132" s="187"/>
      <c r="W132" s="187"/>
      <c r="X132" s="187"/>
      <c r="Y132" s="187"/>
      <c r="Z132" s="187"/>
      <c r="AA132" s="187"/>
      <c r="AB132" s="187"/>
      <c r="AC132" s="187"/>
      <c r="AD132" s="187"/>
      <c r="AE132" s="187"/>
      <c r="AF132" s="187"/>
      <c r="AG132" s="187"/>
      <c r="AH132" s="53">
        <f ca="1">TblImps[[#This Row],[Time]]</f>
        <v>44816.083333333023</v>
      </c>
      <c r="AI132" s="188">
        <f ca="1">MIN(25%,(TblConstr[[#This Row],[Tot Fac]]+TblConstr[[#This Row],[Dest Fac]])/(TblConstr[[#This Row],[Land]]-TblExplore[[#This Row],[Land Bonus]]*20))</f>
        <v>0</v>
      </c>
      <c r="AJ132" s="188">
        <f ca="1">MIN(25%,(TblConstr[[#This Row],[Tot Fac]]+TblConstr[[#This Row],[Dest Fac]])/TblConstr[[#This Row],[Land]])</f>
        <v>0</v>
      </c>
      <c r="AK132" s="97">
        <f ca="1">TblProd[[#This Row],[Platinum]]</f>
        <v>803086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50"/>
      <c r="AV132" s="97">
        <f ca="1">ROUND((TblConstr[[#This Row],[Land]]-250 - IF(TblExplore[[#This Row],[Land Bonus]]&lt;&gt;0,20,0))*1.25 + 850 + 0,0)</f>
        <v>850</v>
      </c>
      <c r="AW132" s="97">
        <f ca="1">ROUND((TblConstr[[#This Row],[Land]]-250 - IF(TblExplore[[#This Row],[Land Bonus]]&lt;&gt;0,20,0))*0.285 + 87.5 + 0/4.25,0)</f>
        <v>88</v>
      </c>
      <c r="AX132" s="162"/>
      <c r="AY132" s="196" cm="1">
        <f t="array" aca="1" ref="AY132" ca="1">IF(TblConstr[[#This Row],[Hour]:[Hour]]&gt;12,OFFSET(TblConstr[[#This Row],[Hom]],-12,0),0)+OFFSET(TblConstr[[#This Row],[Tot Hom]],-1,0)-TblConstr[[#This Row],[Dest Hom]]</f>
        <v>10</v>
      </c>
      <c r="AZ132" s="197" cm="1">
        <f t="array" aca="1" ref="AZ132" ca="1">IF(TblConstr[[#This Row],[Hour]:[Hour]]&gt;12,OFFSET(TblConstr[[#This Row],[Alc]],-12,0),0)+OFFSET(TblConstr[[#This Row],[Tot Alc]],-1,0)-TblConstr[[#This Row],[Dest Alc]]</f>
        <v>30</v>
      </c>
      <c r="BA132" s="197" cm="1">
        <f t="array" aca="1" ref="BA132" ca="1">IF(TblConstr[[#This Row],[Hour]:[Hour]]&gt;12,OFFSET(TblConstr[[#This Row],[Far]],-12,0),0)+OFFSET(TblConstr[[#This Row],[Tot Farm]],-1,0)-TblConstr[[#This Row],[Dest Farm]]</f>
        <v>30</v>
      </c>
      <c r="BB132" s="197" cm="1">
        <f t="array" aca="1" ref="BB132" ca="1">IF(TblConstr[[#This Row],[Hour]:[Hour]]&gt;12,OFFSET(TblConstr[[#This Row],[Smi]],-12,0),0)+OFFSET(TblConstr[[#This Row],[Tot Smi]],-1,0)-TblConstr[[#This Row],[Dest Smi]]</f>
        <v>0</v>
      </c>
      <c r="BC132" s="197" cm="1">
        <f t="array" aca="1" ref="BC132" ca="1">IF(TblConstr[[#This Row],[Hour]:[Hour]]&gt;12,OFFSET(TblConstr[[#This Row],[Mas]],-12,0),0)+OFFSET(TblConstr[[#This Row],[Tot Mas]],-1,0)-TblConstr[[#This Row],[Dest Mas]]</f>
        <v>0</v>
      </c>
      <c r="BD132" s="198" cm="1">
        <f t="array" aca="1" ref="BD132" ca="1">IF(TblConstr[[#This Row],[Hour]:[Hour]]&gt;12,OFFSET(TblConstr[[#This Row],[Ly]],-12,0),0)+OFFSET(TblConstr[[#This Row],[Tot Ly]],-1,0)-TblConstr[[#This Row],[Dest Ly]]</f>
        <v>20</v>
      </c>
      <c r="BE132" s="198" cm="1">
        <f t="array" aca="1" ref="BE132" ca="1">IF(TblConstr[[#This Row],[Hour]:[Hour]]&gt;12,OFFSET(TblConstr[[#This Row],[Hav]],-12,0),0)+OFFSET(TblConstr[[#This Row],[Tot Hav]],-1,0)-TblConstr[[#This Row],[Dest Hav]]</f>
        <v>0</v>
      </c>
      <c r="BF132" s="392" cm="1">
        <f t="array" aca="1" ref="BF132" ca="1">IF(TblConstr[[#This Row],[Hour]:[Hour]]&gt;12,OFFSET(TblConstr[[#This Row],[OM]],-12,0),0)+OFFSET(TblConstr[[#This Row],[Tot OM]],-1,0)-TblConstr[[#This Row],[Dest OM]]</f>
        <v>0</v>
      </c>
      <c r="BG132" s="392" cm="1">
        <f t="array" aca="1" ref="BG132" ca="1">IF(TblConstr[[#This Row],[Hour]:[Hour]]&gt;12,OFFSET(TblConstr[[#This Row],[GN]],-12,0),0)+OFFSET(TblConstr[[#This Row],[Tot GN]],-1,0)-TblConstr[[#This Row],[Dest GN]]</f>
        <v>0</v>
      </c>
      <c r="BH132" s="396" cm="1">
        <f t="array" aca="1" ref="BH132" ca="1">IF(TblConstr[[#This Row],[Hour]:[Hour]]&gt;12,OFFSET(TblConstr[[#This Row],[Fac]],-12,0),0)+OFFSET(TblConstr[[#This Row],[Tot Fac]],-1,0)-TblConstr[[#This Row],[Dest Fac]]</f>
        <v>0</v>
      </c>
      <c r="BI132" s="396" cm="1">
        <f t="array" aca="1" ref="BI132" ca="1">IF(TblConstr[[#This Row],[Hour]:[Hour]]&gt;12,OFFSET(TblConstr[[#This Row],[GT]],-12,0),0)+OFFSET(TblConstr[[#This Row],[Tot GT]],-1,0)-TblConstr[[#This Row],[Dest GT]]</f>
        <v>0</v>
      </c>
      <c r="BJ132" s="396" cm="1">
        <f t="array" aca="1" ref="BJ132" ca="1">IF(TblConstr[[#This Row],[Hour]:[Hour]]&gt;12,OFFSET(TblConstr[[#This Row],[Bar]],-12,0),0)+OFFSET(TblConstr[[#This Row],[Tot Bar]],-1,0)-TblConstr[[#This Row],[Dest Bar]]</f>
        <v>0</v>
      </c>
      <c r="BK132" s="396" cm="1">
        <f t="array" aca="1" ref="BK132" ca="1">IF(TblConstr[[#This Row],[Hour]:[Hour]]&gt;12,OFFSET(TblConstr[[#This Row],[Shr]],-12,0),0)+OFFSET(TblConstr[[#This Row],[Tot Shr]],-1,0)-TblConstr[[#This Row],[Dest Shr]]</f>
        <v>0</v>
      </c>
      <c r="BL132" s="400" cm="1">
        <f t="array" aca="1" ref="BL132" ca="1">IF(TblConstr[[#This Row],[Hour]:[Hour]]&gt;12,OFFSET(TblConstr[[#This Row],[Tow]],-12,0),0)+OFFSET(TblConstr[[#This Row],[Tot Tow]],-1,0)-TblConstr[[#This Row],[Dest Tow]]</f>
        <v>0</v>
      </c>
      <c r="BM132" s="400" cm="1">
        <f t="array" aca="1" ref="BM132" ca="1">IF(TblConstr[[#This Row],[Hour]:[Hour]]&gt;12,OFFSET(TblConstr[[#This Row],[Tem]],-12,0),0)+OFFSET(TblConstr[[#This Row],[Tot Tem]],-1,0)-TblConstr[[#This Row],[Dest Tem]]</f>
        <v>0</v>
      </c>
      <c r="BN132" s="400" cm="1">
        <f t="array" aca="1" ref="BN132" ca="1">IF(TblConstr[[#This Row],[Hour]:[Hour]]&gt;12,OFFSET(TblConstr[[#This Row],[WG]],-12,0),0)+OFFSET(TblConstr[[#This Row],[Tot WG]],-1,0)-TblConstr[[#This Row],[Dest WG]]</f>
        <v>0</v>
      </c>
      <c r="BO132" s="199" cm="1">
        <f t="array" aca="1" ref="BO132" ca="1">IF(TblConstr[[#This Row],[Hour]:[Hour]]&gt;12,OFFSET(TblConstr[[#This Row],[DM]],-12,0),0)+OFFSET(TblConstr[[#This Row],[Tot DM]],-1,0)-TblConstr[[#This Row],[Dest DM]]</f>
        <v>0</v>
      </c>
      <c r="BP132" s="199" cm="1">
        <f t="array" aca="1" ref="BP132" ca="1">IF(TblConstr[[#This Row],[Hour]:[Hour]]&gt;12,OFFSET(TblConstr[[#This Row],[Sch]],-12,0),0)+OFFSET(TblConstr[[#This Row],[Tot Sch]],-1,0)-TblConstr[[#This Row],[Dest Sch]]</f>
        <v>0</v>
      </c>
      <c r="BQ132" s="200" cm="1">
        <f t="array" aca="1" ref="BQ132" ca="1">IF(TblConstr[[#This Row],[Hour]:[Hour]]&gt;12,OFFSET(TblConstr[[#This Row],[Doc]],-12,0),0)+OFFSET(TblConstr[[#This Row],[Tot Doc]],-1,0)-TblConstr[[#This Row],[Dest Doc]]</f>
        <v>0</v>
      </c>
      <c r="BR132" s="150"/>
      <c r="BS132" s="162"/>
      <c r="BT132" s="97">
        <f ca="1">TblConstr[[#This Row],[Land]]</f>
        <v>250</v>
      </c>
      <c r="BU132" s="167">
        <f ca="1">TblImps[[#This Row],[Time]]</f>
        <v>44816.083333333023</v>
      </c>
      <c r="BV132" s="150"/>
      <c r="BW132" s="187"/>
      <c r="BX132" s="187"/>
      <c r="BY132" s="187"/>
      <c r="BZ132" s="187"/>
      <c r="CA132" s="187"/>
      <c r="CB132" s="187"/>
      <c r="CC132" s="187"/>
      <c r="CD132" s="187"/>
      <c r="CE132" s="187"/>
      <c r="CF132" s="187"/>
      <c r="CG132" s="187"/>
      <c r="CH132" s="187"/>
      <c r="CI132" s="187"/>
      <c r="CJ132" s="187"/>
      <c r="CK132" s="187"/>
      <c r="CL132" s="187"/>
      <c r="CM132" s="187"/>
      <c r="CN132" s="187"/>
      <c r="CO132" s="187"/>
      <c r="CP132" s="150"/>
      <c r="CQ132" s="189">
        <f ca="1">-SUM(TblConstr[[#This Row],[Alc]:[Mas]])+SUM(TblConstr[[#This Row],[Dest Alc]:[Dest Mas]])+Rezone!L132+IF("Ch_"&amp; home_land=TblConstr[[#Headers],[Ch_Plain]],TblConstr[[#This Row],[Home Land]])+IF(TblConstr[[#This Row],[Hour]:[Hour]]&gt;12,OFFSET(TblExplore[[#This Row],[Plains Explore]],-12,0),0)</f>
        <v>0</v>
      </c>
      <c r="CR132" s="190">
        <f ca="1">-SUM(TblConstr[[#This Row],[Ly]:[Hav]])+SUM(TblConstr[[#This Row],[Dest Ly]:[Dest Hav]]) +Rezone!M132 + IF("Ch_"&amp; home_land=TblConstr[[#Headers],[Ch_Forest]],TblConstr[[#This Row],[Home Land]])+IF(TblConstr[[#This Row],[Hour]:[Hour]]&gt;12,OFFSET(TblExplore[[#This Row],[Forest Explore]],-12,0),0)</f>
        <v>0</v>
      </c>
      <c r="CS132" s="390">
        <f ca="1">-SUM(TblConstr[[#This Row],[OM]:[GN]])+SUM(TblConstr[[#This Row],[Dest OM]:[Dest GN]]) +Rezone!N132 + IF("Ch_"&amp; home_land=TblConstr[[#Headers],[Ch_Mountain]],TblConstr[[#This Row],[Home Land]])+IF(TblConstr[[#This Row],[Hour]:[Hour]]&gt;12,OFFSET(TblExplore[[#This Row],[Mountain Explore]],-12,0),0)</f>
        <v>0</v>
      </c>
      <c r="CT132" s="191">
        <f ca="1">-SUM(TblConstr[[#This Row],[Fac]:[Shr]])+SUM(TblConstr[[#This Row],[Dest Fac]:[Dest Shr]]) +Rezone!O132 + IF("Ch_" &amp; home_land=TblConstr[[#Headers],[Ch_Hill]],TblConstr[[#This Row],[Home Land]])+IF(TblConstr[[#This Row],[Hour]:[Hour]]&gt;12,OFFSET(TblExplore[[#This Row],[Hill Explore]],-12,0),0)</f>
        <v>0</v>
      </c>
      <c r="CU132" s="192">
        <f ca="1">-SUM(TblConstr[[#This Row],[Tow]:[WG]])+SUM(TblConstr[[#This Row],[Dest Tow]:[Dest WG]]) +Rezone!P132 + IF("Ch_" &amp; home_land=TblConstr[[#Headers],[Ch_Swamp]],TblConstr[[#This Row],[Home Land]])+IF(TblConstr[[#This Row],[Hour]:[Hour]]&gt;12,OFFSET(TblExplore[[#This Row],[Swamp Explore]],-12,0),0)</f>
        <v>0</v>
      </c>
      <c r="CV132" s="193">
        <f ca="1" xml:space="preserve"> - SUM(TblConstr[[#This Row],[DM]:[Sch]])+SUM(TblConstr[[#This Row],[Dest DM]:[Dest Sch]]) +Rezone!Q132 + IF("Ch_" &amp; home_land=TblConstr[[#Headers],[Ch_Cavern]],TblConstr[[#This Row],[Home Land]])+IF(TblConstr[[#This Row],[Hour]:[Hour]]&gt;12,OFFSET(TblExplore[[#This Row],[Cavern Explore]],-12,0),0)</f>
        <v>0</v>
      </c>
      <c r="CW132" s="194">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50"/>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83">
        <f>TblRezone[[#This Row],[Hour]]</f>
        <v>130</v>
      </c>
      <c r="B133" s="184">
        <f ca="1">SUM(TblConstr[[#This Row],[Plain]:[Water]])</f>
        <v>160</v>
      </c>
      <c r="C133" s="185">
        <f ca="1">SUM(TblConstr[[#This Row],[Tot Hom]:[Tot Doc]])</f>
        <v>90</v>
      </c>
      <c r="D133" s="185">
        <f>SUM(O122:AG133)</f>
        <v>0</v>
      </c>
      <c r="E133" s="186"/>
      <c r="F133" s="62">
        <f ca="1">TblConstr[[#This Row],[Barren]]+TblConstr[[#This Row],[Buildings]]+TblConstr[[#This Row],[Incoming]]</f>
        <v>250</v>
      </c>
      <c r="G133" s="195">
        <f ca="1">OFFSET(TblConstr[[#This Row],[Plain]],-1,0)+TblConstr[[#This Row],[Ch_Plain]]</f>
        <v>40</v>
      </c>
      <c r="H133" s="190">
        <f ca="1">OFFSET(TblConstr[[#This Row],[Forest]],-1,0)+TblConstr[[#This Row],[Ch_Forest]]</f>
        <v>20</v>
      </c>
      <c r="I133" s="390">
        <f ca="1">OFFSET(TblConstr[[#This Row],[Mountain]],-1,0)+TblConstr[[#This Row],[Ch_Mountain]]</f>
        <v>20</v>
      </c>
      <c r="J133" s="394">
        <f ca="1">OFFSET(TblConstr[[#This Row],[Hill]],-1,0)+TblConstr[[#This Row],[Ch_Hill]]</f>
        <v>20</v>
      </c>
      <c r="K133" s="398">
        <f ca="1">OFFSET(TblConstr[[#This Row],[Swamp]],-1,0)+TblConstr[[#This Row],[Ch_Swamp]]</f>
        <v>20</v>
      </c>
      <c r="L133" s="193">
        <f ca="1">OFFSET(TblConstr[[#This Row],[Cavern]],-1,0)+TblConstr[[#This Row],[Ch_Cavern]]</f>
        <v>20</v>
      </c>
      <c r="M133" s="194">
        <f ca="1">OFFSET(TblConstr[[#This Row],[Water]],-1,0)+TblConstr[[#This Row],[Ch_Water]]</f>
        <v>20</v>
      </c>
      <c r="N133" s="388">
        <f>TblRezone[[#This Row],[Hour]]</f>
        <v>130</v>
      </c>
      <c r="O133" s="187"/>
      <c r="P133" s="187"/>
      <c r="Q133" s="187"/>
      <c r="R133" s="187"/>
      <c r="S133" s="187"/>
      <c r="T133" s="187"/>
      <c r="U133" s="187"/>
      <c r="V133" s="187"/>
      <c r="W133" s="187"/>
      <c r="X133" s="187"/>
      <c r="Y133" s="187"/>
      <c r="Z133" s="187"/>
      <c r="AA133" s="187"/>
      <c r="AB133" s="187"/>
      <c r="AC133" s="187"/>
      <c r="AD133" s="187"/>
      <c r="AE133" s="187"/>
      <c r="AF133" s="187"/>
      <c r="AG133" s="187"/>
      <c r="AH133" s="53">
        <f ca="1">TblImps[[#This Row],[Time]]</f>
        <v>44816.124999999687</v>
      </c>
      <c r="AI133" s="188">
        <f ca="1">MIN(25%,(TblConstr[[#This Row],[Tot Fac]]+TblConstr[[#This Row],[Dest Fac]])/(TblConstr[[#This Row],[Land]]-TblExplore[[#This Row],[Land Bonus]]*20))</f>
        <v>0</v>
      </c>
      <c r="AJ133" s="188">
        <f ca="1">MIN(25%,(TblConstr[[#This Row],[Tot Fac]]+TblConstr[[#This Row],[Dest Fac]])/TblConstr[[#This Row],[Land]])</f>
        <v>0</v>
      </c>
      <c r="AK133" s="97">
        <f ca="1">TblProd[[#This Row],[Platinum]]</f>
        <v>808572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50"/>
      <c r="AV133" s="97">
        <f ca="1">ROUND((TblConstr[[#This Row],[Land]]-250 - IF(TblExplore[[#This Row],[Land Bonus]]&lt;&gt;0,20,0))*1.25 + 850 + 0,0)</f>
        <v>850</v>
      </c>
      <c r="AW133" s="97">
        <f ca="1">ROUND((TblConstr[[#This Row],[Land]]-250 - IF(TblExplore[[#This Row],[Land Bonus]]&lt;&gt;0,20,0))*0.285 + 87.5 + 0/4.25,0)</f>
        <v>88</v>
      </c>
      <c r="AX133" s="162"/>
      <c r="AY133" s="196" cm="1">
        <f t="array" aca="1" ref="AY133" ca="1">IF(TblConstr[[#This Row],[Hour]:[Hour]]&gt;12,OFFSET(TblConstr[[#This Row],[Hom]],-12,0),0)+OFFSET(TblConstr[[#This Row],[Tot Hom]],-1,0)-TblConstr[[#This Row],[Dest Hom]]</f>
        <v>10</v>
      </c>
      <c r="AZ133" s="197" cm="1">
        <f t="array" aca="1" ref="AZ133" ca="1">IF(TblConstr[[#This Row],[Hour]:[Hour]]&gt;12,OFFSET(TblConstr[[#This Row],[Alc]],-12,0),0)+OFFSET(TblConstr[[#This Row],[Tot Alc]],-1,0)-TblConstr[[#This Row],[Dest Alc]]</f>
        <v>30</v>
      </c>
      <c r="BA133" s="197" cm="1">
        <f t="array" aca="1" ref="BA133" ca="1">IF(TblConstr[[#This Row],[Hour]:[Hour]]&gt;12,OFFSET(TblConstr[[#This Row],[Far]],-12,0),0)+OFFSET(TblConstr[[#This Row],[Tot Farm]],-1,0)-TblConstr[[#This Row],[Dest Farm]]</f>
        <v>30</v>
      </c>
      <c r="BB133" s="197" cm="1">
        <f t="array" aca="1" ref="BB133" ca="1">IF(TblConstr[[#This Row],[Hour]:[Hour]]&gt;12,OFFSET(TblConstr[[#This Row],[Smi]],-12,0),0)+OFFSET(TblConstr[[#This Row],[Tot Smi]],-1,0)-TblConstr[[#This Row],[Dest Smi]]</f>
        <v>0</v>
      </c>
      <c r="BC133" s="197" cm="1">
        <f t="array" aca="1" ref="BC133" ca="1">IF(TblConstr[[#This Row],[Hour]:[Hour]]&gt;12,OFFSET(TblConstr[[#This Row],[Mas]],-12,0),0)+OFFSET(TblConstr[[#This Row],[Tot Mas]],-1,0)-TblConstr[[#This Row],[Dest Mas]]</f>
        <v>0</v>
      </c>
      <c r="BD133" s="198" cm="1">
        <f t="array" aca="1" ref="BD133" ca="1">IF(TblConstr[[#This Row],[Hour]:[Hour]]&gt;12,OFFSET(TblConstr[[#This Row],[Ly]],-12,0),0)+OFFSET(TblConstr[[#This Row],[Tot Ly]],-1,0)-TblConstr[[#This Row],[Dest Ly]]</f>
        <v>20</v>
      </c>
      <c r="BE133" s="198" cm="1">
        <f t="array" aca="1" ref="BE133" ca="1">IF(TblConstr[[#This Row],[Hour]:[Hour]]&gt;12,OFFSET(TblConstr[[#This Row],[Hav]],-12,0),0)+OFFSET(TblConstr[[#This Row],[Tot Hav]],-1,0)-TblConstr[[#This Row],[Dest Hav]]</f>
        <v>0</v>
      </c>
      <c r="BF133" s="392" cm="1">
        <f t="array" aca="1" ref="BF133" ca="1">IF(TblConstr[[#This Row],[Hour]:[Hour]]&gt;12,OFFSET(TblConstr[[#This Row],[OM]],-12,0),0)+OFFSET(TblConstr[[#This Row],[Tot OM]],-1,0)-TblConstr[[#This Row],[Dest OM]]</f>
        <v>0</v>
      </c>
      <c r="BG133" s="392" cm="1">
        <f t="array" aca="1" ref="BG133" ca="1">IF(TblConstr[[#This Row],[Hour]:[Hour]]&gt;12,OFFSET(TblConstr[[#This Row],[GN]],-12,0),0)+OFFSET(TblConstr[[#This Row],[Tot GN]],-1,0)-TblConstr[[#This Row],[Dest GN]]</f>
        <v>0</v>
      </c>
      <c r="BH133" s="396" cm="1">
        <f t="array" aca="1" ref="BH133" ca="1">IF(TblConstr[[#This Row],[Hour]:[Hour]]&gt;12,OFFSET(TblConstr[[#This Row],[Fac]],-12,0),0)+OFFSET(TblConstr[[#This Row],[Tot Fac]],-1,0)-TblConstr[[#This Row],[Dest Fac]]</f>
        <v>0</v>
      </c>
      <c r="BI133" s="396" cm="1">
        <f t="array" aca="1" ref="BI133" ca="1">IF(TblConstr[[#This Row],[Hour]:[Hour]]&gt;12,OFFSET(TblConstr[[#This Row],[GT]],-12,0),0)+OFFSET(TblConstr[[#This Row],[Tot GT]],-1,0)-TblConstr[[#This Row],[Dest GT]]</f>
        <v>0</v>
      </c>
      <c r="BJ133" s="396" cm="1">
        <f t="array" aca="1" ref="BJ133" ca="1">IF(TblConstr[[#This Row],[Hour]:[Hour]]&gt;12,OFFSET(TblConstr[[#This Row],[Bar]],-12,0),0)+OFFSET(TblConstr[[#This Row],[Tot Bar]],-1,0)-TblConstr[[#This Row],[Dest Bar]]</f>
        <v>0</v>
      </c>
      <c r="BK133" s="396" cm="1">
        <f t="array" aca="1" ref="BK133" ca="1">IF(TblConstr[[#This Row],[Hour]:[Hour]]&gt;12,OFFSET(TblConstr[[#This Row],[Shr]],-12,0),0)+OFFSET(TblConstr[[#This Row],[Tot Shr]],-1,0)-TblConstr[[#This Row],[Dest Shr]]</f>
        <v>0</v>
      </c>
      <c r="BL133" s="400" cm="1">
        <f t="array" aca="1" ref="BL133" ca="1">IF(TblConstr[[#This Row],[Hour]:[Hour]]&gt;12,OFFSET(TblConstr[[#This Row],[Tow]],-12,0),0)+OFFSET(TblConstr[[#This Row],[Tot Tow]],-1,0)-TblConstr[[#This Row],[Dest Tow]]</f>
        <v>0</v>
      </c>
      <c r="BM133" s="400" cm="1">
        <f t="array" aca="1" ref="BM133" ca="1">IF(TblConstr[[#This Row],[Hour]:[Hour]]&gt;12,OFFSET(TblConstr[[#This Row],[Tem]],-12,0),0)+OFFSET(TblConstr[[#This Row],[Tot Tem]],-1,0)-TblConstr[[#This Row],[Dest Tem]]</f>
        <v>0</v>
      </c>
      <c r="BN133" s="400" cm="1">
        <f t="array" aca="1" ref="BN133" ca="1">IF(TblConstr[[#This Row],[Hour]:[Hour]]&gt;12,OFFSET(TblConstr[[#This Row],[WG]],-12,0),0)+OFFSET(TblConstr[[#This Row],[Tot WG]],-1,0)-TblConstr[[#This Row],[Dest WG]]</f>
        <v>0</v>
      </c>
      <c r="BO133" s="199" cm="1">
        <f t="array" aca="1" ref="BO133" ca="1">IF(TblConstr[[#This Row],[Hour]:[Hour]]&gt;12,OFFSET(TblConstr[[#This Row],[DM]],-12,0),0)+OFFSET(TblConstr[[#This Row],[Tot DM]],-1,0)-TblConstr[[#This Row],[Dest DM]]</f>
        <v>0</v>
      </c>
      <c r="BP133" s="199" cm="1">
        <f t="array" aca="1" ref="BP133" ca="1">IF(TblConstr[[#This Row],[Hour]:[Hour]]&gt;12,OFFSET(TblConstr[[#This Row],[Sch]],-12,0),0)+OFFSET(TblConstr[[#This Row],[Tot Sch]],-1,0)-TblConstr[[#This Row],[Dest Sch]]</f>
        <v>0</v>
      </c>
      <c r="BQ133" s="200" cm="1">
        <f t="array" aca="1" ref="BQ133" ca="1">IF(TblConstr[[#This Row],[Hour]:[Hour]]&gt;12,OFFSET(TblConstr[[#This Row],[Doc]],-12,0),0)+OFFSET(TblConstr[[#This Row],[Tot Doc]],-1,0)-TblConstr[[#This Row],[Dest Doc]]</f>
        <v>0</v>
      </c>
      <c r="BR133" s="150"/>
      <c r="BS133" s="162"/>
      <c r="BT133" s="97">
        <f ca="1">TblConstr[[#This Row],[Land]]</f>
        <v>250</v>
      </c>
      <c r="BU133" s="167">
        <f ca="1">TblImps[[#This Row],[Time]]</f>
        <v>44816.124999999687</v>
      </c>
      <c r="BV133" s="150"/>
      <c r="BW133" s="187"/>
      <c r="BX133" s="187"/>
      <c r="BY133" s="187"/>
      <c r="BZ133" s="187"/>
      <c r="CA133" s="187"/>
      <c r="CB133" s="187"/>
      <c r="CC133" s="187"/>
      <c r="CD133" s="187"/>
      <c r="CE133" s="187"/>
      <c r="CF133" s="187"/>
      <c r="CG133" s="187"/>
      <c r="CH133" s="187"/>
      <c r="CI133" s="187"/>
      <c r="CJ133" s="187"/>
      <c r="CK133" s="187"/>
      <c r="CL133" s="187"/>
      <c r="CM133" s="187"/>
      <c r="CN133" s="187"/>
      <c r="CO133" s="187"/>
      <c r="CP133" s="150"/>
      <c r="CQ133" s="189">
        <f ca="1">-SUM(TblConstr[[#This Row],[Alc]:[Mas]])+SUM(TblConstr[[#This Row],[Dest Alc]:[Dest Mas]])+Rezone!L133+IF("Ch_"&amp; home_land=TblConstr[[#Headers],[Ch_Plain]],TblConstr[[#This Row],[Home Land]])+IF(TblConstr[[#This Row],[Hour]:[Hour]]&gt;12,OFFSET(TblExplore[[#This Row],[Plains Explore]],-12,0),0)</f>
        <v>0</v>
      </c>
      <c r="CR133" s="190">
        <f ca="1">-SUM(TblConstr[[#This Row],[Ly]:[Hav]])+SUM(TblConstr[[#This Row],[Dest Ly]:[Dest Hav]]) +Rezone!M133 + IF("Ch_"&amp; home_land=TblConstr[[#Headers],[Ch_Forest]],TblConstr[[#This Row],[Home Land]])+IF(TblConstr[[#This Row],[Hour]:[Hour]]&gt;12,OFFSET(TblExplore[[#This Row],[Forest Explore]],-12,0),0)</f>
        <v>0</v>
      </c>
      <c r="CS133" s="390">
        <f ca="1">-SUM(TblConstr[[#This Row],[OM]:[GN]])+SUM(TblConstr[[#This Row],[Dest OM]:[Dest GN]]) +Rezone!N133 + IF("Ch_"&amp; home_land=TblConstr[[#Headers],[Ch_Mountain]],TblConstr[[#This Row],[Home Land]])+IF(TblConstr[[#This Row],[Hour]:[Hour]]&gt;12,OFFSET(TblExplore[[#This Row],[Mountain Explore]],-12,0),0)</f>
        <v>0</v>
      </c>
      <c r="CT133" s="191">
        <f ca="1">-SUM(TblConstr[[#This Row],[Fac]:[Shr]])+SUM(TblConstr[[#This Row],[Dest Fac]:[Dest Shr]]) +Rezone!O133 + IF("Ch_" &amp; home_land=TblConstr[[#Headers],[Ch_Hill]],TblConstr[[#This Row],[Home Land]])+IF(TblConstr[[#This Row],[Hour]:[Hour]]&gt;12,OFFSET(TblExplore[[#This Row],[Hill Explore]],-12,0),0)</f>
        <v>0</v>
      </c>
      <c r="CU133" s="192">
        <f ca="1">-SUM(TblConstr[[#This Row],[Tow]:[WG]])+SUM(TblConstr[[#This Row],[Dest Tow]:[Dest WG]]) +Rezone!P133 + IF("Ch_" &amp; home_land=TblConstr[[#Headers],[Ch_Swamp]],TblConstr[[#This Row],[Home Land]])+IF(TblConstr[[#This Row],[Hour]:[Hour]]&gt;12,OFFSET(TblExplore[[#This Row],[Swamp Explore]],-12,0),0)</f>
        <v>0</v>
      </c>
      <c r="CV133" s="193">
        <f ca="1" xml:space="preserve"> - SUM(TblConstr[[#This Row],[DM]:[Sch]])+SUM(TblConstr[[#This Row],[Dest DM]:[Dest Sch]]) +Rezone!Q133 + IF("Ch_" &amp; home_land=TblConstr[[#Headers],[Ch_Cavern]],TblConstr[[#This Row],[Home Land]])+IF(TblConstr[[#This Row],[Hour]:[Hour]]&gt;12,OFFSET(TblExplore[[#This Row],[Cavern Explore]],-12,0),0)</f>
        <v>0</v>
      </c>
      <c r="CW133" s="194">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50"/>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83">
        <f>TblRezone[[#This Row],[Hour]]</f>
        <v>131</v>
      </c>
      <c r="B134" s="184">
        <f ca="1">SUM(TblConstr[[#This Row],[Plain]:[Water]])</f>
        <v>160</v>
      </c>
      <c r="C134" s="185">
        <f ca="1">SUM(TblConstr[[#This Row],[Tot Hom]:[Tot Doc]])</f>
        <v>90</v>
      </c>
      <c r="D134" s="185">
        <f>SUM(O123:AG134)</f>
        <v>0</v>
      </c>
      <c r="E134" s="186"/>
      <c r="F134" s="62">
        <f ca="1">TblConstr[[#This Row],[Barren]]+TblConstr[[#This Row],[Buildings]]+TblConstr[[#This Row],[Incoming]]</f>
        <v>250</v>
      </c>
      <c r="G134" s="195">
        <f ca="1">OFFSET(TblConstr[[#This Row],[Plain]],-1,0)+TblConstr[[#This Row],[Ch_Plain]]</f>
        <v>40</v>
      </c>
      <c r="H134" s="190">
        <f ca="1">OFFSET(TblConstr[[#This Row],[Forest]],-1,0)+TblConstr[[#This Row],[Ch_Forest]]</f>
        <v>20</v>
      </c>
      <c r="I134" s="390">
        <f ca="1">OFFSET(TblConstr[[#This Row],[Mountain]],-1,0)+TblConstr[[#This Row],[Ch_Mountain]]</f>
        <v>20</v>
      </c>
      <c r="J134" s="394">
        <f ca="1">OFFSET(TblConstr[[#This Row],[Hill]],-1,0)+TblConstr[[#This Row],[Ch_Hill]]</f>
        <v>20</v>
      </c>
      <c r="K134" s="398">
        <f ca="1">OFFSET(TblConstr[[#This Row],[Swamp]],-1,0)+TblConstr[[#This Row],[Ch_Swamp]]</f>
        <v>20</v>
      </c>
      <c r="L134" s="193">
        <f ca="1">OFFSET(TblConstr[[#This Row],[Cavern]],-1,0)+TblConstr[[#This Row],[Ch_Cavern]]</f>
        <v>20</v>
      </c>
      <c r="M134" s="194">
        <f ca="1">OFFSET(TblConstr[[#This Row],[Water]],-1,0)+TblConstr[[#This Row],[Ch_Water]]</f>
        <v>20</v>
      </c>
      <c r="N134" s="388">
        <f>TblRezone[[#This Row],[Hour]]</f>
        <v>131</v>
      </c>
      <c r="O134" s="187"/>
      <c r="P134" s="187"/>
      <c r="Q134" s="187"/>
      <c r="R134" s="187"/>
      <c r="S134" s="187"/>
      <c r="T134" s="187"/>
      <c r="U134" s="187"/>
      <c r="V134" s="187"/>
      <c r="W134" s="187"/>
      <c r="X134" s="187"/>
      <c r="Y134" s="187"/>
      <c r="Z134" s="187"/>
      <c r="AA134" s="187"/>
      <c r="AB134" s="187"/>
      <c r="AC134" s="187"/>
      <c r="AD134" s="187"/>
      <c r="AE134" s="187"/>
      <c r="AF134" s="187"/>
      <c r="AG134" s="187"/>
      <c r="AH134" s="53">
        <f ca="1">TblImps[[#This Row],[Time]]</f>
        <v>44816.166666666351</v>
      </c>
      <c r="AI134" s="188">
        <f ca="1">MIN(25%,(TblConstr[[#This Row],[Tot Fac]]+TblConstr[[#This Row],[Dest Fac]])/(TblConstr[[#This Row],[Land]]-TblExplore[[#This Row],[Land Bonus]]*20))</f>
        <v>0</v>
      </c>
      <c r="AJ134" s="188">
        <f ca="1">MIN(25%,(TblConstr[[#This Row],[Tot Fac]]+TblConstr[[#This Row],[Dest Fac]])/TblConstr[[#This Row],[Land]])</f>
        <v>0</v>
      </c>
      <c r="AK134" s="97">
        <f ca="1">TblProd[[#This Row],[Platinum]]</f>
        <v>814058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50"/>
      <c r="AV134" s="97">
        <f ca="1">ROUND((TblConstr[[#This Row],[Land]]-250 - IF(TblExplore[[#This Row],[Land Bonus]]&lt;&gt;0,20,0))*1.25 + 850 + 0,0)</f>
        <v>850</v>
      </c>
      <c r="AW134" s="97">
        <f ca="1">ROUND((TblConstr[[#This Row],[Land]]-250 - IF(TblExplore[[#This Row],[Land Bonus]]&lt;&gt;0,20,0))*0.285 + 87.5 + 0/4.25,0)</f>
        <v>88</v>
      </c>
      <c r="AX134" s="162"/>
      <c r="AY134" s="196" cm="1">
        <f t="array" aca="1" ref="AY134" ca="1">IF(TblConstr[[#This Row],[Hour]:[Hour]]&gt;12,OFFSET(TblConstr[[#This Row],[Hom]],-12,0),0)+OFFSET(TblConstr[[#This Row],[Tot Hom]],-1,0)-TblConstr[[#This Row],[Dest Hom]]</f>
        <v>10</v>
      </c>
      <c r="AZ134" s="197" cm="1">
        <f t="array" aca="1" ref="AZ134" ca="1">IF(TblConstr[[#This Row],[Hour]:[Hour]]&gt;12,OFFSET(TblConstr[[#This Row],[Alc]],-12,0),0)+OFFSET(TblConstr[[#This Row],[Tot Alc]],-1,0)-TblConstr[[#This Row],[Dest Alc]]</f>
        <v>30</v>
      </c>
      <c r="BA134" s="197" cm="1">
        <f t="array" aca="1" ref="BA134" ca="1">IF(TblConstr[[#This Row],[Hour]:[Hour]]&gt;12,OFFSET(TblConstr[[#This Row],[Far]],-12,0),0)+OFFSET(TblConstr[[#This Row],[Tot Farm]],-1,0)-TblConstr[[#This Row],[Dest Farm]]</f>
        <v>30</v>
      </c>
      <c r="BB134" s="197" cm="1">
        <f t="array" aca="1" ref="BB134" ca="1">IF(TblConstr[[#This Row],[Hour]:[Hour]]&gt;12,OFFSET(TblConstr[[#This Row],[Smi]],-12,0),0)+OFFSET(TblConstr[[#This Row],[Tot Smi]],-1,0)-TblConstr[[#This Row],[Dest Smi]]</f>
        <v>0</v>
      </c>
      <c r="BC134" s="197" cm="1">
        <f t="array" aca="1" ref="BC134" ca="1">IF(TblConstr[[#This Row],[Hour]:[Hour]]&gt;12,OFFSET(TblConstr[[#This Row],[Mas]],-12,0),0)+OFFSET(TblConstr[[#This Row],[Tot Mas]],-1,0)-TblConstr[[#This Row],[Dest Mas]]</f>
        <v>0</v>
      </c>
      <c r="BD134" s="198" cm="1">
        <f t="array" aca="1" ref="BD134" ca="1">IF(TblConstr[[#This Row],[Hour]:[Hour]]&gt;12,OFFSET(TblConstr[[#This Row],[Ly]],-12,0),0)+OFFSET(TblConstr[[#This Row],[Tot Ly]],-1,0)-TblConstr[[#This Row],[Dest Ly]]</f>
        <v>20</v>
      </c>
      <c r="BE134" s="198" cm="1">
        <f t="array" aca="1" ref="BE134" ca="1">IF(TblConstr[[#This Row],[Hour]:[Hour]]&gt;12,OFFSET(TblConstr[[#This Row],[Hav]],-12,0),0)+OFFSET(TblConstr[[#This Row],[Tot Hav]],-1,0)-TblConstr[[#This Row],[Dest Hav]]</f>
        <v>0</v>
      </c>
      <c r="BF134" s="392" cm="1">
        <f t="array" aca="1" ref="BF134" ca="1">IF(TblConstr[[#This Row],[Hour]:[Hour]]&gt;12,OFFSET(TblConstr[[#This Row],[OM]],-12,0),0)+OFFSET(TblConstr[[#This Row],[Tot OM]],-1,0)-TblConstr[[#This Row],[Dest OM]]</f>
        <v>0</v>
      </c>
      <c r="BG134" s="392" cm="1">
        <f t="array" aca="1" ref="BG134" ca="1">IF(TblConstr[[#This Row],[Hour]:[Hour]]&gt;12,OFFSET(TblConstr[[#This Row],[GN]],-12,0),0)+OFFSET(TblConstr[[#This Row],[Tot GN]],-1,0)-TblConstr[[#This Row],[Dest GN]]</f>
        <v>0</v>
      </c>
      <c r="BH134" s="396" cm="1">
        <f t="array" aca="1" ref="BH134" ca="1">IF(TblConstr[[#This Row],[Hour]:[Hour]]&gt;12,OFFSET(TblConstr[[#This Row],[Fac]],-12,0),0)+OFFSET(TblConstr[[#This Row],[Tot Fac]],-1,0)-TblConstr[[#This Row],[Dest Fac]]</f>
        <v>0</v>
      </c>
      <c r="BI134" s="396" cm="1">
        <f t="array" aca="1" ref="BI134" ca="1">IF(TblConstr[[#This Row],[Hour]:[Hour]]&gt;12,OFFSET(TblConstr[[#This Row],[GT]],-12,0),0)+OFFSET(TblConstr[[#This Row],[Tot GT]],-1,0)-TblConstr[[#This Row],[Dest GT]]</f>
        <v>0</v>
      </c>
      <c r="BJ134" s="396" cm="1">
        <f t="array" aca="1" ref="BJ134" ca="1">IF(TblConstr[[#This Row],[Hour]:[Hour]]&gt;12,OFFSET(TblConstr[[#This Row],[Bar]],-12,0),0)+OFFSET(TblConstr[[#This Row],[Tot Bar]],-1,0)-TblConstr[[#This Row],[Dest Bar]]</f>
        <v>0</v>
      </c>
      <c r="BK134" s="396" cm="1">
        <f t="array" aca="1" ref="BK134" ca="1">IF(TblConstr[[#This Row],[Hour]:[Hour]]&gt;12,OFFSET(TblConstr[[#This Row],[Shr]],-12,0),0)+OFFSET(TblConstr[[#This Row],[Tot Shr]],-1,0)-TblConstr[[#This Row],[Dest Shr]]</f>
        <v>0</v>
      </c>
      <c r="BL134" s="400" cm="1">
        <f t="array" aca="1" ref="BL134" ca="1">IF(TblConstr[[#This Row],[Hour]:[Hour]]&gt;12,OFFSET(TblConstr[[#This Row],[Tow]],-12,0),0)+OFFSET(TblConstr[[#This Row],[Tot Tow]],-1,0)-TblConstr[[#This Row],[Dest Tow]]</f>
        <v>0</v>
      </c>
      <c r="BM134" s="400" cm="1">
        <f t="array" aca="1" ref="BM134" ca="1">IF(TblConstr[[#This Row],[Hour]:[Hour]]&gt;12,OFFSET(TblConstr[[#This Row],[Tem]],-12,0),0)+OFFSET(TblConstr[[#This Row],[Tot Tem]],-1,0)-TblConstr[[#This Row],[Dest Tem]]</f>
        <v>0</v>
      </c>
      <c r="BN134" s="400" cm="1">
        <f t="array" aca="1" ref="BN134" ca="1">IF(TblConstr[[#This Row],[Hour]:[Hour]]&gt;12,OFFSET(TblConstr[[#This Row],[WG]],-12,0),0)+OFFSET(TblConstr[[#This Row],[Tot WG]],-1,0)-TblConstr[[#This Row],[Dest WG]]</f>
        <v>0</v>
      </c>
      <c r="BO134" s="199" cm="1">
        <f t="array" aca="1" ref="BO134" ca="1">IF(TblConstr[[#This Row],[Hour]:[Hour]]&gt;12,OFFSET(TblConstr[[#This Row],[DM]],-12,0),0)+OFFSET(TblConstr[[#This Row],[Tot DM]],-1,0)-TblConstr[[#This Row],[Dest DM]]</f>
        <v>0</v>
      </c>
      <c r="BP134" s="199" cm="1">
        <f t="array" aca="1" ref="BP134" ca="1">IF(TblConstr[[#This Row],[Hour]:[Hour]]&gt;12,OFFSET(TblConstr[[#This Row],[Sch]],-12,0),0)+OFFSET(TblConstr[[#This Row],[Tot Sch]],-1,0)-TblConstr[[#This Row],[Dest Sch]]</f>
        <v>0</v>
      </c>
      <c r="BQ134" s="200" cm="1">
        <f t="array" aca="1" ref="BQ134" ca="1">IF(TblConstr[[#This Row],[Hour]:[Hour]]&gt;12,OFFSET(TblConstr[[#This Row],[Doc]],-12,0),0)+OFFSET(TblConstr[[#This Row],[Tot Doc]],-1,0)-TblConstr[[#This Row],[Dest Doc]]</f>
        <v>0</v>
      </c>
      <c r="BR134" s="150"/>
      <c r="BS134" s="162"/>
      <c r="BT134" s="97">
        <f ca="1">TblConstr[[#This Row],[Land]]</f>
        <v>250</v>
      </c>
      <c r="BU134" s="167">
        <f ca="1">TblImps[[#This Row],[Time]]</f>
        <v>44816.166666666351</v>
      </c>
      <c r="BV134" s="150"/>
      <c r="BW134" s="187"/>
      <c r="BX134" s="187"/>
      <c r="BY134" s="187"/>
      <c r="BZ134" s="187"/>
      <c r="CA134" s="187"/>
      <c r="CB134" s="187"/>
      <c r="CC134" s="187"/>
      <c r="CD134" s="187"/>
      <c r="CE134" s="187"/>
      <c r="CF134" s="187"/>
      <c r="CG134" s="187"/>
      <c r="CH134" s="187"/>
      <c r="CI134" s="187"/>
      <c r="CJ134" s="187"/>
      <c r="CK134" s="187"/>
      <c r="CL134" s="187"/>
      <c r="CM134" s="187"/>
      <c r="CN134" s="187"/>
      <c r="CO134" s="187"/>
      <c r="CP134" s="150"/>
      <c r="CQ134" s="189">
        <f ca="1">-SUM(TblConstr[[#This Row],[Alc]:[Mas]])+SUM(TblConstr[[#This Row],[Dest Alc]:[Dest Mas]])+Rezone!L134+IF("Ch_"&amp; home_land=TblConstr[[#Headers],[Ch_Plain]],TblConstr[[#This Row],[Home Land]])+IF(TblConstr[[#This Row],[Hour]:[Hour]]&gt;12,OFFSET(TblExplore[[#This Row],[Plains Explore]],-12,0),0)</f>
        <v>0</v>
      </c>
      <c r="CR134" s="190">
        <f ca="1">-SUM(TblConstr[[#This Row],[Ly]:[Hav]])+SUM(TblConstr[[#This Row],[Dest Ly]:[Dest Hav]]) +Rezone!M134 + IF("Ch_"&amp; home_land=TblConstr[[#Headers],[Ch_Forest]],TblConstr[[#This Row],[Home Land]])+IF(TblConstr[[#This Row],[Hour]:[Hour]]&gt;12,OFFSET(TblExplore[[#This Row],[Forest Explore]],-12,0),0)</f>
        <v>0</v>
      </c>
      <c r="CS134" s="390">
        <f ca="1">-SUM(TblConstr[[#This Row],[OM]:[GN]])+SUM(TblConstr[[#This Row],[Dest OM]:[Dest GN]]) +Rezone!N134 + IF("Ch_"&amp; home_land=TblConstr[[#Headers],[Ch_Mountain]],TblConstr[[#This Row],[Home Land]])+IF(TblConstr[[#This Row],[Hour]:[Hour]]&gt;12,OFFSET(TblExplore[[#This Row],[Mountain Explore]],-12,0),0)</f>
        <v>0</v>
      </c>
      <c r="CT134" s="191">
        <f ca="1">-SUM(TblConstr[[#This Row],[Fac]:[Shr]])+SUM(TblConstr[[#This Row],[Dest Fac]:[Dest Shr]]) +Rezone!O134 + IF("Ch_" &amp; home_land=TblConstr[[#Headers],[Ch_Hill]],TblConstr[[#This Row],[Home Land]])+IF(TblConstr[[#This Row],[Hour]:[Hour]]&gt;12,OFFSET(TblExplore[[#This Row],[Hill Explore]],-12,0),0)</f>
        <v>0</v>
      </c>
      <c r="CU134" s="192">
        <f ca="1">-SUM(TblConstr[[#This Row],[Tow]:[WG]])+SUM(TblConstr[[#This Row],[Dest Tow]:[Dest WG]]) +Rezone!P134 + IF("Ch_" &amp; home_land=TblConstr[[#Headers],[Ch_Swamp]],TblConstr[[#This Row],[Home Land]])+IF(TblConstr[[#This Row],[Hour]:[Hour]]&gt;12,OFFSET(TblExplore[[#This Row],[Swamp Explore]],-12,0),0)</f>
        <v>0</v>
      </c>
      <c r="CV134" s="193">
        <f ca="1" xml:space="preserve"> - SUM(TblConstr[[#This Row],[DM]:[Sch]])+SUM(TblConstr[[#This Row],[Dest DM]:[Dest Sch]]) +Rezone!Q134 + IF("Ch_" &amp; home_land=TblConstr[[#Headers],[Ch_Cavern]],TblConstr[[#This Row],[Home Land]])+IF(TblConstr[[#This Row],[Hour]:[Hour]]&gt;12,OFFSET(TblExplore[[#This Row],[Cavern Explore]],-12,0),0)</f>
        <v>0</v>
      </c>
      <c r="CW134" s="194">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50"/>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83">
        <f>TblRezone[[#This Row],[Hour]]</f>
        <v>132</v>
      </c>
      <c r="B135" s="184">
        <f ca="1">SUM(TblConstr[[#This Row],[Plain]:[Water]])</f>
        <v>160</v>
      </c>
      <c r="C135" s="185">
        <f ca="1">SUM(TblConstr[[#This Row],[Tot Hom]:[Tot Doc]])</f>
        <v>90</v>
      </c>
      <c r="D135" s="185">
        <f>SUM(O124:AG135)</f>
        <v>0</v>
      </c>
      <c r="E135" s="186"/>
      <c r="F135" s="62">
        <f ca="1">TblConstr[[#This Row],[Barren]]+TblConstr[[#This Row],[Buildings]]+TblConstr[[#This Row],[Incoming]]</f>
        <v>250</v>
      </c>
      <c r="G135" s="195">
        <f ca="1">OFFSET(TblConstr[[#This Row],[Plain]],-1,0)+TblConstr[[#This Row],[Ch_Plain]]</f>
        <v>40</v>
      </c>
      <c r="H135" s="190">
        <f ca="1">OFFSET(TblConstr[[#This Row],[Forest]],-1,0)+TblConstr[[#This Row],[Ch_Forest]]</f>
        <v>20</v>
      </c>
      <c r="I135" s="390">
        <f ca="1">OFFSET(TblConstr[[#This Row],[Mountain]],-1,0)+TblConstr[[#This Row],[Ch_Mountain]]</f>
        <v>20</v>
      </c>
      <c r="J135" s="394">
        <f ca="1">OFFSET(TblConstr[[#This Row],[Hill]],-1,0)+TblConstr[[#This Row],[Ch_Hill]]</f>
        <v>20</v>
      </c>
      <c r="K135" s="398">
        <f ca="1">OFFSET(TblConstr[[#This Row],[Swamp]],-1,0)+TblConstr[[#This Row],[Ch_Swamp]]</f>
        <v>20</v>
      </c>
      <c r="L135" s="193">
        <f ca="1">OFFSET(TblConstr[[#This Row],[Cavern]],-1,0)+TblConstr[[#This Row],[Ch_Cavern]]</f>
        <v>20</v>
      </c>
      <c r="M135" s="194">
        <f ca="1">OFFSET(TblConstr[[#This Row],[Water]],-1,0)+TblConstr[[#This Row],[Ch_Water]]</f>
        <v>20</v>
      </c>
      <c r="N135" s="388">
        <f>TblRezone[[#This Row],[Hour]]</f>
        <v>132</v>
      </c>
      <c r="O135" s="187"/>
      <c r="P135" s="187"/>
      <c r="Q135" s="187"/>
      <c r="R135" s="187"/>
      <c r="S135" s="187"/>
      <c r="T135" s="187"/>
      <c r="U135" s="187"/>
      <c r="V135" s="187"/>
      <c r="W135" s="187"/>
      <c r="X135" s="187"/>
      <c r="Y135" s="187"/>
      <c r="Z135" s="187"/>
      <c r="AA135" s="187"/>
      <c r="AB135" s="187"/>
      <c r="AC135" s="187"/>
      <c r="AD135" s="187"/>
      <c r="AE135" s="187"/>
      <c r="AF135" s="187"/>
      <c r="AG135" s="187"/>
      <c r="AH135" s="53">
        <f ca="1">TblImps[[#This Row],[Time]]</f>
        <v>44816.208333333016</v>
      </c>
      <c r="AI135" s="188">
        <f ca="1">MIN(25%,(TblConstr[[#This Row],[Tot Fac]]+TblConstr[[#This Row],[Dest Fac]])/(TblConstr[[#This Row],[Land]]-TblExplore[[#This Row],[Land Bonus]]*20))</f>
        <v>0</v>
      </c>
      <c r="AJ135" s="188">
        <f ca="1">MIN(25%,(TblConstr[[#This Row],[Tot Fac]]+TblConstr[[#This Row],[Dest Fac]])/TblConstr[[#This Row],[Land]])</f>
        <v>0</v>
      </c>
      <c r="AK135" s="97">
        <f ca="1">TblProd[[#This Row],[Platinum]]</f>
        <v>819544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50"/>
      <c r="AV135" s="97">
        <f ca="1">ROUND((TblConstr[[#This Row],[Land]]-250 - IF(TblExplore[[#This Row],[Land Bonus]]&lt;&gt;0,20,0))*1.25 + 850 + 0,0)</f>
        <v>850</v>
      </c>
      <c r="AW135" s="97">
        <f ca="1">ROUND((TblConstr[[#This Row],[Land]]-250 - IF(TblExplore[[#This Row],[Land Bonus]]&lt;&gt;0,20,0))*0.285 + 87.5 + 0/4.25,0)</f>
        <v>88</v>
      </c>
      <c r="AX135" s="162"/>
      <c r="AY135" s="196" cm="1">
        <f t="array" aca="1" ref="AY135" ca="1">IF(TblConstr[[#This Row],[Hour]:[Hour]]&gt;12,OFFSET(TblConstr[[#This Row],[Hom]],-12,0),0)+OFFSET(TblConstr[[#This Row],[Tot Hom]],-1,0)-TblConstr[[#This Row],[Dest Hom]]</f>
        <v>10</v>
      </c>
      <c r="AZ135" s="197" cm="1">
        <f t="array" aca="1" ref="AZ135" ca="1">IF(TblConstr[[#This Row],[Hour]:[Hour]]&gt;12,OFFSET(TblConstr[[#This Row],[Alc]],-12,0),0)+OFFSET(TblConstr[[#This Row],[Tot Alc]],-1,0)-TblConstr[[#This Row],[Dest Alc]]</f>
        <v>30</v>
      </c>
      <c r="BA135" s="197" cm="1">
        <f t="array" aca="1" ref="BA135" ca="1">IF(TblConstr[[#This Row],[Hour]:[Hour]]&gt;12,OFFSET(TblConstr[[#This Row],[Far]],-12,0),0)+OFFSET(TblConstr[[#This Row],[Tot Farm]],-1,0)-TblConstr[[#This Row],[Dest Farm]]</f>
        <v>30</v>
      </c>
      <c r="BB135" s="197" cm="1">
        <f t="array" aca="1" ref="BB135" ca="1">IF(TblConstr[[#This Row],[Hour]:[Hour]]&gt;12,OFFSET(TblConstr[[#This Row],[Smi]],-12,0),0)+OFFSET(TblConstr[[#This Row],[Tot Smi]],-1,0)-TblConstr[[#This Row],[Dest Smi]]</f>
        <v>0</v>
      </c>
      <c r="BC135" s="197" cm="1">
        <f t="array" aca="1" ref="BC135" ca="1">IF(TblConstr[[#This Row],[Hour]:[Hour]]&gt;12,OFFSET(TblConstr[[#This Row],[Mas]],-12,0),0)+OFFSET(TblConstr[[#This Row],[Tot Mas]],-1,0)-TblConstr[[#This Row],[Dest Mas]]</f>
        <v>0</v>
      </c>
      <c r="BD135" s="198" cm="1">
        <f t="array" aca="1" ref="BD135" ca="1">IF(TblConstr[[#This Row],[Hour]:[Hour]]&gt;12,OFFSET(TblConstr[[#This Row],[Ly]],-12,0),0)+OFFSET(TblConstr[[#This Row],[Tot Ly]],-1,0)-TblConstr[[#This Row],[Dest Ly]]</f>
        <v>20</v>
      </c>
      <c r="BE135" s="198" cm="1">
        <f t="array" aca="1" ref="BE135" ca="1">IF(TblConstr[[#This Row],[Hour]:[Hour]]&gt;12,OFFSET(TblConstr[[#This Row],[Hav]],-12,0),0)+OFFSET(TblConstr[[#This Row],[Tot Hav]],-1,0)-TblConstr[[#This Row],[Dest Hav]]</f>
        <v>0</v>
      </c>
      <c r="BF135" s="392" cm="1">
        <f t="array" aca="1" ref="BF135" ca="1">IF(TblConstr[[#This Row],[Hour]:[Hour]]&gt;12,OFFSET(TblConstr[[#This Row],[OM]],-12,0),0)+OFFSET(TblConstr[[#This Row],[Tot OM]],-1,0)-TblConstr[[#This Row],[Dest OM]]</f>
        <v>0</v>
      </c>
      <c r="BG135" s="392" cm="1">
        <f t="array" aca="1" ref="BG135" ca="1">IF(TblConstr[[#This Row],[Hour]:[Hour]]&gt;12,OFFSET(TblConstr[[#This Row],[GN]],-12,0),0)+OFFSET(TblConstr[[#This Row],[Tot GN]],-1,0)-TblConstr[[#This Row],[Dest GN]]</f>
        <v>0</v>
      </c>
      <c r="BH135" s="396" cm="1">
        <f t="array" aca="1" ref="BH135" ca="1">IF(TblConstr[[#This Row],[Hour]:[Hour]]&gt;12,OFFSET(TblConstr[[#This Row],[Fac]],-12,0),0)+OFFSET(TblConstr[[#This Row],[Tot Fac]],-1,0)-TblConstr[[#This Row],[Dest Fac]]</f>
        <v>0</v>
      </c>
      <c r="BI135" s="396" cm="1">
        <f t="array" aca="1" ref="BI135" ca="1">IF(TblConstr[[#This Row],[Hour]:[Hour]]&gt;12,OFFSET(TblConstr[[#This Row],[GT]],-12,0),0)+OFFSET(TblConstr[[#This Row],[Tot GT]],-1,0)-TblConstr[[#This Row],[Dest GT]]</f>
        <v>0</v>
      </c>
      <c r="BJ135" s="396" cm="1">
        <f t="array" aca="1" ref="BJ135" ca="1">IF(TblConstr[[#This Row],[Hour]:[Hour]]&gt;12,OFFSET(TblConstr[[#This Row],[Bar]],-12,0),0)+OFFSET(TblConstr[[#This Row],[Tot Bar]],-1,0)-TblConstr[[#This Row],[Dest Bar]]</f>
        <v>0</v>
      </c>
      <c r="BK135" s="396" cm="1">
        <f t="array" aca="1" ref="BK135" ca="1">IF(TblConstr[[#This Row],[Hour]:[Hour]]&gt;12,OFFSET(TblConstr[[#This Row],[Shr]],-12,0),0)+OFFSET(TblConstr[[#This Row],[Tot Shr]],-1,0)-TblConstr[[#This Row],[Dest Shr]]</f>
        <v>0</v>
      </c>
      <c r="BL135" s="400" cm="1">
        <f t="array" aca="1" ref="BL135" ca="1">IF(TblConstr[[#This Row],[Hour]:[Hour]]&gt;12,OFFSET(TblConstr[[#This Row],[Tow]],-12,0),0)+OFFSET(TblConstr[[#This Row],[Tot Tow]],-1,0)-TblConstr[[#This Row],[Dest Tow]]</f>
        <v>0</v>
      </c>
      <c r="BM135" s="400" cm="1">
        <f t="array" aca="1" ref="BM135" ca="1">IF(TblConstr[[#This Row],[Hour]:[Hour]]&gt;12,OFFSET(TblConstr[[#This Row],[Tem]],-12,0),0)+OFFSET(TblConstr[[#This Row],[Tot Tem]],-1,0)-TblConstr[[#This Row],[Dest Tem]]</f>
        <v>0</v>
      </c>
      <c r="BN135" s="400" cm="1">
        <f t="array" aca="1" ref="BN135" ca="1">IF(TblConstr[[#This Row],[Hour]:[Hour]]&gt;12,OFFSET(TblConstr[[#This Row],[WG]],-12,0),0)+OFFSET(TblConstr[[#This Row],[Tot WG]],-1,0)-TblConstr[[#This Row],[Dest WG]]</f>
        <v>0</v>
      </c>
      <c r="BO135" s="199" cm="1">
        <f t="array" aca="1" ref="BO135" ca="1">IF(TblConstr[[#This Row],[Hour]:[Hour]]&gt;12,OFFSET(TblConstr[[#This Row],[DM]],-12,0),0)+OFFSET(TblConstr[[#This Row],[Tot DM]],-1,0)-TblConstr[[#This Row],[Dest DM]]</f>
        <v>0</v>
      </c>
      <c r="BP135" s="199" cm="1">
        <f t="array" aca="1" ref="BP135" ca="1">IF(TblConstr[[#This Row],[Hour]:[Hour]]&gt;12,OFFSET(TblConstr[[#This Row],[Sch]],-12,0),0)+OFFSET(TblConstr[[#This Row],[Tot Sch]],-1,0)-TblConstr[[#This Row],[Dest Sch]]</f>
        <v>0</v>
      </c>
      <c r="BQ135" s="200" cm="1">
        <f t="array" aca="1" ref="BQ135" ca="1">IF(TblConstr[[#This Row],[Hour]:[Hour]]&gt;12,OFFSET(TblConstr[[#This Row],[Doc]],-12,0),0)+OFFSET(TblConstr[[#This Row],[Tot Doc]],-1,0)-TblConstr[[#This Row],[Dest Doc]]</f>
        <v>0</v>
      </c>
      <c r="BR135" s="150"/>
      <c r="BS135" s="162"/>
      <c r="BT135" s="97">
        <f ca="1">TblConstr[[#This Row],[Land]]</f>
        <v>250</v>
      </c>
      <c r="BU135" s="167">
        <f ca="1">TblImps[[#This Row],[Time]]</f>
        <v>44816.208333333016</v>
      </c>
      <c r="BV135" s="150"/>
      <c r="BW135" s="187"/>
      <c r="BX135" s="187"/>
      <c r="BY135" s="187"/>
      <c r="BZ135" s="187"/>
      <c r="CA135" s="187"/>
      <c r="CB135" s="187"/>
      <c r="CC135" s="187"/>
      <c r="CD135" s="187"/>
      <c r="CE135" s="187"/>
      <c r="CF135" s="187"/>
      <c r="CG135" s="187"/>
      <c r="CH135" s="187"/>
      <c r="CI135" s="187"/>
      <c r="CJ135" s="187"/>
      <c r="CK135" s="187"/>
      <c r="CL135" s="187"/>
      <c r="CM135" s="187"/>
      <c r="CN135" s="187"/>
      <c r="CO135" s="187"/>
      <c r="CP135" s="150"/>
      <c r="CQ135" s="189">
        <f ca="1">-SUM(TblConstr[[#This Row],[Alc]:[Mas]])+SUM(TblConstr[[#This Row],[Dest Alc]:[Dest Mas]])+Rezone!L135+IF("Ch_"&amp; home_land=TblConstr[[#Headers],[Ch_Plain]],TblConstr[[#This Row],[Home Land]])+IF(TblConstr[[#This Row],[Hour]:[Hour]]&gt;12,OFFSET(TblExplore[[#This Row],[Plains Explore]],-12,0),0)</f>
        <v>0</v>
      </c>
      <c r="CR135" s="190">
        <f ca="1">-SUM(TblConstr[[#This Row],[Ly]:[Hav]])+SUM(TblConstr[[#This Row],[Dest Ly]:[Dest Hav]]) +Rezone!M135 + IF("Ch_"&amp; home_land=TblConstr[[#Headers],[Ch_Forest]],TblConstr[[#This Row],[Home Land]])+IF(TblConstr[[#This Row],[Hour]:[Hour]]&gt;12,OFFSET(TblExplore[[#This Row],[Forest Explore]],-12,0),0)</f>
        <v>0</v>
      </c>
      <c r="CS135" s="390">
        <f ca="1">-SUM(TblConstr[[#This Row],[OM]:[GN]])+SUM(TblConstr[[#This Row],[Dest OM]:[Dest GN]]) +Rezone!N135 + IF("Ch_"&amp; home_land=TblConstr[[#Headers],[Ch_Mountain]],TblConstr[[#This Row],[Home Land]])+IF(TblConstr[[#This Row],[Hour]:[Hour]]&gt;12,OFFSET(TblExplore[[#This Row],[Mountain Explore]],-12,0),0)</f>
        <v>0</v>
      </c>
      <c r="CT135" s="191">
        <f ca="1">-SUM(TblConstr[[#This Row],[Fac]:[Shr]])+SUM(TblConstr[[#This Row],[Dest Fac]:[Dest Shr]]) +Rezone!O135 + IF("Ch_" &amp; home_land=TblConstr[[#Headers],[Ch_Hill]],TblConstr[[#This Row],[Home Land]])+IF(TblConstr[[#This Row],[Hour]:[Hour]]&gt;12,OFFSET(TblExplore[[#This Row],[Hill Explore]],-12,0),0)</f>
        <v>0</v>
      </c>
      <c r="CU135" s="192">
        <f ca="1">-SUM(TblConstr[[#This Row],[Tow]:[WG]])+SUM(TblConstr[[#This Row],[Dest Tow]:[Dest WG]]) +Rezone!P135 + IF("Ch_" &amp; home_land=TblConstr[[#Headers],[Ch_Swamp]],TblConstr[[#This Row],[Home Land]])+IF(TblConstr[[#This Row],[Hour]:[Hour]]&gt;12,OFFSET(TblExplore[[#This Row],[Swamp Explore]],-12,0),0)</f>
        <v>0</v>
      </c>
      <c r="CV135" s="193">
        <f ca="1" xml:space="preserve"> - SUM(TblConstr[[#This Row],[DM]:[Sch]])+SUM(TblConstr[[#This Row],[Dest DM]:[Dest Sch]]) +Rezone!Q135 + IF("Ch_" &amp; home_land=TblConstr[[#Headers],[Ch_Cavern]],TblConstr[[#This Row],[Home Land]])+IF(TblConstr[[#This Row],[Hour]:[Hour]]&gt;12,OFFSET(TblExplore[[#This Row],[Cavern Explore]],-12,0),0)</f>
        <v>0</v>
      </c>
      <c r="CW135" s="194">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50"/>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83">
        <f>TblRezone[[#This Row],[Hour]]</f>
        <v>133</v>
      </c>
      <c r="B136" s="184">
        <f ca="1">SUM(TblConstr[[#This Row],[Plain]:[Water]])</f>
        <v>160</v>
      </c>
      <c r="C136" s="185">
        <f ca="1">SUM(TblConstr[[#This Row],[Tot Hom]:[Tot Doc]])</f>
        <v>90</v>
      </c>
      <c r="D136" s="185">
        <f>SUM(O125:AG136)</f>
        <v>0</v>
      </c>
      <c r="E136" s="186"/>
      <c r="F136" s="62">
        <f ca="1">TblConstr[[#This Row],[Barren]]+TblConstr[[#This Row],[Buildings]]+TblConstr[[#This Row],[Incoming]]</f>
        <v>250</v>
      </c>
      <c r="G136" s="195">
        <f ca="1">OFFSET(TblConstr[[#This Row],[Plain]],-1,0)+TblConstr[[#This Row],[Ch_Plain]]</f>
        <v>40</v>
      </c>
      <c r="H136" s="190">
        <f ca="1">OFFSET(TblConstr[[#This Row],[Forest]],-1,0)+TblConstr[[#This Row],[Ch_Forest]]</f>
        <v>20</v>
      </c>
      <c r="I136" s="390">
        <f ca="1">OFFSET(TblConstr[[#This Row],[Mountain]],-1,0)+TblConstr[[#This Row],[Ch_Mountain]]</f>
        <v>20</v>
      </c>
      <c r="J136" s="394">
        <f ca="1">OFFSET(TblConstr[[#This Row],[Hill]],-1,0)+TblConstr[[#This Row],[Ch_Hill]]</f>
        <v>20</v>
      </c>
      <c r="K136" s="398">
        <f ca="1">OFFSET(TblConstr[[#This Row],[Swamp]],-1,0)+TblConstr[[#This Row],[Ch_Swamp]]</f>
        <v>20</v>
      </c>
      <c r="L136" s="193">
        <f ca="1">OFFSET(TblConstr[[#This Row],[Cavern]],-1,0)+TblConstr[[#This Row],[Ch_Cavern]]</f>
        <v>20</v>
      </c>
      <c r="M136" s="194">
        <f ca="1">OFFSET(TblConstr[[#This Row],[Water]],-1,0)+TblConstr[[#This Row],[Ch_Water]]</f>
        <v>20</v>
      </c>
      <c r="N136" s="388">
        <f>TblRezone[[#This Row],[Hour]]</f>
        <v>133</v>
      </c>
      <c r="O136" s="187"/>
      <c r="P136" s="187"/>
      <c r="Q136" s="187"/>
      <c r="R136" s="187"/>
      <c r="S136" s="187"/>
      <c r="T136" s="187"/>
      <c r="U136" s="187"/>
      <c r="V136" s="187"/>
      <c r="W136" s="187"/>
      <c r="X136" s="187"/>
      <c r="Y136" s="187"/>
      <c r="Z136" s="187"/>
      <c r="AA136" s="187"/>
      <c r="AB136" s="187"/>
      <c r="AC136" s="187"/>
      <c r="AD136" s="187"/>
      <c r="AE136" s="187"/>
      <c r="AF136" s="187"/>
      <c r="AG136" s="187"/>
      <c r="AH136" s="53">
        <f ca="1">TblImps[[#This Row],[Time]]</f>
        <v>44816.24999999968</v>
      </c>
      <c r="AI136" s="188">
        <f ca="1">MIN(25%,(TblConstr[[#This Row],[Tot Fac]]+TblConstr[[#This Row],[Dest Fac]])/(TblConstr[[#This Row],[Land]]-TblExplore[[#This Row],[Land Bonus]]*20))</f>
        <v>0</v>
      </c>
      <c r="AJ136" s="188">
        <f ca="1">MIN(25%,(TblConstr[[#This Row],[Tot Fac]]+TblConstr[[#This Row],[Dest Fac]])/TblConstr[[#This Row],[Land]])</f>
        <v>0</v>
      </c>
      <c r="AK136" s="97">
        <f ca="1">TblProd[[#This Row],[Platinum]]</f>
        <v>825030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50"/>
      <c r="AV136" s="97">
        <f ca="1">ROUND((TblConstr[[#This Row],[Land]]-250 - IF(TblExplore[[#This Row],[Land Bonus]]&lt;&gt;0,20,0))*1.25 + 850 + 0,0)</f>
        <v>850</v>
      </c>
      <c r="AW136" s="97">
        <f ca="1">ROUND((TblConstr[[#This Row],[Land]]-250 - IF(TblExplore[[#This Row],[Land Bonus]]&lt;&gt;0,20,0))*0.285 + 87.5 + 0/4.25,0)</f>
        <v>88</v>
      </c>
      <c r="AX136" s="162"/>
      <c r="AY136" s="196" cm="1">
        <f t="array" aca="1" ref="AY136" ca="1">IF(TblConstr[[#This Row],[Hour]:[Hour]]&gt;12,OFFSET(TblConstr[[#This Row],[Hom]],-12,0),0)+OFFSET(TblConstr[[#This Row],[Tot Hom]],-1,0)-TblConstr[[#This Row],[Dest Hom]]</f>
        <v>10</v>
      </c>
      <c r="AZ136" s="197" cm="1">
        <f t="array" aca="1" ref="AZ136" ca="1">IF(TblConstr[[#This Row],[Hour]:[Hour]]&gt;12,OFFSET(TblConstr[[#This Row],[Alc]],-12,0),0)+OFFSET(TblConstr[[#This Row],[Tot Alc]],-1,0)-TblConstr[[#This Row],[Dest Alc]]</f>
        <v>30</v>
      </c>
      <c r="BA136" s="197" cm="1">
        <f t="array" aca="1" ref="BA136" ca="1">IF(TblConstr[[#This Row],[Hour]:[Hour]]&gt;12,OFFSET(TblConstr[[#This Row],[Far]],-12,0),0)+OFFSET(TblConstr[[#This Row],[Tot Farm]],-1,0)-TblConstr[[#This Row],[Dest Farm]]</f>
        <v>30</v>
      </c>
      <c r="BB136" s="197" cm="1">
        <f t="array" aca="1" ref="BB136" ca="1">IF(TblConstr[[#This Row],[Hour]:[Hour]]&gt;12,OFFSET(TblConstr[[#This Row],[Smi]],-12,0),0)+OFFSET(TblConstr[[#This Row],[Tot Smi]],-1,0)-TblConstr[[#This Row],[Dest Smi]]</f>
        <v>0</v>
      </c>
      <c r="BC136" s="197" cm="1">
        <f t="array" aca="1" ref="BC136" ca="1">IF(TblConstr[[#This Row],[Hour]:[Hour]]&gt;12,OFFSET(TblConstr[[#This Row],[Mas]],-12,0),0)+OFFSET(TblConstr[[#This Row],[Tot Mas]],-1,0)-TblConstr[[#This Row],[Dest Mas]]</f>
        <v>0</v>
      </c>
      <c r="BD136" s="198" cm="1">
        <f t="array" aca="1" ref="BD136" ca="1">IF(TblConstr[[#This Row],[Hour]:[Hour]]&gt;12,OFFSET(TblConstr[[#This Row],[Ly]],-12,0),0)+OFFSET(TblConstr[[#This Row],[Tot Ly]],-1,0)-TblConstr[[#This Row],[Dest Ly]]</f>
        <v>20</v>
      </c>
      <c r="BE136" s="198" cm="1">
        <f t="array" aca="1" ref="BE136" ca="1">IF(TblConstr[[#This Row],[Hour]:[Hour]]&gt;12,OFFSET(TblConstr[[#This Row],[Hav]],-12,0),0)+OFFSET(TblConstr[[#This Row],[Tot Hav]],-1,0)-TblConstr[[#This Row],[Dest Hav]]</f>
        <v>0</v>
      </c>
      <c r="BF136" s="392" cm="1">
        <f t="array" aca="1" ref="BF136" ca="1">IF(TblConstr[[#This Row],[Hour]:[Hour]]&gt;12,OFFSET(TblConstr[[#This Row],[OM]],-12,0),0)+OFFSET(TblConstr[[#This Row],[Tot OM]],-1,0)-TblConstr[[#This Row],[Dest OM]]</f>
        <v>0</v>
      </c>
      <c r="BG136" s="392" cm="1">
        <f t="array" aca="1" ref="BG136" ca="1">IF(TblConstr[[#This Row],[Hour]:[Hour]]&gt;12,OFFSET(TblConstr[[#This Row],[GN]],-12,0),0)+OFFSET(TblConstr[[#This Row],[Tot GN]],-1,0)-TblConstr[[#This Row],[Dest GN]]</f>
        <v>0</v>
      </c>
      <c r="BH136" s="396" cm="1">
        <f t="array" aca="1" ref="BH136" ca="1">IF(TblConstr[[#This Row],[Hour]:[Hour]]&gt;12,OFFSET(TblConstr[[#This Row],[Fac]],-12,0),0)+OFFSET(TblConstr[[#This Row],[Tot Fac]],-1,0)-TblConstr[[#This Row],[Dest Fac]]</f>
        <v>0</v>
      </c>
      <c r="BI136" s="396" cm="1">
        <f t="array" aca="1" ref="BI136" ca="1">IF(TblConstr[[#This Row],[Hour]:[Hour]]&gt;12,OFFSET(TblConstr[[#This Row],[GT]],-12,0),0)+OFFSET(TblConstr[[#This Row],[Tot GT]],-1,0)-TblConstr[[#This Row],[Dest GT]]</f>
        <v>0</v>
      </c>
      <c r="BJ136" s="396" cm="1">
        <f t="array" aca="1" ref="BJ136" ca="1">IF(TblConstr[[#This Row],[Hour]:[Hour]]&gt;12,OFFSET(TblConstr[[#This Row],[Bar]],-12,0),0)+OFFSET(TblConstr[[#This Row],[Tot Bar]],-1,0)-TblConstr[[#This Row],[Dest Bar]]</f>
        <v>0</v>
      </c>
      <c r="BK136" s="396" cm="1">
        <f t="array" aca="1" ref="BK136" ca="1">IF(TblConstr[[#This Row],[Hour]:[Hour]]&gt;12,OFFSET(TblConstr[[#This Row],[Shr]],-12,0),0)+OFFSET(TblConstr[[#This Row],[Tot Shr]],-1,0)-TblConstr[[#This Row],[Dest Shr]]</f>
        <v>0</v>
      </c>
      <c r="BL136" s="400" cm="1">
        <f t="array" aca="1" ref="BL136" ca="1">IF(TblConstr[[#This Row],[Hour]:[Hour]]&gt;12,OFFSET(TblConstr[[#This Row],[Tow]],-12,0),0)+OFFSET(TblConstr[[#This Row],[Tot Tow]],-1,0)-TblConstr[[#This Row],[Dest Tow]]</f>
        <v>0</v>
      </c>
      <c r="BM136" s="400" cm="1">
        <f t="array" aca="1" ref="BM136" ca="1">IF(TblConstr[[#This Row],[Hour]:[Hour]]&gt;12,OFFSET(TblConstr[[#This Row],[Tem]],-12,0),0)+OFFSET(TblConstr[[#This Row],[Tot Tem]],-1,0)-TblConstr[[#This Row],[Dest Tem]]</f>
        <v>0</v>
      </c>
      <c r="BN136" s="400" cm="1">
        <f t="array" aca="1" ref="BN136" ca="1">IF(TblConstr[[#This Row],[Hour]:[Hour]]&gt;12,OFFSET(TblConstr[[#This Row],[WG]],-12,0),0)+OFFSET(TblConstr[[#This Row],[Tot WG]],-1,0)-TblConstr[[#This Row],[Dest WG]]</f>
        <v>0</v>
      </c>
      <c r="BO136" s="199" cm="1">
        <f t="array" aca="1" ref="BO136" ca="1">IF(TblConstr[[#This Row],[Hour]:[Hour]]&gt;12,OFFSET(TblConstr[[#This Row],[DM]],-12,0),0)+OFFSET(TblConstr[[#This Row],[Tot DM]],-1,0)-TblConstr[[#This Row],[Dest DM]]</f>
        <v>0</v>
      </c>
      <c r="BP136" s="199" cm="1">
        <f t="array" aca="1" ref="BP136" ca="1">IF(TblConstr[[#This Row],[Hour]:[Hour]]&gt;12,OFFSET(TblConstr[[#This Row],[Sch]],-12,0),0)+OFFSET(TblConstr[[#This Row],[Tot Sch]],-1,0)-TblConstr[[#This Row],[Dest Sch]]</f>
        <v>0</v>
      </c>
      <c r="BQ136" s="200" cm="1">
        <f t="array" aca="1" ref="BQ136" ca="1">IF(TblConstr[[#This Row],[Hour]:[Hour]]&gt;12,OFFSET(TblConstr[[#This Row],[Doc]],-12,0),0)+OFFSET(TblConstr[[#This Row],[Tot Doc]],-1,0)-TblConstr[[#This Row],[Dest Doc]]</f>
        <v>0</v>
      </c>
      <c r="BR136" s="150"/>
      <c r="BS136" s="162"/>
      <c r="BT136" s="97">
        <f ca="1">TblConstr[[#This Row],[Land]]</f>
        <v>250</v>
      </c>
      <c r="BU136" s="167">
        <f ca="1">TblImps[[#This Row],[Time]]</f>
        <v>44816.24999999968</v>
      </c>
      <c r="BV136" s="150"/>
      <c r="BW136" s="187"/>
      <c r="BX136" s="187"/>
      <c r="BY136" s="187"/>
      <c r="BZ136" s="187"/>
      <c r="CA136" s="187"/>
      <c r="CB136" s="187"/>
      <c r="CC136" s="187"/>
      <c r="CD136" s="187"/>
      <c r="CE136" s="187"/>
      <c r="CF136" s="187"/>
      <c r="CG136" s="187"/>
      <c r="CH136" s="187"/>
      <c r="CI136" s="187"/>
      <c r="CJ136" s="187"/>
      <c r="CK136" s="187"/>
      <c r="CL136" s="187"/>
      <c r="CM136" s="187"/>
      <c r="CN136" s="187"/>
      <c r="CO136" s="187"/>
      <c r="CP136" s="150"/>
      <c r="CQ136" s="189">
        <f ca="1">-SUM(TblConstr[[#This Row],[Alc]:[Mas]])+SUM(TblConstr[[#This Row],[Dest Alc]:[Dest Mas]])+Rezone!L136+IF("Ch_"&amp; home_land=TblConstr[[#Headers],[Ch_Plain]],TblConstr[[#This Row],[Home Land]])+IF(TblConstr[[#This Row],[Hour]:[Hour]]&gt;12,OFFSET(TblExplore[[#This Row],[Plains Explore]],-12,0),0)</f>
        <v>0</v>
      </c>
      <c r="CR136" s="190">
        <f ca="1">-SUM(TblConstr[[#This Row],[Ly]:[Hav]])+SUM(TblConstr[[#This Row],[Dest Ly]:[Dest Hav]]) +Rezone!M136 + IF("Ch_"&amp; home_land=TblConstr[[#Headers],[Ch_Forest]],TblConstr[[#This Row],[Home Land]])+IF(TblConstr[[#This Row],[Hour]:[Hour]]&gt;12,OFFSET(TblExplore[[#This Row],[Forest Explore]],-12,0),0)</f>
        <v>0</v>
      </c>
      <c r="CS136" s="390">
        <f ca="1">-SUM(TblConstr[[#This Row],[OM]:[GN]])+SUM(TblConstr[[#This Row],[Dest OM]:[Dest GN]]) +Rezone!N136 + IF("Ch_"&amp; home_land=TblConstr[[#Headers],[Ch_Mountain]],TblConstr[[#This Row],[Home Land]])+IF(TblConstr[[#This Row],[Hour]:[Hour]]&gt;12,OFFSET(TblExplore[[#This Row],[Mountain Explore]],-12,0),0)</f>
        <v>0</v>
      </c>
      <c r="CT136" s="191">
        <f ca="1">-SUM(TblConstr[[#This Row],[Fac]:[Shr]])+SUM(TblConstr[[#This Row],[Dest Fac]:[Dest Shr]]) +Rezone!O136 + IF("Ch_" &amp; home_land=TblConstr[[#Headers],[Ch_Hill]],TblConstr[[#This Row],[Home Land]])+IF(TblConstr[[#This Row],[Hour]:[Hour]]&gt;12,OFFSET(TblExplore[[#This Row],[Hill Explore]],-12,0),0)</f>
        <v>0</v>
      </c>
      <c r="CU136" s="192">
        <f ca="1">-SUM(TblConstr[[#This Row],[Tow]:[WG]])+SUM(TblConstr[[#This Row],[Dest Tow]:[Dest WG]]) +Rezone!P136 + IF("Ch_" &amp; home_land=TblConstr[[#Headers],[Ch_Swamp]],TblConstr[[#This Row],[Home Land]])+IF(TblConstr[[#This Row],[Hour]:[Hour]]&gt;12,OFFSET(TblExplore[[#This Row],[Swamp Explore]],-12,0),0)</f>
        <v>0</v>
      </c>
      <c r="CV136" s="193">
        <f ca="1" xml:space="preserve"> - SUM(TblConstr[[#This Row],[DM]:[Sch]])+SUM(TblConstr[[#This Row],[Dest DM]:[Dest Sch]]) +Rezone!Q136 + IF("Ch_" &amp; home_land=TblConstr[[#Headers],[Ch_Cavern]],TblConstr[[#This Row],[Home Land]])+IF(TblConstr[[#This Row],[Hour]:[Hour]]&gt;12,OFFSET(TblExplore[[#This Row],[Cavern Explore]],-12,0),0)</f>
        <v>0</v>
      </c>
      <c r="CW136" s="194">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50"/>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5" t="s">
        <v>321</v>
      </c>
      <c r="B1269" s="448"/>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6" priority="67" stopIfTrue="1">
      <formula>XEZ137&lt;0</formula>
    </cfRule>
  </conditionalFormatting>
  <conditionalFormatting sqref="A137:D1268 A1271:D65537 F1271:H65537 F137:H1268">
    <cfRule type="expression" dxfId="715" priority="68" stopIfTrue="1">
      <formula>XEV137&lt;0</formula>
    </cfRule>
  </conditionalFormatting>
  <conditionalFormatting sqref="E1271:E65537 E137:E1268">
    <cfRule type="expression" dxfId="714" priority="69" stopIfTrue="1">
      <formula>XEU137&lt;0</formula>
    </cfRule>
  </conditionalFormatting>
  <conditionalFormatting sqref="DI1271:DJ52023 O1271:AG52052 O137:AG1268 BV1271:DH52052 BV137:DJ1268">
    <cfRule type="expression" dxfId="713" priority="70" stopIfTrue="1">
      <formula>ROW()-2=#REF!</formula>
    </cfRule>
  </conditionalFormatting>
  <conditionalFormatting sqref="A1269:AG1270 BV1269:DJ1270">
    <cfRule type="expression" dxfId="712" priority="71" stopIfTrue="1">
      <formula>$A$1270&gt;144</formula>
    </cfRule>
  </conditionalFormatting>
  <conditionalFormatting sqref="K1271:L65537 K137:L1268">
    <cfRule type="expression" dxfId="711" priority="89" stopIfTrue="1">
      <formula>A137&lt;0</formula>
    </cfRule>
  </conditionalFormatting>
  <conditionalFormatting sqref="AY4:BQ136">
    <cfRule type="expression" dxfId="710" priority="1" stopIfTrue="1">
      <formula>OR(AY4&lt;0,ROW()-3=$A$1270)</formula>
    </cfRule>
  </conditionalFormatting>
  <conditionalFormatting sqref="I1271:J65537 I137:J1268">
    <cfRule type="expression" dxfId="709" priority="92" stopIfTrue="1">
      <formula>A137&lt;0</formula>
    </cfRule>
  </conditionalFormatting>
  <conditionalFormatting sqref="A4:DJ136">
    <cfRule type="expression" dxfId="708" priority="7" stopIfTrue="1">
      <formula>ROW()-3=$A$1270</formula>
    </cfRule>
    <cfRule type="expression" dxfId="707" priority="130">
      <formula>$A4=73</formula>
    </cfRule>
    <cfRule type="expression" dxfId="706" priority="131">
      <formula>ROUND(($A4-1)/12,0)=INT($A4-1)/12</formula>
    </cfRule>
  </conditionalFormatting>
  <conditionalFormatting sqref="A1:XFD3">
    <cfRule type="expression" dxfId="705"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16384" width="3.42578125" style="45"/>
  </cols>
  <sheetData>
    <row r="1" spans="1:36" s="5" customFormat="1" x14ac:dyDescent="0.2">
      <c r="A1" s="28"/>
      <c r="B1" s="28"/>
      <c r="D1" s="5" t="s">
        <v>54</v>
      </c>
      <c r="K1" s="224"/>
      <c r="L1" s="499" t="s">
        <v>306</v>
      </c>
      <c r="M1" s="448"/>
      <c r="N1" s="448"/>
      <c r="O1" s="448"/>
      <c r="P1" s="448"/>
      <c r="Q1" s="448"/>
      <c r="R1" s="28"/>
      <c r="S1" s="5" t="s">
        <v>360</v>
      </c>
      <c r="T1" s="5" t="s">
        <v>181</v>
      </c>
      <c r="AB1" s="498" t="s">
        <v>77</v>
      </c>
      <c r="AC1" s="498"/>
      <c r="AF1" s="5" t="s">
        <v>33</v>
      </c>
    </row>
    <row r="2" spans="1:36" s="5" customFormat="1" x14ac:dyDescent="0.2">
      <c r="A2" s="28"/>
      <c r="B2" s="28"/>
      <c r="K2" s="224"/>
      <c r="L2" s="225"/>
      <c r="M2" s="226"/>
      <c r="N2" s="45"/>
      <c r="O2" s="45"/>
      <c r="P2" s="45"/>
      <c r="Q2" s="57"/>
      <c r="R2" s="28"/>
    </row>
    <row r="3" spans="1:36" s="143" customFormat="1" ht="15" customHeight="1" x14ac:dyDescent="0.2">
      <c r="A3" s="143" t="s">
        <v>0</v>
      </c>
      <c r="B3" s="143" t="s">
        <v>1</v>
      </c>
      <c r="C3" s="143" t="s">
        <v>791</v>
      </c>
      <c r="D3" s="143" t="s">
        <v>55</v>
      </c>
      <c r="E3" s="143" t="s">
        <v>58</v>
      </c>
      <c r="F3" s="143" t="s">
        <v>1050</v>
      </c>
      <c r="G3" s="143" t="s">
        <v>59</v>
      </c>
      <c r="H3" s="143" t="s">
        <v>60</v>
      </c>
      <c r="I3" s="143" t="s">
        <v>61</v>
      </c>
      <c r="J3" s="143" t="s">
        <v>62</v>
      </c>
      <c r="K3" s="227" t="s">
        <v>898</v>
      </c>
      <c r="L3" s="227" t="s">
        <v>899</v>
      </c>
      <c r="M3" s="227" t="s">
        <v>900</v>
      </c>
      <c r="N3" s="228" t="s">
        <v>189</v>
      </c>
      <c r="O3" s="228" t="s">
        <v>370</v>
      </c>
      <c r="P3" s="228" t="s">
        <v>369</v>
      </c>
      <c r="Q3" s="143" t="s">
        <v>902</v>
      </c>
      <c r="R3" s="143" t="s">
        <v>875</v>
      </c>
      <c r="S3" s="143" t="s">
        <v>903</v>
      </c>
      <c r="T3" s="143" t="s">
        <v>1043</v>
      </c>
      <c r="U3" s="143" t="s">
        <v>1044</v>
      </c>
      <c r="V3" s="143" t="s">
        <v>1045</v>
      </c>
      <c r="W3" s="143" t="s">
        <v>1046</v>
      </c>
      <c r="X3" s="143" t="s">
        <v>1047</v>
      </c>
      <c r="Y3" s="143" t="s">
        <v>1048</v>
      </c>
      <c r="Z3" s="143" t="s">
        <v>1049</v>
      </c>
      <c r="AA3" s="143" t="s">
        <v>316</v>
      </c>
      <c r="AB3" s="143" t="s">
        <v>24</v>
      </c>
      <c r="AC3" s="143" t="s">
        <v>2</v>
      </c>
      <c r="AD3" s="143" t="s">
        <v>792</v>
      </c>
      <c r="AE3" s="143" t="s">
        <v>517</v>
      </c>
      <c r="AF3" s="143" t="s">
        <v>57</v>
      </c>
      <c r="AG3" s="143" t="s">
        <v>183</v>
      </c>
      <c r="AH3" s="143" t="s">
        <v>901</v>
      </c>
      <c r="AI3" s="143" t="s">
        <v>888</v>
      </c>
      <c r="AJ3" s="229" t="s">
        <v>779</v>
      </c>
    </row>
    <row r="4" spans="1:36" x14ac:dyDescent="0.2">
      <c r="A4" s="183">
        <f>TblRezone[[#This Row],[Hour]]</f>
        <v>1</v>
      </c>
      <c r="B4" s="230">
        <f ca="1">TblConstr[[#This Row],[Land]]</f>
        <v>250</v>
      </c>
      <c r="C4" s="231"/>
      <c r="D4" s="232">
        <f ca="1">TblConstr[[#This Row],[Plain]]</f>
        <v>40</v>
      </c>
      <c r="E4" s="190">
        <f ca="1">TblConstr[[#This Row],[Forest]]</f>
        <v>20</v>
      </c>
      <c r="F4" s="390">
        <f ca="1">TblConstr[[#This Row],[Mountain]]</f>
        <v>20</v>
      </c>
      <c r="G4" s="394">
        <f ca="1">TblConstr[[#This Row],[Hill]]</f>
        <v>20</v>
      </c>
      <c r="H4" s="398">
        <f ca="1">TblConstr[[#This Row],[Swamp]]</f>
        <v>20</v>
      </c>
      <c r="I4" s="193">
        <f ca="1">TblConstr[[#This Row],[Cavern]]</f>
        <v>20</v>
      </c>
      <c r="J4" s="194">
        <f ca="1">TblConstr[[#This Row],[Water]]</f>
        <v>20</v>
      </c>
      <c r="K4" s="226"/>
      <c r="L4" s="226"/>
      <c r="M4" s="226"/>
      <c r="N4" s="233">
        <f ca="1">TblMili[[#This Row],[Smithies]]</f>
        <v>0</v>
      </c>
      <c r="O4" s="233">
        <f ca="1">TblPop[[#This Row],[Employment]]</f>
        <v>1</v>
      </c>
      <c r="P4" s="233">
        <f ca="1">TblImps[[#This Row],[Population]]</f>
        <v>0.67854113655640369</v>
      </c>
      <c r="Q4" s="183">
        <f ca="1">TblExplore[[#This Row],[Land]]</f>
        <v>250</v>
      </c>
      <c r="R4" s="183">
        <f>TblExplore[[#This Row],[Hour]]</f>
        <v>1</v>
      </c>
      <c r="S4" s="234"/>
      <c r="T4" s="187"/>
      <c r="U4" s="187"/>
      <c r="V4" s="187"/>
      <c r="W4" s="187"/>
      <c r="X4" s="187"/>
      <c r="Y4" s="187"/>
      <c r="Z4" s="187"/>
      <c r="AA4" s="167">
        <f>TblImps[[#This Row],[Real time]]</f>
        <v>44810.75</v>
      </c>
      <c r="AB4" s="97">
        <f ca="1">TblMili[[#This Row],[Draftees]]</f>
        <v>100</v>
      </c>
      <c r="AC4" s="97">
        <f ca="1">TblProd[[#This Row],[Platinum]]</f>
        <v>100000</v>
      </c>
      <c r="AD4" s="231"/>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83">
        <f>TblRezone[[#This Row],[Hour]]</f>
        <v>2</v>
      </c>
      <c r="B5" s="230">
        <f ca="1">TblConstr[[#This Row],[Land]]</f>
        <v>250</v>
      </c>
      <c r="C5" s="231"/>
      <c r="D5" s="232">
        <f ca="1">TblConstr[[#This Row],[Plain]]</f>
        <v>40</v>
      </c>
      <c r="E5" s="190">
        <f ca="1">TblConstr[[#This Row],[Forest]]</f>
        <v>20</v>
      </c>
      <c r="F5" s="390">
        <f ca="1">TblConstr[[#This Row],[Mountain]]</f>
        <v>20</v>
      </c>
      <c r="G5" s="394">
        <f ca="1">TblConstr[[#This Row],[Hill]]</f>
        <v>20</v>
      </c>
      <c r="H5" s="398">
        <f ca="1">TblConstr[[#This Row],[Swamp]]</f>
        <v>20</v>
      </c>
      <c r="I5" s="193">
        <f ca="1">TblConstr[[#This Row],[Cavern]]</f>
        <v>20</v>
      </c>
      <c r="J5" s="194">
        <f ca="1">TblConstr[[#This Row],[Water]]</f>
        <v>20</v>
      </c>
      <c r="K5" s="226"/>
      <c r="L5" s="226"/>
      <c r="M5" s="226"/>
      <c r="N5" s="233">
        <f ca="1">TblMili[[#This Row],[Smithies]]</f>
        <v>0</v>
      </c>
      <c r="O5" s="233">
        <f ca="1">TblPop[[#This Row],[Employment]]</f>
        <v>1</v>
      </c>
      <c r="P5" s="233">
        <f ca="1">TblImps[[#This Row],[Population]]</f>
        <v>0.69508057675996604</v>
      </c>
      <c r="Q5" s="183">
        <f ca="1">TblExplore[[#This Row],[Land]]</f>
        <v>250</v>
      </c>
      <c r="R5" s="183">
        <f>TblExplore[[#This Row],[Hour]]</f>
        <v>2</v>
      </c>
      <c r="S5" s="234"/>
      <c r="T5" s="187"/>
      <c r="U5" s="187"/>
      <c r="V5" s="187"/>
      <c r="W5" s="187"/>
      <c r="X5" s="187"/>
      <c r="Y5" s="187"/>
      <c r="Z5" s="187"/>
      <c r="AA5" s="167">
        <f ca="1">TblImps[[#This Row],[Real time]]</f>
        <v>44810.791666666664</v>
      </c>
      <c r="AB5" s="97">
        <f ca="1">TblMili[[#This Row],[Draftees]]</f>
        <v>113</v>
      </c>
      <c r="AC5" s="97">
        <f ca="1">TblProd[[#This Row],[Platinum]]</f>
        <v>104860</v>
      </c>
      <c r="AD5" s="231"/>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83">
        <f>TblRezone[[#This Row],[Hour]]</f>
        <v>3</v>
      </c>
      <c r="B6" s="230">
        <f ca="1">TblConstr[[#This Row],[Land]]</f>
        <v>250</v>
      </c>
      <c r="C6" s="231"/>
      <c r="D6" s="232">
        <f ca="1">TblConstr[[#This Row],[Plain]]</f>
        <v>40</v>
      </c>
      <c r="E6" s="190">
        <f ca="1">TblConstr[[#This Row],[Forest]]</f>
        <v>20</v>
      </c>
      <c r="F6" s="390">
        <f ca="1">TblConstr[[#This Row],[Mountain]]</f>
        <v>20</v>
      </c>
      <c r="G6" s="394">
        <f ca="1">TblConstr[[#This Row],[Hill]]</f>
        <v>20</v>
      </c>
      <c r="H6" s="398">
        <f ca="1">TblConstr[[#This Row],[Swamp]]</f>
        <v>20</v>
      </c>
      <c r="I6" s="193">
        <f ca="1">TblConstr[[#This Row],[Cavern]]</f>
        <v>20</v>
      </c>
      <c r="J6" s="194">
        <f ca="1">TblConstr[[#This Row],[Water]]</f>
        <v>20</v>
      </c>
      <c r="K6" s="226"/>
      <c r="L6" s="226"/>
      <c r="M6" s="226"/>
      <c r="N6" s="233">
        <f ca="1">TblMili[[#This Row],[Smithies]]</f>
        <v>0</v>
      </c>
      <c r="O6" s="233">
        <f ca="1">TblPop[[#This Row],[Employment]]</f>
        <v>1</v>
      </c>
      <c r="P6" s="233">
        <f ca="1">TblImps[[#This Row],[Population]]</f>
        <v>0.71162001696352839</v>
      </c>
      <c r="Q6" s="183">
        <f ca="1">TblExplore[[#This Row],[Land]]</f>
        <v>250</v>
      </c>
      <c r="R6" s="183">
        <f>TblExplore[[#This Row],[Hour]]</f>
        <v>3</v>
      </c>
      <c r="S6" s="234"/>
      <c r="T6" s="187"/>
      <c r="U6" s="187"/>
      <c r="V6" s="187"/>
      <c r="W6" s="187"/>
      <c r="X6" s="187"/>
      <c r="Y6" s="187"/>
      <c r="Z6" s="187"/>
      <c r="AA6" s="167">
        <f ca="1">TblImps[[#This Row],[Real time]]</f>
        <v>44810.833333333328</v>
      </c>
      <c r="AB6" s="97">
        <f ca="1">TblMili[[#This Row],[Draftees]]</f>
        <v>126</v>
      </c>
      <c r="AC6" s="97">
        <f ca="1">TblProd[[#This Row],[Platinum]]</f>
        <v>109790</v>
      </c>
      <c r="AD6" s="231"/>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83">
        <f>TblRezone[[#This Row],[Hour]]</f>
        <v>4</v>
      </c>
      <c r="B7" s="230">
        <f ca="1">TblConstr[[#This Row],[Land]]</f>
        <v>250</v>
      </c>
      <c r="C7" s="231"/>
      <c r="D7" s="232">
        <f ca="1">TblConstr[[#This Row],[Plain]]</f>
        <v>40</v>
      </c>
      <c r="E7" s="190">
        <f ca="1">TblConstr[[#This Row],[Forest]]</f>
        <v>20</v>
      </c>
      <c r="F7" s="390">
        <f ca="1">TblConstr[[#This Row],[Mountain]]</f>
        <v>20</v>
      </c>
      <c r="G7" s="394">
        <f ca="1">TblConstr[[#This Row],[Hill]]</f>
        <v>20</v>
      </c>
      <c r="H7" s="398">
        <f ca="1">TblConstr[[#This Row],[Swamp]]</f>
        <v>20</v>
      </c>
      <c r="I7" s="193">
        <f ca="1">TblConstr[[#This Row],[Cavern]]</f>
        <v>20</v>
      </c>
      <c r="J7" s="194">
        <f ca="1">TblConstr[[#This Row],[Water]]</f>
        <v>20</v>
      </c>
      <c r="K7" s="226"/>
      <c r="L7" s="226"/>
      <c r="M7" s="226"/>
      <c r="N7" s="233">
        <f ca="1">TblMili[[#This Row],[Smithies]]</f>
        <v>0</v>
      </c>
      <c r="O7" s="233">
        <f ca="1">TblPop[[#This Row],[Employment]]</f>
        <v>1</v>
      </c>
      <c r="P7" s="233">
        <f ca="1">TblImps[[#This Row],[Population]]</f>
        <v>0.72858354537743852</v>
      </c>
      <c r="Q7" s="183">
        <f ca="1">TblExplore[[#This Row],[Land]]</f>
        <v>250</v>
      </c>
      <c r="R7" s="183">
        <f>TblExplore[[#This Row],[Hour]]</f>
        <v>4</v>
      </c>
      <c r="S7" s="234"/>
      <c r="T7" s="166"/>
      <c r="U7" s="187"/>
      <c r="V7" s="187"/>
      <c r="W7" s="187"/>
      <c r="X7" s="187"/>
      <c r="Y7" s="187"/>
      <c r="Z7" s="187"/>
      <c r="AA7" s="167">
        <f ca="1">TblImps[[#This Row],[Real time]]</f>
        <v>44810.874999999993</v>
      </c>
      <c r="AB7" s="97">
        <f ca="1">TblMili[[#This Row],[Draftees]]</f>
        <v>140</v>
      </c>
      <c r="AC7" s="97">
        <f ca="1">TblProd[[#This Row],[Platinum]]</f>
        <v>114790</v>
      </c>
      <c r="AD7" s="231"/>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83">
        <f>TblRezone[[#This Row],[Hour]]</f>
        <v>5</v>
      </c>
      <c r="B8" s="230">
        <f ca="1">TblConstr[[#This Row],[Land]]</f>
        <v>250</v>
      </c>
      <c r="C8" s="231"/>
      <c r="D8" s="232">
        <f ca="1">TblConstr[[#This Row],[Plain]]</f>
        <v>40</v>
      </c>
      <c r="E8" s="190">
        <f ca="1">TblConstr[[#This Row],[Forest]]</f>
        <v>20</v>
      </c>
      <c r="F8" s="390">
        <f ca="1">TblConstr[[#This Row],[Mountain]]</f>
        <v>20</v>
      </c>
      <c r="G8" s="394">
        <f ca="1">TblConstr[[#This Row],[Hill]]</f>
        <v>20</v>
      </c>
      <c r="H8" s="398">
        <f ca="1">TblConstr[[#This Row],[Swamp]]</f>
        <v>20</v>
      </c>
      <c r="I8" s="193">
        <f ca="1">TblConstr[[#This Row],[Cavern]]</f>
        <v>20</v>
      </c>
      <c r="J8" s="194">
        <f ca="1">TblConstr[[#This Row],[Water]]</f>
        <v>20</v>
      </c>
      <c r="K8" s="226"/>
      <c r="L8" s="226"/>
      <c r="M8" s="226"/>
      <c r="N8" s="233">
        <f ca="1">TblMili[[#This Row],[Smithies]]</f>
        <v>0</v>
      </c>
      <c r="O8" s="233">
        <f ca="1">TblPop[[#This Row],[Employment]]</f>
        <v>1</v>
      </c>
      <c r="P8" s="233">
        <f ca="1">TblImps[[#This Row],[Population]]</f>
        <v>0.74597116200169633</v>
      </c>
      <c r="Q8" s="183">
        <f ca="1">TblExplore[[#This Row],[Land]]</f>
        <v>250</v>
      </c>
      <c r="R8" s="183">
        <f>TblExplore[[#This Row],[Hour]]</f>
        <v>5</v>
      </c>
      <c r="S8" s="234"/>
      <c r="T8" s="166"/>
      <c r="U8" s="187"/>
      <c r="V8" s="187"/>
      <c r="W8" s="187"/>
      <c r="X8" s="187"/>
      <c r="Y8" s="187"/>
      <c r="Z8" s="187"/>
      <c r="AA8" s="167">
        <f ca="1">TblImps[[#This Row],[Real time]]</f>
        <v>44810.916666666657</v>
      </c>
      <c r="AB8" s="97">
        <f ca="1">TblMili[[#This Row],[Draftees]]</f>
        <v>154</v>
      </c>
      <c r="AC8" s="97">
        <f ca="1">TblProd[[#This Row],[Platinum]]</f>
        <v>119860</v>
      </c>
      <c r="AD8" s="231"/>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83">
        <f>TblRezone[[#This Row],[Hour]]</f>
        <v>6</v>
      </c>
      <c r="B9" s="230">
        <f ca="1">TblConstr[[#This Row],[Land]]</f>
        <v>250</v>
      </c>
      <c r="C9" s="231"/>
      <c r="D9" s="232">
        <f ca="1">TblConstr[[#This Row],[Plain]]</f>
        <v>40</v>
      </c>
      <c r="E9" s="190">
        <f ca="1">TblConstr[[#This Row],[Forest]]</f>
        <v>20</v>
      </c>
      <c r="F9" s="390">
        <f ca="1">TblConstr[[#This Row],[Mountain]]</f>
        <v>20</v>
      </c>
      <c r="G9" s="394">
        <f ca="1">TblConstr[[#This Row],[Hill]]</f>
        <v>20</v>
      </c>
      <c r="H9" s="398">
        <f ca="1">TblConstr[[#This Row],[Swamp]]</f>
        <v>20</v>
      </c>
      <c r="I9" s="193">
        <f ca="1">TblConstr[[#This Row],[Cavern]]</f>
        <v>20</v>
      </c>
      <c r="J9" s="194">
        <f ca="1">TblConstr[[#This Row],[Water]]</f>
        <v>20</v>
      </c>
      <c r="K9" s="226"/>
      <c r="L9" s="226"/>
      <c r="M9" s="226"/>
      <c r="N9" s="233">
        <f ca="1">TblMili[[#This Row],[Smithies]]</f>
        <v>0</v>
      </c>
      <c r="O9" s="233">
        <f ca="1">TblPop[[#This Row],[Employment]]</f>
        <v>1</v>
      </c>
      <c r="P9" s="233">
        <f ca="1">TblImps[[#This Row],[Population]]</f>
        <v>0.76378286683630192</v>
      </c>
      <c r="Q9" s="183">
        <f ca="1">TblExplore[[#This Row],[Land]]</f>
        <v>250</v>
      </c>
      <c r="R9" s="183">
        <f>TblExplore[[#This Row],[Hour]]</f>
        <v>6</v>
      </c>
      <c r="S9" s="234"/>
      <c r="T9" s="187"/>
      <c r="U9" s="187"/>
      <c r="V9" s="187"/>
      <c r="W9" s="187"/>
      <c r="X9" s="187"/>
      <c r="Y9" s="187"/>
      <c r="Z9" s="187"/>
      <c r="AA9" s="167">
        <f ca="1">TblImps[[#This Row],[Real time]]</f>
        <v>44810.958333333321</v>
      </c>
      <c r="AB9" s="97">
        <f ca="1">TblMili[[#This Row],[Draftees]]</f>
        <v>168</v>
      </c>
      <c r="AC9" s="97">
        <f ca="1">TblProd[[#This Row],[Platinum]]</f>
        <v>125003</v>
      </c>
      <c r="AD9" s="231"/>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83">
        <f>TblRezone[[#This Row],[Hour]]</f>
        <v>7</v>
      </c>
      <c r="B10" s="230">
        <f ca="1">TblConstr[[#This Row],[Land]]</f>
        <v>250</v>
      </c>
      <c r="C10" s="231"/>
      <c r="D10" s="232">
        <f ca="1">TblConstr[[#This Row],[Plain]]</f>
        <v>40</v>
      </c>
      <c r="E10" s="190">
        <f ca="1">TblConstr[[#This Row],[Forest]]</f>
        <v>20</v>
      </c>
      <c r="F10" s="390">
        <f ca="1">TblConstr[[#This Row],[Mountain]]</f>
        <v>20</v>
      </c>
      <c r="G10" s="394">
        <f ca="1">TblConstr[[#This Row],[Hill]]</f>
        <v>20</v>
      </c>
      <c r="H10" s="398">
        <f ca="1">TblConstr[[#This Row],[Swamp]]</f>
        <v>20</v>
      </c>
      <c r="I10" s="193">
        <f ca="1">TblConstr[[#This Row],[Cavern]]</f>
        <v>20</v>
      </c>
      <c r="J10" s="194">
        <f ca="1">TblConstr[[#This Row],[Water]]</f>
        <v>20</v>
      </c>
      <c r="K10" s="226"/>
      <c r="L10" s="226"/>
      <c r="M10" s="226"/>
      <c r="N10" s="233">
        <f ca="1">TblMili[[#This Row],[Smithies]]</f>
        <v>0</v>
      </c>
      <c r="O10" s="233">
        <f ca="1">TblPop[[#This Row],[Employment]]</f>
        <v>1</v>
      </c>
      <c r="P10" s="233">
        <f ca="1">TblImps[[#This Row],[Population]]</f>
        <v>0.7820186598812553</v>
      </c>
      <c r="Q10" s="183">
        <f ca="1">TblExplore[[#This Row],[Land]]</f>
        <v>250</v>
      </c>
      <c r="R10" s="183">
        <f>TblExplore[[#This Row],[Hour]]</f>
        <v>7</v>
      </c>
      <c r="S10" s="234"/>
      <c r="T10" s="187"/>
      <c r="U10" s="187"/>
      <c r="V10" s="187"/>
      <c r="W10" s="187"/>
      <c r="X10" s="187"/>
      <c r="Y10" s="187"/>
      <c r="Z10" s="187"/>
      <c r="AA10" s="167">
        <f ca="1">TblImps[[#This Row],[Real time]]</f>
        <v>44810.999999999985</v>
      </c>
      <c r="AB10" s="97">
        <f ca="1">TblMili[[#This Row],[Draftees]]</f>
        <v>182</v>
      </c>
      <c r="AC10" s="97">
        <f ca="1">TblProd[[#This Row],[Platinum]]</f>
        <v>130222</v>
      </c>
      <c r="AD10" s="231"/>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83">
        <f>TblRezone[[#This Row],[Hour]]</f>
        <v>8</v>
      </c>
      <c r="B11" s="230">
        <f ca="1">TblConstr[[#This Row],[Land]]</f>
        <v>250</v>
      </c>
      <c r="C11" s="231"/>
      <c r="D11" s="232">
        <f ca="1">TblConstr[[#This Row],[Plain]]</f>
        <v>40</v>
      </c>
      <c r="E11" s="190">
        <f ca="1">TblConstr[[#This Row],[Forest]]</f>
        <v>20</v>
      </c>
      <c r="F11" s="390">
        <f ca="1">TblConstr[[#This Row],[Mountain]]</f>
        <v>20</v>
      </c>
      <c r="G11" s="394">
        <f ca="1">TblConstr[[#This Row],[Hill]]</f>
        <v>20</v>
      </c>
      <c r="H11" s="398">
        <f ca="1">TblConstr[[#This Row],[Swamp]]</f>
        <v>20</v>
      </c>
      <c r="I11" s="193">
        <f ca="1">TblConstr[[#This Row],[Cavern]]</f>
        <v>20</v>
      </c>
      <c r="J11" s="194">
        <f ca="1">TblConstr[[#This Row],[Water]]</f>
        <v>20</v>
      </c>
      <c r="K11" s="226"/>
      <c r="L11" s="226"/>
      <c r="M11" s="226"/>
      <c r="N11" s="233">
        <f ca="1">TblMili[[#This Row],[Smithies]]</f>
        <v>0</v>
      </c>
      <c r="O11" s="233">
        <f ca="1">TblPop[[#This Row],[Employment]]</f>
        <v>1</v>
      </c>
      <c r="P11" s="233">
        <f ca="1">TblImps[[#This Row],[Population]]</f>
        <v>0.80025445292620867</v>
      </c>
      <c r="Q11" s="183">
        <f ca="1">TblExplore[[#This Row],[Land]]</f>
        <v>250</v>
      </c>
      <c r="R11" s="183">
        <f>TblExplore[[#This Row],[Hour]]</f>
        <v>8</v>
      </c>
      <c r="S11" s="234"/>
      <c r="T11" s="187"/>
      <c r="U11" s="187"/>
      <c r="V11" s="187"/>
      <c r="W11" s="187"/>
      <c r="X11" s="187"/>
      <c r="Y11" s="187"/>
      <c r="Z11" s="187"/>
      <c r="AA11" s="167">
        <f ca="1">TblImps[[#This Row],[Real time]]</f>
        <v>44811.04166666665</v>
      </c>
      <c r="AB11" s="97">
        <f ca="1">TblMili[[#This Row],[Draftees]]</f>
        <v>197</v>
      </c>
      <c r="AC11" s="97">
        <f ca="1">TblProd[[#This Row],[Platinum]]</f>
        <v>135519</v>
      </c>
      <c r="AD11" s="231"/>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83">
        <f>TblRezone[[#This Row],[Hour]]</f>
        <v>9</v>
      </c>
      <c r="B12" s="230">
        <f ca="1">TblConstr[[#This Row],[Land]]</f>
        <v>250</v>
      </c>
      <c r="C12" s="231"/>
      <c r="D12" s="232">
        <f ca="1">TblConstr[[#This Row],[Plain]]</f>
        <v>40</v>
      </c>
      <c r="E12" s="190">
        <f ca="1">TblConstr[[#This Row],[Forest]]</f>
        <v>20</v>
      </c>
      <c r="F12" s="390">
        <f ca="1">TblConstr[[#This Row],[Mountain]]</f>
        <v>20</v>
      </c>
      <c r="G12" s="394">
        <f ca="1">TblConstr[[#This Row],[Hill]]</f>
        <v>20</v>
      </c>
      <c r="H12" s="398">
        <f ca="1">TblConstr[[#This Row],[Swamp]]</f>
        <v>20</v>
      </c>
      <c r="I12" s="193">
        <f ca="1">TblConstr[[#This Row],[Cavern]]</f>
        <v>20</v>
      </c>
      <c r="J12" s="194">
        <f ca="1">TblConstr[[#This Row],[Water]]</f>
        <v>20</v>
      </c>
      <c r="K12" s="226"/>
      <c r="L12" s="226"/>
      <c r="M12" s="226"/>
      <c r="N12" s="233">
        <f ca="1">TblMili[[#This Row],[Smithies]]</f>
        <v>0</v>
      </c>
      <c r="O12" s="233">
        <f ca="1">TblPop[[#This Row],[Employment]]</f>
        <v>1</v>
      </c>
      <c r="P12" s="233">
        <f ca="1">TblImps[[#This Row],[Population]]</f>
        <v>0.81891433418150972</v>
      </c>
      <c r="Q12" s="183">
        <f ca="1">TblExplore[[#This Row],[Land]]</f>
        <v>250</v>
      </c>
      <c r="R12" s="183">
        <f>TblExplore[[#This Row],[Hour]]</f>
        <v>9</v>
      </c>
      <c r="S12" s="234"/>
      <c r="T12" s="187"/>
      <c r="U12" s="187"/>
      <c r="V12" s="187"/>
      <c r="W12" s="187"/>
      <c r="X12" s="187"/>
      <c r="Y12" s="187"/>
      <c r="Z12" s="187"/>
      <c r="AA12" s="167">
        <f ca="1">TblImps[[#This Row],[Real time]]</f>
        <v>44811.083333333314</v>
      </c>
      <c r="AB12" s="97">
        <f ca="1">TblMili[[#This Row],[Draftees]]</f>
        <v>212</v>
      </c>
      <c r="AC12" s="97">
        <f ca="1">TblProd[[#This Row],[Platinum]]</f>
        <v>140892</v>
      </c>
      <c r="AD12" s="231"/>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83">
        <f>TblRezone[[#This Row],[Hour]]</f>
        <v>10</v>
      </c>
      <c r="B13" s="230">
        <f ca="1">TblConstr[[#This Row],[Land]]</f>
        <v>250</v>
      </c>
      <c r="C13" s="231"/>
      <c r="D13" s="232">
        <f ca="1">TblConstr[[#This Row],[Plain]]</f>
        <v>40</v>
      </c>
      <c r="E13" s="190">
        <f ca="1">TblConstr[[#This Row],[Forest]]</f>
        <v>20</v>
      </c>
      <c r="F13" s="390">
        <f ca="1">TblConstr[[#This Row],[Mountain]]</f>
        <v>20</v>
      </c>
      <c r="G13" s="394">
        <f ca="1">TblConstr[[#This Row],[Hill]]</f>
        <v>20</v>
      </c>
      <c r="H13" s="398">
        <f ca="1">TblConstr[[#This Row],[Swamp]]</f>
        <v>20</v>
      </c>
      <c r="I13" s="193">
        <f ca="1">TblConstr[[#This Row],[Cavern]]</f>
        <v>20</v>
      </c>
      <c r="J13" s="194">
        <f ca="1">TblConstr[[#This Row],[Water]]</f>
        <v>20</v>
      </c>
      <c r="K13" s="226"/>
      <c r="L13" s="226"/>
      <c r="M13" s="226"/>
      <c r="N13" s="233">
        <f ca="1">TblMili[[#This Row],[Smithies]]</f>
        <v>0</v>
      </c>
      <c r="O13" s="233">
        <f ca="1">TblPop[[#This Row],[Employment]]</f>
        <v>1</v>
      </c>
      <c r="P13" s="233">
        <f ca="1">TblImps[[#This Row],[Population]]</f>
        <v>0.83799830364715866</v>
      </c>
      <c r="Q13" s="183">
        <f ca="1">TblExplore[[#This Row],[Land]]</f>
        <v>250</v>
      </c>
      <c r="R13" s="183">
        <f>TblExplore[[#This Row],[Hour]]</f>
        <v>10</v>
      </c>
      <c r="S13" s="234"/>
      <c r="T13" s="187"/>
      <c r="U13" s="187"/>
      <c r="V13" s="187"/>
      <c r="W13" s="187"/>
      <c r="X13" s="187"/>
      <c r="Y13" s="187"/>
      <c r="Z13" s="187"/>
      <c r="AA13" s="167">
        <f ca="1">TblImps[[#This Row],[Real time]]</f>
        <v>44811.124999999978</v>
      </c>
      <c r="AB13" s="97">
        <f ca="1">TblMili[[#This Row],[Draftees]]</f>
        <v>227</v>
      </c>
      <c r="AC13" s="97">
        <f ca="1">TblProd[[#This Row],[Platinum]]</f>
        <v>146343</v>
      </c>
      <c r="AD13" s="231"/>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83">
        <f>TblRezone[[#This Row],[Hour]]</f>
        <v>11</v>
      </c>
      <c r="B14" s="230">
        <f ca="1">TblConstr[[#This Row],[Land]]</f>
        <v>250</v>
      </c>
      <c r="C14" s="231"/>
      <c r="D14" s="232">
        <f ca="1">TblConstr[[#This Row],[Plain]]</f>
        <v>40</v>
      </c>
      <c r="E14" s="190">
        <f ca="1">TblConstr[[#This Row],[Forest]]</f>
        <v>20</v>
      </c>
      <c r="F14" s="390">
        <f ca="1">TblConstr[[#This Row],[Mountain]]</f>
        <v>20</v>
      </c>
      <c r="G14" s="394">
        <f ca="1">TblConstr[[#This Row],[Hill]]</f>
        <v>20</v>
      </c>
      <c r="H14" s="398">
        <f ca="1">TblConstr[[#This Row],[Swamp]]</f>
        <v>20</v>
      </c>
      <c r="I14" s="193">
        <f ca="1">TblConstr[[#This Row],[Cavern]]</f>
        <v>20</v>
      </c>
      <c r="J14" s="194">
        <f ca="1">TblConstr[[#This Row],[Water]]</f>
        <v>20</v>
      </c>
      <c r="K14" s="226"/>
      <c r="L14" s="226"/>
      <c r="M14" s="226"/>
      <c r="N14" s="233">
        <f ca="1">TblMili[[#This Row],[Smithies]]</f>
        <v>0</v>
      </c>
      <c r="O14" s="233">
        <f ca="1">TblPop[[#This Row],[Employment]]</f>
        <v>1</v>
      </c>
      <c r="P14" s="233">
        <f ca="1">TblImps[[#This Row],[Population]]</f>
        <v>0.85750636132315516</v>
      </c>
      <c r="Q14" s="183">
        <f ca="1">TblExplore[[#This Row],[Land]]</f>
        <v>250</v>
      </c>
      <c r="R14" s="183">
        <f>TblExplore[[#This Row],[Hour]]</f>
        <v>11</v>
      </c>
      <c r="S14" s="234"/>
      <c r="T14" s="187"/>
      <c r="U14" s="187"/>
      <c r="V14" s="187"/>
      <c r="W14" s="187"/>
      <c r="X14" s="187"/>
      <c r="Y14" s="187"/>
      <c r="Z14" s="187"/>
      <c r="AA14" s="167">
        <f ca="1">TblImps[[#This Row],[Real time]]</f>
        <v>44811.166666666642</v>
      </c>
      <c r="AB14" s="97">
        <f ca="1">TblMili[[#This Row],[Draftees]]</f>
        <v>242</v>
      </c>
      <c r="AC14" s="97">
        <f ca="1">TblProd[[#This Row],[Platinum]]</f>
        <v>151875</v>
      </c>
      <c r="AD14" s="231"/>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83">
        <f>TblRezone[[#This Row],[Hour]]</f>
        <v>12</v>
      </c>
      <c r="B15" s="230">
        <f ca="1">TblConstr[[#This Row],[Land]]</f>
        <v>250</v>
      </c>
      <c r="C15" s="231"/>
      <c r="D15" s="232">
        <f ca="1">TblConstr[[#This Row],[Plain]]</f>
        <v>40</v>
      </c>
      <c r="E15" s="190">
        <f ca="1">TblConstr[[#This Row],[Forest]]</f>
        <v>20</v>
      </c>
      <c r="F15" s="390">
        <f ca="1">TblConstr[[#This Row],[Mountain]]</f>
        <v>20</v>
      </c>
      <c r="G15" s="394">
        <f ca="1">TblConstr[[#This Row],[Hill]]</f>
        <v>20</v>
      </c>
      <c r="H15" s="398">
        <f ca="1">TblConstr[[#This Row],[Swamp]]</f>
        <v>20</v>
      </c>
      <c r="I15" s="193">
        <f ca="1">TblConstr[[#This Row],[Cavern]]</f>
        <v>20</v>
      </c>
      <c r="J15" s="194">
        <f ca="1">TblConstr[[#This Row],[Water]]</f>
        <v>20</v>
      </c>
      <c r="K15" s="226"/>
      <c r="L15" s="226"/>
      <c r="M15" s="235"/>
      <c r="N15" s="233">
        <f ca="1">TblMili[[#This Row],[Smithies]]</f>
        <v>0</v>
      </c>
      <c r="O15" s="233">
        <f ca="1">TblPop[[#This Row],[Employment]]</f>
        <v>0.99317194289261324</v>
      </c>
      <c r="P15" s="233">
        <f ca="1">TblImps[[#This Row],[Population]]</f>
        <v>0.87743850720949956</v>
      </c>
      <c r="Q15" s="183">
        <f ca="1">TblExplore[[#This Row],[Land]]</f>
        <v>250</v>
      </c>
      <c r="R15" s="183">
        <f>TblExplore[[#This Row],[Hour]]</f>
        <v>12</v>
      </c>
      <c r="S15" s="234"/>
      <c r="T15" s="166"/>
      <c r="U15" s="187"/>
      <c r="V15" s="187"/>
      <c r="W15" s="187"/>
      <c r="X15" s="187"/>
      <c r="Y15" s="187"/>
      <c r="Z15" s="187"/>
      <c r="AA15" s="167">
        <f ca="1">TblImps[[#This Row],[Real time]]</f>
        <v>44811.208333333307</v>
      </c>
      <c r="AB15" s="97">
        <f ca="1">TblMili[[#This Row],[Draftees]]</f>
        <v>258</v>
      </c>
      <c r="AC15" s="97">
        <f ca="1">TblProd[[#This Row],[Platinum]]</f>
        <v>157491</v>
      </c>
      <c r="AD15" s="231"/>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83">
        <f>TblRezone[[#This Row],[Hour]]</f>
        <v>13</v>
      </c>
      <c r="B16" s="230">
        <f ca="1">TblConstr[[#This Row],[Land]]</f>
        <v>250</v>
      </c>
      <c r="C16" s="231"/>
      <c r="D16" s="232">
        <f ca="1">TblConstr[[#This Row],[Plain]]</f>
        <v>40</v>
      </c>
      <c r="E16" s="190">
        <f ca="1">TblConstr[[#This Row],[Forest]]</f>
        <v>20</v>
      </c>
      <c r="F16" s="390">
        <f ca="1">TblConstr[[#This Row],[Mountain]]</f>
        <v>20</v>
      </c>
      <c r="G16" s="394">
        <f ca="1">TblConstr[[#This Row],[Hill]]</f>
        <v>20</v>
      </c>
      <c r="H16" s="398">
        <f ca="1">TblConstr[[#This Row],[Swamp]]</f>
        <v>20</v>
      </c>
      <c r="I16" s="193">
        <f ca="1">TblConstr[[#This Row],[Cavern]]</f>
        <v>20</v>
      </c>
      <c r="J16" s="194">
        <f ca="1">TblConstr[[#This Row],[Water]]</f>
        <v>20</v>
      </c>
      <c r="K16" s="226"/>
      <c r="L16" s="236" t="s">
        <v>387</v>
      </c>
      <c r="M16" s="236"/>
      <c r="N16" s="233">
        <f ca="1">TblMili[[#This Row],[Smithies]]</f>
        <v>0</v>
      </c>
      <c r="O16" s="233">
        <f ca="1">TblPop[[#This Row],[Employment]]</f>
        <v>0.9738283627510651</v>
      </c>
      <c r="P16" s="233">
        <f ca="1">TblImps[[#This Row],[Population]]</f>
        <v>0.89779474130619163</v>
      </c>
      <c r="Q16" s="183">
        <f ca="1">TblExplore[[#This Row],[Land]]</f>
        <v>250</v>
      </c>
      <c r="R16" s="183">
        <f>TblExplore[[#This Row],[Hour]]</f>
        <v>13</v>
      </c>
      <c r="S16" s="234"/>
      <c r="T16" s="187"/>
      <c r="U16" s="187"/>
      <c r="V16" s="187"/>
      <c r="W16" s="187"/>
      <c r="X16" s="187"/>
      <c r="Y16" s="187"/>
      <c r="Z16" s="187"/>
      <c r="AA16" s="167">
        <f ca="1">TblImps[[#This Row],[Real time]]</f>
        <v>44811.249999999971</v>
      </c>
      <c r="AB16" s="97">
        <f ca="1">TblMili[[#This Row],[Draftees]]</f>
        <v>274</v>
      </c>
      <c r="AC16" s="97">
        <f ca="1">TblProd[[#This Row],[Platinum]]</f>
        <v>163161</v>
      </c>
      <c r="AD16" s="231"/>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83">
        <f>TblRezone[[#This Row],[Hour]]</f>
        <v>14</v>
      </c>
      <c r="B17" s="230">
        <f ca="1">TblConstr[[#This Row],[Land]]</f>
        <v>250</v>
      </c>
      <c r="C17" s="231"/>
      <c r="D17" s="232">
        <f ca="1">TblConstr[[#This Row],[Plain]]</f>
        <v>40</v>
      </c>
      <c r="E17" s="190">
        <f ca="1">TblConstr[[#This Row],[Forest]]</f>
        <v>20</v>
      </c>
      <c r="F17" s="390">
        <f ca="1">TblConstr[[#This Row],[Mountain]]</f>
        <v>20</v>
      </c>
      <c r="G17" s="394">
        <f ca="1">TblConstr[[#This Row],[Hill]]</f>
        <v>20</v>
      </c>
      <c r="H17" s="398">
        <f ca="1">TblConstr[[#This Row],[Swamp]]</f>
        <v>20</v>
      </c>
      <c r="I17" s="193">
        <f ca="1">TblConstr[[#This Row],[Cavern]]</f>
        <v>20</v>
      </c>
      <c r="J17" s="194">
        <f ca="1">TblConstr[[#This Row],[Water]]</f>
        <v>20</v>
      </c>
      <c r="K17" s="226"/>
      <c r="L17" s="237" t="s">
        <v>374</v>
      </c>
      <c r="M17" s="238"/>
      <c r="N17" s="233">
        <f ca="1">TblMili[[#This Row],[Smithies]]</f>
        <v>0</v>
      </c>
      <c r="O17" s="233">
        <f ca="1">TblPop[[#This Row],[Employment]]</f>
        <v>0.95465393794749398</v>
      </c>
      <c r="P17" s="233">
        <f ca="1">TblImps[[#This Row],[Population]]</f>
        <v>0.9185750636132316</v>
      </c>
      <c r="Q17" s="183">
        <f ca="1">TblExplore[[#This Row],[Land]]</f>
        <v>250</v>
      </c>
      <c r="R17" s="183">
        <f>TblExplore[[#This Row],[Hour]]</f>
        <v>14</v>
      </c>
      <c r="S17" s="234"/>
      <c r="T17" s="187"/>
      <c r="U17" s="187"/>
      <c r="V17" s="187"/>
      <c r="W17" s="187"/>
      <c r="X17" s="187"/>
      <c r="Y17" s="187"/>
      <c r="Z17" s="187"/>
      <c r="AA17" s="167">
        <f ca="1">TblImps[[#This Row],[Real time]]</f>
        <v>44811.291666666635</v>
      </c>
      <c r="AB17" s="97">
        <f ca="1">TblMili[[#This Row],[Draftees]]</f>
        <v>290</v>
      </c>
      <c r="AC17" s="97">
        <f ca="1">TblProd[[#This Row],[Platinum]]</f>
        <v>168831</v>
      </c>
      <c r="AD17" s="231"/>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83">
        <f>TblRezone[[#This Row],[Hour]]</f>
        <v>15</v>
      </c>
      <c r="B18" s="230">
        <f ca="1">TblConstr[[#This Row],[Land]]</f>
        <v>250</v>
      </c>
      <c r="C18" s="231"/>
      <c r="D18" s="232">
        <f ca="1">TblConstr[[#This Row],[Plain]]</f>
        <v>40</v>
      </c>
      <c r="E18" s="190">
        <f ca="1">TblConstr[[#This Row],[Forest]]</f>
        <v>20</v>
      </c>
      <c r="F18" s="390">
        <f ca="1">TblConstr[[#This Row],[Mountain]]</f>
        <v>20</v>
      </c>
      <c r="G18" s="394">
        <f ca="1">TblConstr[[#This Row],[Hill]]</f>
        <v>20</v>
      </c>
      <c r="H18" s="398">
        <f ca="1">TblConstr[[#This Row],[Swamp]]</f>
        <v>20</v>
      </c>
      <c r="I18" s="193">
        <f ca="1">TblConstr[[#This Row],[Cavern]]</f>
        <v>20</v>
      </c>
      <c r="J18" s="194">
        <f ca="1">TblConstr[[#This Row],[Water]]</f>
        <v>20</v>
      </c>
      <c r="K18" s="226"/>
      <c r="L18" s="237" t="s">
        <v>373</v>
      </c>
      <c r="M18" s="238"/>
      <c r="N18" s="233">
        <f ca="1">TblMili[[#This Row],[Smithies]]</f>
        <v>0</v>
      </c>
      <c r="O18" s="233">
        <f ca="1">TblPop[[#This Row],[Employment]]</f>
        <v>0.93622001170275015</v>
      </c>
      <c r="P18" s="233">
        <f ca="1">TblImps[[#This Row],[Population]]</f>
        <v>0.93977947413061913</v>
      </c>
      <c r="Q18" s="183">
        <f ca="1">TblExplore[[#This Row],[Land]]</f>
        <v>250</v>
      </c>
      <c r="R18" s="183">
        <f>TblExplore[[#This Row],[Hour]]</f>
        <v>15</v>
      </c>
      <c r="S18" s="234"/>
      <c r="T18" s="187"/>
      <c r="U18" s="187"/>
      <c r="V18" s="187"/>
      <c r="W18" s="187"/>
      <c r="X18" s="187"/>
      <c r="Y18" s="187"/>
      <c r="Z18" s="187"/>
      <c r="AA18" s="167">
        <f ca="1">TblImps[[#This Row],[Real time]]</f>
        <v>44811.333333333299</v>
      </c>
      <c r="AB18" s="97">
        <f ca="1">TblMili[[#This Row],[Draftees]]</f>
        <v>307</v>
      </c>
      <c r="AC18" s="97">
        <f ca="1">TblProd[[#This Row],[Platinum]]</f>
        <v>174501</v>
      </c>
      <c r="AD18" s="231"/>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83">
        <f>TblRezone[[#This Row],[Hour]]</f>
        <v>16</v>
      </c>
      <c r="B19" s="230">
        <f ca="1">TblConstr[[#This Row],[Land]]</f>
        <v>250</v>
      </c>
      <c r="C19" s="231"/>
      <c r="D19" s="232">
        <f ca="1">TblConstr[[#This Row],[Plain]]</f>
        <v>40</v>
      </c>
      <c r="E19" s="190">
        <f ca="1">TblConstr[[#This Row],[Forest]]</f>
        <v>20</v>
      </c>
      <c r="F19" s="390">
        <f ca="1">TblConstr[[#This Row],[Mountain]]</f>
        <v>20</v>
      </c>
      <c r="G19" s="394">
        <f ca="1">TblConstr[[#This Row],[Hill]]</f>
        <v>20</v>
      </c>
      <c r="H19" s="398">
        <f ca="1">TblConstr[[#This Row],[Swamp]]</f>
        <v>20</v>
      </c>
      <c r="I19" s="193">
        <f ca="1">TblConstr[[#This Row],[Cavern]]</f>
        <v>20</v>
      </c>
      <c r="J19" s="194">
        <f ca="1">TblConstr[[#This Row],[Water]]</f>
        <v>20</v>
      </c>
      <c r="K19" s="226"/>
      <c r="L19" s="237" t="s">
        <v>371</v>
      </c>
      <c r="M19" s="238"/>
      <c r="N19" s="233">
        <f ca="1">TblMili[[#This Row],[Smithies]]</f>
        <v>0</v>
      </c>
      <c r="O19" s="233">
        <f ca="1">TblPop[[#This Row],[Employment]]</f>
        <v>0.91795754446356859</v>
      </c>
      <c r="P19" s="233">
        <f ca="1">TblImps[[#This Row],[Population]]</f>
        <v>0.96140797285835455</v>
      </c>
      <c r="Q19" s="183">
        <f ca="1">TblExplore[[#This Row],[Land]]</f>
        <v>250</v>
      </c>
      <c r="R19" s="183">
        <f>TblExplore[[#This Row],[Hour]]</f>
        <v>16</v>
      </c>
      <c r="S19" s="234"/>
      <c r="T19" s="166"/>
      <c r="U19" s="187"/>
      <c r="V19" s="187"/>
      <c r="W19" s="187"/>
      <c r="X19" s="187"/>
      <c r="Y19" s="187"/>
      <c r="Z19" s="187"/>
      <c r="AA19" s="167">
        <f ca="1">TblImps[[#This Row],[Real time]]</f>
        <v>44811.374999999964</v>
      </c>
      <c r="AB19" s="97">
        <f ca="1">TblMili[[#This Row],[Draftees]]</f>
        <v>324</v>
      </c>
      <c r="AC19" s="97">
        <f ca="1">TblProd[[#This Row],[Platinum]]</f>
        <v>180171</v>
      </c>
      <c r="AD19" s="231"/>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83">
        <f>TblRezone[[#This Row],[Hour]]</f>
        <v>17</v>
      </c>
      <c r="B20" s="230">
        <f ca="1">TblConstr[[#This Row],[Land]]</f>
        <v>250</v>
      </c>
      <c r="C20" s="231"/>
      <c r="D20" s="232">
        <f ca="1">TblConstr[[#This Row],[Plain]]</f>
        <v>40</v>
      </c>
      <c r="E20" s="190">
        <f ca="1">TblConstr[[#This Row],[Forest]]</f>
        <v>20</v>
      </c>
      <c r="F20" s="390">
        <f ca="1">TblConstr[[#This Row],[Mountain]]</f>
        <v>20</v>
      </c>
      <c r="G20" s="394">
        <f ca="1">TblConstr[[#This Row],[Hill]]</f>
        <v>20</v>
      </c>
      <c r="H20" s="398">
        <f ca="1">TblConstr[[#This Row],[Swamp]]</f>
        <v>20</v>
      </c>
      <c r="I20" s="193">
        <f ca="1">TblConstr[[#This Row],[Cavern]]</f>
        <v>20</v>
      </c>
      <c r="J20" s="194">
        <f ca="1">TblConstr[[#This Row],[Water]]</f>
        <v>20</v>
      </c>
      <c r="K20" s="226"/>
      <c r="L20" s="237" t="s">
        <v>372</v>
      </c>
      <c r="M20" s="238"/>
      <c r="N20" s="233">
        <f ca="1">TblMili[[#This Row],[Smithies]]</f>
        <v>0</v>
      </c>
      <c r="O20" s="233">
        <f ca="1">TblPop[[#This Row],[Employment]]</f>
        <v>0.89988751406074241</v>
      </c>
      <c r="P20" s="233">
        <f ca="1">TblImps[[#This Row],[Population]]</f>
        <v>0.98346055979643765</v>
      </c>
      <c r="Q20" s="183">
        <f ca="1">TblExplore[[#This Row],[Land]]</f>
        <v>250</v>
      </c>
      <c r="R20" s="183">
        <f>TblExplore[[#This Row],[Hour]]</f>
        <v>17</v>
      </c>
      <c r="S20" s="234"/>
      <c r="T20" s="166"/>
      <c r="U20" s="187"/>
      <c r="V20" s="187"/>
      <c r="W20" s="187"/>
      <c r="X20" s="187"/>
      <c r="Y20" s="187"/>
      <c r="Z20" s="187"/>
      <c r="AA20" s="167">
        <f ca="1">TblImps[[#This Row],[Real time]]</f>
        <v>44811.416666666628</v>
      </c>
      <c r="AB20" s="97">
        <f ca="1">TblMili[[#This Row],[Draftees]]</f>
        <v>341</v>
      </c>
      <c r="AC20" s="97">
        <f ca="1">TblProd[[#This Row],[Platinum]]</f>
        <v>185841</v>
      </c>
      <c r="AD20" s="231"/>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83">
        <f>TblRezone[[#This Row],[Hour]]</f>
        <v>18</v>
      </c>
      <c r="B21" s="230">
        <f ca="1">TblConstr[[#This Row],[Land]]</f>
        <v>250</v>
      </c>
      <c r="C21" s="231"/>
      <c r="D21" s="232">
        <f ca="1">TblConstr[[#This Row],[Plain]]</f>
        <v>40</v>
      </c>
      <c r="E21" s="190">
        <f ca="1">TblConstr[[#This Row],[Forest]]</f>
        <v>20</v>
      </c>
      <c r="F21" s="390">
        <f ca="1">TblConstr[[#This Row],[Mountain]]</f>
        <v>20</v>
      </c>
      <c r="G21" s="394">
        <f ca="1">TblConstr[[#This Row],[Hill]]</f>
        <v>20</v>
      </c>
      <c r="H21" s="398">
        <f ca="1">TblConstr[[#This Row],[Swamp]]</f>
        <v>20</v>
      </c>
      <c r="I21" s="193">
        <f ca="1">TblConstr[[#This Row],[Cavern]]</f>
        <v>20</v>
      </c>
      <c r="J21" s="194">
        <f ca="1">TblConstr[[#This Row],[Water]]</f>
        <v>20</v>
      </c>
      <c r="K21" s="226"/>
      <c r="L21" s="226"/>
      <c r="M21" s="239"/>
      <c r="N21" s="233">
        <f ca="1">TblMili[[#This Row],[Smithies]]</f>
        <v>0</v>
      </c>
      <c r="O21" s="233">
        <f ca="1">TblPop[[#This Row],[Employment]]</f>
        <v>0.88938299055030567</v>
      </c>
      <c r="P21" s="233">
        <f ca="1">TblImps[[#This Row],[Population]]</f>
        <v>1</v>
      </c>
      <c r="Q21" s="183">
        <f ca="1">TblExplore[[#This Row],[Land]]</f>
        <v>250</v>
      </c>
      <c r="R21" s="183">
        <f>TblExplore[[#This Row],[Hour]]</f>
        <v>18</v>
      </c>
      <c r="S21" s="234"/>
      <c r="T21" s="187"/>
      <c r="U21" s="187"/>
      <c r="V21" s="187"/>
      <c r="W21" s="187"/>
      <c r="X21" s="187"/>
      <c r="Y21" s="187"/>
      <c r="Z21" s="187"/>
      <c r="AA21" s="167">
        <f ca="1">TblImps[[#This Row],[Real time]]</f>
        <v>44811.458333333292</v>
      </c>
      <c r="AB21" s="97">
        <f ca="1">TblMili[[#This Row],[Draftees]]</f>
        <v>359</v>
      </c>
      <c r="AC21" s="97">
        <f ca="1">TblProd[[#This Row],[Platinum]]</f>
        <v>191511</v>
      </c>
      <c r="AD21" s="231"/>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83">
        <f>TblRezone[[#This Row],[Hour]]</f>
        <v>19</v>
      </c>
      <c r="B22" s="230">
        <f ca="1">TblConstr[[#This Row],[Land]]</f>
        <v>250</v>
      </c>
      <c r="C22" s="231"/>
      <c r="D22" s="232">
        <f ca="1">TblConstr[[#This Row],[Plain]]</f>
        <v>40</v>
      </c>
      <c r="E22" s="190">
        <f ca="1">TblConstr[[#This Row],[Forest]]</f>
        <v>20</v>
      </c>
      <c r="F22" s="390">
        <f ca="1">TblConstr[[#This Row],[Mountain]]</f>
        <v>20</v>
      </c>
      <c r="G22" s="394">
        <f ca="1">TblConstr[[#This Row],[Hill]]</f>
        <v>20</v>
      </c>
      <c r="H22" s="398">
        <f ca="1">TblConstr[[#This Row],[Swamp]]</f>
        <v>20</v>
      </c>
      <c r="I22" s="193">
        <f ca="1">TblConstr[[#This Row],[Cavern]]</f>
        <v>20</v>
      </c>
      <c r="J22" s="194">
        <f ca="1">TblConstr[[#This Row],[Water]]</f>
        <v>20</v>
      </c>
      <c r="K22" s="226"/>
      <c r="L22" s="226"/>
      <c r="M22" s="239"/>
      <c r="N22" s="233">
        <f ca="1">TblMili[[#This Row],[Smithies]]</f>
        <v>0</v>
      </c>
      <c r="O22" s="233">
        <f ca="1">TblPop[[#This Row],[Employment]]</f>
        <v>0.89837170129140931</v>
      </c>
      <c r="P22" s="233">
        <f ca="1">TblImps[[#This Row],[Population]]</f>
        <v>1</v>
      </c>
      <c r="Q22" s="183">
        <f ca="1">TblExplore[[#This Row],[Land]]</f>
        <v>250</v>
      </c>
      <c r="R22" s="183">
        <f>TblExplore[[#This Row],[Hour]]</f>
        <v>19</v>
      </c>
      <c r="S22" s="234"/>
      <c r="T22" s="187"/>
      <c r="U22" s="187"/>
      <c r="V22" s="187"/>
      <c r="W22" s="187"/>
      <c r="X22" s="187"/>
      <c r="Y22" s="187"/>
      <c r="Z22" s="187"/>
      <c r="AA22" s="167">
        <f ca="1">TblImps[[#This Row],[Real time]]</f>
        <v>44811.499999999956</v>
      </c>
      <c r="AB22" s="97">
        <f ca="1">TblMili[[#This Row],[Draftees]]</f>
        <v>377</v>
      </c>
      <c r="AC22" s="97">
        <f ca="1">TblProd[[#This Row],[Platinum]]</f>
        <v>197181</v>
      </c>
      <c r="AD22" s="231"/>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83">
        <f>TblRezone[[#This Row],[Hour]]</f>
        <v>20</v>
      </c>
      <c r="B23" s="230">
        <f ca="1">TblConstr[[#This Row],[Land]]</f>
        <v>250</v>
      </c>
      <c r="C23" s="231"/>
      <c r="D23" s="232">
        <f ca="1">TblConstr[[#This Row],[Plain]]</f>
        <v>40</v>
      </c>
      <c r="E23" s="190">
        <f ca="1">TblConstr[[#This Row],[Forest]]</f>
        <v>20</v>
      </c>
      <c r="F23" s="390">
        <f ca="1">TblConstr[[#This Row],[Mountain]]</f>
        <v>20</v>
      </c>
      <c r="G23" s="394">
        <f ca="1">TblConstr[[#This Row],[Hill]]</f>
        <v>20</v>
      </c>
      <c r="H23" s="398">
        <f ca="1">TblConstr[[#This Row],[Swamp]]</f>
        <v>20</v>
      </c>
      <c r="I23" s="193">
        <f ca="1">TblConstr[[#This Row],[Cavern]]</f>
        <v>20</v>
      </c>
      <c r="J23" s="194">
        <f ca="1">TblConstr[[#This Row],[Water]]</f>
        <v>20</v>
      </c>
      <c r="K23" s="226"/>
      <c r="L23" s="226"/>
      <c r="M23" s="239"/>
      <c r="N23" s="233">
        <f ca="1">TblMili[[#This Row],[Smithies]]</f>
        <v>0</v>
      </c>
      <c r="O23" s="233">
        <f ca="1">TblPop[[#This Row],[Employment]]</f>
        <v>0.90754395916052188</v>
      </c>
      <c r="P23" s="233">
        <f ca="1">TblImps[[#This Row],[Population]]</f>
        <v>1</v>
      </c>
      <c r="Q23" s="183">
        <f ca="1">TblExplore[[#This Row],[Land]]</f>
        <v>250</v>
      </c>
      <c r="R23" s="183">
        <f>TblExplore[[#This Row],[Hour]]</f>
        <v>20</v>
      </c>
      <c r="S23" s="234"/>
      <c r="T23" s="187"/>
      <c r="U23" s="187"/>
      <c r="V23" s="187"/>
      <c r="W23" s="187"/>
      <c r="X23" s="187"/>
      <c r="Y23" s="187"/>
      <c r="Z23" s="187"/>
      <c r="AA23" s="167">
        <f ca="1">TblImps[[#This Row],[Real time]]</f>
        <v>44811.541666666621</v>
      </c>
      <c r="AB23" s="97">
        <f ca="1">TblMili[[#This Row],[Draftees]]</f>
        <v>395</v>
      </c>
      <c r="AC23" s="97">
        <f ca="1">TblProd[[#This Row],[Platinum]]</f>
        <v>202851</v>
      </c>
      <c r="AD23" s="231"/>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83">
        <f>TblRezone[[#This Row],[Hour]]</f>
        <v>21</v>
      </c>
      <c r="B24" s="230">
        <f ca="1">TblConstr[[#This Row],[Land]]</f>
        <v>250</v>
      </c>
      <c r="C24" s="231"/>
      <c r="D24" s="232">
        <f ca="1">TblConstr[[#This Row],[Plain]]</f>
        <v>40</v>
      </c>
      <c r="E24" s="190">
        <f ca="1">TblConstr[[#This Row],[Forest]]</f>
        <v>20</v>
      </c>
      <c r="F24" s="390">
        <f ca="1">TblConstr[[#This Row],[Mountain]]</f>
        <v>20</v>
      </c>
      <c r="G24" s="394">
        <f ca="1">TblConstr[[#This Row],[Hill]]</f>
        <v>20</v>
      </c>
      <c r="H24" s="398">
        <f ca="1">TblConstr[[#This Row],[Swamp]]</f>
        <v>20</v>
      </c>
      <c r="I24" s="193">
        <f ca="1">TblConstr[[#This Row],[Cavern]]</f>
        <v>20</v>
      </c>
      <c r="J24" s="194">
        <f ca="1">TblConstr[[#This Row],[Water]]</f>
        <v>20</v>
      </c>
      <c r="K24" s="226"/>
      <c r="L24" s="226"/>
      <c r="M24" s="226"/>
      <c r="N24" s="233">
        <f ca="1">TblMili[[#This Row],[Smithies]]</f>
        <v>0</v>
      </c>
      <c r="O24" s="233">
        <f ca="1">TblPop[[#This Row],[Employment]]</f>
        <v>0.91690544412607455</v>
      </c>
      <c r="P24" s="233">
        <f ca="1">TblImps[[#This Row],[Population]]</f>
        <v>1</v>
      </c>
      <c r="Q24" s="183">
        <f ca="1">TblExplore[[#This Row],[Land]]</f>
        <v>250</v>
      </c>
      <c r="R24" s="230">
        <f>TblExplore[[#This Row],[Hour]]</f>
        <v>21</v>
      </c>
      <c r="S24" s="234"/>
      <c r="T24" s="187"/>
      <c r="U24" s="187"/>
      <c r="V24" s="187"/>
      <c r="W24" s="187"/>
      <c r="X24" s="187"/>
      <c r="Y24" s="187"/>
      <c r="Z24" s="187"/>
      <c r="AA24" s="167">
        <f ca="1">TblImps[[#This Row],[Real time]]</f>
        <v>44811.583333333285</v>
      </c>
      <c r="AB24" s="97">
        <f ca="1">TblMili[[#This Row],[Draftees]]</f>
        <v>413</v>
      </c>
      <c r="AC24" s="97">
        <f ca="1">TblProd[[#This Row],[Platinum]]</f>
        <v>208521</v>
      </c>
      <c r="AD24" s="231"/>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83">
        <f>TblRezone[[#This Row],[Hour]]</f>
        <v>22</v>
      </c>
      <c r="B25" s="230">
        <f ca="1">TblConstr[[#This Row],[Land]]</f>
        <v>250</v>
      </c>
      <c r="C25" s="231"/>
      <c r="D25" s="232">
        <f ca="1">TblConstr[[#This Row],[Plain]]</f>
        <v>40</v>
      </c>
      <c r="E25" s="190">
        <f ca="1">TblConstr[[#This Row],[Forest]]</f>
        <v>20</v>
      </c>
      <c r="F25" s="390">
        <f ca="1">TblConstr[[#This Row],[Mountain]]</f>
        <v>20</v>
      </c>
      <c r="G25" s="394">
        <f ca="1">TblConstr[[#This Row],[Hill]]</f>
        <v>20</v>
      </c>
      <c r="H25" s="398">
        <f ca="1">TblConstr[[#This Row],[Swamp]]</f>
        <v>20</v>
      </c>
      <c r="I25" s="193">
        <f ca="1">TblConstr[[#This Row],[Cavern]]</f>
        <v>20</v>
      </c>
      <c r="J25" s="194">
        <f ca="1">TblConstr[[#This Row],[Water]]</f>
        <v>20</v>
      </c>
      <c r="K25" s="226"/>
      <c r="L25" s="240" t="s">
        <v>388</v>
      </c>
      <c r="M25" s="240"/>
      <c r="N25" s="233">
        <f ca="1">TblMili[[#This Row],[Smithies]]</f>
        <v>0</v>
      </c>
      <c r="O25" s="233">
        <f ca="1">TblPop[[#This Row],[Employment]]</f>
        <v>0.92592592592592593</v>
      </c>
      <c r="P25" s="233">
        <f ca="1">TblImps[[#This Row],[Population]]</f>
        <v>1</v>
      </c>
      <c r="Q25" s="183">
        <f ca="1">TblExplore[[#This Row],[Land]]</f>
        <v>250</v>
      </c>
      <c r="R25" s="230">
        <f>TblExplore[[#This Row],[Hour]]</f>
        <v>22</v>
      </c>
      <c r="S25" s="234"/>
      <c r="T25" s="187"/>
      <c r="U25" s="187"/>
      <c r="V25" s="187"/>
      <c r="W25" s="187"/>
      <c r="X25" s="187"/>
      <c r="Y25" s="187"/>
      <c r="Z25" s="187"/>
      <c r="AA25" s="167">
        <f ca="1">TblImps[[#This Row],[Real time]]</f>
        <v>44811.624999999949</v>
      </c>
      <c r="AB25" s="97">
        <f ca="1">TblMili[[#This Row],[Draftees]]</f>
        <v>430</v>
      </c>
      <c r="AC25" s="97">
        <f ca="1">TblProd[[#This Row],[Platinum]]</f>
        <v>214191</v>
      </c>
      <c r="AD25" s="231"/>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83">
        <f>TblRezone[[#This Row],[Hour]]</f>
        <v>23</v>
      </c>
      <c r="B26" s="230">
        <f ca="1">TblConstr[[#This Row],[Land]]</f>
        <v>250</v>
      </c>
      <c r="C26" s="231"/>
      <c r="D26" s="232">
        <f ca="1">TblConstr[[#This Row],[Plain]]</f>
        <v>40</v>
      </c>
      <c r="E26" s="190">
        <f ca="1">TblConstr[[#This Row],[Forest]]</f>
        <v>20</v>
      </c>
      <c r="F26" s="390">
        <f ca="1">TblConstr[[#This Row],[Mountain]]</f>
        <v>20</v>
      </c>
      <c r="G26" s="394">
        <f ca="1">TblConstr[[#This Row],[Hill]]</f>
        <v>20</v>
      </c>
      <c r="H26" s="398">
        <f ca="1">TblConstr[[#This Row],[Swamp]]</f>
        <v>20</v>
      </c>
      <c r="I26" s="193">
        <f ca="1">TblConstr[[#This Row],[Cavern]]</f>
        <v>20</v>
      </c>
      <c r="J26" s="194">
        <f ca="1">TblConstr[[#This Row],[Water]]</f>
        <v>20</v>
      </c>
      <c r="K26" s="226"/>
      <c r="L26" s="240" t="s">
        <v>374</v>
      </c>
      <c r="M26" s="241">
        <f ca="1">Military!AN67</f>
        <v>446496</v>
      </c>
      <c r="N26" s="233">
        <f ca="1">TblMili[[#This Row],[Smithies]]</f>
        <v>0</v>
      </c>
      <c r="O26" s="233">
        <f ca="1">TblPop[[#This Row],[Employment]]</f>
        <v>0.93512565751022791</v>
      </c>
      <c r="P26" s="233">
        <f ca="1">TblImps[[#This Row],[Population]]</f>
        <v>1</v>
      </c>
      <c r="Q26" s="183">
        <f ca="1">TblExplore[[#This Row],[Land]]</f>
        <v>250</v>
      </c>
      <c r="R26" s="183">
        <f>TblExplore[[#This Row],[Hour]]</f>
        <v>23</v>
      </c>
      <c r="S26" s="234"/>
      <c r="T26" s="187"/>
      <c r="U26" s="187"/>
      <c r="V26" s="187"/>
      <c r="W26" s="187"/>
      <c r="X26" s="187"/>
      <c r="Y26" s="187"/>
      <c r="Z26" s="187"/>
      <c r="AA26" s="167">
        <f ca="1">TblImps[[#This Row],[Real time]]</f>
        <v>44811.666666666613</v>
      </c>
      <c r="AB26" s="97">
        <f ca="1">TblMili[[#This Row],[Draftees]]</f>
        <v>447</v>
      </c>
      <c r="AC26" s="97">
        <f ca="1">TblProd[[#This Row],[Platinum]]</f>
        <v>219861</v>
      </c>
      <c r="AD26" s="231"/>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83">
        <f>TblRezone[[#This Row],[Hour]]</f>
        <v>24</v>
      </c>
      <c r="B27" s="230">
        <f ca="1">TblConstr[[#This Row],[Land]]</f>
        <v>250</v>
      </c>
      <c r="C27" s="231"/>
      <c r="D27" s="232">
        <f ca="1">TblConstr[[#This Row],[Plain]]</f>
        <v>40</v>
      </c>
      <c r="E27" s="190">
        <f ca="1">TblConstr[[#This Row],[Forest]]</f>
        <v>20</v>
      </c>
      <c r="F27" s="390">
        <f ca="1">TblConstr[[#This Row],[Mountain]]</f>
        <v>20</v>
      </c>
      <c r="G27" s="394">
        <f ca="1">TblConstr[[#This Row],[Hill]]</f>
        <v>20</v>
      </c>
      <c r="H27" s="398">
        <f ca="1">TblConstr[[#This Row],[Swamp]]</f>
        <v>20</v>
      </c>
      <c r="I27" s="193">
        <f ca="1">TblConstr[[#This Row],[Cavern]]</f>
        <v>20</v>
      </c>
      <c r="J27" s="194">
        <f ca="1">TblConstr[[#This Row],[Water]]</f>
        <v>20</v>
      </c>
      <c r="K27" s="226"/>
      <c r="L27" s="240" t="s">
        <v>373</v>
      </c>
      <c r="M27" s="241">
        <f ca="1">Production!S76</f>
        <v>5486</v>
      </c>
      <c r="N27" s="233">
        <f ca="1">TblMili[[#This Row],[Smithies]]</f>
        <v>0</v>
      </c>
      <c r="O27" s="233">
        <f ca="1">TblPop[[#This Row],[Employment]]</f>
        <v>0.94451003541912637</v>
      </c>
      <c r="P27" s="233">
        <f ca="1">TblImps[[#This Row],[Population]]</f>
        <v>1</v>
      </c>
      <c r="Q27" s="183">
        <f ca="1">TblExplore[[#This Row],[Land]]</f>
        <v>250</v>
      </c>
      <c r="R27" s="183">
        <f>TblExplore[[#This Row],[Hour]]</f>
        <v>24</v>
      </c>
      <c r="S27" s="234"/>
      <c r="T27" s="166"/>
      <c r="U27" s="187"/>
      <c r="V27" s="187"/>
      <c r="W27" s="187"/>
      <c r="X27" s="187"/>
      <c r="Y27" s="187"/>
      <c r="Z27" s="187"/>
      <c r="AA27" s="167">
        <f ca="1">TblImps[[#This Row],[Real time]]</f>
        <v>44811.708333333278</v>
      </c>
      <c r="AB27" s="97">
        <f ca="1">TblMili[[#This Row],[Draftees]]</f>
        <v>464</v>
      </c>
      <c r="AC27" s="97">
        <f ca="1">TblProd[[#This Row],[Platinum]]</f>
        <v>225531</v>
      </c>
      <c r="AD27" s="231"/>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83">
        <f>TblRezone[[#This Row],[Hour]]</f>
        <v>25</v>
      </c>
      <c r="B28" s="230">
        <f ca="1">TblConstr[[#This Row],[Land]]</f>
        <v>250</v>
      </c>
      <c r="C28" s="231"/>
      <c r="D28" s="232">
        <f ca="1">TblConstr[[#This Row],[Plain]]</f>
        <v>40</v>
      </c>
      <c r="E28" s="190">
        <f ca="1">TblConstr[[#This Row],[Forest]]</f>
        <v>20</v>
      </c>
      <c r="F28" s="390">
        <f ca="1">TblConstr[[#This Row],[Mountain]]</f>
        <v>20</v>
      </c>
      <c r="G28" s="394">
        <f ca="1">TblConstr[[#This Row],[Hill]]</f>
        <v>20</v>
      </c>
      <c r="H28" s="398">
        <f ca="1">TblConstr[[#This Row],[Swamp]]</f>
        <v>20</v>
      </c>
      <c r="I28" s="193">
        <f ca="1">TblConstr[[#This Row],[Cavern]]</f>
        <v>20</v>
      </c>
      <c r="J28" s="194">
        <f ca="1">TblConstr[[#This Row],[Water]]</f>
        <v>20</v>
      </c>
      <c r="K28" s="226"/>
      <c r="L28" s="240" t="s">
        <v>371</v>
      </c>
      <c r="M28" s="241">
        <f ca="1">Military!Z64</f>
        <v>626</v>
      </c>
      <c r="N28" s="233">
        <f ca="1">TblMili[[#This Row],[Smithies]]</f>
        <v>0</v>
      </c>
      <c r="O28" s="233">
        <f ca="1">TblPop[[#This Row],[Employment]]</f>
        <v>0.95408467501490757</v>
      </c>
      <c r="P28" s="233">
        <f ca="1">TblImps[[#This Row],[Population]]</f>
        <v>1</v>
      </c>
      <c r="Q28" s="183">
        <f ca="1">TblExplore[[#This Row],[Land]]</f>
        <v>250</v>
      </c>
      <c r="R28" s="183">
        <f>TblExplore[[#This Row],[Hour]]</f>
        <v>25</v>
      </c>
      <c r="S28" s="234"/>
      <c r="T28" s="187"/>
      <c r="U28" s="187"/>
      <c r="V28" s="187"/>
      <c r="W28" s="187"/>
      <c r="X28" s="187"/>
      <c r="Y28" s="187"/>
      <c r="Z28" s="187"/>
      <c r="AA28" s="167">
        <f ca="1">TblImps[[#This Row],[Real time]]</f>
        <v>44811.749999999942</v>
      </c>
      <c r="AB28" s="97">
        <f ca="1">TblMili[[#This Row],[Draftees]]</f>
        <v>481</v>
      </c>
      <c r="AC28" s="97">
        <f ca="1">TblProd[[#This Row],[Platinum]]</f>
        <v>231201</v>
      </c>
      <c r="AD28" s="231"/>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83">
        <f>TblRezone[[#This Row],[Hour]]</f>
        <v>26</v>
      </c>
      <c r="B29" s="230">
        <f ca="1">TblConstr[[#This Row],[Land]]</f>
        <v>250</v>
      </c>
      <c r="C29" s="231"/>
      <c r="D29" s="232">
        <f ca="1">TblConstr[[#This Row],[Plain]]</f>
        <v>40</v>
      </c>
      <c r="E29" s="190">
        <f ca="1">TblConstr[[#This Row],[Forest]]</f>
        <v>20</v>
      </c>
      <c r="F29" s="390">
        <f ca="1">TblConstr[[#This Row],[Mountain]]</f>
        <v>20</v>
      </c>
      <c r="G29" s="394">
        <f ca="1">TblConstr[[#This Row],[Hill]]</f>
        <v>20</v>
      </c>
      <c r="H29" s="398">
        <f ca="1">TblConstr[[#This Row],[Swamp]]</f>
        <v>20</v>
      </c>
      <c r="I29" s="193">
        <f ca="1">TblConstr[[#This Row],[Cavern]]</f>
        <v>20</v>
      </c>
      <c r="J29" s="194">
        <f ca="1">TblConstr[[#This Row],[Water]]</f>
        <v>20</v>
      </c>
      <c r="K29" s="226"/>
      <c r="L29" s="240" t="s">
        <v>372</v>
      </c>
      <c r="M29" s="242">
        <f ca="1">Q76</f>
        <v>250</v>
      </c>
      <c r="N29" s="233">
        <f ca="1">TblMili[[#This Row],[Smithies]]</f>
        <v>0</v>
      </c>
      <c r="O29" s="233">
        <f ca="1">TblPop[[#This Row],[Employment]]</f>
        <v>0.96385542168674698</v>
      </c>
      <c r="P29" s="233">
        <f ca="1">TblImps[[#This Row],[Population]]</f>
        <v>1</v>
      </c>
      <c r="Q29" s="183">
        <f ca="1">TblExplore[[#This Row],[Land]]</f>
        <v>250</v>
      </c>
      <c r="R29" s="183">
        <f>TblExplore[[#This Row],[Hour]]</f>
        <v>26</v>
      </c>
      <c r="S29" s="234"/>
      <c r="T29" s="166"/>
      <c r="U29" s="187"/>
      <c r="V29" s="187"/>
      <c r="W29" s="187"/>
      <c r="X29" s="187"/>
      <c r="Y29" s="187"/>
      <c r="Z29" s="187"/>
      <c r="AA29" s="167">
        <f ca="1">TblImps[[#This Row],[Real time]]</f>
        <v>44811.791666666606</v>
      </c>
      <c r="AB29" s="97">
        <f ca="1">TblMili[[#This Row],[Draftees]]</f>
        <v>498</v>
      </c>
      <c r="AC29" s="97">
        <f ca="1">TblProd[[#This Row],[Platinum]]</f>
        <v>236871</v>
      </c>
      <c r="AD29" s="231"/>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83">
        <f>TblRezone[[#This Row],[Hour]]</f>
        <v>27</v>
      </c>
      <c r="B30" s="230">
        <f ca="1">TblConstr[[#This Row],[Land]]</f>
        <v>250</v>
      </c>
      <c r="C30" s="231"/>
      <c r="D30" s="232">
        <f ca="1">TblConstr[[#This Row],[Plain]]</f>
        <v>40</v>
      </c>
      <c r="E30" s="190">
        <f ca="1">TblConstr[[#This Row],[Forest]]</f>
        <v>20</v>
      </c>
      <c r="F30" s="390">
        <f ca="1">TblConstr[[#This Row],[Mountain]]</f>
        <v>20</v>
      </c>
      <c r="G30" s="394">
        <f ca="1">TblConstr[[#This Row],[Hill]]</f>
        <v>20</v>
      </c>
      <c r="H30" s="398">
        <f ca="1">TblConstr[[#This Row],[Swamp]]</f>
        <v>20</v>
      </c>
      <c r="I30" s="193">
        <f ca="1">TblConstr[[#This Row],[Cavern]]</f>
        <v>20</v>
      </c>
      <c r="J30" s="194">
        <f ca="1">TblConstr[[#This Row],[Water]]</f>
        <v>20</v>
      </c>
      <c r="K30" s="226"/>
      <c r="L30" s="226"/>
      <c r="M30" s="239"/>
      <c r="N30" s="233">
        <f ca="1">TblMili[[#This Row],[Smithies]]</f>
        <v>0</v>
      </c>
      <c r="O30" s="233">
        <f ca="1">TblPop[[#This Row],[Employment]]</f>
        <v>0.9738283627510651</v>
      </c>
      <c r="P30" s="233">
        <f ca="1">TblImps[[#This Row],[Population]]</f>
        <v>1</v>
      </c>
      <c r="Q30" s="183">
        <f ca="1">TblExplore[[#This Row],[Land]]</f>
        <v>250</v>
      </c>
      <c r="R30" s="183">
        <f>TblExplore[[#This Row],[Hour]]</f>
        <v>27</v>
      </c>
      <c r="S30" s="234"/>
      <c r="T30" s="166"/>
      <c r="U30" s="187"/>
      <c r="V30" s="187"/>
      <c r="W30" s="187"/>
      <c r="X30" s="187"/>
      <c r="Y30" s="187"/>
      <c r="Z30" s="187"/>
      <c r="AA30" s="167">
        <f ca="1">TblImps[[#This Row],[Real time]]</f>
        <v>44811.83333333327</v>
      </c>
      <c r="AB30" s="97">
        <f ca="1">TblMili[[#This Row],[Draftees]]</f>
        <v>515</v>
      </c>
      <c r="AC30" s="97">
        <f ca="1">TblProd[[#This Row],[Platinum]]</f>
        <v>242541</v>
      </c>
      <c r="AD30" s="231"/>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83">
        <f>TblRezone[[#This Row],[Hour]]</f>
        <v>28</v>
      </c>
      <c r="B31" s="230">
        <f ca="1">TblConstr[[#This Row],[Land]]</f>
        <v>250</v>
      </c>
      <c r="C31" s="231"/>
      <c r="D31" s="232">
        <f ca="1">TblConstr[[#This Row],[Plain]]</f>
        <v>40</v>
      </c>
      <c r="E31" s="190">
        <f ca="1">TblConstr[[#This Row],[Forest]]</f>
        <v>20</v>
      </c>
      <c r="F31" s="390">
        <f ca="1">TblConstr[[#This Row],[Mountain]]</f>
        <v>20</v>
      </c>
      <c r="G31" s="394">
        <f ca="1">TblConstr[[#This Row],[Hill]]</f>
        <v>20</v>
      </c>
      <c r="H31" s="398">
        <f ca="1">TblConstr[[#This Row],[Swamp]]</f>
        <v>20</v>
      </c>
      <c r="I31" s="193">
        <f ca="1">TblConstr[[#This Row],[Cavern]]</f>
        <v>20</v>
      </c>
      <c r="J31" s="194">
        <f ca="1">TblConstr[[#This Row],[Water]]</f>
        <v>20</v>
      </c>
      <c r="K31" s="226"/>
      <c r="L31" s="226"/>
      <c r="M31" s="239"/>
      <c r="N31" s="233">
        <f ca="1">TblMili[[#This Row],[Smithies]]</f>
        <v>0</v>
      </c>
      <c r="O31" s="233">
        <f ca="1">TblPop[[#This Row],[Employment]]</f>
        <v>0.98340503995082973</v>
      </c>
      <c r="P31" s="233">
        <f ca="1">TblImps[[#This Row],[Population]]</f>
        <v>1</v>
      </c>
      <c r="Q31" s="183">
        <f ca="1">TblExplore[[#This Row],[Land]]</f>
        <v>250</v>
      </c>
      <c r="R31" s="183">
        <f>TblExplore[[#This Row],[Hour]]</f>
        <v>28</v>
      </c>
      <c r="S31" s="234"/>
      <c r="T31" s="166"/>
      <c r="U31" s="187"/>
      <c r="V31" s="187"/>
      <c r="W31" s="187"/>
      <c r="X31" s="187"/>
      <c r="Y31" s="187"/>
      <c r="Z31" s="187"/>
      <c r="AA31" s="167">
        <f ca="1">TblImps[[#This Row],[Real time]]</f>
        <v>44811.874999999935</v>
      </c>
      <c r="AB31" s="97">
        <f ca="1">TblMili[[#This Row],[Draftees]]</f>
        <v>531</v>
      </c>
      <c r="AC31" s="97">
        <f ca="1">TblProd[[#This Row],[Platinum]]</f>
        <v>248211</v>
      </c>
      <c r="AD31" s="231"/>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83">
        <f>TblRezone[[#This Row],[Hour]]</f>
        <v>29</v>
      </c>
      <c r="B32" s="230">
        <f ca="1">TblConstr[[#This Row],[Land]]</f>
        <v>250</v>
      </c>
      <c r="C32" s="231"/>
      <c r="D32" s="232">
        <f ca="1">TblConstr[[#This Row],[Plain]]</f>
        <v>40</v>
      </c>
      <c r="E32" s="190">
        <f ca="1">TblConstr[[#This Row],[Forest]]</f>
        <v>20</v>
      </c>
      <c r="F32" s="390">
        <f ca="1">TblConstr[[#This Row],[Mountain]]</f>
        <v>20</v>
      </c>
      <c r="G32" s="394">
        <f ca="1">TblConstr[[#This Row],[Hill]]</f>
        <v>20</v>
      </c>
      <c r="H32" s="398">
        <f ca="1">TblConstr[[#This Row],[Swamp]]</f>
        <v>20</v>
      </c>
      <c r="I32" s="193">
        <f ca="1">TblConstr[[#This Row],[Cavern]]</f>
        <v>20</v>
      </c>
      <c r="J32" s="194">
        <f ca="1">TblConstr[[#This Row],[Water]]</f>
        <v>20</v>
      </c>
      <c r="K32" s="226"/>
      <c r="L32" s="226"/>
      <c r="M32" s="239"/>
      <c r="N32" s="233">
        <f ca="1">TblMili[[#This Row],[Smithies]]</f>
        <v>0</v>
      </c>
      <c r="O32" s="233">
        <f ca="1">TblPop[[#This Row],[Employment]]</f>
        <v>0.99317194289261324</v>
      </c>
      <c r="P32" s="233">
        <f ca="1">TblImps[[#This Row],[Population]]</f>
        <v>1</v>
      </c>
      <c r="Q32" s="183">
        <f ca="1">TblExplore[[#This Row],[Land]]</f>
        <v>250</v>
      </c>
      <c r="R32" s="183">
        <f>TblExplore[[#This Row],[Hour]]</f>
        <v>29</v>
      </c>
      <c r="S32" s="234"/>
      <c r="T32" s="166"/>
      <c r="U32" s="187"/>
      <c r="V32" s="187"/>
      <c r="W32" s="187"/>
      <c r="X32" s="187"/>
      <c r="Y32" s="187"/>
      <c r="Z32" s="187"/>
      <c r="AA32" s="167">
        <f ca="1">TblImps[[#This Row],[Real time]]</f>
        <v>44811.916666666599</v>
      </c>
      <c r="AB32" s="97">
        <f ca="1">TblMili[[#This Row],[Draftees]]</f>
        <v>547</v>
      </c>
      <c r="AC32" s="97">
        <f ca="1">TblProd[[#This Row],[Platinum]]</f>
        <v>253881</v>
      </c>
      <c r="AD32" s="231"/>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83">
        <f>TblRezone[[#This Row],[Hour]]</f>
        <v>30</v>
      </c>
      <c r="B33" s="230">
        <f ca="1">TblConstr[[#This Row],[Land]]</f>
        <v>250</v>
      </c>
      <c r="C33" s="231"/>
      <c r="D33" s="232">
        <f ca="1">TblConstr[[#This Row],[Plain]]</f>
        <v>40</v>
      </c>
      <c r="E33" s="190">
        <f ca="1">TblConstr[[#This Row],[Forest]]</f>
        <v>20</v>
      </c>
      <c r="F33" s="390">
        <f ca="1">TblConstr[[#This Row],[Mountain]]</f>
        <v>20</v>
      </c>
      <c r="G33" s="394">
        <f ca="1">TblConstr[[#This Row],[Hill]]</f>
        <v>20</v>
      </c>
      <c r="H33" s="398">
        <f ca="1">TblConstr[[#This Row],[Swamp]]</f>
        <v>20</v>
      </c>
      <c r="I33" s="193">
        <f ca="1">TblConstr[[#This Row],[Cavern]]</f>
        <v>20</v>
      </c>
      <c r="J33" s="194">
        <f ca="1">TblConstr[[#This Row],[Water]]</f>
        <v>20</v>
      </c>
      <c r="K33" s="226"/>
      <c r="L33" s="226"/>
      <c r="M33" s="226"/>
      <c r="N33" s="233">
        <f ca="1">TblMili[[#This Row],[Smithies]]</f>
        <v>0</v>
      </c>
      <c r="O33" s="233">
        <f ca="1">TblPop[[#This Row],[Employment]]</f>
        <v>1</v>
      </c>
      <c r="P33" s="233">
        <f ca="1">TblImps[[#This Row],[Population]]</f>
        <v>1</v>
      </c>
      <c r="Q33" s="183">
        <f ca="1">TblExplore[[#This Row],[Land]]</f>
        <v>250</v>
      </c>
      <c r="R33" s="183">
        <f>TblExplore[[#This Row],[Hour]]</f>
        <v>30</v>
      </c>
      <c r="S33" s="234"/>
      <c r="T33" s="166"/>
      <c r="U33" s="187"/>
      <c r="V33" s="187"/>
      <c r="W33" s="187"/>
      <c r="X33" s="187"/>
      <c r="Y33" s="187"/>
      <c r="Z33" s="187"/>
      <c r="AA33" s="167">
        <f ca="1">TblImps[[#This Row],[Real time]]</f>
        <v>44811.958333333263</v>
      </c>
      <c r="AB33" s="97">
        <f ca="1">TblMili[[#This Row],[Draftees]]</f>
        <v>563</v>
      </c>
      <c r="AC33" s="97">
        <f ca="1">TblProd[[#This Row],[Platinum]]</f>
        <v>259551</v>
      </c>
      <c r="AD33" s="231"/>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83">
        <f>TblRezone[[#This Row],[Hour]]</f>
        <v>31</v>
      </c>
      <c r="B34" s="230">
        <f ca="1">TblConstr[[#This Row],[Land]]</f>
        <v>250</v>
      </c>
      <c r="C34" s="231"/>
      <c r="D34" s="232">
        <f ca="1">TblConstr[[#This Row],[Plain]]</f>
        <v>40</v>
      </c>
      <c r="E34" s="190">
        <f ca="1">TblConstr[[#This Row],[Forest]]</f>
        <v>20</v>
      </c>
      <c r="F34" s="390">
        <f ca="1">TblConstr[[#This Row],[Mountain]]</f>
        <v>20</v>
      </c>
      <c r="G34" s="394">
        <f ca="1">TblConstr[[#This Row],[Hill]]</f>
        <v>20</v>
      </c>
      <c r="H34" s="398">
        <f ca="1">TblConstr[[#This Row],[Swamp]]</f>
        <v>20</v>
      </c>
      <c r="I34" s="193">
        <f ca="1">TblConstr[[#This Row],[Cavern]]</f>
        <v>20</v>
      </c>
      <c r="J34" s="194">
        <f ca="1">TblConstr[[#This Row],[Water]]</f>
        <v>20</v>
      </c>
      <c r="K34" s="226"/>
      <c r="L34" s="226"/>
      <c r="M34" s="243"/>
      <c r="N34" s="233">
        <f ca="1">TblMili[[#This Row],[Smithies]]</f>
        <v>0</v>
      </c>
      <c r="O34" s="233">
        <f ca="1">TblPop[[#This Row],[Employment]]</f>
        <v>1</v>
      </c>
      <c r="P34" s="233">
        <f ca="1">TblImps[[#This Row],[Population]]</f>
        <v>1</v>
      </c>
      <c r="Q34" s="183">
        <f ca="1">TblExplore[[#This Row],[Land]]</f>
        <v>250</v>
      </c>
      <c r="R34" s="183">
        <f>TblExplore[[#This Row],[Hour]]</f>
        <v>31</v>
      </c>
      <c r="S34" s="234"/>
      <c r="T34" s="187"/>
      <c r="U34" s="187"/>
      <c r="V34" s="187"/>
      <c r="W34" s="187"/>
      <c r="X34" s="187"/>
      <c r="Y34" s="187"/>
      <c r="Z34" s="187"/>
      <c r="AA34" s="167">
        <f ca="1">TblImps[[#This Row],[Real time]]</f>
        <v>44811.999999999927</v>
      </c>
      <c r="AB34" s="97">
        <f ca="1">TblMili[[#This Row],[Draftees]]</f>
        <v>579</v>
      </c>
      <c r="AC34" s="97">
        <f ca="1">TblProd[[#This Row],[Platinum]]</f>
        <v>265207</v>
      </c>
      <c r="AD34" s="231"/>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83">
        <f>TblRezone[[#This Row],[Hour]]</f>
        <v>32</v>
      </c>
      <c r="B35" s="230">
        <f ca="1">TblConstr[[#This Row],[Land]]</f>
        <v>250</v>
      </c>
      <c r="C35" s="231"/>
      <c r="D35" s="232">
        <f ca="1">TblConstr[[#This Row],[Plain]]</f>
        <v>40</v>
      </c>
      <c r="E35" s="190">
        <f ca="1">TblConstr[[#This Row],[Forest]]</f>
        <v>20</v>
      </c>
      <c r="F35" s="390">
        <f ca="1">TblConstr[[#This Row],[Mountain]]</f>
        <v>20</v>
      </c>
      <c r="G35" s="394">
        <f ca="1">TblConstr[[#This Row],[Hill]]</f>
        <v>20</v>
      </c>
      <c r="H35" s="398">
        <f ca="1">TblConstr[[#This Row],[Swamp]]</f>
        <v>20</v>
      </c>
      <c r="I35" s="193">
        <f ca="1">TblConstr[[#This Row],[Cavern]]</f>
        <v>20</v>
      </c>
      <c r="J35" s="194">
        <f ca="1">TblConstr[[#This Row],[Water]]</f>
        <v>20</v>
      </c>
      <c r="K35" s="226"/>
      <c r="L35" s="226"/>
      <c r="M35" s="243"/>
      <c r="N35" s="233">
        <f ca="1">TblMili[[#This Row],[Smithies]]</f>
        <v>0</v>
      </c>
      <c r="O35" s="233">
        <f ca="1">TblPop[[#This Row],[Employment]]</f>
        <v>1</v>
      </c>
      <c r="P35" s="233">
        <f ca="1">TblImps[[#This Row],[Population]]</f>
        <v>1</v>
      </c>
      <c r="Q35" s="183">
        <f ca="1">TblExplore[[#This Row],[Land]]</f>
        <v>250</v>
      </c>
      <c r="R35" s="183">
        <f>TblExplore[[#This Row],[Hour]]</f>
        <v>32</v>
      </c>
      <c r="S35" s="234"/>
      <c r="T35" s="187"/>
      <c r="U35" s="187"/>
      <c r="V35" s="187"/>
      <c r="W35" s="187"/>
      <c r="X35" s="187"/>
      <c r="Y35" s="187"/>
      <c r="Z35" s="187"/>
      <c r="AA35" s="167">
        <f ca="1">TblImps[[#This Row],[Real time]]</f>
        <v>44812.041666666591</v>
      </c>
      <c r="AB35" s="97">
        <f ca="1">TblMili[[#This Row],[Draftees]]</f>
        <v>595</v>
      </c>
      <c r="AC35" s="97">
        <f ca="1">TblProd[[#This Row],[Platinum]]</f>
        <v>270820</v>
      </c>
      <c r="AD35" s="231"/>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83">
        <f>TblRezone[[#This Row],[Hour]]</f>
        <v>33</v>
      </c>
      <c r="B36" s="230">
        <f ca="1">TblConstr[[#This Row],[Land]]</f>
        <v>250</v>
      </c>
      <c r="C36" s="231"/>
      <c r="D36" s="232">
        <f ca="1">TblConstr[[#This Row],[Plain]]</f>
        <v>40</v>
      </c>
      <c r="E36" s="190">
        <f ca="1">TblConstr[[#This Row],[Forest]]</f>
        <v>20</v>
      </c>
      <c r="F36" s="390">
        <f ca="1">TblConstr[[#This Row],[Mountain]]</f>
        <v>20</v>
      </c>
      <c r="G36" s="394">
        <f ca="1">TblConstr[[#This Row],[Hill]]</f>
        <v>20</v>
      </c>
      <c r="H36" s="398">
        <f ca="1">TblConstr[[#This Row],[Swamp]]</f>
        <v>20</v>
      </c>
      <c r="I36" s="193">
        <f ca="1">TblConstr[[#This Row],[Cavern]]</f>
        <v>20</v>
      </c>
      <c r="J36" s="194">
        <f ca="1">TblConstr[[#This Row],[Water]]</f>
        <v>20</v>
      </c>
      <c r="K36" s="226"/>
      <c r="L36" s="226"/>
      <c r="M36" s="226"/>
      <c r="N36" s="233">
        <f ca="1">TblMili[[#This Row],[Smithies]]</f>
        <v>0</v>
      </c>
      <c r="O36" s="233">
        <f ca="1">TblPop[[#This Row],[Employment]]</f>
        <v>1</v>
      </c>
      <c r="P36" s="233">
        <f ca="1">TblImps[[#This Row],[Population]]</f>
        <v>1</v>
      </c>
      <c r="Q36" s="183">
        <f ca="1">TblExplore[[#This Row],[Land]]</f>
        <v>250</v>
      </c>
      <c r="R36" s="183">
        <f>TblExplore[[#This Row],[Hour]]</f>
        <v>33</v>
      </c>
      <c r="S36" s="234"/>
      <c r="T36" s="187"/>
      <c r="U36" s="187"/>
      <c r="V36" s="187"/>
      <c r="W36" s="187"/>
      <c r="X36" s="187"/>
      <c r="Y36" s="187"/>
      <c r="Z36" s="187"/>
      <c r="AA36" s="167">
        <f ca="1">TblImps[[#This Row],[Real time]]</f>
        <v>44812.083333333256</v>
      </c>
      <c r="AB36" s="97">
        <f ca="1">TblMili[[#This Row],[Draftees]]</f>
        <v>611</v>
      </c>
      <c r="AC36" s="97">
        <f ca="1">TblProd[[#This Row],[Platinum]]</f>
        <v>276390</v>
      </c>
      <c r="AD36" s="231"/>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83">
        <f>TblRezone[[#This Row],[Hour]]</f>
        <v>34</v>
      </c>
      <c r="B37" s="230">
        <f ca="1">TblConstr[[#This Row],[Land]]</f>
        <v>250</v>
      </c>
      <c r="C37" s="231"/>
      <c r="D37" s="232">
        <f ca="1">TblConstr[[#This Row],[Plain]]</f>
        <v>40</v>
      </c>
      <c r="E37" s="190">
        <f ca="1">TblConstr[[#This Row],[Forest]]</f>
        <v>20</v>
      </c>
      <c r="F37" s="390">
        <f ca="1">TblConstr[[#This Row],[Mountain]]</f>
        <v>20</v>
      </c>
      <c r="G37" s="394">
        <f ca="1">TblConstr[[#This Row],[Hill]]</f>
        <v>20</v>
      </c>
      <c r="H37" s="398">
        <f ca="1">TblConstr[[#This Row],[Swamp]]</f>
        <v>20</v>
      </c>
      <c r="I37" s="193">
        <f ca="1">TblConstr[[#This Row],[Cavern]]</f>
        <v>20</v>
      </c>
      <c r="J37" s="194">
        <f ca="1">TblConstr[[#This Row],[Water]]</f>
        <v>20</v>
      </c>
      <c r="K37" s="226"/>
      <c r="L37" s="226"/>
      <c r="M37" s="226"/>
      <c r="N37" s="233">
        <f ca="1">TblMili[[#This Row],[Smithies]]</f>
        <v>0</v>
      </c>
      <c r="O37" s="233">
        <f ca="1">TblPop[[#This Row],[Employment]]</f>
        <v>1</v>
      </c>
      <c r="P37" s="233">
        <f ca="1">TblImps[[#This Row],[Population]]</f>
        <v>1</v>
      </c>
      <c r="Q37" s="183">
        <f ca="1">TblExplore[[#This Row],[Land]]</f>
        <v>250</v>
      </c>
      <c r="R37" s="183">
        <f>TblExplore[[#This Row],[Hour]]</f>
        <v>34</v>
      </c>
      <c r="S37" s="234"/>
      <c r="T37" s="187"/>
      <c r="U37" s="187"/>
      <c r="V37" s="187"/>
      <c r="W37" s="187"/>
      <c r="X37" s="187"/>
      <c r="Y37" s="187"/>
      <c r="Z37" s="187"/>
      <c r="AA37" s="167">
        <f ca="1">TblImps[[#This Row],[Real time]]</f>
        <v>44812.12499999992</v>
      </c>
      <c r="AB37" s="97">
        <f ca="1">TblMili[[#This Row],[Draftees]]</f>
        <v>626</v>
      </c>
      <c r="AC37" s="97">
        <f ca="1">TblProd[[#This Row],[Platinum]]</f>
        <v>281916</v>
      </c>
      <c r="AD37" s="231"/>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83">
        <f>TblRezone[[#This Row],[Hour]]</f>
        <v>35</v>
      </c>
      <c r="B38" s="230">
        <f ca="1">TblConstr[[#This Row],[Land]]</f>
        <v>250</v>
      </c>
      <c r="C38" s="231"/>
      <c r="D38" s="232">
        <f ca="1">TblConstr[[#This Row],[Plain]]</f>
        <v>40</v>
      </c>
      <c r="E38" s="190">
        <f ca="1">TblConstr[[#This Row],[Forest]]</f>
        <v>20</v>
      </c>
      <c r="F38" s="390">
        <f ca="1">TblConstr[[#This Row],[Mountain]]</f>
        <v>20</v>
      </c>
      <c r="G38" s="394">
        <f ca="1">TblConstr[[#This Row],[Hill]]</f>
        <v>20</v>
      </c>
      <c r="H38" s="398">
        <f ca="1">TblConstr[[#This Row],[Swamp]]</f>
        <v>20</v>
      </c>
      <c r="I38" s="193">
        <f ca="1">TblConstr[[#This Row],[Cavern]]</f>
        <v>20</v>
      </c>
      <c r="J38" s="194">
        <f ca="1">TblConstr[[#This Row],[Water]]</f>
        <v>20</v>
      </c>
      <c r="K38" s="226"/>
      <c r="L38" s="226"/>
      <c r="M38" s="226"/>
      <c r="N38" s="233">
        <f ca="1">TblMili[[#This Row],[Smithies]]</f>
        <v>0</v>
      </c>
      <c r="O38" s="233">
        <f ca="1">TblPop[[#This Row],[Employment]]</f>
        <v>1</v>
      </c>
      <c r="P38" s="233">
        <f ca="1">TblImps[[#This Row],[Population]]</f>
        <v>1</v>
      </c>
      <c r="Q38" s="183">
        <f ca="1">TblExplore[[#This Row],[Land]]</f>
        <v>250</v>
      </c>
      <c r="R38" s="183">
        <f>TblExplore[[#This Row],[Hour]]</f>
        <v>35</v>
      </c>
      <c r="S38" s="234"/>
      <c r="T38" s="166"/>
      <c r="U38" s="187"/>
      <c r="V38" s="187"/>
      <c r="W38" s="187"/>
      <c r="X38" s="187"/>
      <c r="Y38" s="187"/>
      <c r="Z38" s="187"/>
      <c r="AA38" s="167">
        <f ca="1">TblImps[[#This Row],[Real time]]</f>
        <v>44812.166666666584</v>
      </c>
      <c r="AB38" s="97">
        <f ca="1">TblMili[[#This Row],[Draftees]]</f>
        <v>626</v>
      </c>
      <c r="AC38" s="97">
        <f ca="1">TblProd[[#This Row],[Platinum]]</f>
        <v>287402</v>
      </c>
      <c r="AD38" s="231"/>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83">
        <f>TblRezone[[#This Row],[Hour]]</f>
        <v>36</v>
      </c>
      <c r="B39" s="230">
        <f ca="1">TblConstr[[#This Row],[Land]]</f>
        <v>250</v>
      </c>
      <c r="C39" s="231"/>
      <c r="D39" s="232">
        <f ca="1">TblConstr[[#This Row],[Plain]]</f>
        <v>40</v>
      </c>
      <c r="E39" s="190">
        <f ca="1">TblConstr[[#This Row],[Forest]]</f>
        <v>20</v>
      </c>
      <c r="F39" s="390">
        <f ca="1">TblConstr[[#This Row],[Mountain]]</f>
        <v>20</v>
      </c>
      <c r="G39" s="394">
        <f ca="1">TblConstr[[#This Row],[Hill]]</f>
        <v>20</v>
      </c>
      <c r="H39" s="398">
        <f ca="1">TblConstr[[#This Row],[Swamp]]</f>
        <v>20</v>
      </c>
      <c r="I39" s="193">
        <f ca="1">TblConstr[[#This Row],[Cavern]]</f>
        <v>20</v>
      </c>
      <c r="J39" s="194">
        <f ca="1">TblConstr[[#This Row],[Water]]</f>
        <v>20</v>
      </c>
      <c r="K39" s="226"/>
      <c r="L39" s="226"/>
      <c r="M39" s="226"/>
      <c r="N39" s="233">
        <f ca="1">TblMili[[#This Row],[Smithies]]</f>
        <v>0</v>
      </c>
      <c r="O39" s="233">
        <f ca="1">TblPop[[#This Row],[Employment]]</f>
        <v>1</v>
      </c>
      <c r="P39" s="233">
        <f ca="1">TblImps[[#This Row],[Population]]</f>
        <v>1</v>
      </c>
      <c r="Q39" s="183">
        <f ca="1">TblExplore[[#This Row],[Land]]</f>
        <v>250</v>
      </c>
      <c r="R39" s="183">
        <f>TblExplore[[#This Row],[Hour]]</f>
        <v>36</v>
      </c>
      <c r="S39" s="234"/>
      <c r="T39" s="187"/>
      <c r="U39" s="187"/>
      <c r="V39" s="187"/>
      <c r="W39" s="187"/>
      <c r="X39" s="187"/>
      <c r="Y39" s="187"/>
      <c r="Z39" s="187"/>
      <c r="AA39" s="167">
        <f ca="1">TblImps[[#This Row],[Real time]]</f>
        <v>44812.208333333248</v>
      </c>
      <c r="AB39" s="97">
        <f ca="1">TblMili[[#This Row],[Draftees]]</f>
        <v>626</v>
      </c>
      <c r="AC39" s="97">
        <f ca="1">TblProd[[#This Row],[Platinum]]</f>
        <v>292888</v>
      </c>
      <c r="AD39" s="231"/>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83">
        <f>TblRezone[[#This Row],[Hour]]</f>
        <v>37</v>
      </c>
      <c r="B40" s="230">
        <f ca="1">TblConstr[[#This Row],[Land]]</f>
        <v>250</v>
      </c>
      <c r="C40" s="231"/>
      <c r="D40" s="232">
        <f ca="1">TblConstr[[#This Row],[Plain]]</f>
        <v>40</v>
      </c>
      <c r="E40" s="190">
        <f ca="1">TblConstr[[#This Row],[Forest]]</f>
        <v>20</v>
      </c>
      <c r="F40" s="390">
        <f ca="1">TblConstr[[#This Row],[Mountain]]</f>
        <v>20</v>
      </c>
      <c r="G40" s="394">
        <f ca="1">TblConstr[[#This Row],[Hill]]</f>
        <v>20</v>
      </c>
      <c r="H40" s="398">
        <f ca="1">TblConstr[[#This Row],[Swamp]]</f>
        <v>20</v>
      </c>
      <c r="I40" s="193">
        <f ca="1">TblConstr[[#This Row],[Cavern]]</f>
        <v>20</v>
      </c>
      <c r="J40" s="194">
        <f ca="1">TblConstr[[#This Row],[Water]]</f>
        <v>20</v>
      </c>
      <c r="K40" s="226"/>
      <c r="L40" s="226"/>
      <c r="M40" s="226"/>
      <c r="N40" s="233">
        <f ca="1">TblMili[[#This Row],[Smithies]]</f>
        <v>0</v>
      </c>
      <c r="O40" s="233">
        <f ca="1">TblPop[[#This Row],[Employment]]</f>
        <v>1</v>
      </c>
      <c r="P40" s="233">
        <f ca="1">TblImps[[#This Row],[Population]]</f>
        <v>1</v>
      </c>
      <c r="Q40" s="183">
        <f ca="1">TblExplore[[#This Row],[Land]]</f>
        <v>250</v>
      </c>
      <c r="R40" s="183">
        <f>TblExplore[[#This Row],[Hour]]</f>
        <v>37</v>
      </c>
      <c r="S40" s="234"/>
      <c r="T40" s="187"/>
      <c r="U40" s="187"/>
      <c r="V40" s="187"/>
      <c r="W40" s="187"/>
      <c r="X40" s="187"/>
      <c r="Y40" s="187"/>
      <c r="Z40" s="187"/>
      <c r="AA40" s="167">
        <f ca="1">TblImps[[#This Row],[Real time]]</f>
        <v>44812.249999999913</v>
      </c>
      <c r="AB40" s="97">
        <f ca="1">TblMili[[#This Row],[Draftees]]</f>
        <v>626</v>
      </c>
      <c r="AC40" s="97">
        <f ca="1">TblProd[[#This Row],[Platinum]]</f>
        <v>298374</v>
      </c>
      <c r="AD40" s="231"/>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83">
        <f>TblRezone[[#This Row],[Hour]]</f>
        <v>38</v>
      </c>
      <c r="B41" s="230">
        <f ca="1">TblConstr[[#This Row],[Land]]</f>
        <v>250</v>
      </c>
      <c r="C41" s="231"/>
      <c r="D41" s="232">
        <f ca="1">TblConstr[[#This Row],[Plain]]</f>
        <v>40</v>
      </c>
      <c r="E41" s="190">
        <f ca="1">TblConstr[[#This Row],[Forest]]</f>
        <v>20</v>
      </c>
      <c r="F41" s="390">
        <f ca="1">TblConstr[[#This Row],[Mountain]]</f>
        <v>20</v>
      </c>
      <c r="G41" s="394">
        <f ca="1">TblConstr[[#This Row],[Hill]]</f>
        <v>20</v>
      </c>
      <c r="H41" s="398">
        <f ca="1">TblConstr[[#This Row],[Swamp]]</f>
        <v>20</v>
      </c>
      <c r="I41" s="193">
        <f ca="1">TblConstr[[#This Row],[Cavern]]</f>
        <v>20</v>
      </c>
      <c r="J41" s="194">
        <f ca="1">TblConstr[[#This Row],[Water]]</f>
        <v>20</v>
      </c>
      <c r="K41" s="226"/>
      <c r="L41" s="226"/>
      <c r="M41" s="226"/>
      <c r="N41" s="233">
        <f ca="1">TblMili[[#This Row],[Smithies]]</f>
        <v>0</v>
      </c>
      <c r="O41" s="233">
        <f ca="1">TblPop[[#This Row],[Employment]]</f>
        <v>1</v>
      </c>
      <c r="P41" s="233">
        <f ca="1">TblImps[[#This Row],[Population]]</f>
        <v>1</v>
      </c>
      <c r="Q41" s="183">
        <f ca="1">TblExplore[[#This Row],[Land]]</f>
        <v>250</v>
      </c>
      <c r="R41" s="183">
        <f>TblExplore[[#This Row],[Hour]]</f>
        <v>38</v>
      </c>
      <c r="S41" s="234"/>
      <c r="T41" s="187"/>
      <c r="U41" s="187"/>
      <c r="V41" s="187"/>
      <c r="W41" s="187"/>
      <c r="X41" s="187"/>
      <c r="Y41" s="187"/>
      <c r="Z41" s="187"/>
      <c r="AA41" s="167">
        <f ca="1">TblImps[[#This Row],[Real time]]</f>
        <v>44812.291666666577</v>
      </c>
      <c r="AB41" s="97">
        <f ca="1">TblMili[[#This Row],[Draftees]]</f>
        <v>626</v>
      </c>
      <c r="AC41" s="97">
        <f ca="1">TblProd[[#This Row],[Platinum]]</f>
        <v>303860</v>
      </c>
      <c r="AD41" s="231"/>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83">
        <f>TblRezone[[#This Row],[Hour]]</f>
        <v>39</v>
      </c>
      <c r="B42" s="230">
        <f ca="1">TblConstr[[#This Row],[Land]]</f>
        <v>250</v>
      </c>
      <c r="C42" s="231"/>
      <c r="D42" s="232">
        <f ca="1">TblConstr[[#This Row],[Plain]]</f>
        <v>40</v>
      </c>
      <c r="E42" s="190">
        <f ca="1">TblConstr[[#This Row],[Forest]]</f>
        <v>20</v>
      </c>
      <c r="F42" s="390">
        <f ca="1">TblConstr[[#This Row],[Mountain]]</f>
        <v>20</v>
      </c>
      <c r="G42" s="394">
        <f ca="1">TblConstr[[#This Row],[Hill]]</f>
        <v>20</v>
      </c>
      <c r="H42" s="398">
        <f ca="1">TblConstr[[#This Row],[Swamp]]</f>
        <v>20</v>
      </c>
      <c r="I42" s="193">
        <f ca="1">TblConstr[[#This Row],[Cavern]]</f>
        <v>20</v>
      </c>
      <c r="J42" s="194">
        <f ca="1">TblConstr[[#This Row],[Water]]</f>
        <v>20</v>
      </c>
      <c r="K42" s="226"/>
      <c r="L42" s="226"/>
      <c r="M42" s="226"/>
      <c r="N42" s="233">
        <f ca="1">TblMili[[#This Row],[Smithies]]</f>
        <v>0</v>
      </c>
      <c r="O42" s="233">
        <f ca="1">TblPop[[#This Row],[Employment]]</f>
        <v>1</v>
      </c>
      <c r="P42" s="233">
        <f ca="1">TblImps[[#This Row],[Population]]</f>
        <v>1</v>
      </c>
      <c r="Q42" s="183">
        <f ca="1">TblExplore[[#This Row],[Land]]</f>
        <v>250</v>
      </c>
      <c r="R42" s="183">
        <f>TblExplore[[#This Row],[Hour]]</f>
        <v>39</v>
      </c>
      <c r="S42" s="234"/>
      <c r="T42" s="187"/>
      <c r="U42" s="187"/>
      <c r="V42" s="187"/>
      <c r="W42" s="187"/>
      <c r="X42" s="187"/>
      <c r="Y42" s="187"/>
      <c r="Z42" s="187"/>
      <c r="AA42" s="167">
        <f ca="1">TblImps[[#This Row],[Real time]]</f>
        <v>44812.333333333241</v>
      </c>
      <c r="AB42" s="97">
        <f ca="1">TblMili[[#This Row],[Draftees]]</f>
        <v>626</v>
      </c>
      <c r="AC42" s="97">
        <f ca="1">TblProd[[#This Row],[Platinum]]</f>
        <v>309346</v>
      </c>
      <c r="AD42" s="231"/>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83">
        <f>TblRezone[[#This Row],[Hour]]</f>
        <v>40</v>
      </c>
      <c r="B43" s="230">
        <f ca="1">TblConstr[[#This Row],[Land]]</f>
        <v>250</v>
      </c>
      <c r="C43" s="231"/>
      <c r="D43" s="232">
        <f ca="1">TblConstr[[#This Row],[Plain]]</f>
        <v>40</v>
      </c>
      <c r="E43" s="190">
        <f ca="1">TblConstr[[#This Row],[Forest]]</f>
        <v>20</v>
      </c>
      <c r="F43" s="390">
        <f ca="1">TblConstr[[#This Row],[Mountain]]</f>
        <v>20</v>
      </c>
      <c r="G43" s="394">
        <f ca="1">TblConstr[[#This Row],[Hill]]</f>
        <v>20</v>
      </c>
      <c r="H43" s="398">
        <f ca="1">TblConstr[[#This Row],[Swamp]]</f>
        <v>20</v>
      </c>
      <c r="I43" s="193">
        <f ca="1">TblConstr[[#This Row],[Cavern]]</f>
        <v>20</v>
      </c>
      <c r="J43" s="194">
        <f ca="1">TblConstr[[#This Row],[Water]]</f>
        <v>20</v>
      </c>
      <c r="K43" s="226"/>
      <c r="L43" s="226"/>
      <c r="M43" s="226"/>
      <c r="N43" s="233">
        <f ca="1">TblMili[[#This Row],[Smithies]]</f>
        <v>0</v>
      </c>
      <c r="O43" s="233">
        <f ca="1">TblPop[[#This Row],[Employment]]</f>
        <v>1</v>
      </c>
      <c r="P43" s="233">
        <f ca="1">TblImps[[#This Row],[Population]]</f>
        <v>1</v>
      </c>
      <c r="Q43" s="183">
        <f ca="1">TblExplore[[#This Row],[Land]]</f>
        <v>250</v>
      </c>
      <c r="R43" s="183">
        <f>TblExplore[[#This Row],[Hour]]</f>
        <v>40</v>
      </c>
      <c r="S43" s="234"/>
      <c r="T43" s="187"/>
      <c r="U43" s="187"/>
      <c r="V43" s="187"/>
      <c r="W43" s="187"/>
      <c r="X43" s="187"/>
      <c r="Y43" s="187"/>
      <c r="Z43" s="187"/>
      <c r="AA43" s="167">
        <f ca="1">TblImps[[#This Row],[Real time]]</f>
        <v>44812.374999999905</v>
      </c>
      <c r="AB43" s="97">
        <f ca="1">TblMili[[#This Row],[Draftees]]</f>
        <v>626</v>
      </c>
      <c r="AC43" s="97">
        <f ca="1">TblProd[[#This Row],[Platinum]]</f>
        <v>314832</v>
      </c>
      <c r="AD43" s="231"/>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83">
        <f>TblRezone[[#This Row],[Hour]]</f>
        <v>41</v>
      </c>
      <c r="B44" s="230">
        <f ca="1">TblConstr[[#This Row],[Land]]</f>
        <v>250</v>
      </c>
      <c r="C44" s="231"/>
      <c r="D44" s="232">
        <f ca="1">TblConstr[[#This Row],[Plain]]</f>
        <v>40</v>
      </c>
      <c r="E44" s="190">
        <f ca="1">TblConstr[[#This Row],[Forest]]</f>
        <v>20</v>
      </c>
      <c r="F44" s="390">
        <f ca="1">TblConstr[[#This Row],[Mountain]]</f>
        <v>20</v>
      </c>
      <c r="G44" s="394">
        <f ca="1">TblConstr[[#This Row],[Hill]]</f>
        <v>20</v>
      </c>
      <c r="H44" s="398">
        <f ca="1">TblConstr[[#This Row],[Swamp]]</f>
        <v>20</v>
      </c>
      <c r="I44" s="193">
        <f ca="1">TblConstr[[#This Row],[Cavern]]</f>
        <v>20</v>
      </c>
      <c r="J44" s="194">
        <f ca="1">TblConstr[[#This Row],[Water]]</f>
        <v>20</v>
      </c>
      <c r="K44" s="226"/>
      <c r="L44" s="226"/>
      <c r="M44" s="226"/>
      <c r="N44" s="233">
        <f ca="1">TblMili[[#This Row],[Smithies]]</f>
        <v>0</v>
      </c>
      <c r="O44" s="233">
        <f ca="1">TblPop[[#This Row],[Employment]]</f>
        <v>1</v>
      </c>
      <c r="P44" s="233">
        <f ca="1">TblImps[[#This Row],[Population]]</f>
        <v>1</v>
      </c>
      <c r="Q44" s="183">
        <f ca="1">TblExplore[[#This Row],[Land]]</f>
        <v>250</v>
      </c>
      <c r="R44" s="183">
        <f>TblExplore[[#This Row],[Hour]]</f>
        <v>41</v>
      </c>
      <c r="S44" s="234"/>
      <c r="T44" s="187"/>
      <c r="U44" s="187"/>
      <c r="V44" s="187"/>
      <c r="W44" s="187"/>
      <c r="X44" s="187"/>
      <c r="Y44" s="187"/>
      <c r="Z44" s="187"/>
      <c r="AA44" s="167">
        <f ca="1">TblImps[[#This Row],[Real time]]</f>
        <v>44812.41666666657</v>
      </c>
      <c r="AB44" s="97">
        <f ca="1">TblMili[[#This Row],[Draftees]]</f>
        <v>626</v>
      </c>
      <c r="AC44" s="97">
        <f ca="1">TblProd[[#This Row],[Platinum]]</f>
        <v>320318</v>
      </c>
      <c r="AD44" s="231"/>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83">
        <f>TblRezone[[#This Row],[Hour]]</f>
        <v>42</v>
      </c>
      <c r="B45" s="230">
        <f ca="1">TblConstr[[#This Row],[Land]]</f>
        <v>250</v>
      </c>
      <c r="C45" s="231"/>
      <c r="D45" s="232">
        <f ca="1">TblConstr[[#This Row],[Plain]]</f>
        <v>40</v>
      </c>
      <c r="E45" s="190">
        <f ca="1">TblConstr[[#This Row],[Forest]]</f>
        <v>20</v>
      </c>
      <c r="F45" s="390">
        <f ca="1">TblConstr[[#This Row],[Mountain]]</f>
        <v>20</v>
      </c>
      <c r="G45" s="394">
        <f ca="1">TblConstr[[#This Row],[Hill]]</f>
        <v>20</v>
      </c>
      <c r="H45" s="398">
        <f ca="1">TblConstr[[#This Row],[Swamp]]</f>
        <v>20</v>
      </c>
      <c r="I45" s="193">
        <f ca="1">TblConstr[[#This Row],[Cavern]]</f>
        <v>20</v>
      </c>
      <c r="J45" s="194">
        <f ca="1">TblConstr[[#This Row],[Water]]</f>
        <v>20</v>
      </c>
      <c r="K45" s="226"/>
      <c r="L45" s="226"/>
      <c r="M45" s="226"/>
      <c r="N45" s="233">
        <f ca="1">TblMili[[#This Row],[Smithies]]</f>
        <v>0</v>
      </c>
      <c r="O45" s="233">
        <f ca="1">TblPop[[#This Row],[Employment]]</f>
        <v>1</v>
      </c>
      <c r="P45" s="233">
        <f ca="1">TblImps[[#This Row],[Population]]</f>
        <v>1</v>
      </c>
      <c r="Q45" s="183">
        <f ca="1">TblExplore[[#This Row],[Land]]</f>
        <v>250</v>
      </c>
      <c r="R45" s="183">
        <f>TblExplore[[#This Row],[Hour]]</f>
        <v>42</v>
      </c>
      <c r="S45" s="234"/>
      <c r="T45" s="187"/>
      <c r="U45" s="187"/>
      <c r="V45" s="187"/>
      <c r="W45" s="187"/>
      <c r="X45" s="187"/>
      <c r="Y45" s="187"/>
      <c r="Z45" s="187"/>
      <c r="AA45" s="167">
        <f ca="1">TblImps[[#This Row],[Real time]]</f>
        <v>44812.458333333234</v>
      </c>
      <c r="AB45" s="97">
        <f ca="1">TblMili[[#This Row],[Draftees]]</f>
        <v>626</v>
      </c>
      <c r="AC45" s="97">
        <f ca="1">TblProd[[#This Row],[Platinum]]</f>
        <v>325804</v>
      </c>
      <c r="AD45" s="231"/>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83">
        <f>TblRezone[[#This Row],[Hour]]</f>
        <v>43</v>
      </c>
      <c r="B46" s="230">
        <f ca="1">TblConstr[[#This Row],[Land]]</f>
        <v>250</v>
      </c>
      <c r="C46" s="231"/>
      <c r="D46" s="232">
        <f ca="1">TblConstr[[#This Row],[Plain]]</f>
        <v>40</v>
      </c>
      <c r="E46" s="190">
        <f ca="1">TblConstr[[#This Row],[Forest]]</f>
        <v>20</v>
      </c>
      <c r="F46" s="390">
        <f ca="1">TblConstr[[#This Row],[Mountain]]</f>
        <v>20</v>
      </c>
      <c r="G46" s="394">
        <f ca="1">TblConstr[[#This Row],[Hill]]</f>
        <v>20</v>
      </c>
      <c r="H46" s="398">
        <f ca="1">TblConstr[[#This Row],[Swamp]]</f>
        <v>20</v>
      </c>
      <c r="I46" s="193">
        <f ca="1">TblConstr[[#This Row],[Cavern]]</f>
        <v>20</v>
      </c>
      <c r="J46" s="194">
        <f ca="1">TblConstr[[#This Row],[Water]]</f>
        <v>20</v>
      </c>
      <c r="K46" s="226"/>
      <c r="L46" s="226"/>
      <c r="M46" s="226"/>
      <c r="N46" s="233">
        <f ca="1">TblMili[[#This Row],[Smithies]]</f>
        <v>0</v>
      </c>
      <c r="O46" s="233">
        <f ca="1">TblPop[[#This Row],[Employment]]</f>
        <v>1</v>
      </c>
      <c r="P46" s="233">
        <f ca="1">TblImps[[#This Row],[Population]]</f>
        <v>1</v>
      </c>
      <c r="Q46" s="183">
        <f ca="1">TblExplore[[#This Row],[Land]]</f>
        <v>250</v>
      </c>
      <c r="R46" s="183">
        <f>TblExplore[[#This Row],[Hour]]</f>
        <v>43</v>
      </c>
      <c r="S46" s="234"/>
      <c r="T46" s="187"/>
      <c r="U46" s="187"/>
      <c r="V46" s="187"/>
      <c r="W46" s="187"/>
      <c r="X46" s="187"/>
      <c r="Y46" s="187"/>
      <c r="Z46" s="187"/>
      <c r="AA46" s="167">
        <f ca="1">TblImps[[#This Row],[Real time]]</f>
        <v>44812.499999999898</v>
      </c>
      <c r="AB46" s="97">
        <f ca="1">TblMili[[#This Row],[Draftees]]</f>
        <v>626</v>
      </c>
      <c r="AC46" s="97">
        <f ca="1">TblProd[[#This Row],[Platinum]]</f>
        <v>331290</v>
      </c>
      <c r="AD46" s="231"/>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83">
        <f>TblRezone[[#This Row],[Hour]]</f>
        <v>44</v>
      </c>
      <c r="B47" s="230">
        <f ca="1">TblConstr[[#This Row],[Land]]</f>
        <v>250</v>
      </c>
      <c r="C47" s="231"/>
      <c r="D47" s="232">
        <f ca="1">TblConstr[[#This Row],[Plain]]</f>
        <v>40</v>
      </c>
      <c r="E47" s="190">
        <f ca="1">TblConstr[[#This Row],[Forest]]</f>
        <v>20</v>
      </c>
      <c r="F47" s="390">
        <f ca="1">TblConstr[[#This Row],[Mountain]]</f>
        <v>20</v>
      </c>
      <c r="G47" s="394">
        <f ca="1">TblConstr[[#This Row],[Hill]]</f>
        <v>20</v>
      </c>
      <c r="H47" s="398">
        <f ca="1">TblConstr[[#This Row],[Swamp]]</f>
        <v>20</v>
      </c>
      <c r="I47" s="193">
        <f ca="1">TblConstr[[#This Row],[Cavern]]</f>
        <v>20</v>
      </c>
      <c r="J47" s="194">
        <f ca="1">TblConstr[[#This Row],[Water]]</f>
        <v>20</v>
      </c>
      <c r="K47" s="226"/>
      <c r="L47" s="226"/>
      <c r="M47" s="226"/>
      <c r="N47" s="233">
        <f ca="1">TblMili[[#This Row],[Smithies]]</f>
        <v>0</v>
      </c>
      <c r="O47" s="233">
        <f ca="1">TblPop[[#This Row],[Employment]]</f>
        <v>1</v>
      </c>
      <c r="P47" s="233">
        <f ca="1">TblImps[[#This Row],[Population]]</f>
        <v>1</v>
      </c>
      <c r="Q47" s="183">
        <f ca="1">TblExplore[[#This Row],[Land]]</f>
        <v>250</v>
      </c>
      <c r="R47" s="183">
        <f>TblExplore[[#This Row],[Hour]]</f>
        <v>44</v>
      </c>
      <c r="S47" s="234"/>
      <c r="T47" s="187"/>
      <c r="U47" s="187"/>
      <c r="V47" s="187"/>
      <c r="W47" s="187"/>
      <c r="X47" s="187"/>
      <c r="Y47" s="187"/>
      <c r="Z47" s="187"/>
      <c r="AA47" s="167">
        <f ca="1">TblImps[[#This Row],[Real time]]</f>
        <v>44812.541666666562</v>
      </c>
      <c r="AB47" s="97">
        <f ca="1">TblMili[[#This Row],[Draftees]]</f>
        <v>626</v>
      </c>
      <c r="AC47" s="97">
        <f ca="1">TblProd[[#This Row],[Platinum]]</f>
        <v>336776</v>
      </c>
      <c r="AD47" s="231"/>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83">
        <f>TblRezone[[#This Row],[Hour]]</f>
        <v>45</v>
      </c>
      <c r="B48" s="230">
        <f ca="1">TblConstr[[#This Row],[Land]]</f>
        <v>250</v>
      </c>
      <c r="C48" s="231"/>
      <c r="D48" s="232">
        <f ca="1">TblConstr[[#This Row],[Plain]]</f>
        <v>40</v>
      </c>
      <c r="E48" s="190">
        <f ca="1">TblConstr[[#This Row],[Forest]]</f>
        <v>20</v>
      </c>
      <c r="F48" s="390">
        <f ca="1">TblConstr[[#This Row],[Mountain]]</f>
        <v>20</v>
      </c>
      <c r="G48" s="394">
        <f ca="1">TblConstr[[#This Row],[Hill]]</f>
        <v>20</v>
      </c>
      <c r="H48" s="398">
        <f ca="1">TblConstr[[#This Row],[Swamp]]</f>
        <v>20</v>
      </c>
      <c r="I48" s="193">
        <f ca="1">TblConstr[[#This Row],[Cavern]]</f>
        <v>20</v>
      </c>
      <c r="J48" s="194">
        <f ca="1">TblConstr[[#This Row],[Water]]</f>
        <v>20</v>
      </c>
      <c r="K48" s="226"/>
      <c r="L48" s="226"/>
      <c r="M48" s="226"/>
      <c r="N48" s="233">
        <f ca="1">TblMili[[#This Row],[Smithies]]</f>
        <v>0</v>
      </c>
      <c r="O48" s="233">
        <f ca="1">TblPop[[#This Row],[Employment]]</f>
        <v>1</v>
      </c>
      <c r="P48" s="233">
        <f ca="1">TblImps[[#This Row],[Population]]</f>
        <v>1</v>
      </c>
      <c r="Q48" s="183">
        <f ca="1">TblExplore[[#This Row],[Land]]</f>
        <v>250</v>
      </c>
      <c r="R48" s="183">
        <f>TblExplore[[#This Row],[Hour]]</f>
        <v>45</v>
      </c>
      <c r="S48" s="234"/>
      <c r="T48" s="187"/>
      <c r="U48" s="187"/>
      <c r="V48" s="187"/>
      <c r="W48" s="187"/>
      <c r="X48" s="187"/>
      <c r="Y48" s="187"/>
      <c r="Z48" s="187"/>
      <c r="AA48" s="167">
        <f ca="1">TblImps[[#This Row],[Real time]]</f>
        <v>44812.583333333227</v>
      </c>
      <c r="AB48" s="97">
        <f ca="1">TblMili[[#This Row],[Draftees]]</f>
        <v>626</v>
      </c>
      <c r="AC48" s="97">
        <f ca="1">TblProd[[#This Row],[Platinum]]</f>
        <v>342262</v>
      </c>
      <c r="AD48" s="231"/>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83">
        <f>TblRezone[[#This Row],[Hour]]</f>
        <v>46</v>
      </c>
      <c r="B49" s="230">
        <f ca="1">TblConstr[[#This Row],[Land]]</f>
        <v>250</v>
      </c>
      <c r="C49" s="231"/>
      <c r="D49" s="232">
        <f ca="1">TblConstr[[#This Row],[Plain]]</f>
        <v>40</v>
      </c>
      <c r="E49" s="190">
        <f ca="1">TblConstr[[#This Row],[Forest]]</f>
        <v>20</v>
      </c>
      <c r="F49" s="390">
        <f ca="1">TblConstr[[#This Row],[Mountain]]</f>
        <v>20</v>
      </c>
      <c r="G49" s="394">
        <f ca="1">TblConstr[[#This Row],[Hill]]</f>
        <v>20</v>
      </c>
      <c r="H49" s="398">
        <f ca="1">TblConstr[[#This Row],[Swamp]]</f>
        <v>20</v>
      </c>
      <c r="I49" s="193">
        <f ca="1">TblConstr[[#This Row],[Cavern]]</f>
        <v>20</v>
      </c>
      <c r="J49" s="194">
        <f ca="1">TblConstr[[#This Row],[Water]]</f>
        <v>20</v>
      </c>
      <c r="K49" s="226"/>
      <c r="L49" s="226"/>
      <c r="M49" s="226"/>
      <c r="N49" s="233">
        <f ca="1">TblMili[[#This Row],[Smithies]]</f>
        <v>0</v>
      </c>
      <c r="O49" s="233">
        <f ca="1">TblPop[[#This Row],[Employment]]</f>
        <v>1</v>
      </c>
      <c r="P49" s="233">
        <f ca="1">TblImps[[#This Row],[Population]]</f>
        <v>1</v>
      </c>
      <c r="Q49" s="183">
        <f ca="1">TblExplore[[#This Row],[Land]]</f>
        <v>250</v>
      </c>
      <c r="R49" s="183">
        <f>TblExplore[[#This Row],[Hour]]</f>
        <v>46</v>
      </c>
      <c r="S49" s="234"/>
      <c r="T49" s="187"/>
      <c r="U49" s="187"/>
      <c r="V49" s="187"/>
      <c r="W49" s="187"/>
      <c r="X49" s="187"/>
      <c r="Y49" s="187"/>
      <c r="Z49" s="187"/>
      <c r="AA49" s="167">
        <f ca="1">TblImps[[#This Row],[Real time]]</f>
        <v>44812.624999999891</v>
      </c>
      <c r="AB49" s="97">
        <f ca="1">TblMili[[#This Row],[Draftees]]</f>
        <v>626</v>
      </c>
      <c r="AC49" s="97">
        <f ca="1">TblProd[[#This Row],[Platinum]]</f>
        <v>347748</v>
      </c>
      <c r="AD49" s="231"/>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83">
        <f>TblRezone[[#This Row],[Hour]]</f>
        <v>47</v>
      </c>
      <c r="B50" s="230">
        <f ca="1">TblConstr[[#This Row],[Land]]</f>
        <v>250</v>
      </c>
      <c r="C50" s="231"/>
      <c r="D50" s="232">
        <f ca="1">TblConstr[[#This Row],[Plain]]</f>
        <v>40</v>
      </c>
      <c r="E50" s="190">
        <f ca="1">TblConstr[[#This Row],[Forest]]</f>
        <v>20</v>
      </c>
      <c r="F50" s="390">
        <f ca="1">TblConstr[[#This Row],[Mountain]]</f>
        <v>20</v>
      </c>
      <c r="G50" s="394">
        <f ca="1">TblConstr[[#This Row],[Hill]]</f>
        <v>20</v>
      </c>
      <c r="H50" s="398">
        <f ca="1">TblConstr[[#This Row],[Swamp]]</f>
        <v>20</v>
      </c>
      <c r="I50" s="193">
        <f ca="1">TblConstr[[#This Row],[Cavern]]</f>
        <v>20</v>
      </c>
      <c r="J50" s="194">
        <f ca="1">TblConstr[[#This Row],[Water]]</f>
        <v>20</v>
      </c>
      <c r="K50" s="226"/>
      <c r="L50" s="226"/>
      <c r="M50" s="226"/>
      <c r="N50" s="233">
        <f ca="1">TblMili[[#This Row],[Smithies]]</f>
        <v>0</v>
      </c>
      <c r="O50" s="233">
        <f ca="1">TblPop[[#This Row],[Employment]]</f>
        <v>1</v>
      </c>
      <c r="P50" s="233">
        <f ca="1">TblImps[[#This Row],[Population]]</f>
        <v>1</v>
      </c>
      <c r="Q50" s="183">
        <f ca="1">TblExplore[[#This Row],[Land]]</f>
        <v>250</v>
      </c>
      <c r="R50" s="183">
        <f>TblExplore[[#This Row],[Hour]]</f>
        <v>47</v>
      </c>
      <c r="S50" s="234"/>
      <c r="T50" s="187"/>
      <c r="U50" s="187"/>
      <c r="V50" s="187"/>
      <c r="W50" s="187"/>
      <c r="X50" s="187"/>
      <c r="Y50" s="187"/>
      <c r="Z50" s="187"/>
      <c r="AA50" s="167">
        <f ca="1">TblImps[[#This Row],[Real time]]</f>
        <v>44812.666666666555</v>
      </c>
      <c r="AB50" s="97">
        <f ca="1">TblMili[[#This Row],[Draftees]]</f>
        <v>626</v>
      </c>
      <c r="AC50" s="97">
        <f ca="1">TblProd[[#This Row],[Platinum]]</f>
        <v>353234</v>
      </c>
      <c r="AD50" s="231"/>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83">
        <f>TblRezone[[#This Row],[Hour]]</f>
        <v>48</v>
      </c>
      <c r="B51" s="230">
        <f ca="1">TblConstr[[#This Row],[Land]]</f>
        <v>250</v>
      </c>
      <c r="C51" s="231"/>
      <c r="D51" s="232">
        <f ca="1">TblConstr[[#This Row],[Plain]]</f>
        <v>40</v>
      </c>
      <c r="E51" s="190">
        <f ca="1">TblConstr[[#This Row],[Forest]]</f>
        <v>20</v>
      </c>
      <c r="F51" s="390">
        <f ca="1">TblConstr[[#This Row],[Mountain]]</f>
        <v>20</v>
      </c>
      <c r="G51" s="394">
        <f ca="1">TblConstr[[#This Row],[Hill]]</f>
        <v>20</v>
      </c>
      <c r="H51" s="398">
        <f ca="1">TblConstr[[#This Row],[Swamp]]</f>
        <v>20</v>
      </c>
      <c r="I51" s="193">
        <f ca="1">TblConstr[[#This Row],[Cavern]]</f>
        <v>20</v>
      </c>
      <c r="J51" s="194">
        <f ca="1">TblConstr[[#This Row],[Water]]</f>
        <v>20</v>
      </c>
      <c r="K51" s="226"/>
      <c r="L51" s="226"/>
      <c r="M51" s="226"/>
      <c r="N51" s="233">
        <f ca="1">TblMili[[#This Row],[Smithies]]</f>
        <v>0</v>
      </c>
      <c r="O51" s="233">
        <f ca="1">TblPop[[#This Row],[Employment]]</f>
        <v>1</v>
      </c>
      <c r="P51" s="233">
        <f ca="1">TblImps[[#This Row],[Population]]</f>
        <v>1</v>
      </c>
      <c r="Q51" s="183">
        <f ca="1">TblExplore[[#This Row],[Land]]</f>
        <v>250</v>
      </c>
      <c r="R51" s="183">
        <f>TblExplore[[#This Row],[Hour]]</f>
        <v>48</v>
      </c>
      <c r="S51" s="234"/>
      <c r="T51" s="187"/>
      <c r="U51" s="187"/>
      <c r="V51" s="187"/>
      <c r="W51" s="187"/>
      <c r="X51" s="187"/>
      <c r="Y51" s="187"/>
      <c r="Z51" s="187"/>
      <c r="AA51" s="167">
        <f ca="1">TblImps[[#This Row],[Real time]]</f>
        <v>44812.708333333219</v>
      </c>
      <c r="AB51" s="97">
        <f ca="1">TblMili[[#This Row],[Draftees]]</f>
        <v>626</v>
      </c>
      <c r="AC51" s="97">
        <f ca="1">TblProd[[#This Row],[Platinum]]</f>
        <v>358720</v>
      </c>
      <c r="AD51" s="231"/>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83">
        <f>TblRezone[[#This Row],[Hour]]</f>
        <v>49</v>
      </c>
      <c r="B52" s="230">
        <f ca="1">TblConstr[[#This Row],[Land]]</f>
        <v>250</v>
      </c>
      <c r="C52" s="231"/>
      <c r="D52" s="232">
        <f ca="1">TblConstr[[#This Row],[Plain]]</f>
        <v>40</v>
      </c>
      <c r="E52" s="190">
        <f ca="1">TblConstr[[#This Row],[Forest]]</f>
        <v>20</v>
      </c>
      <c r="F52" s="390">
        <f ca="1">TblConstr[[#This Row],[Mountain]]</f>
        <v>20</v>
      </c>
      <c r="G52" s="394">
        <f ca="1">TblConstr[[#This Row],[Hill]]</f>
        <v>20</v>
      </c>
      <c r="H52" s="398">
        <f ca="1">TblConstr[[#This Row],[Swamp]]</f>
        <v>20</v>
      </c>
      <c r="I52" s="193">
        <f ca="1">TblConstr[[#This Row],[Cavern]]</f>
        <v>20</v>
      </c>
      <c r="J52" s="194">
        <f ca="1">TblConstr[[#This Row],[Water]]</f>
        <v>20</v>
      </c>
      <c r="K52" s="226"/>
      <c r="L52" s="244"/>
      <c r="M52" s="245"/>
      <c r="N52" s="233">
        <f ca="1">TblMili[[#This Row],[Smithies]]</f>
        <v>0</v>
      </c>
      <c r="O52" s="233">
        <f ca="1">TblPop[[#This Row],[Employment]]</f>
        <v>1</v>
      </c>
      <c r="P52" s="233">
        <f ca="1">TblImps[[#This Row],[Population]]</f>
        <v>1</v>
      </c>
      <c r="Q52" s="183">
        <f ca="1">TblExplore[[#This Row],[Land]]</f>
        <v>250</v>
      </c>
      <c r="R52" s="183">
        <f>TblExplore[[#This Row],[Hour]]</f>
        <v>49</v>
      </c>
      <c r="S52" s="234"/>
      <c r="T52" s="187"/>
      <c r="U52" s="187"/>
      <c r="V52" s="187"/>
      <c r="W52" s="187"/>
      <c r="X52" s="187"/>
      <c r="Y52" s="187"/>
      <c r="Z52" s="187"/>
      <c r="AA52" s="167">
        <f ca="1">TblImps[[#This Row],[Real time]]</f>
        <v>44812.749999999884</v>
      </c>
      <c r="AB52" s="97">
        <f ca="1">TblMili[[#This Row],[Draftees]]</f>
        <v>626</v>
      </c>
      <c r="AC52" s="97">
        <f ca="1">TblProd[[#This Row],[Platinum]]</f>
        <v>364206</v>
      </c>
      <c r="AD52" s="231"/>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83">
        <f>TblRezone[[#This Row],[Hour]]</f>
        <v>50</v>
      </c>
      <c r="B53" s="230">
        <f ca="1">TblConstr[[#This Row],[Land]]</f>
        <v>250</v>
      </c>
      <c r="C53" s="231"/>
      <c r="D53" s="232">
        <f ca="1">TblConstr[[#This Row],[Plain]]</f>
        <v>40</v>
      </c>
      <c r="E53" s="190">
        <f ca="1">TblConstr[[#This Row],[Forest]]</f>
        <v>20</v>
      </c>
      <c r="F53" s="390">
        <f ca="1">TblConstr[[#This Row],[Mountain]]</f>
        <v>20</v>
      </c>
      <c r="G53" s="394">
        <f ca="1">TblConstr[[#This Row],[Hill]]</f>
        <v>20</v>
      </c>
      <c r="H53" s="398">
        <f ca="1">TblConstr[[#This Row],[Swamp]]</f>
        <v>20</v>
      </c>
      <c r="I53" s="193">
        <f ca="1">TblConstr[[#This Row],[Cavern]]</f>
        <v>20</v>
      </c>
      <c r="J53" s="194">
        <f ca="1">TblConstr[[#This Row],[Water]]</f>
        <v>20</v>
      </c>
      <c r="K53" s="226"/>
      <c r="L53" s="246"/>
      <c r="M53" s="245"/>
      <c r="N53" s="233">
        <f ca="1">TblMili[[#This Row],[Smithies]]</f>
        <v>0</v>
      </c>
      <c r="O53" s="233">
        <f ca="1">TblPop[[#This Row],[Employment]]</f>
        <v>1</v>
      </c>
      <c r="P53" s="233">
        <f ca="1">TblImps[[#This Row],[Population]]</f>
        <v>1</v>
      </c>
      <c r="Q53" s="183">
        <f ca="1">TblExplore[[#This Row],[Land]]</f>
        <v>250</v>
      </c>
      <c r="R53" s="183">
        <f>TblExplore[[#This Row],[Hour]]</f>
        <v>50</v>
      </c>
      <c r="S53" s="234"/>
      <c r="T53" s="187"/>
      <c r="U53" s="187"/>
      <c r="V53" s="187"/>
      <c r="W53" s="187"/>
      <c r="X53" s="187"/>
      <c r="Y53" s="187"/>
      <c r="Z53" s="187"/>
      <c r="AA53" s="167">
        <f ca="1">TblImps[[#This Row],[Real time]]</f>
        <v>44812.791666666548</v>
      </c>
      <c r="AB53" s="97">
        <f ca="1">TblMili[[#This Row],[Draftees]]</f>
        <v>626</v>
      </c>
      <c r="AC53" s="97">
        <f ca="1">TblProd[[#This Row],[Platinum]]</f>
        <v>369692</v>
      </c>
      <c r="AD53" s="231"/>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83">
        <f>TblRezone[[#This Row],[Hour]]</f>
        <v>51</v>
      </c>
      <c r="B54" s="230">
        <f ca="1">TblConstr[[#This Row],[Land]]</f>
        <v>250</v>
      </c>
      <c r="C54" s="231"/>
      <c r="D54" s="232">
        <f ca="1">TblConstr[[#This Row],[Plain]]</f>
        <v>40</v>
      </c>
      <c r="E54" s="190">
        <f ca="1">TblConstr[[#This Row],[Forest]]</f>
        <v>20</v>
      </c>
      <c r="F54" s="390">
        <f ca="1">TblConstr[[#This Row],[Mountain]]</f>
        <v>20</v>
      </c>
      <c r="G54" s="394">
        <f ca="1">TblConstr[[#This Row],[Hill]]</f>
        <v>20</v>
      </c>
      <c r="H54" s="398">
        <f ca="1">TblConstr[[#This Row],[Swamp]]</f>
        <v>20</v>
      </c>
      <c r="I54" s="193">
        <f ca="1">TblConstr[[#This Row],[Cavern]]</f>
        <v>20</v>
      </c>
      <c r="J54" s="194">
        <f ca="1">TblConstr[[#This Row],[Water]]</f>
        <v>20</v>
      </c>
      <c r="K54" s="226"/>
      <c r="L54" s="402" t="s">
        <v>1069</v>
      </c>
      <c r="M54" s="403" t="s">
        <v>308</v>
      </c>
      <c r="N54" s="233">
        <f ca="1">TblMili[[#This Row],[Smithies]]</f>
        <v>0</v>
      </c>
      <c r="O54" s="233">
        <f ca="1">TblPop[[#This Row],[Employment]]</f>
        <v>1</v>
      </c>
      <c r="P54" s="233">
        <f ca="1">TblImps[[#This Row],[Population]]</f>
        <v>1</v>
      </c>
      <c r="Q54" s="183">
        <f ca="1">TblExplore[[#This Row],[Land]]</f>
        <v>250</v>
      </c>
      <c r="R54" s="183">
        <f>TblExplore[[#This Row],[Hour]]</f>
        <v>51</v>
      </c>
      <c r="S54" s="234"/>
      <c r="T54" s="187"/>
      <c r="U54" s="187"/>
      <c r="V54" s="187"/>
      <c r="W54" s="187"/>
      <c r="X54" s="187"/>
      <c r="Y54" s="187"/>
      <c r="Z54" s="187"/>
      <c r="AA54" s="167">
        <f ca="1">TblImps[[#This Row],[Real time]]</f>
        <v>44812.833333333212</v>
      </c>
      <c r="AB54" s="97">
        <f ca="1">TblMili[[#This Row],[Draftees]]</f>
        <v>626</v>
      </c>
      <c r="AC54" s="97">
        <f ca="1">TblProd[[#This Row],[Platinum]]</f>
        <v>375178</v>
      </c>
      <c r="AD54" s="231"/>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83">
        <f>TblRezone[[#This Row],[Hour]]</f>
        <v>52</v>
      </c>
      <c r="B55" s="230">
        <f ca="1">TblConstr[[#This Row],[Land]]</f>
        <v>250</v>
      </c>
      <c r="C55" s="231"/>
      <c r="D55" s="232">
        <f ca="1">TblConstr[[#This Row],[Plain]]</f>
        <v>40</v>
      </c>
      <c r="E55" s="190">
        <f ca="1">TblConstr[[#This Row],[Forest]]</f>
        <v>20</v>
      </c>
      <c r="F55" s="390">
        <f ca="1">TblConstr[[#This Row],[Mountain]]</f>
        <v>20</v>
      </c>
      <c r="G55" s="394">
        <f ca="1">TblConstr[[#This Row],[Hill]]</f>
        <v>20</v>
      </c>
      <c r="H55" s="398">
        <f ca="1">TblConstr[[#This Row],[Swamp]]</f>
        <v>20</v>
      </c>
      <c r="I55" s="193">
        <f ca="1">TblConstr[[#This Row],[Cavern]]</f>
        <v>20</v>
      </c>
      <c r="J55" s="194">
        <f ca="1">TblConstr[[#This Row],[Water]]</f>
        <v>20</v>
      </c>
      <c r="K55" s="226"/>
      <c r="L55" s="404">
        <v>4</v>
      </c>
      <c r="M55" s="405">
        <v>299</v>
      </c>
      <c r="N55" s="233">
        <f ca="1">TblMili[[#This Row],[Smithies]]</f>
        <v>0</v>
      </c>
      <c r="O55" s="233">
        <f ca="1">TblPop[[#This Row],[Employment]]</f>
        <v>1</v>
      </c>
      <c r="P55" s="233">
        <f ca="1">TblImps[[#This Row],[Population]]</f>
        <v>1</v>
      </c>
      <c r="Q55" s="183">
        <f ca="1">TblExplore[[#This Row],[Land]]</f>
        <v>250</v>
      </c>
      <c r="R55" s="183">
        <f>TblExplore[[#This Row],[Hour]]</f>
        <v>52</v>
      </c>
      <c r="S55" s="234"/>
      <c r="T55" s="187"/>
      <c r="U55" s="187"/>
      <c r="V55" s="187"/>
      <c r="W55" s="187"/>
      <c r="X55" s="187"/>
      <c r="Y55" s="187"/>
      <c r="Z55" s="187"/>
      <c r="AA55" s="167">
        <f ca="1">TblImps[[#This Row],[Real time]]</f>
        <v>44812.874999999876</v>
      </c>
      <c r="AB55" s="97">
        <f ca="1">TblMili[[#This Row],[Draftees]]</f>
        <v>626</v>
      </c>
      <c r="AC55" s="97">
        <f ca="1">TblProd[[#This Row],[Platinum]]</f>
        <v>380664</v>
      </c>
      <c r="AD55" s="231"/>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83">
        <f>TblRezone[[#This Row],[Hour]]</f>
        <v>53</v>
      </c>
      <c r="B56" s="230">
        <f ca="1">TblConstr[[#This Row],[Land]]</f>
        <v>250</v>
      </c>
      <c r="C56" s="231"/>
      <c r="D56" s="232">
        <f ca="1">TblConstr[[#This Row],[Plain]]</f>
        <v>40</v>
      </c>
      <c r="E56" s="190">
        <f ca="1">TblConstr[[#This Row],[Forest]]</f>
        <v>20</v>
      </c>
      <c r="F56" s="390">
        <f ca="1">TblConstr[[#This Row],[Mountain]]</f>
        <v>20</v>
      </c>
      <c r="G56" s="394">
        <f ca="1">TblConstr[[#This Row],[Hill]]</f>
        <v>20</v>
      </c>
      <c r="H56" s="398">
        <f ca="1">TblConstr[[#This Row],[Swamp]]</f>
        <v>20</v>
      </c>
      <c r="I56" s="193">
        <f ca="1">TblConstr[[#This Row],[Cavern]]</f>
        <v>20</v>
      </c>
      <c r="J56" s="194">
        <f ca="1">TblConstr[[#This Row],[Water]]</f>
        <v>20</v>
      </c>
      <c r="K56" s="226"/>
      <c r="L56" s="404">
        <v>5</v>
      </c>
      <c r="M56" s="405">
        <f>ROUNDDOWN(227.945*(L56+0.5 - 5)^0.934579 + 300,0)</f>
        <v>419</v>
      </c>
      <c r="N56" s="233">
        <f ca="1">TblMili[[#This Row],[Smithies]]</f>
        <v>0</v>
      </c>
      <c r="O56" s="233">
        <f ca="1">TblPop[[#This Row],[Employment]]</f>
        <v>1</v>
      </c>
      <c r="P56" s="233">
        <f ca="1">TblImps[[#This Row],[Population]]</f>
        <v>1</v>
      </c>
      <c r="Q56" s="183">
        <f ca="1">TblExplore[[#This Row],[Land]]</f>
        <v>250</v>
      </c>
      <c r="R56" s="183">
        <f>TblExplore[[#This Row],[Hour]]</f>
        <v>53</v>
      </c>
      <c r="S56" s="234"/>
      <c r="T56" s="187"/>
      <c r="U56" s="187"/>
      <c r="V56" s="187"/>
      <c r="W56" s="187"/>
      <c r="X56" s="187"/>
      <c r="Y56" s="187"/>
      <c r="Z56" s="187"/>
      <c r="AA56" s="167">
        <f ca="1">TblImps[[#This Row],[Real time]]</f>
        <v>44812.916666666541</v>
      </c>
      <c r="AB56" s="97">
        <f ca="1">TblMili[[#This Row],[Draftees]]</f>
        <v>626</v>
      </c>
      <c r="AC56" s="97">
        <f ca="1">TblProd[[#This Row],[Platinum]]</f>
        <v>386150</v>
      </c>
      <c r="AD56" s="231"/>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83">
        <f>TblRezone[[#This Row],[Hour]]</f>
        <v>54</v>
      </c>
      <c r="B57" s="230">
        <f ca="1">TblConstr[[#This Row],[Land]]</f>
        <v>250</v>
      </c>
      <c r="C57" s="231"/>
      <c r="D57" s="232">
        <f ca="1">TblConstr[[#This Row],[Plain]]</f>
        <v>40</v>
      </c>
      <c r="E57" s="190">
        <f ca="1">TblConstr[[#This Row],[Forest]]</f>
        <v>20</v>
      </c>
      <c r="F57" s="390">
        <f ca="1">TblConstr[[#This Row],[Mountain]]</f>
        <v>20</v>
      </c>
      <c r="G57" s="394">
        <f ca="1">TblConstr[[#This Row],[Hill]]</f>
        <v>20</v>
      </c>
      <c r="H57" s="398">
        <f ca="1">TblConstr[[#This Row],[Swamp]]</f>
        <v>20</v>
      </c>
      <c r="I57" s="193">
        <f ca="1">TblConstr[[#This Row],[Cavern]]</f>
        <v>20</v>
      </c>
      <c r="J57" s="194">
        <f ca="1">TblConstr[[#This Row],[Water]]</f>
        <v>20</v>
      </c>
      <c r="K57" s="226"/>
      <c r="L57" s="404">
        <v>6</v>
      </c>
      <c r="M57" s="405">
        <f t="shared" ref="M57:M69" si="0">ROUNDDOWN(227.945*(L57+0.5 - 5)^0.934579 + 300,0)</f>
        <v>632</v>
      </c>
      <c r="N57" s="233">
        <f ca="1">TblMili[[#This Row],[Smithies]]</f>
        <v>0</v>
      </c>
      <c r="O57" s="233">
        <f ca="1">TblPop[[#This Row],[Employment]]</f>
        <v>1</v>
      </c>
      <c r="P57" s="233">
        <f ca="1">TblImps[[#This Row],[Population]]</f>
        <v>1</v>
      </c>
      <c r="Q57" s="183">
        <f ca="1">TblExplore[[#This Row],[Land]]</f>
        <v>250</v>
      </c>
      <c r="R57" s="183">
        <f>TblExplore[[#This Row],[Hour]]</f>
        <v>54</v>
      </c>
      <c r="S57" s="234"/>
      <c r="T57" s="187"/>
      <c r="U57" s="187"/>
      <c r="V57" s="187"/>
      <c r="W57" s="187"/>
      <c r="X57" s="187"/>
      <c r="Y57" s="187"/>
      <c r="Z57" s="187"/>
      <c r="AA57" s="167">
        <f ca="1">TblImps[[#This Row],[Real time]]</f>
        <v>44812.958333333205</v>
      </c>
      <c r="AB57" s="97">
        <f ca="1">TblMili[[#This Row],[Draftees]]</f>
        <v>626</v>
      </c>
      <c r="AC57" s="97">
        <f ca="1">TblProd[[#This Row],[Platinum]]</f>
        <v>391636</v>
      </c>
      <c r="AD57" s="231"/>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83">
        <f>TblRezone[[#This Row],[Hour]]</f>
        <v>55</v>
      </c>
      <c r="B58" s="230">
        <f ca="1">TblConstr[[#This Row],[Land]]</f>
        <v>250</v>
      </c>
      <c r="C58" s="231"/>
      <c r="D58" s="232">
        <f ca="1">TblConstr[[#This Row],[Plain]]</f>
        <v>40</v>
      </c>
      <c r="E58" s="190">
        <f ca="1">TblConstr[[#This Row],[Forest]]</f>
        <v>20</v>
      </c>
      <c r="F58" s="390">
        <f ca="1">TblConstr[[#This Row],[Mountain]]</f>
        <v>20</v>
      </c>
      <c r="G58" s="394">
        <f ca="1">TblConstr[[#This Row],[Hill]]</f>
        <v>20</v>
      </c>
      <c r="H58" s="398">
        <f ca="1">TblConstr[[#This Row],[Swamp]]</f>
        <v>20</v>
      </c>
      <c r="I58" s="193">
        <f ca="1">TblConstr[[#This Row],[Cavern]]</f>
        <v>20</v>
      </c>
      <c r="J58" s="194">
        <f ca="1">TblConstr[[#This Row],[Water]]</f>
        <v>20</v>
      </c>
      <c r="K58" s="226"/>
      <c r="L58" s="404">
        <v>7</v>
      </c>
      <c r="M58" s="405">
        <f t="shared" si="0"/>
        <v>836</v>
      </c>
      <c r="N58" s="233">
        <f ca="1">TblMili[[#This Row],[Smithies]]</f>
        <v>0</v>
      </c>
      <c r="O58" s="233">
        <f ca="1">TblPop[[#This Row],[Employment]]</f>
        <v>1</v>
      </c>
      <c r="P58" s="233">
        <f ca="1">TblImps[[#This Row],[Population]]</f>
        <v>1</v>
      </c>
      <c r="Q58" s="183">
        <f ca="1">TblExplore[[#This Row],[Land]]</f>
        <v>250</v>
      </c>
      <c r="R58" s="183">
        <f>TblExplore[[#This Row],[Hour]]</f>
        <v>55</v>
      </c>
      <c r="S58" s="234"/>
      <c r="T58" s="187"/>
      <c r="U58" s="187"/>
      <c r="V58" s="187"/>
      <c r="W58" s="187"/>
      <c r="X58" s="187"/>
      <c r="Y58" s="187"/>
      <c r="Z58" s="187"/>
      <c r="AA58" s="167">
        <f ca="1">TblImps[[#This Row],[Real time]]</f>
        <v>44812.999999999869</v>
      </c>
      <c r="AB58" s="97">
        <f ca="1">TblMili[[#This Row],[Draftees]]</f>
        <v>626</v>
      </c>
      <c r="AC58" s="97">
        <f ca="1">TblProd[[#This Row],[Platinum]]</f>
        <v>397122</v>
      </c>
      <c r="AD58" s="231"/>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83">
        <f>TblRezone[[#This Row],[Hour]]</f>
        <v>56</v>
      </c>
      <c r="B59" s="230">
        <f ca="1">TblConstr[[#This Row],[Land]]</f>
        <v>250</v>
      </c>
      <c r="C59" s="231"/>
      <c r="D59" s="232">
        <f ca="1">TblConstr[[#This Row],[Plain]]</f>
        <v>40</v>
      </c>
      <c r="E59" s="190">
        <f ca="1">TblConstr[[#This Row],[Forest]]</f>
        <v>20</v>
      </c>
      <c r="F59" s="390">
        <f ca="1">TblConstr[[#This Row],[Mountain]]</f>
        <v>20</v>
      </c>
      <c r="G59" s="394">
        <f ca="1">TblConstr[[#This Row],[Hill]]</f>
        <v>20</v>
      </c>
      <c r="H59" s="398">
        <f ca="1">TblConstr[[#This Row],[Swamp]]</f>
        <v>20</v>
      </c>
      <c r="I59" s="193">
        <f ca="1">TblConstr[[#This Row],[Cavern]]</f>
        <v>20</v>
      </c>
      <c r="J59" s="194">
        <f ca="1">TblConstr[[#This Row],[Water]]</f>
        <v>20</v>
      </c>
      <c r="K59" s="226"/>
      <c r="L59" s="404">
        <v>8</v>
      </c>
      <c r="M59" s="405">
        <f t="shared" si="0"/>
        <v>1035</v>
      </c>
      <c r="N59" s="233">
        <f ca="1">TblMili[[#This Row],[Smithies]]</f>
        <v>0</v>
      </c>
      <c r="O59" s="233">
        <f ca="1">TblPop[[#This Row],[Employment]]</f>
        <v>1</v>
      </c>
      <c r="P59" s="233">
        <f ca="1">TblImps[[#This Row],[Population]]</f>
        <v>1</v>
      </c>
      <c r="Q59" s="183">
        <f ca="1">TblExplore[[#This Row],[Land]]</f>
        <v>250</v>
      </c>
      <c r="R59" s="183">
        <f>TblExplore[[#This Row],[Hour]]</f>
        <v>56</v>
      </c>
      <c r="S59" s="234"/>
      <c r="T59" s="187"/>
      <c r="U59" s="187"/>
      <c r="V59" s="187"/>
      <c r="W59" s="187"/>
      <c r="X59" s="187"/>
      <c r="Y59" s="187"/>
      <c r="Z59" s="187"/>
      <c r="AA59" s="167">
        <f ca="1">TblImps[[#This Row],[Real time]]</f>
        <v>44813.041666666533</v>
      </c>
      <c r="AB59" s="97">
        <f ca="1">TblMili[[#This Row],[Draftees]]</f>
        <v>626</v>
      </c>
      <c r="AC59" s="97">
        <f ca="1">TblProd[[#This Row],[Platinum]]</f>
        <v>402608</v>
      </c>
      <c r="AD59" s="231"/>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83">
        <f>TblRezone[[#This Row],[Hour]]</f>
        <v>57</v>
      </c>
      <c r="B60" s="230">
        <f ca="1">TblConstr[[#This Row],[Land]]</f>
        <v>250</v>
      </c>
      <c r="C60" s="231"/>
      <c r="D60" s="232">
        <f ca="1">TblConstr[[#This Row],[Plain]]</f>
        <v>40</v>
      </c>
      <c r="E60" s="190">
        <f ca="1">TblConstr[[#This Row],[Forest]]</f>
        <v>20</v>
      </c>
      <c r="F60" s="390">
        <f ca="1">TblConstr[[#This Row],[Mountain]]</f>
        <v>20</v>
      </c>
      <c r="G60" s="394">
        <f ca="1">TblConstr[[#This Row],[Hill]]</f>
        <v>20</v>
      </c>
      <c r="H60" s="398">
        <f ca="1">TblConstr[[#This Row],[Swamp]]</f>
        <v>20</v>
      </c>
      <c r="I60" s="193">
        <f ca="1">TblConstr[[#This Row],[Cavern]]</f>
        <v>20</v>
      </c>
      <c r="J60" s="194">
        <f ca="1">TblConstr[[#This Row],[Water]]</f>
        <v>20</v>
      </c>
      <c r="K60" s="226"/>
      <c r="L60" s="404">
        <v>9</v>
      </c>
      <c r="M60" s="405">
        <f t="shared" si="0"/>
        <v>1229</v>
      </c>
      <c r="N60" s="233">
        <f ca="1">TblMili[[#This Row],[Smithies]]</f>
        <v>0</v>
      </c>
      <c r="O60" s="233">
        <f ca="1">TblPop[[#This Row],[Employment]]</f>
        <v>1</v>
      </c>
      <c r="P60" s="233">
        <f ca="1">TblImps[[#This Row],[Population]]</f>
        <v>1</v>
      </c>
      <c r="Q60" s="183">
        <f ca="1">TblExplore[[#This Row],[Land]]</f>
        <v>250</v>
      </c>
      <c r="R60" s="183">
        <f>TblExplore[[#This Row],[Hour]]</f>
        <v>57</v>
      </c>
      <c r="S60" s="234"/>
      <c r="T60" s="187"/>
      <c r="U60" s="187"/>
      <c r="V60" s="187"/>
      <c r="W60" s="187"/>
      <c r="X60" s="187"/>
      <c r="Y60" s="187"/>
      <c r="Z60" s="187"/>
      <c r="AA60" s="167">
        <f ca="1">TblImps[[#This Row],[Real time]]</f>
        <v>44813.083333333198</v>
      </c>
      <c r="AB60" s="97">
        <f ca="1">TblMili[[#This Row],[Draftees]]</f>
        <v>626</v>
      </c>
      <c r="AC60" s="97">
        <f ca="1">TblProd[[#This Row],[Platinum]]</f>
        <v>408094</v>
      </c>
      <c r="AD60" s="231"/>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83">
        <f>TblRezone[[#This Row],[Hour]]</f>
        <v>58</v>
      </c>
      <c r="B61" s="230">
        <f ca="1">TblConstr[[#This Row],[Land]]</f>
        <v>250</v>
      </c>
      <c r="C61" s="231"/>
      <c r="D61" s="232">
        <f ca="1">TblConstr[[#This Row],[Plain]]</f>
        <v>40</v>
      </c>
      <c r="E61" s="190">
        <f ca="1">TblConstr[[#This Row],[Forest]]</f>
        <v>20</v>
      </c>
      <c r="F61" s="390">
        <f ca="1">TblConstr[[#This Row],[Mountain]]</f>
        <v>20</v>
      </c>
      <c r="G61" s="394">
        <f ca="1">TblConstr[[#This Row],[Hill]]</f>
        <v>20</v>
      </c>
      <c r="H61" s="398">
        <f ca="1">TblConstr[[#This Row],[Swamp]]</f>
        <v>20</v>
      </c>
      <c r="I61" s="193">
        <f ca="1">TblConstr[[#This Row],[Cavern]]</f>
        <v>20</v>
      </c>
      <c r="J61" s="194">
        <f ca="1">TblConstr[[#This Row],[Water]]</f>
        <v>20</v>
      </c>
      <c r="K61" s="226"/>
      <c r="L61" s="404">
        <v>10</v>
      </c>
      <c r="M61" s="405">
        <f t="shared" si="0"/>
        <v>1421</v>
      </c>
      <c r="N61" s="233">
        <f ca="1">TblMili[[#This Row],[Smithies]]</f>
        <v>0</v>
      </c>
      <c r="O61" s="233">
        <f ca="1">TblPop[[#This Row],[Employment]]</f>
        <v>1</v>
      </c>
      <c r="P61" s="233">
        <f ca="1">TblImps[[#This Row],[Population]]</f>
        <v>1</v>
      </c>
      <c r="Q61" s="183">
        <f ca="1">TblExplore[[#This Row],[Land]]</f>
        <v>250</v>
      </c>
      <c r="R61" s="183">
        <f>TblExplore[[#This Row],[Hour]]</f>
        <v>58</v>
      </c>
      <c r="S61" s="234"/>
      <c r="T61" s="187"/>
      <c r="U61" s="187"/>
      <c r="V61" s="187"/>
      <c r="W61" s="187"/>
      <c r="X61" s="187"/>
      <c r="Y61" s="187"/>
      <c r="Z61" s="187"/>
      <c r="AA61" s="167">
        <f ca="1">TblImps[[#This Row],[Real time]]</f>
        <v>44813.124999999862</v>
      </c>
      <c r="AB61" s="97">
        <f ca="1">TblMili[[#This Row],[Draftees]]</f>
        <v>626</v>
      </c>
      <c r="AC61" s="97">
        <f ca="1">TblProd[[#This Row],[Platinum]]</f>
        <v>413580</v>
      </c>
      <c r="AD61" s="231"/>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83">
        <f>TblRezone[[#This Row],[Hour]]</f>
        <v>59</v>
      </c>
      <c r="B62" s="230">
        <f ca="1">TblConstr[[#This Row],[Land]]</f>
        <v>250</v>
      </c>
      <c r="C62" s="231"/>
      <c r="D62" s="232">
        <f ca="1">TblConstr[[#This Row],[Plain]]</f>
        <v>40</v>
      </c>
      <c r="E62" s="190">
        <f ca="1">TblConstr[[#This Row],[Forest]]</f>
        <v>20</v>
      </c>
      <c r="F62" s="390">
        <f ca="1">TblConstr[[#This Row],[Mountain]]</f>
        <v>20</v>
      </c>
      <c r="G62" s="394">
        <f ca="1">TblConstr[[#This Row],[Hill]]</f>
        <v>20</v>
      </c>
      <c r="H62" s="398">
        <f ca="1">TblConstr[[#This Row],[Swamp]]</f>
        <v>20</v>
      </c>
      <c r="I62" s="193">
        <f ca="1">TblConstr[[#This Row],[Cavern]]</f>
        <v>20</v>
      </c>
      <c r="J62" s="194">
        <f ca="1">TblConstr[[#This Row],[Water]]</f>
        <v>20</v>
      </c>
      <c r="K62" s="226"/>
      <c r="L62" s="404">
        <v>11</v>
      </c>
      <c r="M62" s="405">
        <f t="shared" si="0"/>
        <v>1610</v>
      </c>
      <c r="N62" s="233">
        <f ca="1">TblMili[[#This Row],[Smithies]]</f>
        <v>0</v>
      </c>
      <c r="O62" s="233">
        <f ca="1">TblPop[[#This Row],[Employment]]</f>
        <v>1</v>
      </c>
      <c r="P62" s="233">
        <f ca="1">TblImps[[#This Row],[Population]]</f>
        <v>1</v>
      </c>
      <c r="Q62" s="183">
        <f ca="1">TblExplore[[#This Row],[Land]]</f>
        <v>250</v>
      </c>
      <c r="R62" s="183">
        <f>TblExplore[[#This Row],[Hour]]</f>
        <v>59</v>
      </c>
      <c r="S62" s="234"/>
      <c r="T62" s="187"/>
      <c r="U62" s="187"/>
      <c r="V62" s="187"/>
      <c r="W62" s="187"/>
      <c r="X62" s="187"/>
      <c r="Y62" s="187"/>
      <c r="Z62" s="187"/>
      <c r="AA62" s="167">
        <f ca="1">TblImps[[#This Row],[Real time]]</f>
        <v>44813.166666666526</v>
      </c>
      <c r="AB62" s="97">
        <f ca="1">TblMili[[#This Row],[Draftees]]</f>
        <v>626</v>
      </c>
      <c r="AC62" s="97">
        <f ca="1">TblProd[[#This Row],[Platinum]]</f>
        <v>419066</v>
      </c>
      <c r="AD62" s="231"/>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83">
        <f>TblRezone[[#This Row],[Hour]]</f>
        <v>60</v>
      </c>
      <c r="B63" s="230">
        <f ca="1">TblConstr[[#This Row],[Land]]</f>
        <v>250</v>
      </c>
      <c r="C63" s="231"/>
      <c r="D63" s="232">
        <f ca="1">TblConstr[[#This Row],[Plain]]</f>
        <v>40</v>
      </c>
      <c r="E63" s="190">
        <f ca="1">TblConstr[[#This Row],[Forest]]</f>
        <v>20</v>
      </c>
      <c r="F63" s="390">
        <f ca="1">TblConstr[[#This Row],[Mountain]]</f>
        <v>20</v>
      </c>
      <c r="G63" s="394">
        <f ca="1">TblConstr[[#This Row],[Hill]]</f>
        <v>20</v>
      </c>
      <c r="H63" s="398">
        <f ca="1">TblConstr[[#This Row],[Swamp]]</f>
        <v>20</v>
      </c>
      <c r="I63" s="193">
        <f ca="1">TblConstr[[#This Row],[Cavern]]</f>
        <v>20</v>
      </c>
      <c r="J63" s="194">
        <f ca="1">TblConstr[[#This Row],[Water]]</f>
        <v>20</v>
      </c>
      <c r="K63" s="226"/>
      <c r="L63" s="404">
        <v>12</v>
      </c>
      <c r="M63" s="405">
        <f t="shared" si="0"/>
        <v>1798</v>
      </c>
      <c r="N63" s="233">
        <f ca="1">TblMili[[#This Row],[Smithies]]</f>
        <v>0</v>
      </c>
      <c r="O63" s="233">
        <f ca="1">TblPop[[#This Row],[Employment]]</f>
        <v>1</v>
      </c>
      <c r="P63" s="233">
        <f ca="1">TblImps[[#This Row],[Population]]</f>
        <v>1</v>
      </c>
      <c r="Q63" s="183">
        <f ca="1">TblExplore[[#This Row],[Land]]</f>
        <v>250</v>
      </c>
      <c r="R63" s="183">
        <f>TblExplore[[#This Row],[Hour]]</f>
        <v>60</v>
      </c>
      <c r="S63" s="234"/>
      <c r="T63" s="187"/>
      <c r="U63" s="187"/>
      <c r="V63" s="187"/>
      <c r="W63" s="187"/>
      <c r="X63" s="187"/>
      <c r="Y63" s="187"/>
      <c r="Z63" s="187"/>
      <c r="AA63" s="167">
        <f ca="1">TblImps[[#This Row],[Real time]]</f>
        <v>44813.20833333319</v>
      </c>
      <c r="AB63" s="97">
        <f ca="1">TblMili[[#This Row],[Draftees]]</f>
        <v>626</v>
      </c>
      <c r="AC63" s="97">
        <f ca="1">TblProd[[#This Row],[Platinum]]</f>
        <v>424552</v>
      </c>
      <c r="AD63" s="231"/>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83">
        <f>TblRezone[[#This Row],[Hour]]</f>
        <v>61</v>
      </c>
      <c r="B64" s="230">
        <f ca="1">TblConstr[[#This Row],[Land]]</f>
        <v>250</v>
      </c>
      <c r="C64" s="231"/>
      <c r="D64" s="232">
        <f ca="1">TblConstr[[#This Row],[Plain]]</f>
        <v>40</v>
      </c>
      <c r="E64" s="190">
        <f ca="1">TblConstr[[#This Row],[Forest]]</f>
        <v>20</v>
      </c>
      <c r="F64" s="390">
        <f ca="1">TblConstr[[#This Row],[Mountain]]</f>
        <v>20</v>
      </c>
      <c r="G64" s="394">
        <f ca="1">TblConstr[[#This Row],[Hill]]</f>
        <v>20</v>
      </c>
      <c r="H64" s="398">
        <f ca="1">TblConstr[[#This Row],[Swamp]]</f>
        <v>20</v>
      </c>
      <c r="I64" s="193">
        <f ca="1">TblConstr[[#This Row],[Cavern]]</f>
        <v>20</v>
      </c>
      <c r="J64" s="194">
        <f ca="1">TblConstr[[#This Row],[Water]]</f>
        <v>20</v>
      </c>
      <c r="K64" s="226"/>
      <c r="L64" s="404">
        <v>13</v>
      </c>
      <c r="M64" s="405">
        <f t="shared" si="0"/>
        <v>1984</v>
      </c>
      <c r="N64" s="233">
        <f ca="1">TblMili[[#This Row],[Smithies]]</f>
        <v>0</v>
      </c>
      <c r="O64" s="233">
        <f ca="1">TblPop[[#This Row],[Employment]]</f>
        <v>1</v>
      </c>
      <c r="P64" s="233">
        <f ca="1">TblImps[[#This Row],[Population]]</f>
        <v>1</v>
      </c>
      <c r="Q64" s="183">
        <f ca="1">TblExplore[[#This Row],[Land]]</f>
        <v>250</v>
      </c>
      <c r="R64" s="183">
        <f>TblExplore[[#This Row],[Hour]]</f>
        <v>61</v>
      </c>
      <c r="S64" s="234"/>
      <c r="T64" s="187"/>
      <c r="U64" s="187"/>
      <c r="V64" s="187"/>
      <c r="W64" s="187"/>
      <c r="X64" s="187"/>
      <c r="Y64" s="187"/>
      <c r="Z64" s="187"/>
      <c r="AA64" s="167">
        <f ca="1">TblImps[[#This Row],[Real time]]</f>
        <v>44813.249999999854</v>
      </c>
      <c r="AB64" s="97">
        <f ca="1">TblMili[[#This Row],[Draftees]]</f>
        <v>626</v>
      </c>
      <c r="AC64" s="97">
        <f ca="1">TblProd[[#This Row],[Platinum]]</f>
        <v>430038</v>
      </c>
      <c r="AD64" s="231"/>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83">
        <f>TblRezone[[#This Row],[Hour]]</f>
        <v>62</v>
      </c>
      <c r="B65" s="230">
        <f ca="1">TblConstr[[#This Row],[Land]]</f>
        <v>250</v>
      </c>
      <c r="C65" s="231"/>
      <c r="D65" s="232">
        <f ca="1">TblConstr[[#This Row],[Plain]]</f>
        <v>40</v>
      </c>
      <c r="E65" s="190">
        <f ca="1">TblConstr[[#This Row],[Forest]]</f>
        <v>20</v>
      </c>
      <c r="F65" s="390">
        <f ca="1">TblConstr[[#This Row],[Mountain]]</f>
        <v>20</v>
      </c>
      <c r="G65" s="394">
        <f ca="1">TblConstr[[#This Row],[Hill]]</f>
        <v>20</v>
      </c>
      <c r="H65" s="398">
        <f ca="1">TblConstr[[#This Row],[Swamp]]</f>
        <v>20</v>
      </c>
      <c r="I65" s="193">
        <f ca="1">TblConstr[[#This Row],[Cavern]]</f>
        <v>20</v>
      </c>
      <c r="J65" s="194">
        <f ca="1">TblConstr[[#This Row],[Water]]</f>
        <v>20</v>
      </c>
      <c r="K65" s="226"/>
      <c r="L65" s="404">
        <v>14</v>
      </c>
      <c r="M65" s="405">
        <f t="shared" si="0"/>
        <v>2168</v>
      </c>
      <c r="N65" s="233">
        <f ca="1">TblMili[[#This Row],[Smithies]]</f>
        <v>0</v>
      </c>
      <c r="O65" s="233">
        <f ca="1">TblPop[[#This Row],[Employment]]</f>
        <v>1</v>
      </c>
      <c r="P65" s="233">
        <f ca="1">TblImps[[#This Row],[Population]]</f>
        <v>1</v>
      </c>
      <c r="Q65" s="183">
        <f ca="1">TblExplore[[#This Row],[Land]]</f>
        <v>250</v>
      </c>
      <c r="R65" s="183">
        <f>TblExplore[[#This Row],[Hour]]</f>
        <v>62</v>
      </c>
      <c r="S65" s="234"/>
      <c r="T65" s="187"/>
      <c r="U65" s="187"/>
      <c r="V65" s="187"/>
      <c r="W65" s="187"/>
      <c r="X65" s="187"/>
      <c r="Y65" s="187"/>
      <c r="Z65" s="187"/>
      <c r="AA65" s="167">
        <f ca="1">TblImps[[#This Row],[Real time]]</f>
        <v>44813.291666666519</v>
      </c>
      <c r="AB65" s="97">
        <f ca="1">TblMili[[#This Row],[Draftees]]</f>
        <v>626</v>
      </c>
      <c r="AC65" s="97">
        <f ca="1">TblProd[[#This Row],[Platinum]]</f>
        <v>435524</v>
      </c>
      <c r="AD65" s="231"/>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83">
        <f>TblRezone[[#This Row],[Hour]]</f>
        <v>63</v>
      </c>
      <c r="B66" s="230">
        <f ca="1">TblConstr[[#This Row],[Land]]</f>
        <v>250</v>
      </c>
      <c r="C66" s="231"/>
      <c r="D66" s="232">
        <f ca="1">TblConstr[[#This Row],[Plain]]</f>
        <v>40</v>
      </c>
      <c r="E66" s="190">
        <f ca="1">TblConstr[[#This Row],[Forest]]</f>
        <v>20</v>
      </c>
      <c r="F66" s="390">
        <f ca="1">TblConstr[[#This Row],[Mountain]]</f>
        <v>20</v>
      </c>
      <c r="G66" s="394">
        <f ca="1">TblConstr[[#This Row],[Hill]]</f>
        <v>20</v>
      </c>
      <c r="H66" s="398">
        <f ca="1">TblConstr[[#This Row],[Swamp]]</f>
        <v>20</v>
      </c>
      <c r="I66" s="193">
        <f ca="1">TblConstr[[#This Row],[Cavern]]</f>
        <v>20</v>
      </c>
      <c r="J66" s="194">
        <f ca="1">TblConstr[[#This Row],[Water]]</f>
        <v>20</v>
      </c>
      <c r="K66" s="226"/>
      <c r="L66" s="404">
        <v>15</v>
      </c>
      <c r="M66" s="405">
        <f t="shared" si="0"/>
        <v>2352</v>
      </c>
      <c r="N66" s="233">
        <f ca="1">TblMili[[#This Row],[Smithies]]</f>
        <v>0</v>
      </c>
      <c r="O66" s="233">
        <f ca="1">TblPop[[#This Row],[Employment]]</f>
        <v>1</v>
      </c>
      <c r="P66" s="233">
        <f ca="1">TblImps[[#This Row],[Population]]</f>
        <v>1</v>
      </c>
      <c r="Q66" s="183">
        <f ca="1">TblExplore[[#This Row],[Land]]</f>
        <v>250</v>
      </c>
      <c r="R66" s="183">
        <f>TblExplore[[#This Row],[Hour]]</f>
        <v>63</v>
      </c>
      <c r="S66" s="234"/>
      <c r="T66" s="187"/>
      <c r="U66" s="187"/>
      <c r="V66" s="187"/>
      <c r="W66" s="187"/>
      <c r="X66" s="187"/>
      <c r="Y66" s="187"/>
      <c r="Z66" s="187"/>
      <c r="AA66" s="167">
        <f ca="1">TblImps[[#This Row],[Real time]]</f>
        <v>44813.333333333183</v>
      </c>
      <c r="AB66" s="97">
        <f ca="1">TblMili[[#This Row],[Draftees]]</f>
        <v>626</v>
      </c>
      <c r="AC66" s="97">
        <f ca="1">TblProd[[#This Row],[Platinum]]</f>
        <v>441010</v>
      </c>
      <c r="AD66" s="231"/>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83">
        <f>TblRezone[[#This Row],[Hour]]</f>
        <v>64</v>
      </c>
      <c r="B67" s="230">
        <f ca="1">TblConstr[[#This Row],[Land]]</f>
        <v>250</v>
      </c>
      <c r="C67" s="231"/>
      <c r="D67" s="232">
        <f ca="1">TblConstr[[#This Row],[Plain]]</f>
        <v>40</v>
      </c>
      <c r="E67" s="190">
        <f ca="1">TblConstr[[#This Row],[Forest]]</f>
        <v>20</v>
      </c>
      <c r="F67" s="390">
        <f ca="1">TblConstr[[#This Row],[Mountain]]</f>
        <v>20</v>
      </c>
      <c r="G67" s="394">
        <f ca="1">TblConstr[[#This Row],[Hill]]</f>
        <v>20</v>
      </c>
      <c r="H67" s="398">
        <f ca="1">TblConstr[[#This Row],[Swamp]]</f>
        <v>20</v>
      </c>
      <c r="I67" s="193">
        <f ca="1">TblConstr[[#This Row],[Cavern]]</f>
        <v>20</v>
      </c>
      <c r="J67" s="194">
        <f ca="1">TblConstr[[#This Row],[Water]]</f>
        <v>20</v>
      </c>
      <c r="K67" s="226"/>
      <c r="L67" s="404">
        <v>16</v>
      </c>
      <c r="M67" s="405">
        <f t="shared" si="0"/>
        <v>2534</v>
      </c>
      <c r="N67" s="233">
        <f ca="1">TblMili[[#This Row],[Smithies]]</f>
        <v>0</v>
      </c>
      <c r="O67" s="233">
        <f ca="1">TblPop[[#This Row],[Employment]]</f>
        <v>1</v>
      </c>
      <c r="P67" s="233">
        <f ca="1">TblImps[[#This Row],[Population]]</f>
        <v>1</v>
      </c>
      <c r="Q67" s="183">
        <f ca="1">TblExplore[[#This Row],[Land]]</f>
        <v>250</v>
      </c>
      <c r="R67" s="183">
        <f>TblExplore[[#This Row],[Hour]]</f>
        <v>64</v>
      </c>
      <c r="S67" s="234"/>
      <c r="T67" s="187"/>
      <c r="U67" s="187"/>
      <c r="V67" s="187"/>
      <c r="W67" s="187"/>
      <c r="X67" s="187"/>
      <c r="Y67" s="187"/>
      <c r="Z67" s="187"/>
      <c r="AA67" s="167">
        <f ca="1">TblImps[[#This Row],[Real time]]</f>
        <v>44813.374999999847</v>
      </c>
      <c r="AB67" s="97">
        <f ca="1">TblMili[[#This Row],[Draftees]]</f>
        <v>626</v>
      </c>
      <c r="AC67" s="97">
        <f ca="1">TblProd[[#This Row],[Platinum]]</f>
        <v>446496</v>
      </c>
      <c r="AD67" s="231"/>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83">
        <f>TblRezone[[#This Row],[Hour]]</f>
        <v>65</v>
      </c>
      <c r="B68" s="230">
        <f ca="1">TblConstr[[#This Row],[Land]]</f>
        <v>250</v>
      </c>
      <c r="C68" s="231"/>
      <c r="D68" s="232">
        <f ca="1">TblConstr[[#This Row],[Plain]]</f>
        <v>40</v>
      </c>
      <c r="E68" s="190">
        <f ca="1">TblConstr[[#This Row],[Forest]]</f>
        <v>20</v>
      </c>
      <c r="F68" s="390">
        <f ca="1">TblConstr[[#This Row],[Mountain]]</f>
        <v>20</v>
      </c>
      <c r="G68" s="394">
        <f ca="1">TblConstr[[#This Row],[Hill]]</f>
        <v>20</v>
      </c>
      <c r="H68" s="398">
        <f ca="1">TblConstr[[#This Row],[Swamp]]</f>
        <v>20</v>
      </c>
      <c r="I68" s="193">
        <f ca="1">TblConstr[[#This Row],[Cavern]]</f>
        <v>20</v>
      </c>
      <c r="J68" s="194">
        <f ca="1">TblConstr[[#This Row],[Water]]</f>
        <v>20</v>
      </c>
      <c r="K68" s="226"/>
      <c r="L68" s="404">
        <v>17</v>
      </c>
      <c r="M68" s="405">
        <f t="shared" si="0"/>
        <v>2715</v>
      </c>
      <c r="N68" s="233">
        <f ca="1">TblMili[[#This Row],[Smithies]]</f>
        <v>0</v>
      </c>
      <c r="O68" s="233">
        <f ca="1">TblPop[[#This Row],[Employment]]</f>
        <v>1</v>
      </c>
      <c r="P68" s="233">
        <f ca="1">TblImps[[#This Row],[Population]]</f>
        <v>1</v>
      </c>
      <c r="Q68" s="183">
        <f ca="1">TblExplore[[#This Row],[Land]]</f>
        <v>250</v>
      </c>
      <c r="R68" s="183">
        <f>TblExplore[[#This Row],[Hour]]</f>
        <v>65</v>
      </c>
      <c r="S68" s="234"/>
      <c r="T68" s="187"/>
      <c r="U68" s="187"/>
      <c r="V68" s="187"/>
      <c r="W68" s="187"/>
      <c r="X68" s="187"/>
      <c r="Y68" s="187"/>
      <c r="Z68" s="187"/>
      <c r="AA68" s="167">
        <f ca="1">TblImps[[#This Row],[Real time]]</f>
        <v>44813.416666666511</v>
      </c>
      <c r="AB68" s="97">
        <f ca="1">TblMili[[#This Row],[Draftees]]</f>
        <v>626</v>
      </c>
      <c r="AC68" s="97">
        <f ca="1">TblProd[[#This Row],[Platinum]]</f>
        <v>451982</v>
      </c>
      <c r="AD68" s="231"/>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83">
        <f>TblRezone[[#This Row],[Hour]]</f>
        <v>66</v>
      </c>
      <c r="B69" s="230">
        <f ca="1">TblConstr[[#This Row],[Land]]</f>
        <v>250</v>
      </c>
      <c r="C69" s="231"/>
      <c r="D69" s="232">
        <f ca="1">TblConstr[[#This Row],[Plain]]</f>
        <v>40</v>
      </c>
      <c r="E69" s="190">
        <f ca="1">TblConstr[[#This Row],[Forest]]</f>
        <v>20</v>
      </c>
      <c r="F69" s="390">
        <f ca="1">TblConstr[[#This Row],[Mountain]]</f>
        <v>20</v>
      </c>
      <c r="G69" s="394">
        <f ca="1">TblConstr[[#This Row],[Hill]]</f>
        <v>20</v>
      </c>
      <c r="H69" s="398">
        <f ca="1">TblConstr[[#This Row],[Swamp]]</f>
        <v>20</v>
      </c>
      <c r="I69" s="193">
        <f ca="1">TblConstr[[#This Row],[Cavern]]</f>
        <v>20</v>
      </c>
      <c r="J69" s="194">
        <f ca="1">TblConstr[[#This Row],[Water]]</f>
        <v>20</v>
      </c>
      <c r="K69" s="226"/>
      <c r="L69" s="406">
        <v>18</v>
      </c>
      <c r="M69" s="407">
        <f t="shared" si="0"/>
        <v>2895</v>
      </c>
      <c r="N69" s="233">
        <f ca="1">TblMili[[#This Row],[Smithies]]</f>
        <v>0</v>
      </c>
      <c r="O69" s="233">
        <f ca="1">TblPop[[#This Row],[Employment]]</f>
        <v>1</v>
      </c>
      <c r="P69" s="233">
        <f ca="1">TblImps[[#This Row],[Population]]</f>
        <v>1</v>
      </c>
      <c r="Q69" s="183">
        <f ca="1">TblExplore[[#This Row],[Land]]</f>
        <v>250</v>
      </c>
      <c r="R69" s="183">
        <f>TblExplore[[#This Row],[Hour]]</f>
        <v>66</v>
      </c>
      <c r="S69" s="234"/>
      <c r="T69" s="187"/>
      <c r="U69" s="187"/>
      <c r="V69" s="187"/>
      <c r="W69" s="187"/>
      <c r="X69" s="187"/>
      <c r="Y69" s="187"/>
      <c r="Z69" s="187"/>
      <c r="AA69" s="167">
        <f ca="1">TblImps[[#This Row],[Real time]]</f>
        <v>44813.458333333176</v>
      </c>
      <c r="AB69" s="97">
        <f ca="1">TblMili[[#This Row],[Draftees]]</f>
        <v>626</v>
      </c>
      <c r="AC69" s="97">
        <f ca="1">TblProd[[#This Row],[Platinum]]</f>
        <v>457468</v>
      </c>
      <c r="AD69" s="231"/>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83">
        <f>TblRezone[[#This Row],[Hour]]</f>
        <v>67</v>
      </c>
      <c r="B70" s="230">
        <f ca="1">TblConstr[[#This Row],[Land]]</f>
        <v>250</v>
      </c>
      <c r="C70" s="231"/>
      <c r="D70" s="232">
        <f ca="1">TblConstr[[#This Row],[Plain]]</f>
        <v>40</v>
      </c>
      <c r="E70" s="190">
        <f ca="1">TblConstr[[#This Row],[Forest]]</f>
        <v>20</v>
      </c>
      <c r="F70" s="390">
        <f ca="1">TblConstr[[#This Row],[Mountain]]</f>
        <v>20</v>
      </c>
      <c r="G70" s="394">
        <f ca="1">TblConstr[[#This Row],[Hill]]</f>
        <v>20</v>
      </c>
      <c r="H70" s="398">
        <f ca="1">TblConstr[[#This Row],[Swamp]]</f>
        <v>20</v>
      </c>
      <c r="I70" s="193">
        <f ca="1">TblConstr[[#This Row],[Cavern]]</f>
        <v>20</v>
      </c>
      <c r="J70" s="194">
        <f ca="1">TblConstr[[#This Row],[Water]]</f>
        <v>20</v>
      </c>
      <c r="K70" s="226"/>
      <c r="L70" s="226"/>
      <c r="M70" s="226"/>
      <c r="N70" s="233">
        <f ca="1">TblMili[[#This Row],[Smithies]]</f>
        <v>0</v>
      </c>
      <c r="O70" s="233">
        <f ca="1">TblPop[[#This Row],[Employment]]</f>
        <v>1</v>
      </c>
      <c r="P70" s="233">
        <f ca="1">TblImps[[#This Row],[Population]]</f>
        <v>1</v>
      </c>
      <c r="Q70" s="183">
        <f ca="1">TblExplore[[#This Row],[Land]]</f>
        <v>250</v>
      </c>
      <c r="R70" s="183">
        <f>TblExplore[[#This Row],[Hour]]</f>
        <v>67</v>
      </c>
      <c r="S70" s="234"/>
      <c r="T70" s="187"/>
      <c r="U70" s="187"/>
      <c r="V70" s="187"/>
      <c r="W70" s="187"/>
      <c r="X70" s="187"/>
      <c r="Y70" s="187"/>
      <c r="Z70" s="187"/>
      <c r="AA70" s="167">
        <f ca="1">TblImps[[#This Row],[Real time]]</f>
        <v>44813.49999999984</v>
      </c>
      <c r="AB70" s="97">
        <f ca="1">TblMili[[#This Row],[Draftees]]</f>
        <v>626</v>
      </c>
      <c r="AC70" s="97">
        <f ca="1">TblProd[[#This Row],[Platinum]]</f>
        <v>462954</v>
      </c>
      <c r="AD70" s="231"/>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83">
        <f>TblRezone[[#This Row],[Hour]]</f>
        <v>68</v>
      </c>
      <c r="B71" s="230">
        <f ca="1">TblConstr[[#This Row],[Land]]</f>
        <v>250</v>
      </c>
      <c r="C71" s="231"/>
      <c r="D71" s="232">
        <f ca="1">TblConstr[[#This Row],[Plain]]</f>
        <v>40</v>
      </c>
      <c r="E71" s="190">
        <f ca="1">TblConstr[[#This Row],[Forest]]</f>
        <v>20</v>
      </c>
      <c r="F71" s="390">
        <f ca="1">TblConstr[[#This Row],[Mountain]]</f>
        <v>20</v>
      </c>
      <c r="G71" s="394">
        <f ca="1">TblConstr[[#This Row],[Hill]]</f>
        <v>20</v>
      </c>
      <c r="H71" s="398">
        <f ca="1">TblConstr[[#This Row],[Swamp]]</f>
        <v>20</v>
      </c>
      <c r="I71" s="193">
        <f ca="1">TblConstr[[#This Row],[Cavern]]</f>
        <v>20</v>
      </c>
      <c r="J71" s="194">
        <f ca="1">TblConstr[[#This Row],[Water]]</f>
        <v>20</v>
      </c>
      <c r="K71" s="226"/>
      <c r="L71" s="226"/>
      <c r="M71" s="226"/>
      <c r="N71" s="233">
        <f ca="1">TblMili[[#This Row],[Smithies]]</f>
        <v>0</v>
      </c>
      <c r="O71" s="233">
        <f ca="1">TblPop[[#This Row],[Employment]]</f>
        <v>1</v>
      </c>
      <c r="P71" s="233">
        <f ca="1">TblImps[[#This Row],[Population]]</f>
        <v>1</v>
      </c>
      <c r="Q71" s="183">
        <f ca="1">TblExplore[[#This Row],[Land]]</f>
        <v>250</v>
      </c>
      <c r="R71" s="183">
        <f>TblExplore[[#This Row],[Hour]]</f>
        <v>68</v>
      </c>
      <c r="S71" s="234"/>
      <c r="T71" s="187"/>
      <c r="U71" s="187"/>
      <c r="V71" s="187"/>
      <c r="W71" s="187"/>
      <c r="X71" s="187"/>
      <c r="Y71" s="187"/>
      <c r="Z71" s="187"/>
      <c r="AA71" s="167">
        <f ca="1">TblImps[[#This Row],[Real time]]</f>
        <v>44813.541666666504</v>
      </c>
      <c r="AB71" s="97">
        <f ca="1">TblMili[[#This Row],[Draftees]]</f>
        <v>626</v>
      </c>
      <c r="AC71" s="97">
        <f ca="1">TblProd[[#This Row],[Platinum]]</f>
        <v>468440</v>
      </c>
      <c r="AD71" s="231"/>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83">
        <f>TblRezone[[#This Row],[Hour]]</f>
        <v>69</v>
      </c>
      <c r="B72" s="230">
        <f ca="1">TblConstr[[#This Row],[Land]]</f>
        <v>250</v>
      </c>
      <c r="C72" s="231"/>
      <c r="D72" s="232">
        <f ca="1">TblConstr[[#This Row],[Plain]]</f>
        <v>40</v>
      </c>
      <c r="E72" s="190">
        <f ca="1">TblConstr[[#This Row],[Forest]]</f>
        <v>20</v>
      </c>
      <c r="F72" s="390">
        <f ca="1">TblConstr[[#This Row],[Mountain]]</f>
        <v>20</v>
      </c>
      <c r="G72" s="394">
        <f ca="1">TblConstr[[#This Row],[Hill]]</f>
        <v>20</v>
      </c>
      <c r="H72" s="398">
        <f ca="1">TblConstr[[#This Row],[Swamp]]</f>
        <v>20</v>
      </c>
      <c r="I72" s="193">
        <f ca="1">TblConstr[[#This Row],[Cavern]]</f>
        <v>20</v>
      </c>
      <c r="J72" s="194">
        <f ca="1">TblConstr[[#This Row],[Water]]</f>
        <v>20</v>
      </c>
      <c r="K72" s="226"/>
      <c r="L72" s="226"/>
      <c r="M72" s="226"/>
      <c r="N72" s="233">
        <f ca="1">TblMili[[#This Row],[Smithies]]</f>
        <v>0</v>
      </c>
      <c r="O72" s="233">
        <f ca="1">TblPop[[#This Row],[Employment]]</f>
        <v>1</v>
      </c>
      <c r="P72" s="233">
        <f ca="1">TblImps[[#This Row],[Population]]</f>
        <v>1</v>
      </c>
      <c r="Q72" s="183">
        <f ca="1">TblExplore[[#This Row],[Land]]</f>
        <v>250</v>
      </c>
      <c r="R72" s="183">
        <f>TblExplore[[#This Row],[Hour]]</f>
        <v>69</v>
      </c>
      <c r="S72" s="234"/>
      <c r="T72" s="187"/>
      <c r="U72" s="187"/>
      <c r="V72" s="187"/>
      <c r="W72" s="187"/>
      <c r="X72" s="187"/>
      <c r="Y72" s="187"/>
      <c r="Z72" s="187"/>
      <c r="AA72" s="167">
        <f ca="1">TblImps[[#This Row],[Real time]]</f>
        <v>44813.583333333168</v>
      </c>
      <c r="AB72" s="97">
        <f ca="1">TblMili[[#This Row],[Draftees]]</f>
        <v>626</v>
      </c>
      <c r="AC72" s="97">
        <f ca="1">TblProd[[#This Row],[Platinum]]</f>
        <v>473926</v>
      </c>
      <c r="AD72" s="231"/>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83">
        <f>TblRezone[[#This Row],[Hour]]</f>
        <v>70</v>
      </c>
      <c r="B73" s="230">
        <f ca="1">TblConstr[[#This Row],[Land]]</f>
        <v>250</v>
      </c>
      <c r="C73" s="231"/>
      <c r="D73" s="232">
        <f ca="1">TblConstr[[#This Row],[Plain]]</f>
        <v>40</v>
      </c>
      <c r="E73" s="190">
        <f ca="1">TblConstr[[#This Row],[Forest]]</f>
        <v>20</v>
      </c>
      <c r="F73" s="390">
        <f ca="1">TblConstr[[#This Row],[Mountain]]</f>
        <v>20</v>
      </c>
      <c r="G73" s="394">
        <f ca="1">TblConstr[[#This Row],[Hill]]</f>
        <v>20</v>
      </c>
      <c r="H73" s="398">
        <f ca="1">TblConstr[[#This Row],[Swamp]]</f>
        <v>20</v>
      </c>
      <c r="I73" s="193">
        <f ca="1">TblConstr[[#This Row],[Cavern]]</f>
        <v>20</v>
      </c>
      <c r="J73" s="194">
        <f ca="1">TblConstr[[#This Row],[Water]]</f>
        <v>20</v>
      </c>
      <c r="K73" s="226"/>
      <c r="L73" s="226"/>
      <c r="M73" s="226"/>
      <c r="N73" s="233">
        <f ca="1">TblMili[[#This Row],[Smithies]]</f>
        <v>0</v>
      </c>
      <c r="O73" s="233">
        <f ca="1">TblPop[[#This Row],[Employment]]</f>
        <v>1</v>
      </c>
      <c r="P73" s="233">
        <f ca="1">TblImps[[#This Row],[Population]]</f>
        <v>1</v>
      </c>
      <c r="Q73" s="183">
        <f ca="1">TblExplore[[#This Row],[Land]]</f>
        <v>250</v>
      </c>
      <c r="R73" s="183">
        <f>TblExplore[[#This Row],[Hour]]</f>
        <v>70</v>
      </c>
      <c r="S73" s="234"/>
      <c r="T73" s="187"/>
      <c r="U73" s="187"/>
      <c r="V73" s="187"/>
      <c r="W73" s="187"/>
      <c r="X73" s="187"/>
      <c r="Y73" s="187"/>
      <c r="Z73" s="187"/>
      <c r="AA73" s="167">
        <f ca="1">TblImps[[#This Row],[Real time]]</f>
        <v>44813.624999999833</v>
      </c>
      <c r="AB73" s="97">
        <f ca="1">TblMili[[#This Row],[Draftees]]</f>
        <v>626</v>
      </c>
      <c r="AC73" s="97">
        <f ca="1">TblProd[[#This Row],[Platinum]]</f>
        <v>479412</v>
      </c>
      <c r="AD73" s="231"/>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83">
        <f>TblRezone[[#This Row],[Hour]]</f>
        <v>71</v>
      </c>
      <c r="B74" s="230">
        <f ca="1">TblConstr[[#This Row],[Land]]</f>
        <v>250</v>
      </c>
      <c r="C74" s="231"/>
      <c r="D74" s="232">
        <f ca="1">TblConstr[[#This Row],[Plain]]</f>
        <v>40</v>
      </c>
      <c r="E74" s="190">
        <f ca="1">TblConstr[[#This Row],[Forest]]</f>
        <v>20</v>
      </c>
      <c r="F74" s="390">
        <f ca="1">TblConstr[[#This Row],[Mountain]]</f>
        <v>20</v>
      </c>
      <c r="G74" s="394">
        <f ca="1">TblConstr[[#This Row],[Hill]]</f>
        <v>20</v>
      </c>
      <c r="H74" s="398">
        <f ca="1">TblConstr[[#This Row],[Swamp]]</f>
        <v>20</v>
      </c>
      <c r="I74" s="193">
        <f ca="1">TblConstr[[#This Row],[Cavern]]</f>
        <v>20</v>
      </c>
      <c r="J74" s="194">
        <f ca="1">TblConstr[[#This Row],[Water]]</f>
        <v>20</v>
      </c>
      <c r="K74" s="226"/>
      <c r="L74" s="226"/>
      <c r="M74" s="226"/>
      <c r="N74" s="233">
        <f ca="1">TblMili[[#This Row],[Smithies]]</f>
        <v>0</v>
      </c>
      <c r="O74" s="233">
        <f ca="1">TblPop[[#This Row],[Employment]]</f>
        <v>1</v>
      </c>
      <c r="P74" s="233">
        <f ca="1">TblImps[[#This Row],[Population]]</f>
        <v>1</v>
      </c>
      <c r="Q74" s="183">
        <f ca="1">TblExplore[[#This Row],[Land]]</f>
        <v>250</v>
      </c>
      <c r="R74" s="183">
        <f>TblExplore[[#This Row],[Hour]]</f>
        <v>71</v>
      </c>
      <c r="S74" s="234"/>
      <c r="T74" s="187"/>
      <c r="U74" s="187"/>
      <c r="V74" s="187"/>
      <c r="W74" s="187"/>
      <c r="X74" s="187"/>
      <c r="Y74" s="187"/>
      <c r="Z74" s="187"/>
      <c r="AA74" s="167">
        <f ca="1">TblImps[[#This Row],[Real time]]</f>
        <v>44813.666666666497</v>
      </c>
      <c r="AB74" s="97">
        <f ca="1">TblMili[[#This Row],[Draftees]]</f>
        <v>626</v>
      </c>
      <c r="AC74" s="97">
        <f ca="1">TblProd[[#This Row],[Platinum]]</f>
        <v>484898</v>
      </c>
      <c r="AD74" s="231"/>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83">
        <f>TblRezone[[#This Row],[Hour]]</f>
        <v>72</v>
      </c>
      <c r="B75" s="230">
        <f ca="1">TblConstr[[#This Row],[Land]]</f>
        <v>250</v>
      </c>
      <c r="C75" s="231"/>
      <c r="D75" s="232">
        <f ca="1">TblConstr[[#This Row],[Plain]]</f>
        <v>40</v>
      </c>
      <c r="E75" s="190">
        <f ca="1">TblConstr[[#This Row],[Forest]]</f>
        <v>20</v>
      </c>
      <c r="F75" s="390">
        <f ca="1">TblConstr[[#This Row],[Mountain]]</f>
        <v>20</v>
      </c>
      <c r="G75" s="394">
        <f ca="1">TblConstr[[#This Row],[Hill]]</f>
        <v>20</v>
      </c>
      <c r="H75" s="398">
        <f ca="1">TblConstr[[#This Row],[Swamp]]</f>
        <v>20</v>
      </c>
      <c r="I75" s="193">
        <f ca="1">TblConstr[[#This Row],[Cavern]]</f>
        <v>20</v>
      </c>
      <c r="J75" s="194">
        <f ca="1">TblConstr[[#This Row],[Water]]</f>
        <v>20</v>
      </c>
      <c r="K75" s="226"/>
      <c r="L75" s="226"/>
      <c r="M75" s="226"/>
      <c r="N75" s="233">
        <f ca="1">TblMili[[#This Row],[Smithies]]</f>
        <v>0</v>
      </c>
      <c r="O75" s="233">
        <f ca="1">TblPop[[#This Row],[Employment]]</f>
        <v>1</v>
      </c>
      <c r="P75" s="233">
        <f ca="1">TblImps[[#This Row],[Population]]</f>
        <v>1</v>
      </c>
      <c r="Q75" s="183">
        <f ca="1">TblExplore[[#This Row],[Land]]</f>
        <v>250</v>
      </c>
      <c r="R75" s="183">
        <f>TblExplore[[#This Row],[Hour]]</f>
        <v>72</v>
      </c>
      <c r="S75" s="234"/>
      <c r="T75" s="187"/>
      <c r="U75" s="187"/>
      <c r="V75" s="187"/>
      <c r="W75" s="187"/>
      <c r="X75" s="187"/>
      <c r="Y75" s="187"/>
      <c r="Z75" s="187"/>
      <c r="AA75" s="167">
        <f ca="1">TblImps[[#This Row],[Real time]]</f>
        <v>44813.708333333161</v>
      </c>
      <c r="AB75" s="97">
        <f ca="1">TblMili[[#This Row],[Draftees]]</f>
        <v>626</v>
      </c>
      <c r="AC75" s="97">
        <f ca="1">TblProd[[#This Row],[Platinum]]</f>
        <v>490384</v>
      </c>
      <c r="AD75" s="231"/>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6" customFormat="1" x14ac:dyDescent="0.2">
      <c r="A76" s="201">
        <f>TblRezone[[#This Row],[Hour]]</f>
        <v>73</v>
      </c>
      <c r="B76" s="247">
        <f ca="1">TblConstr[[#This Row],[Land]]</f>
        <v>250</v>
      </c>
      <c r="C76" s="248"/>
      <c r="D76" s="249">
        <f ca="1">TblConstr[[#This Row],[Plain]]</f>
        <v>40</v>
      </c>
      <c r="E76" s="207">
        <f ca="1">TblConstr[[#This Row],[Forest]]</f>
        <v>20</v>
      </c>
      <c r="F76" s="391">
        <f ca="1">TblConstr[[#This Row],[Mountain]]</f>
        <v>20</v>
      </c>
      <c r="G76" s="395">
        <f ca="1">TblConstr[[#This Row],[Hill]]</f>
        <v>20</v>
      </c>
      <c r="H76" s="399">
        <f ca="1">TblConstr[[#This Row],[Swamp]]</f>
        <v>20</v>
      </c>
      <c r="I76" s="210">
        <f ca="1">TblConstr[[#This Row],[Cavern]]</f>
        <v>20</v>
      </c>
      <c r="J76" s="211">
        <f ca="1">TblConstr[[#This Row],[Water]]</f>
        <v>20</v>
      </c>
      <c r="K76" s="224"/>
      <c r="L76" s="224"/>
      <c r="M76" s="224"/>
      <c r="N76" s="250">
        <f ca="1">TblMili[[#This Row],[Smithies]]</f>
        <v>0</v>
      </c>
      <c r="O76" s="250">
        <f ca="1">TblPop[[#This Row],[Employment]]</f>
        <v>1</v>
      </c>
      <c r="P76" s="250">
        <f ca="1">TblImps[[#This Row],[Population]]</f>
        <v>1</v>
      </c>
      <c r="Q76" s="201">
        <f ca="1">TblExplore[[#This Row],[Land]]</f>
        <v>250</v>
      </c>
      <c r="R76" s="183">
        <f>TblExplore[[#This Row],[Hour]]</f>
        <v>73</v>
      </c>
      <c r="S76" s="251"/>
      <c r="T76" s="212"/>
      <c r="U76" s="212"/>
      <c r="V76" s="212"/>
      <c r="W76" s="212"/>
      <c r="X76" s="212"/>
      <c r="Y76" s="212"/>
      <c r="Z76" s="212"/>
      <c r="AA76" s="222">
        <f ca="1">TblImps[[#This Row],[Real time]]</f>
        <v>44813.749999999825</v>
      </c>
      <c r="AB76" s="215">
        <f ca="1">TblMili[[#This Row],[Draftees]]</f>
        <v>626</v>
      </c>
      <c r="AC76" s="215">
        <f ca="1">TblProd[[#This Row],[Platinum]]</f>
        <v>495870</v>
      </c>
      <c r="AD76" s="248"/>
      <c r="AE76" s="216">
        <f ca="1">TblExplore[[#This Row],[Land]]-TblExplore[[#This Row],[Land Bonus]]*20</f>
        <v>250</v>
      </c>
      <c r="AF76" s="215">
        <f ca="1">ROUND(MAX(0.6*TblExplore[[#This Row],[Land-DB]]^1.299,850)*(1+ tech_2_6*Techs!AC76 + tech_2_9*Techs!AF76 + tech_3_7*Techs!AN76 + Overview!$I$32),0)</f>
        <v>850</v>
      </c>
      <c r="AG76" s="215">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5">
        <f ca="1">SUM(TblExplore[[#This Row],[Plains Explore]:[Water Explore]])*TblExplore[[#This Row],[Plat/acre]]</f>
        <v>0</v>
      </c>
      <c r="AI76" s="215">
        <f ca="1">SUM(TblExplore[[#This Row],[Plains Explore]:[Water Explore]])*TblExplore[[#This Row],[Draftees/acre]]</f>
        <v>0</v>
      </c>
      <c r="AJ76" s="216">
        <f ca="1">_xlfn.FLOOR.MATH(MIN(TblExplore[[#This Row],[Platinum]]/TblExplore[[#This Row],[Plat/acre]],TblExplore[[#This Row],[Draftees]]/TblExplore[[#This Row],[Draftees/acre]]))</f>
        <v>156</v>
      </c>
      <c r="AK76" s="253"/>
    </row>
    <row r="77" spans="1:37" x14ac:dyDescent="0.2">
      <c r="A77" s="183">
        <f>TblRezone[[#This Row],[Hour]]</f>
        <v>74</v>
      </c>
      <c r="B77" s="230">
        <f ca="1">TblConstr[[#This Row],[Land]]</f>
        <v>250</v>
      </c>
      <c r="C77" s="231"/>
      <c r="D77" s="232">
        <f ca="1">TblConstr[[#This Row],[Plain]]</f>
        <v>40</v>
      </c>
      <c r="E77" s="190">
        <f ca="1">TblConstr[[#This Row],[Forest]]</f>
        <v>20</v>
      </c>
      <c r="F77" s="390">
        <f ca="1">TblConstr[[#This Row],[Mountain]]</f>
        <v>20</v>
      </c>
      <c r="G77" s="394">
        <f ca="1">TblConstr[[#This Row],[Hill]]</f>
        <v>20</v>
      </c>
      <c r="H77" s="398">
        <f ca="1">TblConstr[[#This Row],[Swamp]]</f>
        <v>20</v>
      </c>
      <c r="I77" s="193">
        <f ca="1">TblConstr[[#This Row],[Cavern]]</f>
        <v>20</v>
      </c>
      <c r="J77" s="194">
        <f ca="1">TblConstr[[#This Row],[Water]]</f>
        <v>20</v>
      </c>
      <c r="K77" s="226"/>
      <c r="L77" s="226"/>
      <c r="M77" s="226"/>
      <c r="N77" s="233">
        <f ca="1">TblMili[[#This Row],[Smithies]]</f>
        <v>0</v>
      </c>
      <c r="O77" s="233">
        <f ca="1">TblPop[[#This Row],[Employment]]</f>
        <v>1</v>
      </c>
      <c r="P77" s="233">
        <f ca="1">TblImps[[#This Row],[Population]]</f>
        <v>1</v>
      </c>
      <c r="Q77" s="183">
        <f ca="1">TblExplore[[#This Row],[Land]]</f>
        <v>250</v>
      </c>
      <c r="R77" s="183">
        <f>TblExplore[[#This Row],[Hour]]</f>
        <v>74</v>
      </c>
      <c r="S77" s="234"/>
      <c r="T77" s="187"/>
      <c r="U77" s="187"/>
      <c r="V77" s="187"/>
      <c r="W77" s="187"/>
      <c r="X77" s="187"/>
      <c r="Y77" s="187"/>
      <c r="Z77" s="187"/>
      <c r="AA77" s="167">
        <f ca="1">TblImps[[#This Row],[Real time]]</f>
        <v>44813.79166666649</v>
      </c>
      <c r="AB77" s="97">
        <f ca="1">TblMili[[#This Row],[Draftees]]</f>
        <v>626</v>
      </c>
      <c r="AC77" s="97">
        <f ca="1">TblProd[[#This Row],[Platinum]]</f>
        <v>501356</v>
      </c>
      <c r="AD77" s="231"/>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83">
        <f>TblRezone[[#This Row],[Hour]]</f>
        <v>75</v>
      </c>
      <c r="B78" s="230">
        <f ca="1">TblConstr[[#This Row],[Land]]</f>
        <v>250</v>
      </c>
      <c r="C78" s="231"/>
      <c r="D78" s="232">
        <f ca="1">TblConstr[[#This Row],[Plain]]</f>
        <v>40</v>
      </c>
      <c r="E78" s="190">
        <f ca="1">TblConstr[[#This Row],[Forest]]</f>
        <v>20</v>
      </c>
      <c r="F78" s="390">
        <f ca="1">TblConstr[[#This Row],[Mountain]]</f>
        <v>20</v>
      </c>
      <c r="G78" s="394">
        <f ca="1">TblConstr[[#This Row],[Hill]]</f>
        <v>20</v>
      </c>
      <c r="H78" s="398">
        <f ca="1">TblConstr[[#This Row],[Swamp]]</f>
        <v>20</v>
      </c>
      <c r="I78" s="193">
        <f ca="1">TblConstr[[#This Row],[Cavern]]</f>
        <v>20</v>
      </c>
      <c r="J78" s="194">
        <f ca="1">TblConstr[[#This Row],[Water]]</f>
        <v>20</v>
      </c>
      <c r="K78" s="226"/>
      <c r="L78" s="226"/>
      <c r="M78" s="226"/>
      <c r="N78" s="233">
        <f ca="1">TblMili[[#This Row],[Smithies]]</f>
        <v>0</v>
      </c>
      <c r="O78" s="233">
        <f ca="1">TblPop[[#This Row],[Employment]]</f>
        <v>1</v>
      </c>
      <c r="P78" s="233">
        <f ca="1">TblImps[[#This Row],[Population]]</f>
        <v>1</v>
      </c>
      <c r="Q78" s="183">
        <f ca="1">TblExplore[[#This Row],[Land]]</f>
        <v>250</v>
      </c>
      <c r="R78" s="183">
        <f>TblExplore[[#This Row],[Hour]]</f>
        <v>75</v>
      </c>
      <c r="S78" s="234"/>
      <c r="T78" s="187"/>
      <c r="U78" s="187"/>
      <c r="V78" s="187"/>
      <c r="W78" s="187"/>
      <c r="X78" s="187"/>
      <c r="Y78" s="187"/>
      <c r="Z78" s="187"/>
      <c r="AA78" s="167">
        <f ca="1">TblImps[[#This Row],[Real time]]</f>
        <v>44813.833333333154</v>
      </c>
      <c r="AB78" s="97">
        <f ca="1">TblMili[[#This Row],[Draftees]]</f>
        <v>626</v>
      </c>
      <c r="AC78" s="97">
        <f ca="1">TblProd[[#This Row],[Platinum]]</f>
        <v>506842</v>
      </c>
      <c r="AD78" s="231"/>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83">
        <f>TblRezone[[#This Row],[Hour]]</f>
        <v>76</v>
      </c>
      <c r="B79" s="230">
        <f ca="1">TblConstr[[#This Row],[Land]]</f>
        <v>250</v>
      </c>
      <c r="C79" s="231"/>
      <c r="D79" s="232">
        <f ca="1">TblConstr[[#This Row],[Plain]]</f>
        <v>40</v>
      </c>
      <c r="E79" s="190">
        <f ca="1">TblConstr[[#This Row],[Forest]]</f>
        <v>20</v>
      </c>
      <c r="F79" s="390">
        <f ca="1">TblConstr[[#This Row],[Mountain]]</f>
        <v>20</v>
      </c>
      <c r="G79" s="394">
        <f ca="1">TblConstr[[#This Row],[Hill]]</f>
        <v>20</v>
      </c>
      <c r="H79" s="398">
        <f ca="1">TblConstr[[#This Row],[Swamp]]</f>
        <v>20</v>
      </c>
      <c r="I79" s="193">
        <f ca="1">TblConstr[[#This Row],[Cavern]]</f>
        <v>20</v>
      </c>
      <c r="J79" s="194">
        <f ca="1">TblConstr[[#This Row],[Water]]</f>
        <v>20</v>
      </c>
      <c r="K79" s="226"/>
      <c r="L79" s="226"/>
      <c r="M79" s="226"/>
      <c r="N79" s="233">
        <f ca="1">TblMili[[#This Row],[Smithies]]</f>
        <v>0</v>
      </c>
      <c r="O79" s="233">
        <f ca="1">TblPop[[#This Row],[Employment]]</f>
        <v>1</v>
      </c>
      <c r="P79" s="233">
        <f ca="1">TblImps[[#This Row],[Population]]</f>
        <v>1</v>
      </c>
      <c r="Q79" s="183">
        <f ca="1">TblExplore[[#This Row],[Land]]</f>
        <v>250</v>
      </c>
      <c r="R79" s="183">
        <f>TblExplore[[#This Row],[Hour]]</f>
        <v>76</v>
      </c>
      <c r="S79" s="234"/>
      <c r="T79" s="166"/>
      <c r="U79" s="187"/>
      <c r="V79" s="187"/>
      <c r="W79" s="187"/>
      <c r="X79" s="187"/>
      <c r="Y79" s="187"/>
      <c r="Z79" s="187"/>
      <c r="AA79" s="167">
        <f ca="1">TblImps[[#This Row],[Real time]]</f>
        <v>44813.874999999818</v>
      </c>
      <c r="AB79" s="97">
        <f ca="1">TblMili[[#This Row],[Draftees]]</f>
        <v>626</v>
      </c>
      <c r="AC79" s="97">
        <f ca="1">TblProd[[#This Row],[Platinum]]</f>
        <v>512328</v>
      </c>
      <c r="AD79" s="231"/>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83">
        <f>TblRezone[[#This Row],[Hour]]</f>
        <v>77</v>
      </c>
      <c r="B80" s="230">
        <f ca="1">TblConstr[[#This Row],[Land]]</f>
        <v>250</v>
      </c>
      <c r="C80" s="231"/>
      <c r="D80" s="232">
        <f ca="1">TblConstr[[#This Row],[Plain]]</f>
        <v>40</v>
      </c>
      <c r="E80" s="190">
        <f ca="1">TblConstr[[#This Row],[Forest]]</f>
        <v>20</v>
      </c>
      <c r="F80" s="390">
        <f ca="1">TblConstr[[#This Row],[Mountain]]</f>
        <v>20</v>
      </c>
      <c r="G80" s="394">
        <f ca="1">TblConstr[[#This Row],[Hill]]</f>
        <v>20</v>
      </c>
      <c r="H80" s="398">
        <f ca="1">TblConstr[[#This Row],[Swamp]]</f>
        <v>20</v>
      </c>
      <c r="I80" s="193">
        <f ca="1">TblConstr[[#This Row],[Cavern]]</f>
        <v>20</v>
      </c>
      <c r="J80" s="194">
        <f ca="1">TblConstr[[#This Row],[Water]]</f>
        <v>20</v>
      </c>
      <c r="K80" s="226"/>
      <c r="L80" s="226"/>
      <c r="M80" s="226"/>
      <c r="N80" s="233">
        <f ca="1">TblMili[[#This Row],[Smithies]]</f>
        <v>0</v>
      </c>
      <c r="O80" s="233">
        <f ca="1">TblPop[[#This Row],[Employment]]</f>
        <v>1</v>
      </c>
      <c r="P80" s="233">
        <f ca="1">TblImps[[#This Row],[Population]]</f>
        <v>1</v>
      </c>
      <c r="Q80" s="183">
        <f ca="1">TblExplore[[#This Row],[Land]]</f>
        <v>250</v>
      </c>
      <c r="R80" s="183">
        <f>TblExplore[[#This Row],[Hour]]</f>
        <v>77</v>
      </c>
      <c r="S80" s="234"/>
      <c r="T80" s="166"/>
      <c r="U80" s="187"/>
      <c r="V80" s="187"/>
      <c r="W80" s="187"/>
      <c r="X80" s="187"/>
      <c r="Y80" s="187"/>
      <c r="Z80" s="187"/>
      <c r="AA80" s="167">
        <f ca="1">TblImps[[#This Row],[Real time]]</f>
        <v>44813.916666666482</v>
      </c>
      <c r="AB80" s="97">
        <f ca="1">TblMili[[#This Row],[Draftees]]</f>
        <v>626</v>
      </c>
      <c r="AC80" s="97">
        <f ca="1">TblProd[[#This Row],[Platinum]]</f>
        <v>517814</v>
      </c>
      <c r="AD80" s="231"/>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83">
        <f>TblRezone[[#This Row],[Hour]]</f>
        <v>78</v>
      </c>
      <c r="B81" s="230">
        <f ca="1">TblConstr[[#This Row],[Land]]</f>
        <v>250</v>
      </c>
      <c r="C81" s="231"/>
      <c r="D81" s="232">
        <f ca="1">TblConstr[[#This Row],[Plain]]</f>
        <v>40</v>
      </c>
      <c r="E81" s="190">
        <f ca="1">TblConstr[[#This Row],[Forest]]</f>
        <v>20</v>
      </c>
      <c r="F81" s="390">
        <f ca="1">TblConstr[[#This Row],[Mountain]]</f>
        <v>20</v>
      </c>
      <c r="G81" s="394">
        <f ca="1">TblConstr[[#This Row],[Hill]]</f>
        <v>20</v>
      </c>
      <c r="H81" s="398">
        <f ca="1">TblConstr[[#This Row],[Swamp]]</f>
        <v>20</v>
      </c>
      <c r="I81" s="193">
        <f ca="1">TblConstr[[#This Row],[Cavern]]</f>
        <v>20</v>
      </c>
      <c r="J81" s="194">
        <f ca="1">TblConstr[[#This Row],[Water]]</f>
        <v>20</v>
      </c>
      <c r="K81" s="226"/>
      <c r="L81" s="226"/>
      <c r="M81" s="226"/>
      <c r="N81" s="233">
        <f ca="1">TblMili[[#This Row],[Smithies]]</f>
        <v>0</v>
      </c>
      <c r="O81" s="233">
        <f ca="1">TblPop[[#This Row],[Employment]]</f>
        <v>1</v>
      </c>
      <c r="P81" s="233">
        <f ca="1">TblImps[[#This Row],[Population]]</f>
        <v>1</v>
      </c>
      <c r="Q81" s="183">
        <f ca="1">TblExplore[[#This Row],[Land]]</f>
        <v>250</v>
      </c>
      <c r="R81" s="183">
        <f>TblExplore[[#This Row],[Hour]]</f>
        <v>78</v>
      </c>
      <c r="S81" s="234"/>
      <c r="T81" s="187"/>
      <c r="U81" s="187"/>
      <c r="V81" s="187"/>
      <c r="W81" s="187"/>
      <c r="X81" s="187"/>
      <c r="Y81" s="187"/>
      <c r="Z81" s="187"/>
      <c r="AA81" s="167">
        <f ca="1">TblImps[[#This Row],[Real time]]</f>
        <v>44813.958333333147</v>
      </c>
      <c r="AB81" s="97">
        <f ca="1">TblMili[[#This Row],[Draftees]]</f>
        <v>626</v>
      </c>
      <c r="AC81" s="97">
        <f ca="1">TblProd[[#This Row],[Platinum]]</f>
        <v>523300</v>
      </c>
      <c r="AD81" s="231"/>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83">
        <f>TblRezone[[#This Row],[Hour]]</f>
        <v>79</v>
      </c>
      <c r="B82" s="230">
        <f ca="1">TblConstr[[#This Row],[Land]]</f>
        <v>250</v>
      </c>
      <c r="C82" s="231"/>
      <c r="D82" s="232">
        <f ca="1">TblConstr[[#This Row],[Plain]]</f>
        <v>40</v>
      </c>
      <c r="E82" s="190">
        <f ca="1">TblConstr[[#This Row],[Forest]]</f>
        <v>20</v>
      </c>
      <c r="F82" s="390">
        <f ca="1">TblConstr[[#This Row],[Mountain]]</f>
        <v>20</v>
      </c>
      <c r="G82" s="394">
        <f ca="1">TblConstr[[#This Row],[Hill]]</f>
        <v>20</v>
      </c>
      <c r="H82" s="398">
        <f ca="1">TblConstr[[#This Row],[Swamp]]</f>
        <v>20</v>
      </c>
      <c r="I82" s="193">
        <f ca="1">TblConstr[[#This Row],[Cavern]]</f>
        <v>20</v>
      </c>
      <c r="J82" s="194">
        <f ca="1">TblConstr[[#This Row],[Water]]</f>
        <v>20</v>
      </c>
      <c r="K82" s="226"/>
      <c r="L82" s="226"/>
      <c r="M82" s="226"/>
      <c r="N82" s="233">
        <f ca="1">TblMili[[#This Row],[Smithies]]</f>
        <v>0</v>
      </c>
      <c r="O82" s="233">
        <f ca="1">TblPop[[#This Row],[Employment]]</f>
        <v>1</v>
      </c>
      <c r="P82" s="233">
        <f ca="1">TblImps[[#This Row],[Population]]</f>
        <v>1</v>
      </c>
      <c r="Q82" s="183">
        <f ca="1">TblExplore[[#This Row],[Land]]</f>
        <v>250</v>
      </c>
      <c r="R82" s="183">
        <f>TblExplore[[#This Row],[Hour]]</f>
        <v>79</v>
      </c>
      <c r="S82" s="234"/>
      <c r="T82" s="187"/>
      <c r="U82" s="187"/>
      <c r="V82" s="187"/>
      <c r="W82" s="187"/>
      <c r="X82" s="187"/>
      <c r="Y82" s="187"/>
      <c r="Z82" s="187"/>
      <c r="AA82" s="167">
        <f ca="1">TblImps[[#This Row],[Real time]]</f>
        <v>44813.999999999811</v>
      </c>
      <c r="AB82" s="97">
        <f ca="1">TblMili[[#This Row],[Draftees]]</f>
        <v>626</v>
      </c>
      <c r="AC82" s="97">
        <f ca="1">TblProd[[#This Row],[Platinum]]</f>
        <v>528786</v>
      </c>
      <c r="AD82" s="231"/>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83">
        <f>TblRezone[[#This Row],[Hour]]</f>
        <v>80</v>
      </c>
      <c r="B83" s="230">
        <f ca="1">TblConstr[[#This Row],[Land]]</f>
        <v>250</v>
      </c>
      <c r="C83" s="231"/>
      <c r="D83" s="232">
        <f ca="1">TblConstr[[#This Row],[Plain]]</f>
        <v>40</v>
      </c>
      <c r="E83" s="190">
        <f ca="1">TblConstr[[#This Row],[Forest]]</f>
        <v>20</v>
      </c>
      <c r="F83" s="390">
        <f ca="1">TblConstr[[#This Row],[Mountain]]</f>
        <v>20</v>
      </c>
      <c r="G83" s="394">
        <f ca="1">TblConstr[[#This Row],[Hill]]</f>
        <v>20</v>
      </c>
      <c r="H83" s="398">
        <f ca="1">TblConstr[[#This Row],[Swamp]]</f>
        <v>20</v>
      </c>
      <c r="I83" s="193">
        <f ca="1">TblConstr[[#This Row],[Cavern]]</f>
        <v>20</v>
      </c>
      <c r="J83" s="194">
        <f ca="1">TblConstr[[#This Row],[Water]]</f>
        <v>20</v>
      </c>
      <c r="K83" s="226"/>
      <c r="L83" s="226"/>
      <c r="M83" s="226"/>
      <c r="N83" s="233">
        <f ca="1">TblMili[[#This Row],[Smithies]]</f>
        <v>0</v>
      </c>
      <c r="O83" s="233">
        <f ca="1">TblPop[[#This Row],[Employment]]</f>
        <v>1</v>
      </c>
      <c r="P83" s="233">
        <f ca="1">TblImps[[#This Row],[Population]]</f>
        <v>1</v>
      </c>
      <c r="Q83" s="183">
        <f ca="1">TblExplore[[#This Row],[Land]]</f>
        <v>250</v>
      </c>
      <c r="R83" s="183">
        <f>TblExplore[[#This Row],[Hour]]</f>
        <v>80</v>
      </c>
      <c r="S83" s="234"/>
      <c r="T83" s="187"/>
      <c r="U83" s="187"/>
      <c r="V83" s="187"/>
      <c r="W83" s="187"/>
      <c r="X83" s="187"/>
      <c r="Y83" s="187"/>
      <c r="Z83" s="187"/>
      <c r="AA83" s="167">
        <f ca="1">TblImps[[#This Row],[Real time]]</f>
        <v>44814.041666666475</v>
      </c>
      <c r="AB83" s="97">
        <f ca="1">TblMili[[#This Row],[Draftees]]</f>
        <v>626</v>
      </c>
      <c r="AC83" s="97">
        <f ca="1">TblProd[[#This Row],[Platinum]]</f>
        <v>534272</v>
      </c>
      <c r="AD83" s="231"/>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83">
        <f>TblRezone[[#This Row],[Hour]]</f>
        <v>81</v>
      </c>
      <c r="B84" s="230">
        <f ca="1">TblConstr[[#This Row],[Land]]</f>
        <v>250</v>
      </c>
      <c r="C84" s="231"/>
      <c r="D84" s="232">
        <f ca="1">TblConstr[[#This Row],[Plain]]</f>
        <v>40</v>
      </c>
      <c r="E84" s="190">
        <f ca="1">TblConstr[[#This Row],[Forest]]</f>
        <v>20</v>
      </c>
      <c r="F84" s="390">
        <f ca="1">TblConstr[[#This Row],[Mountain]]</f>
        <v>20</v>
      </c>
      <c r="G84" s="394">
        <f ca="1">TblConstr[[#This Row],[Hill]]</f>
        <v>20</v>
      </c>
      <c r="H84" s="398">
        <f ca="1">TblConstr[[#This Row],[Swamp]]</f>
        <v>20</v>
      </c>
      <c r="I84" s="193">
        <f ca="1">TblConstr[[#This Row],[Cavern]]</f>
        <v>20</v>
      </c>
      <c r="J84" s="194">
        <f ca="1">TblConstr[[#This Row],[Water]]</f>
        <v>20</v>
      </c>
      <c r="K84" s="226"/>
      <c r="L84" s="226"/>
      <c r="M84" s="226"/>
      <c r="N84" s="233">
        <f ca="1">TblMili[[#This Row],[Smithies]]</f>
        <v>0</v>
      </c>
      <c r="O84" s="233">
        <f ca="1">TblPop[[#This Row],[Employment]]</f>
        <v>1</v>
      </c>
      <c r="P84" s="233">
        <f ca="1">TblImps[[#This Row],[Population]]</f>
        <v>1</v>
      </c>
      <c r="Q84" s="183">
        <f ca="1">TblExplore[[#This Row],[Land]]</f>
        <v>250</v>
      </c>
      <c r="R84" s="183">
        <f>TblExplore[[#This Row],[Hour]]</f>
        <v>81</v>
      </c>
      <c r="S84" s="234"/>
      <c r="T84" s="187"/>
      <c r="U84" s="187"/>
      <c r="V84" s="187"/>
      <c r="W84" s="187"/>
      <c r="X84" s="187"/>
      <c r="Y84" s="187"/>
      <c r="Z84" s="187"/>
      <c r="AA84" s="167">
        <f ca="1">TblImps[[#This Row],[Real time]]</f>
        <v>44814.083333333139</v>
      </c>
      <c r="AB84" s="97">
        <f ca="1">TblMili[[#This Row],[Draftees]]</f>
        <v>626</v>
      </c>
      <c r="AC84" s="97">
        <f ca="1">TblProd[[#This Row],[Platinum]]</f>
        <v>539758</v>
      </c>
      <c r="AD84" s="231"/>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83">
        <f>TblRezone[[#This Row],[Hour]]</f>
        <v>82</v>
      </c>
      <c r="B85" s="230">
        <f ca="1">TblConstr[[#This Row],[Land]]</f>
        <v>250</v>
      </c>
      <c r="C85" s="231"/>
      <c r="D85" s="232">
        <f ca="1">TblConstr[[#This Row],[Plain]]</f>
        <v>40</v>
      </c>
      <c r="E85" s="190">
        <f ca="1">TblConstr[[#This Row],[Forest]]</f>
        <v>20</v>
      </c>
      <c r="F85" s="390">
        <f ca="1">TblConstr[[#This Row],[Mountain]]</f>
        <v>20</v>
      </c>
      <c r="G85" s="394">
        <f ca="1">TblConstr[[#This Row],[Hill]]</f>
        <v>20</v>
      </c>
      <c r="H85" s="398">
        <f ca="1">TblConstr[[#This Row],[Swamp]]</f>
        <v>20</v>
      </c>
      <c r="I85" s="193">
        <f ca="1">TblConstr[[#This Row],[Cavern]]</f>
        <v>20</v>
      </c>
      <c r="J85" s="194">
        <f ca="1">TblConstr[[#This Row],[Water]]</f>
        <v>20</v>
      </c>
      <c r="K85" s="226"/>
      <c r="L85" s="226"/>
      <c r="M85" s="226"/>
      <c r="N85" s="233">
        <f ca="1">TblMili[[#This Row],[Smithies]]</f>
        <v>0</v>
      </c>
      <c r="O85" s="233">
        <f ca="1">TblPop[[#This Row],[Employment]]</f>
        <v>1</v>
      </c>
      <c r="P85" s="233">
        <f ca="1">TblImps[[#This Row],[Population]]</f>
        <v>1</v>
      </c>
      <c r="Q85" s="183">
        <f ca="1">TblExplore[[#This Row],[Land]]</f>
        <v>250</v>
      </c>
      <c r="R85" s="183">
        <f>TblExplore[[#This Row],[Hour]]</f>
        <v>82</v>
      </c>
      <c r="S85" s="234"/>
      <c r="T85" s="187"/>
      <c r="U85" s="187"/>
      <c r="V85" s="187"/>
      <c r="W85" s="187"/>
      <c r="X85" s="187"/>
      <c r="Y85" s="187"/>
      <c r="Z85" s="187"/>
      <c r="AA85" s="167">
        <f ca="1">TblImps[[#This Row],[Real time]]</f>
        <v>44814.124999999804</v>
      </c>
      <c r="AB85" s="97">
        <f ca="1">TblMili[[#This Row],[Draftees]]</f>
        <v>626</v>
      </c>
      <c r="AC85" s="97">
        <f ca="1">TblProd[[#This Row],[Platinum]]</f>
        <v>545244</v>
      </c>
      <c r="AD85" s="231"/>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83">
        <f>TblRezone[[#This Row],[Hour]]</f>
        <v>83</v>
      </c>
      <c r="B86" s="230">
        <f ca="1">TblConstr[[#This Row],[Land]]</f>
        <v>250</v>
      </c>
      <c r="C86" s="231"/>
      <c r="D86" s="232">
        <f ca="1">TblConstr[[#This Row],[Plain]]</f>
        <v>40</v>
      </c>
      <c r="E86" s="190">
        <f ca="1">TblConstr[[#This Row],[Forest]]</f>
        <v>20</v>
      </c>
      <c r="F86" s="390">
        <f ca="1">TblConstr[[#This Row],[Mountain]]</f>
        <v>20</v>
      </c>
      <c r="G86" s="394">
        <f ca="1">TblConstr[[#This Row],[Hill]]</f>
        <v>20</v>
      </c>
      <c r="H86" s="398">
        <f ca="1">TblConstr[[#This Row],[Swamp]]</f>
        <v>20</v>
      </c>
      <c r="I86" s="193">
        <f ca="1">TblConstr[[#This Row],[Cavern]]</f>
        <v>20</v>
      </c>
      <c r="J86" s="194">
        <f ca="1">TblConstr[[#This Row],[Water]]</f>
        <v>20</v>
      </c>
      <c r="K86" s="226"/>
      <c r="L86" s="226"/>
      <c r="M86" s="226"/>
      <c r="N86" s="233">
        <f ca="1">TblMili[[#This Row],[Smithies]]</f>
        <v>0</v>
      </c>
      <c r="O86" s="233">
        <f ca="1">TblPop[[#This Row],[Employment]]</f>
        <v>1</v>
      </c>
      <c r="P86" s="233">
        <f ca="1">TblImps[[#This Row],[Population]]</f>
        <v>1</v>
      </c>
      <c r="Q86" s="183">
        <f ca="1">TblExplore[[#This Row],[Land]]</f>
        <v>250</v>
      </c>
      <c r="R86" s="183">
        <f>TblExplore[[#This Row],[Hour]]</f>
        <v>83</v>
      </c>
      <c r="S86" s="234"/>
      <c r="T86" s="187"/>
      <c r="U86" s="187"/>
      <c r="V86" s="187"/>
      <c r="W86" s="187"/>
      <c r="X86" s="187"/>
      <c r="Y86" s="187"/>
      <c r="Z86" s="187"/>
      <c r="AA86" s="167">
        <f ca="1">TblImps[[#This Row],[Real time]]</f>
        <v>44814.166666666468</v>
      </c>
      <c r="AB86" s="97">
        <f ca="1">TblMili[[#This Row],[Draftees]]</f>
        <v>626</v>
      </c>
      <c r="AC86" s="97">
        <f ca="1">TblProd[[#This Row],[Platinum]]</f>
        <v>550730</v>
      </c>
      <c r="AD86" s="231"/>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83">
        <f>TblRezone[[#This Row],[Hour]]</f>
        <v>84</v>
      </c>
      <c r="B87" s="230">
        <f ca="1">TblConstr[[#This Row],[Land]]</f>
        <v>250</v>
      </c>
      <c r="C87" s="231"/>
      <c r="D87" s="232">
        <f ca="1">TblConstr[[#This Row],[Plain]]</f>
        <v>40</v>
      </c>
      <c r="E87" s="190">
        <f ca="1">TblConstr[[#This Row],[Forest]]</f>
        <v>20</v>
      </c>
      <c r="F87" s="390">
        <f ca="1">TblConstr[[#This Row],[Mountain]]</f>
        <v>20</v>
      </c>
      <c r="G87" s="394">
        <f ca="1">TblConstr[[#This Row],[Hill]]</f>
        <v>20</v>
      </c>
      <c r="H87" s="398">
        <f ca="1">TblConstr[[#This Row],[Swamp]]</f>
        <v>20</v>
      </c>
      <c r="I87" s="193">
        <f ca="1">TblConstr[[#This Row],[Cavern]]</f>
        <v>20</v>
      </c>
      <c r="J87" s="194">
        <f ca="1">TblConstr[[#This Row],[Water]]</f>
        <v>20</v>
      </c>
      <c r="K87" s="226"/>
      <c r="L87" s="226"/>
      <c r="M87" s="235"/>
      <c r="N87" s="233">
        <f ca="1">TblMili[[#This Row],[Smithies]]</f>
        <v>0</v>
      </c>
      <c r="O87" s="233">
        <f ca="1">TblPop[[#This Row],[Employment]]</f>
        <v>1</v>
      </c>
      <c r="P87" s="233">
        <f ca="1">TblImps[[#This Row],[Population]]</f>
        <v>1</v>
      </c>
      <c r="Q87" s="183">
        <f ca="1">TblExplore[[#This Row],[Land]]</f>
        <v>250</v>
      </c>
      <c r="R87" s="183">
        <f>TblExplore[[#This Row],[Hour]]</f>
        <v>84</v>
      </c>
      <c r="S87" s="234"/>
      <c r="T87" s="166"/>
      <c r="U87" s="187"/>
      <c r="V87" s="187"/>
      <c r="W87" s="187"/>
      <c r="X87" s="187"/>
      <c r="Y87" s="187"/>
      <c r="Z87" s="187"/>
      <c r="AA87" s="167">
        <f ca="1">TblImps[[#This Row],[Real time]]</f>
        <v>44814.208333333132</v>
      </c>
      <c r="AB87" s="97">
        <f ca="1">TblMili[[#This Row],[Draftees]]</f>
        <v>626</v>
      </c>
      <c r="AC87" s="97">
        <f ca="1">TblProd[[#This Row],[Platinum]]</f>
        <v>556216</v>
      </c>
      <c r="AD87" s="231"/>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83">
        <f>TblRezone[[#This Row],[Hour]]</f>
        <v>85</v>
      </c>
      <c r="B88" s="230">
        <f ca="1">TblConstr[[#This Row],[Land]]</f>
        <v>250</v>
      </c>
      <c r="C88" s="231"/>
      <c r="D88" s="232">
        <f ca="1">TblConstr[[#This Row],[Plain]]</f>
        <v>40</v>
      </c>
      <c r="E88" s="190">
        <f ca="1">TblConstr[[#This Row],[Forest]]</f>
        <v>20</v>
      </c>
      <c r="F88" s="390">
        <f ca="1">TblConstr[[#This Row],[Mountain]]</f>
        <v>20</v>
      </c>
      <c r="G88" s="394">
        <f ca="1">TblConstr[[#This Row],[Hill]]</f>
        <v>20</v>
      </c>
      <c r="H88" s="398">
        <f ca="1">TblConstr[[#This Row],[Swamp]]</f>
        <v>20</v>
      </c>
      <c r="I88" s="193">
        <f ca="1">TblConstr[[#This Row],[Cavern]]</f>
        <v>20</v>
      </c>
      <c r="J88" s="194">
        <f ca="1">TblConstr[[#This Row],[Water]]</f>
        <v>20</v>
      </c>
      <c r="K88" s="226"/>
      <c r="L88" s="226"/>
      <c r="M88" s="226"/>
      <c r="N88" s="233">
        <f ca="1">TblMili[[#This Row],[Smithies]]</f>
        <v>0</v>
      </c>
      <c r="O88" s="233">
        <f ca="1">TblPop[[#This Row],[Employment]]</f>
        <v>1</v>
      </c>
      <c r="P88" s="233">
        <f ca="1">TblImps[[#This Row],[Population]]</f>
        <v>1</v>
      </c>
      <c r="Q88" s="183">
        <f ca="1">TblExplore[[#This Row],[Land]]</f>
        <v>250</v>
      </c>
      <c r="R88" s="183">
        <f>TblExplore[[#This Row],[Hour]]</f>
        <v>85</v>
      </c>
      <c r="S88" s="234"/>
      <c r="T88" s="187"/>
      <c r="U88" s="187"/>
      <c r="V88" s="187"/>
      <c r="W88" s="187"/>
      <c r="X88" s="187"/>
      <c r="Y88" s="187"/>
      <c r="Z88" s="187"/>
      <c r="AA88" s="167">
        <f ca="1">TblImps[[#This Row],[Real time]]</f>
        <v>44814.249999999796</v>
      </c>
      <c r="AB88" s="97">
        <f ca="1">TblMili[[#This Row],[Draftees]]</f>
        <v>626</v>
      </c>
      <c r="AC88" s="97">
        <f ca="1">TblProd[[#This Row],[Platinum]]</f>
        <v>561702</v>
      </c>
      <c r="AD88" s="231"/>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83">
        <f>TblRezone[[#This Row],[Hour]]</f>
        <v>86</v>
      </c>
      <c r="B89" s="230">
        <f ca="1">TblConstr[[#This Row],[Land]]</f>
        <v>250</v>
      </c>
      <c r="C89" s="231"/>
      <c r="D89" s="232">
        <f ca="1">TblConstr[[#This Row],[Plain]]</f>
        <v>40</v>
      </c>
      <c r="E89" s="190">
        <f ca="1">TblConstr[[#This Row],[Forest]]</f>
        <v>20</v>
      </c>
      <c r="F89" s="390">
        <f ca="1">TblConstr[[#This Row],[Mountain]]</f>
        <v>20</v>
      </c>
      <c r="G89" s="394">
        <f ca="1">TblConstr[[#This Row],[Hill]]</f>
        <v>20</v>
      </c>
      <c r="H89" s="398">
        <f ca="1">TblConstr[[#This Row],[Swamp]]</f>
        <v>20</v>
      </c>
      <c r="I89" s="193">
        <f ca="1">TblConstr[[#This Row],[Cavern]]</f>
        <v>20</v>
      </c>
      <c r="J89" s="194">
        <f ca="1">TblConstr[[#This Row],[Water]]</f>
        <v>20</v>
      </c>
      <c r="K89" s="226"/>
      <c r="L89" s="226"/>
      <c r="M89" s="239"/>
      <c r="N89" s="233">
        <f ca="1">TblMili[[#This Row],[Smithies]]</f>
        <v>0</v>
      </c>
      <c r="O89" s="233">
        <f ca="1">TblPop[[#This Row],[Employment]]</f>
        <v>1</v>
      </c>
      <c r="P89" s="233">
        <f ca="1">TblImps[[#This Row],[Population]]</f>
        <v>1</v>
      </c>
      <c r="Q89" s="183">
        <f ca="1">TblExplore[[#This Row],[Land]]</f>
        <v>250</v>
      </c>
      <c r="R89" s="183">
        <f>TblExplore[[#This Row],[Hour]]</f>
        <v>86</v>
      </c>
      <c r="S89" s="234"/>
      <c r="T89" s="187"/>
      <c r="U89" s="187"/>
      <c r="V89" s="187"/>
      <c r="W89" s="187"/>
      <c r="X89" s="187"/>
      <c r="Y89" s="187"/>
      <c r="Z89" s="187"/>
      <c r="AA89" s="167">
        <f ca="1">TblImps[[#This Row],[Real time]]</f>
        <v>44814.291666666461</v>
      </c>
      <c r="AB89" s="97">
        <f ca="1">TblMili[[#This Row],[Draftees]]</f>
        <v>626</v>
      </c>
      <c r="AC89" s="97">
        <f ca="1">TblProd[[#This Row],[Platinum]]</f>
        <v>567188</v>
      </c>
      <c r="AD89" s="231"/>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83">
        <f>TblRezone[[#This Row],[Hour]]</f>
        <v>87</v>
      </c>
      <c r="B90" s="230">
        <f ca="1">TblConstr[[#This Row],[Land]]</f>
        <v>250</v>
      </c>
      <c r="C90" s="231"/>
      <c r="D90" s="232">
        <f ca="1">TblConstr[[#This Row],[Plain]]</f>
        <v>40</v>
      </c>
      <c r="E90" s="190">
        <f ca="1">TblConstr[[#This Row],[Forest]]</f>
        <v>20</v>
      </c>
      <c r="F90" s="390">
        <f ca="1">TblConstr[[#This Row],[Mountain]]</f>
        <v>20</v>
      </c>
      <c r="G90" s="394">
        <f ca="1">TblConstr[[#This Row],[Hill]]</f>
        <v>20</v>
      </c>
      <c r="H90" s="398">
        <f ca="1">TblConstr[[#This Row],[Swamp]]</f>
        <v>20</v>
      </c>
      <c r="I90" s="193">
        <f ca="1">TblConstr[[#This Row],[Cavern]]</f>
        <v>20</v>
      </c>
      <c r="J90" s="194">
        <f ca="1">TblConstr[[#This Row],[Water]]</f>
        <v>20</v>
      </c>
      <c r="K90" s="226"/>
      <c r="L90" s="226"/>
      <c r="M90" s="239"/>
      <c r="N90" s="233">
        <f ca="1">TblMili[[#This Row],[Smithies]]</f>
        <v>0</v>
      </c>
      <c r="O90" s="233">
        <f ca="1">TblPop[[#This Row],[Employment]]</f>
        <v>1</v>
      </c>
      <c r="P90" s="233">
        <f ca="1">TblImps[[#This Row],[Population]]</f>
        <v>1</v>
      </c>
      <c r="Q90" s="183">
        <f ca="1">TblExplore[[#This Row],[Land]]</f>
        <v>250</v>
      </c>
      <c r="R90" s="183">
        <f>TblExplore[[#This Row],[Hour]]</f>
        <v>87</v>
      </c>
      <c r="S90" s="234"/>
      <c r="T90" s="187"/>
      <c r="U90" s="187"/>
      <c r="V90" s="187"/>
      <c r="W90" s="187"/>
      <c r="X90" s="187"/>
      <c r="Y90" s="187"/>
      <c r="Z90" s="187"/>
      <c r="AA90" s="167">
        <f ca="1">TblImps[[#This Row],[Real time]]</f>
        <v>44814.333333333125</v>
      </c>
      <c r="AB90" s="97">
        <f ca="1">TblMili[[#This Row],[Draftees]]</f>
        <v>626</v>
      </c>
      <c r="AC90" s="97">
        <f ca="1">TblProd[[#This Row],[Platinum]]</f>
        <v>572674</v>
      </c>
      <c r="AD90" s="231"/>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83">
        <f>TblRezone[[#This Row],[Hour]]</f>
        <v>88</v>
      </c>
      <c r="B91" s="230">
        <f ca="1">TblConstr[[#This Row],[Land]]</f>
        <v>250</v>
      </c>
      <c r="C91" s="231"/>
      <c r="D91" s="232">
        <f ca="1">TblConstr[[#This Row],[Plain]]</f>
        <v>40</v>
      </c>
      <c r="E91" s="190">
        <f ca="1">TblConstr[[#This Row],[Forest]]</f>
        <v>20</v>
      </c>
      <c r="F91" s="390">
        <f ca="1">TblConstr[[#This Row],[Mountain]]</f>
        <v>20</v>
      </c>
      <c r="G91" s="394">
        <f ca="1">TblConstr[[#This Row],[Hill]]</f>
        <v>20</v>
      </c>
      <c r="H91" s="398">
        <f ca="1">TblConstr[[#This Row],[Swamp]]</f>
        <v>20</v>
      </c>
      <c r="I91" s="193">
        <f ca="1">TblConstr[[#This Row],[Cavern]]</f>
        <v>20</v>
      </c>
      <c r="J91" s="194">
        <f ca="1">TblConstr[[#This Row],[Water]]</f>
        <v>20</v>
      </c>
      <c r="K91" s="226"/>
      <c r="L91" s="226"/>
      <c r="M91" s="239"/>
      <c r="N91" s="233">
        <f ca="1">TblMili[[#This Row],[Smithies]]</f>
        <v>0</v>
      </c>
      <c r="O91" s="233">
        <f ca="1">TblPop[[#This Row],[Employment]]</f>
        <v>1</v>
      </c>
      <c r="P91" s="233">
        <f ca="1">TblImps[[#This Row],[Population]]</f>
        <v>1</v>
      </c>
      <c r="Q91" s="183">
        <f ca="1">TblExplore[[#This Row],[Land]]</f>
        <v>250</v>
      </c>
      <c r="R91" s="183">
        <f>TblExplore[[#This Row],[Hour]]</f>
        <v>88</v>
      </c>
      <c r="S91" s="234"/>
      <c r="T91" s="166"/>
      <c r="U91" s="187"/>
      <c r="V91" s="187"/>
      <c r="W91" s="187"/>
      <c r="X91" s="187"/>
      <c r="Y91" s="187"/>
      <c r="Z91" s="187"/>
      <c r="AA91" s="167">
        <f ca="1">TblImps[[#This Row],[Real time]]</f>
        <v>44814.374999999789</v>
      </c>
      <c r="AB91" s="97">
        <f ca="1">TblMili[[#This Row],[Draftees]]</f>
        <v>626</v>
      </c>
      <c r="AC91" s="97">
        <f ca="1">TblProd[[#This Row],[Platinum]]</f>
        <v>578160</v>
      </c>
      <c r="AD91" s="231"/>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83">
        <f>TblRezone[[#This Row],[Hour]]</f>
        <v>89</v>
      </c>
      <c r="B92" s="230">
        <f ca="1">TblConstr[[#This Row],[Land]]</f>
        <v>250</v>
      </c>
      <c r="C92" s="231"/>
      <c r="D92" s="232">
        <f ca="1">TblConstr[[#This Row],[Plain]]</f>
        <v>40</v>
      </c>
      <c r="E92" s="190">
        <f ca="1">TblConstr[[#This Row],[Forest]]</f>
        <v>20</v>
      </c>
      <c r="F92" s="390">
        <f ca="1">TblConstr[[#This Row],[Mountain]]</f>
        <v>20</v>
      </c>
      <c r="G92" s="394">
        <f ca="1">TblConstr[[#This Row],[Hill]]</f>
        <v>20</v>
      </c>
      <c r="H92" s="398">
        <f ca="1">TblConstr[[#This Row],[Swamp]]</f>
        <v>20</v>
      </c>
      <c r="I92" s="193">
        <f ca="1">TblConstr[[#This Row],[Cavern]]</f>
        <v>20</v>
      </c>
      <c r="J92" s="194">
        <f ca="1">TblConstr[[#This Row],[Water]]</f>
        <v>20</v>
      </c>
      <c r="K92" s="226"/>
      <c r="L92" s="226"/>
      <c r="M92" s="239"/>
      <c r="N92" s="233">
        <f ca="1">TblMili[[#This Row],[Smithies]]</f>
        <v>0</v>
      </c>
      <c r="O92" s="233">
        <f ca="1">TblPop[[#This Row],[Employment]]</f>
        <v>1</v>
      </c>
      <c r="P92" s="233">
        <f ca="1">TblImps[[#This Row],[Population]]</f>
        <v>1</v>
      </c>
      <c r="Q92" s="183">
        <f ca="1">TblExplore[[#This Row],[Land]]</f>
        <v>250</v>
      </c>
      <c r="R92" s="183">
        <f>TblExplore[[#This Row],[Hour]]</f>
        <v>89</v>
      </c>
      <c r="S92" s="234"/>
      <c r="T92" s="166"/>
      <c r="U92" s="187"/>
      <c r="V92" s="187"/>
      <c r="W92" s="187"/>
      <c r="X92" s="187"/>
      <c r="Y92" s="187"/>
      <c r="Z92" s="187"/>
      <c r="AA92" s="167">
        <f ca="1">TblImps[[#This Row],[Real time]]</f>
        <v>44814.416666666453</v>
      </c>
      <c r="AB92" s="97">
        <f ca="1">TblMili[[#This Row],[Draftees]]</f>
        <v>626</v>
      </c>
      <c r="AC92" s="97">
        <f ca="1">TblProd[[#This Row],[Platinum]]</f>
        <v>583646</v>
      </c>
      <c r="AD92" s="231"/>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83">
        <f>TblRezone[[#This Row],[Hour]]</f>
        <v>90</v>
      </c>
      <c r="B93" s="230">
        <f ca="1">TblConstr[[#This Row],[Land]]</f>
        <v>250</v>
      </c>
      <c r="C93" s="231"/>
      <c r="D93" s="232">
        <f ca="1">TblConstr[[#This Row],[Plain]]</f>
        <v>40</v>
      </c>
      <c r="E93" s="190">
        <f ca="1">TblConstr[[#This Row],[Forest]]</f>
        <v>20</v>
      </c>
      <c r="F93" s="390">
        <f ca="1">TblConstr[[#This Row],[Mountain]]</f>
        <v>20</v>
      </c>
      <c r="G93" s="394">
        <f ca="1">TblConstr[[#This Row],[Hill]]</f>
        <v>20</v>
      </c>
      <c r="H93" s="398">
        <f ca="1">TblConstr[[#This Row],[Swamp]]</f>
        <v>20</v>
      </c>
      <c r="I93" s="193">
        <f ca="1">TblConstr[[#This Row],[Cavern]]</f>
        <v>20</v>
      </c>
      <c r="J93" s="194">
        <f ca="1">TblConstr[[#This Row],[Water]]</f>
        <v>20</v>
      </c>
      <c r="K93" s="226"/>
      <c r="L93" s="226"/>
      <c r="M93" s="239"/>
      <c r="N93" s="233">
        <f ca="1">TblMili[[#This Row],[Smithies]]</f>
        <v>0</v>
      </c>
      <c r="O93" s="233">
        <f ca="1">TblPop[[#This Row],[Employment]]</f>
        <v>1</v>
      </c>
      <c r="P93" s="233">
        <f ca="1">TblImps[[#This Row],[Population]]</f>
        <v>1</v>
      </c>
      <c r="Q93" s="183">
        <f ca="1">TblExplore[[#This Row],[Land]]</f>
        <v>250</v>
      </c>
      <c r="R93" s="183">
        <f>TblExplore[[#This Row],[Hour]]</f>
        <v>90</v>
      </c>
      <c r="S93" s="234"/>
      <c r="T93" s="187"/>
      <c r="U93" s="187"/>
      <c r="V93" s="187"/>
      <c r="W93" s="187"/>
      <c r="X93" s="187"/>
      <c r="Y93" s="187"/>
      <c r="Z93" s="187"/>
      <c r="AA93" s="167">
        <f ca="1">TblImps[[#This Row],[Real time]]</f>
        <v>44814.458333333117</v>
      </c>
      <c r="AB93" s="97">
        <f ca="1">TblMili[[#This Row],[Draftees]]</f>
        <v>626</v>
      </c>
      <c r="AC93" s="97">
        <f ca="1">TblProd[[#This Row],[Platinum]]</f>
        <v>589132</v>
      </c>
      <c r="AD93" s="231"/>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83">
        <f>TblRezone[[#This Row],[Hour]]</f>
        <v>91</v>
      </c>
      <c r="B94" s="230">
        <f ca="1">TblConstr[[#This Row],[Land]]</f>
        <v>250</v>
      </c>
      <c r="C94" s="231"/>
      <c r="D94" s="232">
        <f ca="1">TblConstr[[#This Row],[Plain]]</f>
        <v>40</v>
      </c>
      <c r="E94" s="190">
        <f ca="1">TblConstr[[#This Row],[Forest]]</f>
        <v>20</v>
      </c>
      <c r="F94" s="390">
        <f ca="1">TblConstr[[#This Row],[Mountain]]</f>
        <v>20</v>
      </c>
      <c r="G94" s="394">
        <f ca="1">TblConstr[[#This Row],[Hill]]</f>
        <v>20</v>
      </c>
      <c r="H94" s="398">
        <f ca="1">TblConstr[[#This Row],[Swamp]]</f>
        <v>20</v>
      </c>
      <c r="I94" s="193">
        <f ca="1">TblConstr[[#This Row],[Cavern]]</f>
        <v>20</v>
      </c>
      <c r="J94" s="194">
        <f ca="1">TblConstr[[#This Row],[Water]]</f>
        <v>20</v>
      </c>
      <c r="K94" s="226"/>
      <c r="L94" s="226"/>
      <c r="M94" s="239"/>
      <c r="N94" s="233">
        <f ca="1">TblMili[[#This Row],[Smithies]]</f>
        <v>0</v>
      </c>
      <c r="O94" s="233">
        <f ca="1">TblPop[[#This Row],[Employment]]</f>
        <v>1</v>
      </c>
      <c r="P94" s="233">
        <f ca="1">TblImps[[#This Row],[Population]]</f>
        <v>1</v>
      </c>
      <c r="Q94" s="183">
        <f ca="1">TblExplore[[#This Row],[Land]]</f>
        <v>250</v>
      </c>
      <c r="R94" s="183">
        <f>TblExplore[[#This Row],[Hour]]</f>
        <v>91</v>
      </c>
      <c r="S94" s="234"/>
      <c r="T94" s="187"/>
      <c r="U94" s="187"/>
      <c r="V94" s="187"/>
      <c r="W94" s="187"/>
      <c r="X94" s="187"/>
      <c r="Y94" s="187"/>
      <c r="Z94" s="187"/>
      <c r="AA94" s="167">
        <f ca="1">TblImps[[#This Row],[Real time]]</f>
        <v>44814.499999999782</v>
      </c>
      <c r="AB94" s="97">
        <f ca="1">TblMili[[#This Row],[Draftees]]</f>
        <v>626</v>
      </c>
      <c r="AC94" s="97">
        <f ca="1">TblProd[[#This Row],[Platinum]]</f>
        <v>594618</v>
      </c>
      <c r="AD94" s="231"/>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83">
        <f>TblRezone[[#This Row],[Hour]]</f>
        <v>92</v>
      </c>
      <c r="B95" s="230">
        <f ca="1">TblConstr[[#This Row],[Land]]</f>
        <v>250</v>
      </c>
      <c r="C95" s="231"/>
      <c r="D95" s="232">
        <f ca="1">TblConstr[[#This Row],[Plain]]</f>
        <v>40</v>
      </c>
      <c r="E95" s="190">
        <f ca="1">TblConstr[[#This Row],[Forest]]</f>
        <v>20</v>
      </c>
      <c r="F95" s="390">
        <f ca="1">TblConstr[[#This Row],[Mountain]]</f>
        <v>20</v>
      </c>
      <c r="G95" s="394">
        <f ca="1">TblConstr[[#This Row],[Hill]]</f>
        <v>20</v>
      </c>
      <c r="H95" s="398">
        <f ca="1">TblConstr[[#This Row],[Swamp]]</f>
        <v>20</v>
      </c>
      <c r="I95" s="193">
        <f ca="1">TblConstr[[#This Row],[Cavern]]</f>
        <v>20</v>
      </c>
      <c r="J95" s="194">
        <f ca="1">TblConstr[[#This Row],[Water]]</f>
        <v>20</v>
      </c>
      <c r="K95" s="226"/>
      <c r="L95" s="226"/>
      <c r="M95" s="239"/>
      <c r="N95" s="233">
        <f ca="1">TblMili[[#This Row],[Smithies]]</f>
        <v>0</v>
      </c>
      <c r="O95" s="233">
        <f ca="1">TblPop[[#This Row],[Employment]]</f>
        <v>1</v>
      </c>
      <c r="P95" s="233">
        <f ca="1">TblImps[[#This Row],[Population]]</f>
        <v>1</v>
      </c>
      <c r="Q95" s="183">
        <f ca="1">TblExplore[[#This Row],[Land]]</f>
        <v>250</v>
      </c>
      <c r="R95" s="183">
        <f>TblExplore[[#This Row],[Hour]]</f>
        <v>92</v>
      </c>
      <c r="S95" s="234"/>
      <c r="T95" s="187"/>
      <c r="U95" s="187"/>
      <c r="V95" s="187"/>
      <c r="W95" s="187"/>
      <c r="X95" s="187"/>
      <c r="Y95" s="187"/>
      <c r="Z95" s="187"/>
      <c r="AA95" s="167">
        <f ca="1">TblImps[[#This Row],[Real time]]</f>
        <v>44814.541666666446</v>
      </c>
      <c r="AB95" s="97">
        <f ca="1">TblMili[[#This Row],[Draftees]]</f>
        <v>626</v>
      </c>
      <c r="AC95" s="97">
        <f ca="1">TblProd[[#This Row],[Platinum]]</f>
        <v>600104</v>
      </c>
      <c r="AD95" s="231"/>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83">
        <f>TblRezone[[#This Row],[Hour]]</f>
        <v>93</v>
      </c>
      <c r="B96" s="230">
        <f ca="1">TblConstr[[#This Row],[Land]]</f>
        <v>250</v>
      </c>
      <c r="C96" s="231"/>
      <c r="D96" s="232">
        <f ca="1">TblConstr[[#This Row],[Plain]]</f>
        <v>40</v>
      </c>
      <c r="E96" s="190">
        <f ca="1">TblConstr[[#This Row],[Forest]]</f>
        <v>20</v>
      </c>
      <c r="F96" s="390">
        <f ca="1">TblConstr[[#This Row],[Mountain]]</f>
        <v>20</v>
      </c>
      <c r="G96" s="394">
        <f ca="1">TblConstr[[#This Row],[Hill]]</f>
        <v>20</v>
      </c>
      <c r="H96" s="398">
        <f ca="1">TblConstr[[#This Row],[Swamp]]</f>
        <v>20</v>
      </c>
      <c r="I96" s="193">
        <f ca="1">TblConstr[[#This Row],[Cavern]]</f>
        <v>20</v>
      </c>
      <c r="J96" s="194">
        <f ca="1">TblConstr[[#This Row],[Water]]</f>
        <v>20</v>
      </c>
      <c r="K96" s="226"/>
      <c r="L96" s="226"/>
      <c r="M96" s="226"/>
      <c r="N96" s="233">
        <f ca="1">TblMili[[#This Row],[Smithies]]</f>
        <v>0</v>
      </c>
      <c r="O96" s="233">
        <f ca="1">TblPop[[#This Row],[Employment]]</f>
        <v>1</v>
      </c>
      <c r="P96" s="233">
        <f ca="1">TblImps[[#This Row],[Population]]</f>
        <v>1</v>
      </c>
      <c r="Q96" s="183">
        <f ca="1">TblExplore[[#This Row],[Land]]</f>
        <v>250</v>
      </c>
      <c r="R96" s="230">
        <f>TblExplore[[#This Row],[Hour]]</f>
        <v>93</v>
      </c>
      <c r="S96" s="234"/>
      <c r="T96" s="187"/>
      <c r="U96" s="187"/>
      <c r="V96" s="187"/>
      <c r="W96" s="187"/>
      <c r="X96" s="187"/>
      <c r="Y96" s="187"/>
      <c r="Z96" s="187"/>
      <c r="AA96" s="167">
        <f ca="1">TblImps[[#This Row],[Real time]]</f>
        <v>44814.58333333311</v>
      </c>
      <c r="AB96" s="97">
        <f ca="1">TblMili[[#This Row],[Draftees]]</f>
        <v>626</v>
      </c>
      <c r="AC96" s="97">
        <f ca="1">TblProd[[#This Row],[Platinum]]</f>
        <v>605590</v>
      </c>
      <c r="AD96" s="231"/>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83">
        <f>TblRezone[[#This Row],[Hour]]</f>
        <v>94</v>
      </c>
      <c r="B97" s="230">
        <f ca="1">TblConstr[[#This Row],[Land]]</f>
        <v>250</v>
      </c>
      <c r="C97" s="231"/>
      <c r="D97" s="232">
        <f ca="1">TblConstr[[#This Row],[Plain]]</f>
        <v>40</v>
      </c>
      <c r="E97" s="190">
        <f ca="1">TblConstr[[#This Row],[Forest]]</f>
        <v>20</v>
      </c>
      <c r="F97" s="390">
        <f ca="1">TblConstr[[#This Row],[Mountain]]</f>
        <v>20</v>
      </c>
      <c r="G97" s="394">
        <f ca="1">TblConstr[[#This Row],[Hill]]</f>
        <v>20</v>
      </c>
      <c r="H97" s="398">
        <f ca="1">TblConstr[[#This Row],[Swamp]]</f>
        <v>20</v>
      </c>
      <c r="I97" s="193">
        <f ca="1">TblConstr[[#This Row],[Cavern]]</f>
        <v>20</v>
      </c>
      <c r="J97" s="194">
        <f ca="1">TblConstr[[#This Row],[Water]]</f>
        <v>20</v>
      </c>
      <c r="K97" s="226"/>
      <c r="L97" s="226"/>
      <c r="M97" s="226"/>
      <c r="N97" s="233">
        <f ca="1">TblMili[[#This Row],[Smithies]]</f>
        <v>0</v>
      </c>
      <c r="O97" s="233">
        <f ca="1">TblPop[[#This Row],[Employment]]</f>
        <v>1</v>
      </c>
      <c r="P97" s="233">
        <f ca="1">TblImps[[#This Row],[Population]]</f>
        <v>1</v>
      </c>
      <c r="Q97" s="183">
        <f ca="1">TblExplore[[#This Row],[Land]]</f>
        <v>250</v>
      </c>
      <c r="R97" s="230">
        <f>TblExplore[[#This Row],[Hour]]</f>
        <v>94</v>
      </c>
      <c r="S97" s="234"/>
      <c r="T97" s="187"/>
      <c r="U97" s="187"/>
      <c r="V97" s="187"/>
      <c r="W97" s="187"/>
      <c r="X97" s="187"/>
      <c r="Y97" s="187"/>
      <c r="Z97" s="187"/>
      <c r="AA97" s="167">
        <f ca="1">TblImps[[#This Row],[Real time]]</f>
        <v>44814.624999999774</v>
      </c>
      <c r="AB97" s="97">
        <f ca="1">TblMili[[#This Row],[Draftees]]</f>
        <v>626</v>
      </c>
      <c r="AC97" s="97">
        <f ca="1">TblProd[[#This Row],[Platinum]]</f>
        <v>611076</v>
      </c>
      <c r="AD97" s="231"/>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83">
        <f>TblRezone[[#This Row],[Hour]]</f>
        <v>95</v>
      </c>
      <c r="B98" s="230">
        <f ca="1">TblConstr[[#This Row],[Land]]</f>
        <v>250</v>
      </c>
      <c r="C98" s="231"/>
      <c r="D98" s="232">
        <f ca="1">TblConstr[[#This Row],[Plain]]</f>
        <v>40</v>
      </c>
      <c r="E98" s="190">
        <f ca="1">TblConstr[[#This Row],[Forest]]</f>
        <v>20</v>
      </c>
      <c r="F98" s="390">
        <f ca="1">TblConstr[[#This Row],[Mountain]]</f>
        <v>20</v>
      </c>
      <c r="G98" s="394">
        <f ca="1">TblConstr[[#This Row],[Hill]]</f>
        <v>20</v>
      </c>
      <c r="H98" s="398">
        <f ca="1">TblConstr[[#This Row],[Swamp]]</f>
        <v>20</v>
      </c>
      <c r="I98" s="193">
        <f ca="1">TblConstr[[#This Row],[Cavern]]</f>
        <v>20</v>
      </c>
      <c r="J98" s="194">
        <f ca="1">TblConstr[[#This Row],[Water]]</f>
        <v>20</v>
      </c>
      <c r="K98" s="226"/>
      <c r="L98" s="226"/>
      <c r="M98" s="239"/>
      <c r="N98" s="233">
        <f ca="1">TblMili[[#This Row],[Smithies]]</f>
        <v>0</v>
      </c>
      <c r="O98" s="233">
        <f ca="1">TblPop[[#This Row],[Employment]]</f>
        <v>1</v>
      </c>
      <c r="P98" s="233">
        <f ca="1">TblImps[[#This Row],[Population]]</f>
        <v>1</v>
      </c>
      <c r="Q98" s="183">
        <f ca="1">TblExplore[[#This Row],[Land]]</f>
        <v>250</v>
      </c>
      <c r="R98" s="183">
        <f>TblExplore[[#This Row],[Hour]]</f>
        <v>95</v>
      </c>
      <c r="S98" s="234"/>
      <c r="T98" s="187"/>
      <c r="U98" s="187"/>
      <c r="V98" s="187"/>
      <c r="W98" s="187"/>
      <c r="X98" s="187"/>
      <c r="Y98" s="187"/>
      <c r="Z98" s="187"/>
      <c r="AA98" s="167">
        <f ca="1">TblImps[[#This Row],[Real time]]</f>
        <v>44814.666666666439</v>
      </c>
      <c r="AB98" s="97">
        <f ca="1">TblMili[[#This Row],[Draftees]]</f>
        <v>626</v>
      </c>
      <c r="AC98" s="97">
        <f ca="1">TblProd[[#This Row],[Platinum]]</f>
        <v>616562</v>
      </c>
      <c r="AD98" s="231"/>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83">
        <f>TblRezone[[#This Row],[Hour]]</f>
        <v>96</v>
      </c>
      <c r="B99" s="230">
        <f ca="1">TblConstr[[#This Row],[Land]]</f>
        <v>250</v>
      </c>
      <c r="C99" s="231"/>
      <c r="D99" s="232">
        <f ca="1">TblConstr[[#This Row],[Plain]]</f>
        <v>40</v>
      </c>
      <c r="E99" s="190">
        <f ca="1">TblConstr[[#This Row],[Forest]]</f>
        <v>20</v>
      </c>
      <c r="F99" s="390">
        <f ca="1">TblConstr[[#This Row],[Mountain]]</f>
        <v>20</v>
      </c>
      <c r="G99" s="394">
        <f ca="1">TblConstr[[#This Row],[Hill]]</f>
        <v>20</v>
      </c>
      <c r="H99" s="398">
        <f ca="1">TblConstr[[#This Row],[Swamp]]</f>
        <v>20</v>
      </c>
      <c r="I99" s="193">
        <f ca="1">TblConstr[[#This Row],[Cavern]]</f>
        <v>20</v>
      </c>
      <c r="J99" s="194">
        <f ca="1">TblConstr[[#This Row],[Water]]</f>
        <v>20</v>
      </c>
      <c r="K99" s="226"/>
      <c r="L99" s="226"/>
      <c r="M99" s="239"/>
      <c r="N99" s="233">
        <f ca="1">TblMili[[#This Row],[Smithies]]</f>
        <v>0</v>
      </c>
      <c r="O99" s="233">
        <f ca="1">TblPop[[#This Row],[Employment]]</f>
        <v>1</v>
      </c>
      <c r="P99" s="233">
        <f ca="1">TblImps[[#This Row],[Population]]</f>
        <v>1</v>
      </c>
      <c r="Q99" s="183">
        <f ca="1">TblExplore[[#This Row],[Land]]</f>
        <v>250</v>
      </c>
      <c r="R99" s="183">
        <f>TblExplore[[#This Row],[Hour]]</f>
        <v>96</v>
      </c>
      <c r="S99" s="234"/>
      <c r="T99" s="166"/>
      <c r="U99" s="187"/>
      <c r="V99" s="187"/>
      <c r="W99" s="187"/>
      <c r="X99" s="187"/>
      <c r="Y99" s="187"/>
      <c r="Z99" s="187"/>
      <c r="AA99" s="167">
        <f ca="1">TblImps[[#This Row],[Real time]]</f>
        <v>44814.708333333103</v>
      </c>
      <c r="AB99" s="97">
        <f ca="1">TblMili[[#This Row],[Draftees]]</f>
        <v>626</v>
      </c>
      <c r="AC99" s="97">
        <f ca="1">TblProd[[#This Row],[Platinum]]</f>
        <v>622048</v>
      </c>
      <c r="AD99" s="231"/>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83">
        <f>TblRezone[[#This Row],[Hour]]</f>
        <v>97</v>
      </c>
      <c r="B100" s="230">
        <f ca="1">TblConstr[[#This Row],[Land]]</f>
        <v>250</v>
      </c>
      <c r="C100" s="231"/>
      <c r="D100" s="232">
        <f ca="1">TblConstr[[#This Row],[Plain]]</f>
        <v>40</v>
      </c>
      <c r="E100" s="190">
        <f ca="1">TblConstr[[#This Row],[Forest]]</f>
        <v>20</v>
      </c>
      <c r="F100" s="390">
        <f ca="1">TblConstr[[#This Row],[Mountain]]</f>
        <v>20</v>
      </c>
      <c r="G100" s="394">
        <f ca="1">TblConstr[[#This Row],[Hill]]</f>
        <v>20</v>
      </c>
      <c r="H100" s="398">
        <f ca="1">TblConstr[[#This Row],[Swamp]]</f>
        <v>20</v>
      </c>
      <c r="I100" s="193">
        <f ca="1">TblConstr[[#This Row],[Cavern]]</f>
        <v>20</v>
      </c>
      <c r="J100" s="194">
        <f ca="1">TblConstr[[#This Row],[Water]]</f>
        <v>20</v>
      </c>
      <c r="K100" s="226"/>
      <c r="L100" s="226"/>
      <c r="M100" s="239"/>
      <c r="N100" s="233">
        <f ca="1">TblMili[[#This Row],[Smithies]]</f>
        <v>0</v>
      </c>
      <c r="O100" s="233">
        <f ca="1">TblPop[[#This Row],[Employment]]</f>
        <v>1</v>
      </c>
      <c r="P100" s="233">
        <f ca="1">TblImps[[#This Row],[Population]]</f>
        <v>1</v>
      </c>
      <c r="Q100" s="183">
        <f ca="1">TblExplore[[#This Row],[Land]]</f>
        <v>250</v>
      </c>
      <c r="R100" s="183">
        <f>TblExplore[[#This Row],[Hour]]</f>
        <v>97</v>
      </c>
      <c r="S100" s="234"/>
      <c r="T100" s="187"/>
      <c r="U100" s="187"/>
      <c r="V100" s="187"/>
      <c r="W100" s="187"/>
      <c r="X100" s="187"/>
      <c r="Y100" s="187"/>
      <c r="Z100" s="187"/>
      <c r="AA100" s="167">
        <f ca="1">TblImps[[#This Row],[Real time]]</f>
        <v>44814.749999999767</v>
      </c>
      <c r="AB100" s="97">
        <f ca="1">TblMili[[#This Row],[Draftees]]</f>
        <v>626</v>
      </c>
      <c r="AC100" s="97">
        <f ca="1">TblProd[[#This Row],[Platinum]]</f>
        <v>627534</v>
      </c>
      <c r="AD100" s="231"/>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83">
        <f>TblRezone[[#This Row],[Hour]]</f>
        <v>98</v>
      </c>
      <c r="B101" s="230">
        <f ca="1">TblConstr[[#This Row],[Land]]</f>
        <v>250</v>
      </c>
      <c r="C101" s="231"/>
      <c r="D101" s="232">
        <f ca="1">TblConstr[[#This Row],[Plain]]</f>
        <v>40</v>
      </c>
      <c r="E101" s="190">
        <f ca="1">TblConstr[[#This Row],[Forest]]</f>
        <v>20</v>
      </c>
      <c r="F101" s="390">
        <f ca="1">TblConstr[[#This Row],[Mountain]]</f>
        <v>20</v>
      </c>
      <c r="G101" s="394">
        <f ca="1">TblConstr[[#This Row],[Hill]]</f>
        <v>20</v>
      </c>
      <c r="H101" s="398">
        <f ca="1">TblConstr[[#This Row],[Swamp]]</f>
        <v>20</v>
      </c>
      <c r="I101" s="193">
        <f ca="1">TblConstr[[#This Row],[Cavern]]</f>
        <v>20</v>
      </c>
      <c r="J101" s="194">
        <f ca="1">TblConstr[[#This Row],[Water]]</f>
        <v>20</v>
      </c>
      <c r="K101" s="226"/>
      <c r="L101" s="226"/>
      <c r="M101" s="235"/>
      <c r="N101" s="233">
        <f ca="1">TblMili[[#This Row],[Smithies]]</f>
        <v>0</v>
      </c>
      <c r="O101" s="233">
        <f ca="1">TblPop[[#This Row],[Employment]]</f>
        <v>1</v>
      </c>
      <c r="P101" s="233">
        <f ca="1">TblImps[[#This Row],[Population]]</f>
        <v>1</v>
      </c>
      <c r="Q101" s="183">
        <f ca="1">TblExplore[[#This Row],[Land]]</f>
        <v>250</v>
      </c>
      <c r="R101" s="183">
        <f>TblExplore[[#This Row],[Hour]]</f>
        <v>98</v>
      </c>
      <c r="S101" s="234"/>
      <c r="T101" s="166"/>
      <c r="U101" s="187"/>
      <c r="V101" s="187"/>
      <c r="W101" s="187"/>
      <c r="X101" s="187"/>
      <c r="Y101" s="187"/>
      <c r="Z101" s="187"/>
      <c r="AA101" s="167">
        <f ca="1">TblImps[[#This Row],[Real time]]</f>
        <v>44814.791666666431</v>
      </c>
      <c r="AB101" s="97">
        <f ca="1">TblMili[[#This Row],[Draftees]]</f>
        <v>626</v>
      </c>
      <c r="AC101" s="97">
        <f ca="1">TblProd[[#This Row],[Platinum]]</f>
        <v>633020</v>
      </c>
      <c r="AD101" s="231"/>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83">
        <f>TblRezone[[#This Row],[Hour]]</f>
        <v>99</v>
      </c>
      <c r="B102" s="230">
        <f ca="1">TblConstr[[#This Row],[Land]]</f>
        <v>250</v>
      </c>
      <c r="C102" s="231"/>
      <c r="D102" s="232">
        <f ca="1">TblConstr[[#This Row],[Plain]]</f>
        <v>40</v>
      </c>
      <c r="E102" s="190">
        <f ca="1">TblConstr[[#This Row],[Forest]]</f>
        <v>20</v>
      </c>
      <c r="F102" s="390">
        <f ca="1">TblConstr[[#This Row],[Mountain]]</f>
        <v>20</v>
      </c>
      <c r="G102" s="394">
        <f ca="1">TblConstr[[#This Row],[Hill]]</f>
        <v>20</v>
      </c>
      <c r="H102" s="398">
        <f ca="1">TblConstr[[#This Row],[Swamp]]</f>
        <v>20</v>
      </c>
      <c r="I102" s="193">
        <f ca="1">TblConstr[[#This Row],[Cavern]]</f>
        <v>20</v>
      </c>
      <c r="J102" s="194">
        <f ca="1">TblConstr[[#This Row],[Water]]</f>
        <v>20</v>
      </c>
      <c r="K102" s="226"/>
      <c r="L102" s="226"/>
      <c r="M102" s="239"/>
      <c r="N102" s="233">
        <f ca="1">TblMili[[#This Row],[Smithies]]</f>
        <v>0</v>
      </c>
      <c r="O102" s="233">
        <f ca="1">TblPop[[#This Row],[Employment]]</f>
        <v>1</v>
      </c>
      <c r="P102" s="233">
        <f ca="1">TblImps[[#This Row],[Population]]</f>
        <v>1</v>
      </c>
      <c r="Q102" s="183">
        <f ca="1">TblExplore[[#This Row],[Land]]</f>
        <v>250</v>
      </c>
      <c r="R102" s="183">
        <f>TblExplore[[#This Row],[Hour]]</f>
        <v>99</v>
      </c>
      <c r="S102" s="234"/>
      <c r="T102" s="166"/>
      <c r="U102" s="187"/>
      <c r="V102" s="187"/>
      <c r="W102" s="187"/>
      <c r="X102" s="187"/>
      <c r="Y102" s="187"/>
      <c r="Z102" s="187"/>
      <c r="AA102" s="167">
        <f ca="1">TblImps[[#This Row],[Real time]]</f>
        <v>44814.833333333096</v>
      </c>
      <c r="AB102" s="97">
        <f ca="1">TblMili[[#This Row],[Draftees]]</f>
        <v>626</v>
      </c>
      <c r="AC102" s="97">
        <f ca="1">TblProd[[#This Row],[Platinum]]</f>
        <v>638506</v>
      </c>
      <c r="AD102" s="231"/>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83">
        <f>TblRezone[[#This Row],[Hour]]</f>
        <v>100</v>
      </c>
      <c r="B103" s="230">
        <f ca="1">TblConstr[[#This Row],[Land]]</f>
        <v>250</v>
      </c>
      <c r="C103" s="231"/>
      <c r="D103" s="232">
        <f ca="1">TblConstr[[#This Row],[Plain]]</f>
        <v>40</v>
      </c>
      <c r="E103" s="190">
        <f ca="1">TblConstr[[#This Row],[Forest]]</f>
        <v>20</v>
      </c>
      <c r="F103" s="390">
        <f ca="1">TblConstr[[#This Row],[Mountain]]</f>
        <v>20</v>
      </c>
      <c r="G103" s="394">
        <f ca="1">TblConstr[[#This Row],[Hill]]</f>
        <v>20</v>
      </c>
      <c r="H103" s="398">
        <f ca="1">TblConstr[[#This Row],[Swamp]]</f>
        <v>20</v>
      </c>
      <c r="I103" s="193">
        <f ca="1">TblConstr[[#This Row],[Cavern]]</f>
        <v>20</v>
      </c>
      <c r="J103" s="194">
        <f ca="1">TblConstr[[#This Row],[Water]]</f>
        <v>20</v>
      </c>
      <c r="K103" s="226"/>
      <c r="L103" s="226"/>
      <c r="M103" s="239"/>
      <c r="N103" s="233">
        <f ca="1">TblMili[[#This Row],[Smithies]]</f>
        <v>0</v>
      </c>
      <c r="O103" s="233">
        <f ca="1">TblPop[[#This Row],[Employment]]</f>
        <v>1</v>
      </c>
      <c r="P103" s="233">
        <f ca="1">TblImps[[#This Row],[Population]]</f>
        <v>1</v>
      </c>
      <c r="Q103" s="183">
        <f ca="1">TblExplore[[#This Row],[Land]]</f>
        <v>250</v>
      </c>
      <c r="R103" s="183">
        <f>TblExplore[[#This Row],[Hour]]</f>
        <v>100</v>
      </c>
      <c r="S103" s="234"/>
      <c r="T103" s="166"/>
      <c r="U103" s="187"/>
      <c r="V103" s="187"/>
      <c r="W103" s="187"/>
      <c r="X103" s="187"/>
      <c r="Y103" s="187"/>
      <c r="Z103" s="187"/>
      <c r="AA103" s="167">
        <f ca="1">TblImps[[#This Row],[Real time]]</f>
        <v>44814.87499999976</v>
      </c>
      <c r="AB103" s="97">
        <f ca="1">TblMili[[#This Row],[Draftees]]</f>
        <v>626</v>
      </c>
      <c r="AC103" s="97">
        <f ca="1">TblProd[[#This Row],[Platinum]]</f>
        <v>643992</v>
      </c>
      <c r="AD103" s="231"/>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83">
        <f>TblRezone[[#This Row],[Hour]]</f>
        <v>101</v>
      </c>
      <c r="B104" s="230">
        <f ca="1">TblConstr[[#This Row],[Land]]</f>
        <v>250</v>
      </c>
      <c r="C104" s="231"/>
      <c r="D104" s="232">
        <f ca="1">TblConstr[[#This Row],[Plain]]</f>
        <v>40</v>
      </c>
      <c r="E104" s="190">
        <f ca="1">TblConstr[[#This Row],[Forest]]</f>
        <v>20</v>
      </c>
      <c r="F104" s="390">
        <f ca="1">TblConstr[[#This Row],[Mountain]]</f>
        <v>20</v>
      </c>
      <c r="G104" s="394">
        <f ca="1">TblConstr[[#This Row],[Hill]]</f>
        <v>20</v>
      </c>
      <c r="H104" s="398">
        <f ca="1">TblConstr[[#This Row],[Swamp]]</f>
        <v>20</v>
      </c>
      <c r="I104" s="193">
        <f ca="1">TblConstr[[#This Row],[Cavern]]</f>
        <v>20</v>
      </c>
      <c r="J104" s="194">
        <f ca="1">TblConstr[[#This Row],[Water]]</f>
        <v>20</v>
      </c>
      <c r="K104" s="226"/>
      <c r="L104" s="226"/>
      <c r="M104" s="239"/>
      <c r="N104" s="233">
        <f ca="1">TblMili[[#This Row],[Smithies]]</f>
        <v>0</v>
      </c>
      <c r="O104" s="233">
        <f ca="1">TblPop[[#This Row],[Employment]]</f>
        <v>1</v>
      </c>
      <c r="P104" s="233">
        <f ca="1">TblImps[[#This Row],[Population]]</f>
        <v>1</v>
      </c>
      <c r="Q104" s="183">
        <f ca="1">TblExplore[[#This Row],[Land]]</f>
        <v>250</v>
      </c>
      <c r="R104" s="183">
        <f>TblExplore[[#This Row],[Hour]]</f>
        <v>101</v>
      </c>
      <c r="S104" s="234"/>
      <c r="T104" s="166"/>
      <c r="U104" s="187"/>
      <c r="V104" s="187"/>
      <c r="W104" s="187"/>
      <c r="X104" s="187"/>
      <c r="Y104" s="187"/>
      <c r="Z104" s="187"/>
      <c r="AA104" s="167">
        <f ca="1">TblImps[[#This Row],[Real time]]</f>
        <v>44814.916666666424</v>
      </c>
      <c r="AB104" s="97">
        <f ca="1">TblMili[[#This Row],[Draftees]]</f>
        <v>626</v>
      </c>
      <c r="AC104" s="97">
        <f ca="1">TblProd[[#This Row],[Platinum]]</f>
        <v>649478</v>
      </c>
      <c r="AD104" s="231"/>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83">
        <f>TblRezone[[#This Row],[Hour]]</f>
        <v>102</v>
      </c>
      <c r="B105" s="230">
        <f ca="1">TblConstr[[#This Row],[Land]]</f>
        <v>250</v>
      </c>
      <c r="C105" s="231"/>
      <c r="D105" s="232">
        <f ca="1">TblConstr[[#This Row],[Plain]]</f>
        <v>40</v>
      </c>
      <c r="E105" s="190">
        <f ca="1">TblConstr[[#This Row],[Forest]]</f>
        <v>20</v>
      </c>
      <c r="F105" s="390">
        <f ca="1">TblConstr[[#This Row],[Mountain]]</f>
        <v>20</v>
      </c>
      <c r="G105" s="394">
        <f ca="1">TblConstr[[#This Row],[Hill]]</f>
        <v>20</v>
      </c>
      <c r="H105" s="398">
        <f ca="1">TblConstr[[#This Row],[Swamp]]</f>
        <v>20</v>
      </c>
      <c r="I105" s="193">
        <f ca="1">TblConstr[[#This Row],[Cavern]]</f>
        <v>20</v>
      </c>
      <c r="J105" s="194">
        <f ca="1">TblConstr[[#This Row],[Water]]</f>
        <v>20</v>
      </c>
      <c r="K105" s="226"/>
      <c r="L105" s="226"/>
      <c r="M105" s="226"/>
      <c r="N105" s="233">
        <f ca="1">TblMili[[#This Row],[Smithies]]</f>
        <v>0</v>
      </c>
      <c r="O105" s="233">
        <f ca="1">TblPop[[#This Row],[Employment]]</f>
        <v>1</v>
      </c>
      <c r="P105" s="233">
        <f ca="1">TblImps[[#This Row],[Population]]</f>
        <v>1</v>
      </c>
      <c r="Q105" s="183">
        <f ca="1">TblExplore[[#This Row],[Land]]</f>
        <v>250</v>
      </c>
      <c r="R105" s="183">
        <f>TblExplore[[#This Row],[Hour]]</f>
        <v>102</v>
      </c>
      <c r="S105" s="234"/>
      <c r="T105" s="187"/>
      <c r="U105" s="187"/>
      <c r="V105" s="187"/>
      <c r="W105" s="187"/>
      <c r="X105" s="187"/>
      <c r="Y105" s="187"/>
      <c r="Z105" s="187"/>
      <c r="AA105" s="167">
        <f ca="1">TblImps[[#This Row],[Real time]]</f>
        <v>44814.958333333088</v>
      </c>
      <c r="AB105" s="97">
        <f ca="1">TblMili[[#This Row],[Draftees]]</f>
        <v>626</v>
      </c>
      <c r="AC105" s="97">
        <f ca="1">TblProd[[#This Row],[Platinum]]</f>
        <v>654964</v>
      </c>
      <c r="AD105" s="231"/>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83">
        <f>TblRezone[[#This Row],[Hour]]</f>
        <v>103</v>
      </c>
      <c r="B106" s="230">
        <f ca="1">TblConstr[[#This Row],[Land]]</f>
        <v>250</v>
      </c>
      <c r="C106" s="231"/>
      <c r="D106" s="232">
        <f ca="1">TblConstr[[#This Row],[Plain]]</f>
        <v>40</v>
      </c>
      <c r="E106" s="190">
        <f ca="1">TblConstr[[#This Row],[Forest]]</f>
        <v>20</v>
      </c>
      <c r="F106" s="390">
        <f ca="1">TblConstr[[#This Row],[Mountain]]</f>
        <v>20</v>
      </c>
      <c r="G106" s="394">
        <f ca="1">TblConstr[[#This Row],[Hill]]</f>
        <v>20</v>
      </c>
      <c r="H106" s="398">
        <f ca="1">TblConstr[[#This Row],[Swamp]]</f>
        <v>20</v>
      </c>
      <c r="I106" s="193">
        <f ca="1">TblConstr[[#This Row],[Cavern]]</f>
        <v>20</v>
      </c>
      <c r="J106" s="194">
        <f ca="1">TblConstr[[#This Row],[Water]]</f>
        <v>20</v>
      </c>
      <c r="K106" s="226"/>
      <c r="L106" s="226"/>
      <c r="M106" s="243"/>
      <c r="N106" s="233">
        <f ca="1">TblMili[[#This Row],[Smithies]]</f>
        <v>0</v>
      </c>
      <c r="O106" s="233">
        <f ca="1">TblPop[[#This Row],[Employment]]</f>
        <v>1</v>
      </c>
      <c r="P106" s="233">
        <f ca="1">TblImps[[#This Row],[Population]]</f>
        <v>1</v>
      </c>
      <c r="Q106" s="183">
        <f ca="1">TblExplore[[#This Row],[Land]]</f>
        <v>250</v>
      </c>
      <c r="R106" s="183">
        <f>TblExplore[[#This Row],[Hour]]</f>
        <v>103</v>
      </c>
      <c r="S106" s="234"/>
      <c r="T106" s="187"/>
      <c r="U106" s="187"/>
      <c r="V106" s="187"/>
      <c r="W106" s="187"/>
      <c r="X106" s="187"/>
      <c r="Y106" s="187"/>
      <c r="Z106" s="187"/>
      <c r="AA106" s="167">
        <f ca="1">TblImps[[#This Row],[Real time]]</f>
        <v>44814.999999999753</v>
      </c>
      <c r="AB106" s="97">
        <f ca="1">TblMili[[#This Row],[Draftees]]</f>
        <v>626</v>
      </c>
      <c r="AC106" s="97">
        <f ca="1">TblProd[[#This Row],[Platinum]]</f>
        <v>660450</v>
      </c>
      <c r="AD106" s="231"/>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83">
        <f>TblRezone[[#This Row],[Hour]]</f>
        <v>104</v>
      </c>
      <c r="B107" s="230">
        <f ca="1">TblConstr[[#This Row],[Land]]</f>
        <v>250</v>
      </c>
      <c r="C107" s="231"/>
      <c r="D107" s="232">
        <f ca="1">TblConstr[[#This Row],[Plain]]</f>
        <v>40</v>
      </c>
      <c r="E107" s="190">
        <f ca="1">TblConstr[[#This Row],[Forest]]</f>
        <v>20</v>
      </c>
      <c r="F107" s="390">
        <f ca="1">TblConstr[[#This Row],[Mountain]]</f>
        <v>20</v>
      </c>
      <c r="G107" s="394">
        <f ca="1">TblConstr[[#This Row],[Hill]]</f>
        <v>20</v>
      </c>
      <c r="H107" s="398">
        <f ca="1">TblConstr[[#This Row],[Swamp]]</f>
        <v>20</v>
      </c>
      <c r="I107" s="193">
        <f ca="1">TblConstr[[#This Row],[Cavern]]</f>
        <v>20</v>
      </c>
      <c r="J107" s="194">
        <f ca="1">TblConstr[[#This Row],[Water]]</f>
        <v>20</v>
      </c>
      <c r="K107" s="226"/>
      <c r="L107" s="226"/>
      <c r="M107" s="243"/>
      <c r="N107" s="233">
        <f ca="1">TblMili[[#This Row],[Smithies]]</f>
        <v>0</v>
      </c>
      <c r="O107" s="233">
        <f ca="1">TblPop[[#This Row],[Employment]]</f>
        <v>1</v>
      </c>
      <c r="P107" s="233">
        <f ca="1">TblImps[[#This Row],[Population]]</f>
        <v>1</v>
      </c>
      <c r="Q107" s="183">
        <f ca="1">TblExplore[[#This Row],[Land]]</f>
        <v>250</v>
      </c>
      <c r="R107" s="183">
        <f>TblExplore[[#This Row],[Hour]]</f>
        <v>104</v>
      </c>
      <c r="S107" s="234"/>
      <c r="T107" s="187"/>
      <c r="U107" s="187"/>
      <c r="V107" s="187"/>
      <c r="W107" s="187"/>
      <c r="X107" s="187"/>
      <c r="Y107" s="187"/>
      <c r="Z107" s="187"/>
      <c r="AA107" s="167">
        <f ca="1">TblImps[[#This Row],[Real time]]</f>
        <v>44815.041666666417</v>
      </c>
      <c r="AB107" s="97">
        <f ca="1">TblMili[[#This Row],[Draftees]]</f>
        <v>626</v>
      </c>
      <c r="AC107" s="97">
        <f ca="1">TblProd[[#This Row],[Platinum]]</f>
        <v>665936</v>
      </c>
      <c r="AD107" s="231"/>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83">
        <f>TblRezone[[#This Row],[Hour]]</f>
        <v>105</v>
      </c>
      <c r="B108" s="230">
        <f ca="1">TblConstr[[#This Row],[Land]]</f>
        <v>250</v>
      </c>
      <c r="C108" s="231"/>
      <c r="D108" s="232">
        <f ca="1">TblConstr[[#This Row],[Plain]]</f>
        <v>40</v>
      </c>
      <c r="E108" s="190">
        <f ca="1">TblConstr[[#This Row],[Forest]]</f>
        <v>20</v>
      </c>
      <c r="F108" s="390">
        <f ca="1">TblConstr[[#This Row],[Mountain]]</f>
        <v>20</v>
      </c>
      <c r="G108" s="394">
        <f ca="1">TblConstr[[#This Row],[Hill]]</f>
        <v>20</v>
      </c>
      <c r="H108" s="398">
        <f ca="1">TblConstr[[#This Row],[Swamp]]</f>
        <v>20</v>
      </c>
      <c r="I108" s="193">
        <f ca="1">TblConstr[[#This Row],[Cavern]]</f>
        <v>20</v>
      </c>
      <c r="J108" s="194">
        <f ca="1">TblConstr[[#This Row],[Water]]</f>
        <v>20</v>
      </c>
      <c r="K108" s="226"/>
      <c r="L108" s="226"/>
      <c r="M108" s="226"/>
      <c r="N108" s="233">
        <f ca="1">TblMili[[#This Row],[Smithies]]</f>
        <v>0</v>
      </c>
      <c r="O108" s="233">
        <f ca="1">TblPop[[#This Row],[Employment]]</f>
        <v>1</v>
      </c>
      <c r="P108" s="233">
        <f ca="1">TblImps[[#This Row],[Population]]</f>
        <v>1</v>
      </c>
      <c r="Q108" s="183">
        <f ca="1">TblExplore[[#This Row],[Land]]</f>
        <v>250</v>
      </c>
      <c r="R108" s="183">
        <f>TblExplore[[#This Row],[Hour]]</f>
        <v>105</v>
      </c>
      <c r="S108" s="234"/>
      <c r="T108" s="187"/>
      <c r="U108" s="187"/>
      <c r="V108" s="187"/>
      <c r="W108" s="187"/>
      <c r="X108" s="187"/>
      <c r="Y108" s="187"/>
      <c r="Z108" s="187"/>
      <c r="AA108" s="167">
        <f ca="1">TblImps[[#This Row],[Real time]]</f>
        <v>44815.083333333081</v>
      </c>
      <c r="AB108" s="97">
        <f ca="1">TblMili[[#This Row],[Draftees]]</f>
        <v>626</v>
      </c>
      <c r="AC108" s="97">
        <f ca="1">TblProd[[#This Row],[Platinum]]</f>
        <v>671422</v>
      </c>
      <c r="AD108" s="231"/>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83">
        <f>TblRezone[[#This Row],[Hour]]</f>
        <v>106</v>
      </c>
      <c r="B109" s="230">
        <f ca="1">TblConstr[[#This Row],[Land]]</f>
        <v>250</v>
      </c>
      <c r="C109" s="231"/>
      <c r="D109" s="232">
        <f ca="1">TblConstr[[#This Row],[Plain]]</f>
        <v>40</v>
      </c>
      <c r="E109" s="190">
        <f ca="1">TblConstr[[#This Row],[Forest]]</f>
        <v>20</v>
      </c>
      <c r="F109" s="390">
        <f ca="1">TblConstr[[#This Row],[Mountain]]</f>
        <v>20</v>
      </c>
      <c r="G109" s="394">
        <f ca="1">TblConstr[[#This Row],[Hill]]</f>
        <v>20</v>
      </c>
      <c r="H109" s="398">
        <f ca="1">TblConstr[[#This Row],[Swamp]]</f>
        <v>20</v>
      </c>
      <c r="I109" s="193">
        <f ca="1">TblConstr[[#This Row],[Cavern]]</f>
        <v>20</v>
      </c>
      <c r="J109" s="194">
        <f ca="1">TblConstr[[#This Row],[Water]]</f>
        <v>20</v>
      </c>
      <c r="K109" s="226"/>
      <c r="L109" s="226"/>
      <c r="M109" s="226"/>
      <c r="N109" s="233">
        <f ca="1">TblMili[[#This Row],[Smithies]]</f>
        <v>0</v>
      </c>
      <c r="O109" s="233">
        <f ca="1">TblPop[[#This Row],[Employment]]</f>
        <v>1</v>
      </c>
      <c r="P109" s="233">
        <f ca="1">TblImps[[#This Row],[Population]]</f>
        <v>1</v>
      </c>
      <c r="Q109" s="183">
        <f ca="1">TblExplore[[#This Row],[Land]]</f>
        <v>250</v>
      </c>
      <c r="R109" s="183">
        <f>TblExplore[[#This Row],[Hour]]</f>
        <v>106</v>
      </c>
      <c r="S109" s="234"/>
      <c r="T109" s="187"/>
      <c r="U109" s="187"/>
      <c r="V109" s="187"/>
      <c r="W109" s="187"/>
      <c r="X109" s="187"/>
      <c r="Y109" s="187"/>
      <c r="Z109" s="187"/>
      <c r="AA109" s="167">
        <f ca="1">TblImps[[#This Row],[Real time]]</f>
        <v>44815.124999999745</v>
      </c>
      <c r="AB109" s="97">
        <f ca="1">TblMili[[#This Row],[Draftees]]</f>
        <v>626</v>
      </c>
      <c r="AC109" s="97">
        <f ca="1">TblProd[[#This Row],[Platinum]]</f>
        <v>676908</v>
      </c>
      <c r="AD109" s="231"/>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83">
        <f>TblRezone[[#This Row],[Hour]]</f>
        <v>107</v>
      </c>
      <c r="B110" s="230">
        <f ca="1">TblConstr[[#This Row],[Land]]</f>
        <v>250</v>
      </c>
      <c r="C110" s="231"/>
      <c r="D110" s="232">
        <f ca="1">TblConstr[[#This Row],[Plain]]</f>
        <v>40</v>
      </c>
      <c r="E110" s="190">
        <f ca="1">TblConstr[[#This Row],[Forest]]</f>
        <v>20</v>
      </c>
      <c r="F110" s="390">
        <f ca="1">TblConstr[[#This Row],[Mountain]]</f>
        <v>20</v>
      </c>
      <c r="G110" s="394">
        <f ca="1">TblConstr[[#This Row],[Hill]]</f>
        <v>20</v>
      </c>
      <c r="H110" s="398">
        <f ca="1">TblConstr[[#This Row],[Swamp]]</f>
        <v>20</v>
      </c>
      <c r="I110" s="193">
        <f ca="1">TblConstr[[#This Row],[Cavern]]</f>
        <v>20</v>
      </c>
      <c r="J110" s="194">
        <f ca="1">TblConstr[[#This Row],[Water]]</f>
        <v>20</v>
      </c>
      <c r="K110" s="226"/>
      <c r="L110" s="226"/>
      <c r="M110" s="226"/>
      <c r="N110" s="233">
        <f ca="1">TblMili[[#This Row],[Smithies]]</f>
        <v>0</v>
      </c>
      <c r="O110" s="233">
        <f ca="1">TblPop[[#This Row],[Employment]]</f>
        <v>1</v>
      </c>
      <c r="P110" s="233">
        <f ca="1">TblImps[[#This Row],[Population]]</f>
        <v>1</v>
      </c>
      <c r="Q110" s="183">
        <f ca="1">TblExplore[[#This Row],[Land]]</f>
        <v>250</v>
      </c>
      <c r="R110" s="183">
        <f>TblExplore[[#This Row],[Hour]]</f>
        <v>107</v>
      </c>
      <c r="S110" s="234"/>
      <c r="T110" s="166"/>
      <c r="U110" s="187"/>
      <c r="V110" s="187"/>
      <c r="W110" s="187"/>
      <c r="X110" s="187"/>
      <c r="Y110" s="187"/>
      <c r="Z110" s="187"/>
      <c r="AA110" s="167">
        <f ca="1">TblImps[[#This Row],[Real time]]</f>
        <v>44815.16666666641</v>
      </c>
      <c r="AB110" s="97">
        <f ca="1">TblMili[[#This Row],[Draftees]]</f>
        <v>626</v>
      </c>
      <c r="AC110" s="97">
        <f ca="1">TblProd[[#This Row],[Platinum]]</f>
        <v>682394</v>
      </c>
      <c r="AD110" s="231"/>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83">
        <f>TblRezone[[#This Row],[Hour]]</f>
        <v>108</v>
      </c>
      <c r="B111" s="230">
        <f ca="1">TblConstr[[#This Row],[Land]]</f>
        <v>250</v>
      </c>
      <c r="C111" s="231"/>
      <c r="D111" s="232">
        <f ca="1">TblConstr[[#This Row],[Plain]]</f>
        <v>40</v>
      </c>
      <c r="E111" s="190">
        <f ca="1">TblConstr[[#This Row],[Forest]]</f>
        <v>20</v>
      </c>
      <c r="F111" s="390">
        <f ca="1">TblConstr[[#This Row],[Mountain]]</f>
        <v>20</v>
      </c>
      <c r="G111" s="394">
        <f ca="1">TblConstr[[#This Row],[Hill]]</f>
        <v>20</v>
      </c>
      <c r="H111" s="398">
        <f ca="1">TblConstr[[#This Row],[Swamp]]</f>
        <v>20</v>
      </c>
      <c r="I111" s="193">
        <f ca="1">TblConstr[[#This Row],[Cavern]]</f>
        <v>20</v>
      </c>
      <c r="J111" s="194">
        <f ca="1">TblConstr[[#This Row],[Water]]</f>
        <v>20</v>
      </c>
      <c r="K111" s="226"/>
      <c r="L111" s="226"/>
      <c r="M111" s="226"/>
      <c r="N111" s="233">
        <f ca="1">TblMili[[#This Row],[Smithies]]</f>
        <v>0</v>
      </c>
      <c r="O111" s="233">
        <f ca="1">TblPop[[#This Row],[Employment]]</f>
        <v>1</v>
      </c>
      <c r="P111" s="233">
        <f ca="1">TblImps[[#This Row],[Population]]</f>
        <v>1</v>
      </c>
      <c r="Q111" s="183">
        <f ca="1">TblExplore[[#This Row],[Land]]</f>
        <v>250</v>
      </c>
      <c r="R111" s="183">
        <f>TblExplore[[#This Row],[Hour]]</f>
        <v>108</v>
      </c>
      <c r="S111" s="234"/>
      <c r="T111" s="187"/>
      <c r="U111" s="187"/>
      <c r="V111" s="187"/>
      <c r="W111" s="187"/>
      <c r="X111" s="187"/>
      <c r="Y111" s="187"/>
      <c r="Z111" s="187"/>
      <c r="AA111" s="167">
        <f ca="1">TblImps[[#This Row],[Real time]]</f>
        <v>44815.208333333074</v>
      </c>
      <c r="AB111" s="97">
        <f ca="1">TblMili[[#This Row],[Draftees]]</f>
        <v>626</v>
      </c>
      <c r="AC111" s="97">
        <f ca="1">TblProd[[#This Row],[Platinum]]</f>
        <v>687880</v>
      </c>
      <c r="AD111" s="231"/>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83">
        <f>TblRezone[[#This Row],[Hour]]</f>
        <v>109</v>
      </c>
      <c r="B112" s="230">
        <f ca="1">TblConstr[[#This Row],[Land]]</f>
        <v>250</v>
      </c>
      <c r="C112" s="231"/>
      <c r="D112" s="232">
        <f ca="1">TblConstr[[#This Row],[Plain]]</f>
        <v>40</v>
      </c>
      <c r="E112" s="190">
        <f ca="1">TblConstr[[#This Row],[Forest]]</f>
        <v>20</v>
      </c>
      <c r="F112" s="390">
        <f ca="1">TblConstr[[#This Row],[Mountain]]</f>
        <v>20</v>
      </c>
      <c r="G112" s="394">
        <f ca="1">TblConstr[[#This Row],[Hill]]</f>
        <v>20</v>
      </c>
      <c r="H112" s="398">
        <f ca="1">TblConstr[[#This Row],[Swamp]]</f>
        <v>20</v>
      </c>
      <c r="I112" s="193">
        <f ca="1">TblConstr[[#This Row],[Cavern]]</f>
        <v>20</v>
      </c>
      <c r="J112" s="194">
        <f ca="1">TblConstr[[#This Row],[Water]]</f>
        <v>20</v>
      </c>
      <c r="K112" s="226"/>
      <c r="L112" s="226"/>
      <c r="M112" s="226"/>
      <c r="N112" s="233">
        <f ca="1">TblMili[[#This Row],[Smithies]]</f>
        <v>0</v>
      </c>
      <c r="O112" s="233">
        <f ca="1">TblPop[[#This Row],[Employment]]</f>
        <v>1</v>
      </c>
      <c r="P112" s="233">
        <f ca="1">TblImps[[#This Row],[Population]]</f>
        <v>1</v>
      </c>
      <c r="Q112" s="183">
        <f ca="1">TblExplore[[#This Row],[Land]]</f>
        <v>250</v>
      </c>
      <c r="R112" s="183">
        <f>TblExplore[[#This Row],[Hour]]</f>
        <v>109</v>
      </c>
      <c r="S112" s="234"/>
      <c r="T112" s="187"/>
      <c r="U112" s="187"/>
      <c r="V112" s="187"/>
      <c r="W112" s="187"/>
      <c r="X112" s="187"/>
      <c r="Y112" s="187"/>
      <c r="Z112" s="187"/>
      <c r="AA112" s="167">
        <f ca="1">TblImps[[#This Row],[Real time]]</f>
        <v>44815.249999999738</v>
      </c>
      <c r="AB112" s="97">
        <f ca="1">TblMili[[#This Row],[Draftees]]</f>
        <v>626</v>
      </c>
      <c r="AC112" s="97">
        <f ca="1">TblProd[[#This Row],[Platinum]]</f>
        <v>693366</v>
      </c>
      <c r="AD112" s="231"/>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83">
        <f>TblRezone[[#This Row],[Hour]]</f>
        <v>110</v>
      </c>
      <c r="B113" s="230">
        <f ca="1">TblConstr[[#This Row],[Land]]</f>
        <v>250</v>
      </c>
      <c r="C113" s="231"/>
      <c r="D113" s="232">
        <f ca="1">TblConstr[[#This Row],[Plain]]</f>
        <v>40</v>
      </c>
      <c r="E113" s="190">
        <f ca="1">TblConstr[[#This Row],[Forest]]</f>
        <v>20</v>
      </c>
      <c r="F113" s="390">
        <f ca="1">TblConstr[[#This Row],[Mountain]]</f>
        <v>20</v>
      </c>
      <c r="G113" s="394">
        <f ca="1">TblConstr[[#This Row],[Hill]]</f>
        <v>20</v>
      </c>
      <c r="H113" s="398">
        <f ca="1">TblConstr[[#This Row],[Swamp]]</f>
        <v>20</v>
      </c>
      <c r="I113" s="193">
        <f ca="1">TblConstr[[#This Row],[Cavern]]</f>
        <v>20</v>
      </c>
      <c r="J113" s="194">
        <f ca="1">TblConstr[[#This Row],[Water]]</f>
        <v>20</v>
      </c>
      <c r="K113" s="226"/>
      <c r="L113" s="226"/>
      <c r="M113" s="226"/>
      <c r="N113" s="233">
        <f ca="1">TblMili[[#This Row],[Smithies]]</f>
        <v>0</v>
      </c>
      <c r="O113" s="233">
        <f ca="1">TblPop[[#This Row],[Employment]]</f>
        <v>1</v>
      </c>
      <c r="P113" s="233">
        <f ca="1">TblImps[[#This Row],[Population]]</f>
        <v>1</v>
      </c>
      <c r="Q113" s="183">
        <f ca="1">TblExplore[[#This Row],[Land]]</f>
        <v>250</v>
      </c>
      <c r="R113" s="183">
        <f>TblExplore[[#This Row],[Hour]]</f>
        <v>110</v>
      </c>
      <c r="S113" s="234"/>
      <c r="T113" s="187"/>
      <c r="U113" s="187"/>
      <c r="V113" s="187"/>
      <c r="W113" s="187"/>
      <c r="X113" s="187"/>
      <c r="Y113" s="187"/>
      <c r="Z113" s="187"/>
      <c r="AA113" s="167">
        <f ca="1">TblImps[[#This Row],[Real time]]</f>
        <v>44815.291666666402</v>
      </c>
      <c r="AB113" s="97">
        <f ca="1">TblMili[[#This Row],[Draftees]]</f>
        <v>626</v>
      </c>
      <c r="AC113" s="97">
        <f ca="1">TblProd[[#This Row],[Platinum]]</f>
        <v>698852</v>
      </c>
      <c r="AD113" s="231"/>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83">
        <f>TblRezone[[#This Row],[Hour]]</f>
        <v>111</v>
      </c>
      <c r="B114" s="230">
        <f ca="1">TblConstr[[#This Row],[Land]]</f>
        <v>250</v>
      </c>
      <c r="C114" s="231"/>
      <c r="D114" s="232">
        <f ca="1">TblConstr[[#This Row],[Plain]]</f>
        <v>40</v>
      </c>
      <c r="E114" s="190">
        <f ca="1">TblConstr[[#This Row],[Forest]]</f>
        <v>20</v>
      </c>
      <c r="F114" s="390">
        <f ca="1">TblConstr[[#This Row],[Mountain]]</f>
        <v>20</v>
      </c>
      <c r="G114" s="394">
        <f ca="1">TblConstr[[#This Row],[Hill]]</f>
        <v>20</v>
      </c>
      <c r="H114" s="398">
        <f ca="1">TblConstr[[#This Row],[Swamp]]</f>
        <v>20</v>
      </c>
      <c r="I114" s="193">
        <f ca="1">TblConstr[[#This Row],[Cavern]]</f>
        <v>20</v>
      </c>
      <c r="J114" s="194">
        <f ca="1">TblConstr[[#This Row],[Water]]</f>
        <v>20</v>
      </c>
      <c r="K114" s="226"/>
      <c r="L114" s="226"/>
      <c r="M114" s="226"/>
      <c r="N114" s="233">
        <f ca="1">TblMili[[#This Row],[Smithies]]</f>
        <v>0</v>
      </c>
      <c r="O114" s="233">
        <f ca="1">TblPop[[#This Row],[Employment]]</f>
        <v>1</v>
      </c>
      <c r="P114" s="233">
        <f ca="1">TblImps[[#This Row],[Population]]</f>
        <v>1</v>
      </c>
      <c r="Q114" s="183">
        <f ca="1">TblExplore[[#This Row],[Land]]</f>
        <v>250</v>
      </c>
      <c r="R114" s="183">
        <f>TblExplore[[#This Row],[Hour]]</f>
        <v>111</v>
      </c>
      <c r="S114" s="234"/>
      <c r="T114" s="187"/>
      <c r="U114" s="187"/>
      <c r="V114" s="187"/>
      <c r="W114" s="187"/>
      <c r="X114" s="187"/>
      <c r="Y114" s="187"/>
      <c r="Z114" s="187"/>
      <c r="AA114" s="167">
        <f ca="1">TblImps[[#This Row],[Real time]]</f>
        <v>44815.333333333067</v>
      </c>
      <c r="AB114" s="97">
        <f ca="1">TblMili[[#This Row],[Draftees]]</f>
        <v>626</v>
      </c>
      <c r="AC114" s="97">
        <f ca="1">TblProd[[#This Row],[Platinum]]</f>
        <v>704338</v>
      </c>
      <c r="AD114" s="231"/>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83">
        <f>TblRezone[[#This Row],[Hour]]</f>
        <v>112</v>
      </c>
      <c r="B115" s="230">
        <f ca="1">TblConstr[[#This Row],[Land]]</f>
        <v>250</v>
      </c>
      <c r="C115" s="231"/>
      <c r="D115" s="232">
        <f ca="1">TblConstr[[#This Row],[Plain]]</f>
        <v>40</v>
      </c>
      <c r="E115" s="190">
        <f ca="1">TblConstr[[#This Row],[Forest]]</f>
        <v>20</v>
      </c>
      <c r="F115" s="390">
        <f ca="1">TblConstr[[#This Row],[Mountain]]</f>
        <v>20</v>
      </c>
      <c r="G115" s="394">
        <f ca="1">TblConstr[[#This Row],[Hill]]</f>
        <v>20</v>
      </c>
      <c r="H115" s="398">
        <f ca="1">TblConstr[[#This Row],[Swamp]]</f>
        <v>20</v>
      </c>
      <c r="I115" s="193">
        <f ca="1">TblConstr[[#This Row],[Cavern]]</f>
        <v>20</v>
      </c>
      <c r="J115" s="194">
        <f ca="1">TblConstr[[#This Row],[Water]]</f>
        <v>20</v>
      </c>
      <c r="K115" s="226"/>
      <c r="L115" s="226"/>
      <c r="M115" s="226"/>
      <c r="N115" s="233">
        <f ca="1">TblMili[[#This Row],[Smithies]]</f>
        <v>0</v>
      </c>
      <c r="O115" s="233">
        <f ca="1">TblPop[[#This Row],[Employment]]</f>
        <v>1</v>
      </c>
      <c r="P115" s="233">
        <f ca="1">TblImps[[#This Row],[Population]]</f>
        <v>1</v>
      </c>
      <c r="Q115" s="183">
        <f ca="1">TblExplore[[#This Row],[Land]]</f>
        <v>250</v>
      </c>
      <c r="R115" s="183">
        <f>TblExplore[[#This Row],[Hour]]</f>
        <v>112</v>
      </c>
      <c r="S115" s="234"/>
      <c r="T115" s="187"/>
      <c r="U115" s="187"/>
      <c r="V115" s="187"/>
      <c r="W115" s="187"/>
      <c r="X115" s="187"/>
      <c r="Y115" s="187"/>
      <c r="Z115" s="187"/>
      <c r="AA115" s="167">
        <f ca="1">TblImps[[#This Row],[Real time]]</f>
        <v>44815.374999999731</v>
      </c>
      <c r="AB115" s="97">
        <f ca="1">TblMili[[#This Row],[Draftees]]</f>
        <v>626</v>
      </c>
      <c r="AC115" s="97">
        <f ca="1">TblProd[[#This Row],[Platinum]]</f>
        <v>709824</v>
      </c>
      <c r="AD115" s="231"/>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83">
        <f>TblRezone[[#This Row],[Hour]]</f>
        <v>113</v>
      </c>
      <c r="B116" s="230">
        <f ca="1">TblConstr[[#This Row],[Land]]</f>
        <v>250</v>
      </c>
      <c r="C116" s="231"/>
      <c r="D116" s="232">
        <f ca="1">TblConstr[[#This Row],[Plain]]</f>
        <v>40</v>
      </c>
      <c r="E116" s="190">
        <f ca="1">TblConstr[[#This Row],[Forest]]</f>
        <v>20</v>
      </c>
      <c r="F116" s="390">
        <f ca="1">TblConstr[[#This Row],[Mountain]]</f>
        <v>20</v>
      </c>
      <c r="G116" s="394">
        <f ca="1">TblConstr[[#This Row],[Hill]]</f>
        <v>20</v>
      </c>
      <c r="H116" s="398">
        <f ca="1">TblConstr[[#This Row],[Swamp]]</f>
        <v>20</v>
      </c>
      <c r="I116" s="193">
        <f ca="1">TblConstr[[#This Row],[Cavern]]</f>
        <v>20</v>
      </c>
      <c r="J116" s="194">
        <f ca="1">TblConstr[[#This Row],[Water]]</f>
        <v>20</v>
      </c>
      <c r="K116" s="226"/>
      <c r="L116" s="226"/>
      <c r="M116" s="226"/>
      <c r="N116" s="233">
        <f ca="1">TblMili[[#This Row],[Smithies]]</f>
        <v>0</v>
      </c>
      <c r="O116" s="233">
        <f ca="1">TblPop[[#This Row],[Employment]]</f>
        <v>1</v>
      </c>
      <c r="P116" s="233">
        <f ca="1">TblImps[[#This Row],[Population]]</f>
        <v>1</v>
      </c>
      <c r="Q116" s="183">
        <f ca="1">TblExplore[[#This Row],[Land]]</f>
        <v>250</v>
      </c>
      <c r="R116" s="183">
        <f>TblExplore[[#This Row],[Hour]]</f>
        <v>113</v>
      </c>
      <c r="S116" s="234"/>
      <c r="T116" s="187"/>
      <c r="U116" s="187"/>
      <c r="V116" s="187"/>
      <c r="W116" s="187"/>
      <c r="X116" s="187"/>
      <c r="Y116" s="187"/>
      <c r="Z116" s="187"/>
      <c r="AA116" s="167">
        <f ca="1">TblImps[[#This Row],[Real time]]</f>
        <v>44815.416666666395</v>
      </c>
      <c r="AB116" s="97">
        <f ca="1">TblMili[[#This Row],[Draftees]]</f>
        <v>626</v>
      </c>
      <c r="AC116" s="97">
        <f ca="1">TblProd[[#This Row],[Platinum]]</f>
        <v>715310</v>
      </c>
      <c r="AD116" s="231"/>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83">
        <f>TblRezone[[#This Row],[Hour]]</f>
        <v>114</v>
      </c>
      <c r="B117" s="230">
        <f ca="1">TblConstr[[#This Row],[Land]]</f>
        <v>250</v>
      </c>
      <c r="C117" s="231"/>
      <c r="D117" s="232">
        <f ca="1">TblConstr[[#This Row],[Plain]]</f>
        <v>40</v>
      </c>
      <c r="E117" s="190">
        <f ca="1">TblConstr[[#This Row],[Forest]]</f>
        <v>20</v>
      </c>
      <c r="F117" s="390">
        <f ca="1">TblConstr[[#This Row],[Mountain]]</f>
        <v>20</v>
      </c>
      <c r="G117" s="394">
        <f ca="1">TblConstr[[#This Row],[Hill]]</f>
        <v>20</v>
      </c>
      <c r="H117" s="398">
        <f ca="1">TblConstr[[#This Row],[Swamp]]</f>
        <v>20</v>
      </c>
      <c r="I117" s="193">
        <f ca="1">TblConstr[[#This Row],[Cavern]]</f>
        <v>20</v>
      </c>
      <c r="J117" s="194">
        <f ca="1">TblConstr[[#This Row],[Water]]</f>
        <v>20</v>
      </c>
      <c r="K117" s="226"/>
      <c r="L117" s="226"/>
      <c r="M117" s="226"/>
      <c r="N117" s="233">
        <f ca="1">TblMili[[#This Row],[Smithies]]</f>
        <v>0</v>
      </c>
      <c r="O117" s="233">
        <f ca="1">TblPop[[#This Row],[Employment]]</f>
        <v>1</v>
      </c>
      <c r="P117" s="233">
        <f ca="1">TblImps[[#This Row],[Population]]</f>
        <v>1</v>
      </c>
      <c r="Q117" s="183">
        <f ca="1">TblExplore[[#This Row],[Land]]</f>
        <v>250</v>
      </c>
      <c r="R117" s="183">
        <f>TblExplore[[#This Row],[Hour]]</f>
        <v>114</v>
      </c>
      <c r="S117" s="234"/>
      <c r="T117" s="187"/>
      <c r="U117" s="187"/>
      <c r="V117" s="187"/>
      <c r="W117" s="187"/>
      <c r="X117" s="187"/>
      <c r="Y117" s="187"/>
      <c r="Z117" s="187"/>
      <c r="AA117" s="167">
        <f ca="1">TblImps[[#This Row],[Real time]]</f>
        <v>44815.458333333059</v>
      </c>
      <c r="AB117" s="97">
        <f ca="1">TblMili[[#This Row],[Draftees]]</f>
        <v>626</v>
      </c>
      <c r="AC117" s="97">
        <f ca="1">TblProd[[#This Row],[Platinum]]</f>
        <v>720796</v>
      </c>
      <c r="AD117" s="231"/>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83">
        <f>TblRezone[[#This Row],[Hour]]</f>
        <v>115</v>
      </c>
      <c r="B118" s="230">
        <f ca="1">TblConstr[[#This Row],[Land]]</f>
        <v>250</v>
      </c>
      <c r="C118" s="231"/>
      <c r="D118" s="232">
        <f ca="1">TblConstr[[#This Row],[Plain]]</f>
        <v>40</v>
      </c>
      <c r="E118" s="190">
        <f ca="1">TblConstr[[#This Row],[Forest]]</f>
        <v>20</v>
      </c>
      <c r="F118" s="390">
        <f ca="1">TblConstr[[#This Row],[Mountain]]</f>
        <v>20</v>
      </c>
      <c r="G118" s="394">
        <f ca="1">TblConstr[[#This Row],[Hill]]</f>
        <v>20</v>
      </c>
      <c r="H118" s="398">
        <f ca="1">TblConstr[[#This Row],[Swamp]]</f>
        <v>20</v>
      </c>
      <c r="I118" s="193">
        <f ca="1">TblConstr[[#This Row],[Cavern]]</f>
        <v>20</v>
      </c>
      <c r="J118" s="194">
        <f ca="1">TblConstr[[#This Row],[Water]]</f>
        <v>20</v>
      </c>
      <c r="K118" s="226"/>
      <c r="L118" s="226"/>
      <c r="M118" s="226"/>
      <c r="N118" s="233">
        <f ca="1">TblMili[[#This Row],[Smithies]]</f>
        <v>0</v>
      </c>
      <c r="O118" s="233">
        <f ca="1">TblPop[[#This Row],[Employment]]</f>
        <v>1</v>
      </c>
      <c r="P118" s="233">
        <f ca="1">TblImps[[#This Row],[Population]]</f>
        <v>1</v>
      </c>
      <c r="Q118" s="183">
        <f ca="1">TblExplore[[#This Row],[Land]]</f>
        <v>250</v>
      </c>
      <c r="R118" s="183">
        <f>TblExplore[[#This Row],[Hour]]</f>
        <v>115</v>
      </c>
      <c r="S118" s="234"/>
      <c r="T118" s="187"/>
      <c r="U118" s="187"/>
      <c r="V118" s="187"/>
      <c r="W118" s="187"/>
      <c r="X118" s="187"/>
      <c r="Y118" s="187"/>
      <c r="Z118" s="187"/>
      <c r="AA118" s="167">
        <f ca="1">TblImps[[#This Row],[Real time]]</f>
        <v>44815.499999999724</v>
      </c>
      <c r="AB118" s="97">
        <f ca="1">TblMili[[#This Row],[Draftees]]</f>
        <v>626</v>
      </c>
      <c r="AC118" s="97">
        <f ca="1">TblProd[[#This Row],[Platinum]]</f>
        <v>726282</v>
      </c>
      <c r="AD118" s="231"/>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83">
        <f>TblRezone[[#This Row],[Hour]]</f>
        <v>116</v>
      </c>
      <c r="B119" s="230">
        <f ca="1">TblConstr[[#This Row],[Land]]</f>
        <v>250</v>
      </c>
      <c r="C119" s="231"/>
      <c r="D119" s="232">
        <f ca="1">TblConstr[[#This Row],[Plain]]</f>
        <v>40</v>
      </c>
      <c r="E119" s="190">
        <f ca="1">TblConstr[[#This Row],[Forest]]</f>
        <v>20</v>
      </c>
      <c r="F119" s="390">
        <f ca="1">TblConstr[[#This Row],[Mountain]]</f>
        <v>20</v>
      </c>
      <c r="G119" s="394">
        <f ca="1">TblConstr[[#This Row],[Hill]]</f>
        <v>20</v>
      </c>
      <c r="H119" s="398">
        <f ca="1">TblConstr[[#This Row],[Swamp]]</f>
        <v>20</v>
      </c>
      <c r="I119" s="193">
        <f ca="1">TblConstr[[#This Row],[Cavern]]</f>
        <v>20</v>
      </c>
      <c r="J119" s="194">
        <f ca="1">TblConstr[[#This Row],[Water]]</f>
        <v>20</v>
      </c>
      <c r="K119" s="226"/>
      <c r="L119" s="226"/>
      <c r="M119" s="226"/>
      <c r="N119" s="233">
        <f ca="1">TblMili[[#This Row],[Smithies]]</f>
        <v>0</v>
      </c>
      <c r="O119" s="233">
        <f ca="1">TblPop[[#This Row],[Employment]]</f>
        <v>1</v>
      </c>
      <c r="P119" s="233">
        <f ca="1">TblImps[[#This Row],[Population]]</f>
        <v>1</v>
      </c>
      <c r="Q119" s="183">
        <f ca="1">TblExplore[[#This Row],[Land]]</f>
        <v>250</v>
      </c>
      <c r="R119" s="183">
        <f>TblExplore[[#This Row],[Hour]]</f>
        <v>116</v>
      </c>
      <c r="S119" s="234"/>
      <c r="T119" s="187"/>
      <c r="U119" s="187"/>
      <c r="V119" s="187"/>
      <c r="W119" s="187"/>
      <c r="X119" s="187"/>
      <c r="Y119" s="187"/>
      <c r="Z119" s="187"/>
      <c r="AA119" s="167">
        <f ca="1">TblImps[[#This Row],[Real time]]</f>
        <v>44815.541666666388</v>
      </c>
      <c r="AB119" s="97">
        <f ca="1">TblMili[[#This Row],[Draftees]]</f>
        <v>626</v>
      </c>
      <c r="AC119" s="97">
        <f ca="1">TblProd[[#This Row],[Platinum]]</f>
        <v>731768</v>
      </c>
      <c r="AD119" s="231"/>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83">
        <f>TblRezone[[#This Row],[Hour]]</f>
        <v>117</v>
      </c>
      <c r="B120" s="230">
        <f ca="1">TblConstr[[#This Row],[Land]]</f>
        <v>250</v>
      </c>
      <c r="C120" s="231"/>
      <c r="D120" s="232">
        <f ca="1">TblConstr[[#This Row],[Plain]]</f>
        <v>40</v>
      </c>
      <c r="E120" s="190">
        <f ca="1">TblConstr[[#This Row],[Forest]]</f>
        <v>20</v>
      </c>
      <c r="F120" s="390">
        <f ca="1">TblConstr[[#This Row],[Mountain]]</f>
        <v>20</v>
      </c>
      <c r="G120" s="394">
        <f ca="1">TblConstr[[#This Row],[Hill]]</f>
        <v>20</v>
      </c>
      <c r="H120" s="398">
        <f ca="1">TblConstr[[#This Row],[Swamp]]</f>
        <v>20</v>
      </c>
      <c r="I120" s="193">
        <f ca="1">TblConstr[[#This Row],[Cavern]]</f>
        <v>20</v>
      </c>
      <c r="J120" s="194">
        <f ca="1">TblConstr[[#This Row],[Water]]</f>
        <v>20</v>
      </c>
      <c r="K120" s="226"/>
      <c r="L120" s="226"/>
      <c r="M120" s="226"/>
      <c r="N120" s="233">
        <f ca="1">TblMili[[#This Row],[Smithies]]</f>
        <v>0</v>
      </c>
      <c r="O120" s="233">
        <f ca="1">TblPop[[#This Row],[Employment]]</f>
        <v>1</v>
      </c>
      <c r="P120" s="233">
        <f ca="1">TblImps[[#This Row],[Population]]</f>
        <v>1</v>
      </c>
      <c r="Q120" s="183">
        <f ca="1">TblExplore[[#This Row],[Land]]</f>
        <v>250</v>
      </c>
      <c r="R120" s="183">
        <f>TblExplore[[#This Row],[Hour]]</f>
        <v>117</v>
      </c>
      <c r="S120" s="234"/>
      <c r="T120" s="187"/>
      <c r="U120" s="187"/>
      <c r="V120" s="187"/>
      <c r="W120" s="187"/>
      <c r="X120" s="187"/>
      <c r="Y120" s="187"/>
      <c r="Z120" s="187"/>
      <c r="AA120" s="167">
        <f ca="1">TblImps[[#This Row],[Real time]]</f>
        <v>44815.583333333052</v>
      </c>
      <c r="AB120" s="97">
        <f ca="1">TblMili[[#This Row],[Draftees]]</f>
        <v>626</v>
      </c>
      <c r="AC120" s="97">
        <f ca="1">TblProd[[#This Row],[Platinum]]</f>
        <v>737254</v>
      </c>
      <c r="AD120" s="231"/>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83">
        <f>TblRezone[[#This Row],[Hour]]</f>
        <v>118</v>
      </c>
      <c r="B121" s="230">
        <f ca="1">TblConstr[[#This Row],[Land]]</f>
        <v>250</v>
      </c>
      <c r="C121" s="231"/>
      <c r="D121" s="232">
        <f ca="1">TblConstr[[#This Row],[Plain]]</f>
        <v>40</v>
      </c>
      <c r="E121" s="190">
        <f ca="1">TblConstr[[#This Row],[Forest]]</f>
        <v>20</v>
      </c>
      <c r="F121" s="390">
        <f ca="1">TblConstr[[#This Row],[Mountain]]</f>
        <v>20</v>
      </c>
      <c r="G121" s="394">
        <f ca="1">TblConstr[[#This Row],[Hill]]</f>
        <v>20</v>
      </c>
      <c r="H121" s="398">
        <f ca="1">TblConstr[[#This Row],[Swamp]]</f>
        <v>20</v>
      </c>
      <c r="I121" s="193">
        <f ca="1">TblConstr[[#This Row],[Cavern]]</f>
        <v>20</v>
      </c>
      <c r="J121" s="194">
        <f ca="1">TblConstr[[#This Row],[Water]]</f>
        <v>20</v>
      </c>
      <c r="K121" s="226"/>
      <c r="L121" s="226"/>
      <c r="M121" s="226"/>
      <c r="N121" s="233">
        <f ca="1">TblMili[[#This Row],[Smithies]]</f>
        <v>0</v>
      </c>
      <c r="O121" s="233">
        <f ca="1">TblPop[[#This Row],[Employment]]</f>
        <v>1</v>
      </c>
      <c r="P121" s="233">
        <f ca="1">TblImps[[#This Row],[Population]]</f>
        <v>1</v>
      </c>
      <c r="Q121" s="183">
        <f ca="1">TblExplore[[#This Row],[Land]]</f>
        <v>250</v>
      </c>
      <c r="R121" s="183">
        <f>TblExplore[[#This Row],[Hour]]</f>
        <v>118</v>
      </c>
      <c r="S121" s="234"/>
      <c r="T121" s="187"/>
      <c r="U121" s="187"/>
      <c r="V121" s="187"/>
      <c r="W121" s="187"/>
      <c r="X121" s="187"/>
      <c r="Y121" s="187"/>
      <c r="Z121" s="187"/>
      <c r="AA121" s="167">
        <f ca="1">TblImps[[#This Row],[Real time]]</f>
        <v>44815.624999999716</v>
      </c>
      <c r="AB121" s="97">
        <f ca="1">TblMili[[#This Row],[Draftees]]</f>
        <v>626</v>
      </c>
      <c r="AC121" s="97">
        <f ca="1">TblProd[[#This Row],[Platinum]]</f>
        <v>742740</v>
      </c>
      <c r="AD121" s="231"/>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83">
        <f>TblRezone[[#This Row],[Hour]]</f>
        <v>119</v>
      </c>
      <c r="B122" s="230">
        <f ca="1">TblConstr[[#This Row],[Land]]</f>
        <v>250</v>
      </c>
      <c r="C122" s="231"/>
      <c r="D122" s="232">
        <f ca="1">TblConstr[[#This Row],[Plain]]</f>
        <v>40</v>
      </c>
      <c r="E122" s="190">
        <f ca="1">TblConstr[[#This Row],[Forest]]</f>
        <v>20</v>
      </c>
      <c r="F122" s="390">
        <f ca="1">TblConstr[[#This Row],[Mountain]]</f>
        <v>20</v>
      </c>
      <c r="G122" s="394">
        <f ca="1">TblConstr[[#This Row],[Hill]]</f>
        <v>20</v>
      </c>
      <c r="H122" s="398">
        <f ca="1">TblConstr[[#This Row],[Swamp]]</f>
        <v>20</v>
      </c>
      <c r="I122" s="193">
        <f ca="1">TblConstr[[#This Row],[Cavern]]</f>
        <v>20</v>
      </c>
      <c r="J122" s="194">
        <f ca="1">TblConstr[[#This Row],[Water]]</f>
        <v>20</v>
      </c>
      <c r="K122" s="226"/>
      <c r="L122" s="226"/>
      <c r="M122" s="226"/>
      <c r="N122" s="233">
        <f ca="1">TblMili[[#This Row],[Smithies]]</f>
        <v>0</v>
      </c>
      <c r="O122" s="233">
        <f ca="1">TblPop[[#This Row],[Employment]]</f>
        <v>1</v>
      </c>
      <c r="P122" s="233">
        <f ca="1">TblImps[[#This Row],[Population]]</f>
        <v>1</v>
      </c>
      <c r="Q122" s="183">
        <f ca="1">TblExplore[[#This Row],[Land]]</f>
        <v>250</v>
      </c>
      <c r="R122" s="183">
        <f>TblExplore[[#This Row],[Hour]]</f>
        <v>119</v>
      </c>
      <c r="S122" s="234"/>
      <c r="T122" s="187"/>
      <c r="U122" s="187"/>
      <c r="V122" s="187"/>
      <c r="W122" s="187"/>
      <c r="X122" s="187"/>
      <c r="Y122" s="187"/>
      <c r="Z122" s="187"/>
      <c r="AA122" s="167">
        <f ca="1">TblImps[[#This Row],[Real time]]</f>
        <v>44815.66666666638</v>
      </c>
      <c r="AB122" s="97">
        <f ca="1">TblMili[[#This Row],[Draftees]]</f>
        <v>626</v>
      </c>
      <c r="AC122" s="97">
        <f ca="1">TblProd[[#This Row],[Platinum]]</f>
        <v>748226</v>
      </c>
      <c r="AD122" s="231"/>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83">
        <f>TblRezone[[#This Row],[Hour]]</f>
        <v>120</v>
      </c>
      <c r="B123" s="230">
        <f ca="1">TblConstr[[#This Row],[Land]]</f>
        <v>250</v>
      </c>
      <c r="C123" s="231"/>
      <c r="D123" s="232">
        <f ca="1">TblConstr[[#This Row],[Plain]]</f>
        <v>40</v>
      </c>
      <c r="E123" s="190">
        <f ca="1">TblConstr[[#This Row],[Forest]]</f>
        <v>20</v>
      </c>
      <c r="F123" s="390">
        <f ca="1">TblConstr[[#This Row],[Mountain]]</f>
        <v>20</v>
      </c>
      <c r="G123" s="394">
        <f ca="1">TblConstr[[#This Row],[Hill]]</f>
        <v>20</v>
      </c>
      <c r="H123" s="398">
        <f ca="1">TblConstr[[#This Row],[Swamp]]</f>
        <v>20</v>
      </c>
      <c r="I123" s="193">
        <f ca="1">TblConstr[[#This Row],[Cavern]]</f>
        <v>20</v>
      </c>
      <c r="J123" s="194">
        <f ca="1">TblConstr[[#This Row],[Water]]</f>
        <v>20</v>
      </c>
      <c r="K123" s="226"/>
      <c r="L123" s="226"/>
      <c r="M123" s="226"/>
      <c r="N123" s="233">
        <f ca="1">TblMili[[#This Row],[Smithies]]</f>
        <v>0</v>
      </c>
      <c r="O123" s="233">
        <f ca="1">TblPop[[#This Row],[Employment]]</f>
        <v>1</v>
      </c>
      <c r="P123" s="233">
        <f ca="1">TblImps[[#This Row],[Population]]</f>
        <v>1</v>
      </c>
      <c r="Q123" s="183">
        <f ca="1">TblExplore[[#This Row],[Land]]</f>
        <v>250</v>
      </c>
      <c r="R123" s="183">
        <f>TblExplore[[#This Row],[Hour]]</f>
        <v>120</v>
      </c>
      <c r="S123" s="234"/>
      <c r="T123" s="187"/>
      <c r="U123" s="187"/>
      <c r="V123" s="187"/>
      <c r="W123" s="187"/>
      <c r="X123" s="187"/>
      <c r="Y123" s="187"/>
      <c r="Z123" s="187"/>
      <c r="AA123" s="167">
        <f ca="1">TblImps[[#This Row],[Real time]]</f>
        <v>44815.708333333045</v>
      </c>
      <c r="AB123" s="97">
        <f ca="1">TblMili[[#This Row],[Draftees]]</f>
        <v>626</v>
      </c>
      <c r="AC123" s="97">
        <f ca="1">TblProd[[#This Row],[Platinum]]</f>
        <v>753712</v>
      </c>
      <c r="AD123" s="231"/>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83">
        <f>TblRezone[[#This Row],[Hour]]</f>
        <v>121</v>
      </c>
      <c r="B124" s="230">
        <f ca="1">TblConstr[[#This Row],[Land]]</f>
        <v>250</v>
      </c>
      <c r="C124" s="231"/>
      <c r="D124" s="232">
        <f ca="1">TblConstr[[#This Row],[Plain]]</f>
        <v>40</v>
      </c>
      <c r="E124" s="190">
        <f ca="1">TblConstr[[#This Row],[Forest]]</f>
        <v>20</v>
      </c>
      <c r="F124" s="390">
        <f ca="1">TblConstr[[#This Row],[Mountain]]</f>
        <v>20</v>
      </c>
      <c r="G124" s="394">
        <f ca="1">TblConstr[[#This Row],[Hill]]</f>
        <v>20</v>
      </c>
      <c r="H124" s="398">
        <f ca="1">TblConstr[[#This Row],[Swamp]]</f>
        <v>20</v>
      </c>
      <c r="I124" s="193">
        <f ca="1">TblConstr[[#This Row],[Cavern]]</f>
        <v>20</v>
      </c>
      <c r="J124" s="194">
        <f ca="1">TblConstr[[#This Row],[Water]]</f>
        <v>20</v>
      </c>
      <c r="K124" s="226"/>
      <c r="L124" s="246" t="s">
        <v>305</v>
      </c>
      <c r="M124" s="245" t="s">
        <v>308</v>
      </c>
      <c r="N124" s="233">
        <f ca="1">TblMili[[#This Row],[Smithies]]</f>
        <v>0</v>
      </c>
      <c r="O124" s="233">
        <f ca="1">TblPop[[#This Row],[Employment]]</f>
        <v>1</v>
      </c>
      <c r="P124" s="233">
        <f ca="1">TblImps[[#This Row],[Population]]</f>
        <v>1</v>
      </c>
      <c r="Q124" s="183">
        <f ca="1">TblExplore[[#This Row],[Land]]</f>
        <v>250</v>
      </c>
      <c r="R124" s="183">
        <f>TblExplore[[#This Row],[Hour]]</f>
        <v>121</v>
      </c>
      <c r="S124" s="234"/>
      <c r="T124" s="187"/>
      <c r="U124" s="187"/>
      <c r="V124" s="187"/>
      <c r="W124" s="187"/>
      <c r="X124" s="187"/>
      <c r="Y124" s="187"/>
      <c r="Z124" s="187"/>
      <c r="AA124" s="167">
        <f ca="1">TblImps[[#This Row],[Real time]]</f>
        <v>44815.749999999709</v>
      </c>
      <c r="AB124" s="97">
        <f ca="1">TblMili[[#This Row],[Draftees]]</f>
        <v>626</v>
      </c>
      <c r="AC124" s="97">
        <f ca="1">TblProd[[#This Row],[Platinum]]</f>
        <v>759198</v>
      </c>
      <c r="AD124" s="231"/>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83">
        <f>TblRezone[[#This Row],[Hour]]</f>
        <v>122</v>
      </c>
      <c r="B125" s="230">
        <f ca="1">TblConstr[[#This Row],[Land]]</f>
        <v>250</v>
      </c>
      <c r="C125" s="231"/>
      <c r="D125" s="232">
        <f ca="1">TblConstr[[#This Row],[Plain]]</f>
        <v>40</v>
      </c>
      <c r="E125" s="190">
        <f ca="1">TblConstr[[#This Row],[Forest]]</f>
        <v>20</v>
      </c>
      <c r="F125" s="390">
        <f ca="1">TblConstr[[#This Row],[Mountain]]</f>
        <v>20</v>
      </c>
      <c r="G125" s="394">
        <f ca="1">TblConstr[[#This Row],[Hill]]</f>
        <v>20</v>
      </c>
      <c r="H125" s="398">
        <f ca="1">TblConstr[[#This Row],[Swamp]]</f>
        <v>20</v>
      </c>
      <c r="I125" s="193">
        <f ca="1">TblConstr[[#This Row],[Cavern]]</f>
        <v>20</v>
      </c>
      <c r="J125" s="194">
        <f ca="1">TblConstr[[#This Row],[Water]]</f>
        <v>20</v>
      </c>
      <c r="K125" s="226"/>
      <c r="L125" s="246"/>
      <c r="M125" s="245"/>
      <c r="N125" s="233">
        <f ca="1">TblMili[[#This Row],[Smithies]]</f>
        <v>0</v>
      </c>
      <c r="O125" s="233">
        <f ca="1">TblPop[[#This Row],[Employment]]</f>
        <v>1</v>
      </c>
      <c r="P125" s="233">
        <f ca="1">TblImps[[#This Row],[Population]]</f>
        <v>1</v>
      </c>
      <c r="Q125" s="183">
        <f ca="1">TblExplore[[#This Row],[Land]]</f>
        <v>250</v>
      </c>
      <c r="R125" s="183">
        <f>TblExplore[[#This Row],[Hour]]</f>
        <v>122</v>
      </c>
      <c r="S125" s="234"/>
      <c r="T125" s="187"/>
      <c r="U125" s="187"/>
      <c r="V125" s="187"/>
      <c r="W125" s="187"/>
      <c r="X125" s="187"/>
      <c r="Y125" s="187"/>
      <c r="Z125" s="187"/>
      <c r="AA125" s="167">
        <f ca="1">TblImps[[#This Row],[Real time]]</f>
        <v>44815.791666666373</v>
      </c>
      <c r="AB125" s="97">
        <f ca="1">TblMili[[#This Row],[Draftees]]</f>
        <v>626</v>
      </c>
      <c r="AC125" s="97">
        <f ca="1">TblProd[[#This Row],[Platinum]]</f>
        <v>764684</v>
      </c>
      <c r="AD125" s="231"/>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83">
        <f>TblRezone[[#This Row],[Hour]]</f>
        <v>123</v>
      </c>
      <c r="B126" s="230">
        <f ca="1">TblConstr[[#This Row],[Land]]</f>
        <v>250</v>
      </c>
      <c r="C126" s="231"/>
      <c r="D126" s="232">
        <f ca="1">TblConstr[[#This Row],[Plain]]</f>
        <v>40</v>
      </c>
      <c r="E126" s="190">
        <f ca="1">TblConstr[[#This Row],[Forest]]</f>
        <v>20</v>
      </c>
      <c r="F126" s="390">
        <f ca="1">TblConstr[[#This Row],[Mountain]]</f>
        <v>20</v>
      </c>
      <c r="G126" s="394">
        <f ca="1">TblConstr[[#This Row],[Hill]]</f>
        <v>20</v>
      </c>
      <c r="H126" s="398">
        <f ca="1">TblConstr[[#This Row],[Swamp]]</f>
        <v>20</v>
      </c>
      <c r="I126" s="193">
        <f ca="1">TblConstr[[#This Row],[Cavern]]</f>
        <v>20</v>
      </c>
      <c r="J126" s="194">
        <f ca="1">TblConstr[[#This Row],[Water]]</f>
        <v>20</v>
      </c>
      <c r="K126" s="226"/>
      <c r="L126" s="246"/>
      <c r="M126" s="245"/>
      <c r="N126" s="233">
        <f ca="1">TblMili[[#This Row],[Smithies]]</f>
        <v>0</v>
      </c>
      <c r="O126" s="233">
        <f ca="1">TblPop[[#This Row],[Employment]]</f>
        <v>1</v>
      </c>
      <c r="P126" s="233">
        <f ca="1">TblImps[[#This Row],[Population]]</f>
        <v>1</v>
      </c>
      <c r="Q126" s="183">
        <f ca="1">TblExplore[[#This Row],[Land]]</f>
        <v>250</v>
      </c>
      <c r="R126" s="183">
        <f>TblExplore[[#This Row],[Hour]]</f>
        <v>123</v>
      </c>
      <c r="S126" s="234"/>
      <c r="T126" s="187"/>
      <c r="U126" s="187"/>
      <c r="V126" s="187"/>
      <c r="W126" s="187"/>
      <c r="X126" s="187"/>
      <c r="Y126" s="187"/>
      <c r="Z126" s="187"/>
      <c r="AA126" s="167">
        <f ca="1">TblImps[[#This Row],[Real time]]</f>
        <v>44815.833333333037</v>
      </c>
      <c r="AB126" s="97">
        <f ca="1">TblMili[[#This Row],[Draftees]]</f>
        <v>626</v>
      </c>
      <c r="AC126" s="97">
        <f ca="1">TblProd[[#This Row],[Platinum]]</f>
        <v>770170</v>
      </c>
      <c r="AD126" s="231"/>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83">
        <f>TblRezone[[#This Row],[Hour]]</f>
        <v>124</v>
      </c>
      <c r="B127" s="230">
        <f ca="1">TblConstr[[#This Row],[Land]]</f>
        <v>250</v>
      </c>
      <c r="C127" s="231"/>
      <c r="D127" s="232">
        <f ca="1">TblConstr[[#This Row],[Plain]]</f>
        <v>40</v>
      </c>
      <c r="E127" s="190">
        <f ca="1">TblConstr[[#This Row],[Forest]]</f>
        <v>20</v>
      </c>
      <c r="F127" s="390">
        <f ca="1">TblConstr[[#This Row],[Mountain]]</f>
        <v>20</v>
      </c>
      <c r="G127" s="394">
        <f ca="1">TblConstr[[#This Row],[Hill]]</f>
        <v>20</v>
      </c>
      <c r="H127" s="398">
        <f ca="1">TblConstr[[#This Row],[Swamp]]</f>
        <v>20</v>
      </c>
      <c r="I127" s="193">
        <f ca="1">TblConstr[[#This Row],[Cavern]]</f>
        <v>20</v>
      </c>
      <c r="J127" s="194">
        <f ca="1">TblConstr[[#This Row],[Water]]</f>
        <v>20</v>
      </c>
      <c r="K127" s="226"/>
      <c r="L127" s="226">
        <v>4</v>
      </c>
      <c r="M127" s="226">
        <v>299</v>
      </c>
      <c r="N127" s="233">
        <f ca="1">TblMili[[#This Row],[Smithies]]</f>
        <v>0</v>
      </c>
      <c r="O127" s="233">
        <f ca="1">TblPop[[#This Row],[Employment]]</f>
        <v>1</v>
      </c>
      <c r="P127" s="233">
        <f ca="1">TblImps[[#This Row],[Population]]</f>
        <v>1</v>
      </c>
      <c r="Q127" s="183">
        <f ca="1">TblExplore[[#This Row],[Land]]</f>
        <v>250</v>
      </c>
      <c r="R127" s="183">
        <f>TblExplore[[#This Row],[Hour]]</f>
        <v>124</v>
      </c>
      <c r="S127" s="234"/>
      <c r="T127" s="187"/>
      <c r="U127" s="187"/>
      <c r="V127" s="187"/>
      <c r="W127" s="187"/>
      <c r="X127" s="187"/>
      <c r="Y127" s="187"/>
      <c r="Z127" s="187"/>
      <c r="AA127" s="167">
        <f ca="1">TblImps[[#This Row],[Real time]]</f>
        <v>44815.874999999702</v>
      </c>
      <c r="AB127" s="97">
        <f ca="1">TblMili[[#This Row],[Draftees]]</f>
        <v>626</v>
      </c>
      <c r="AC127" s="97">
        <f ca="1">TblProd[[#This Row],[Platinum]]</f>
        <v>775656</v>
      </c>
      <c r="AD127" s="231"/>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83">
        <f>TblRezone[[#This Row],[Hour]]</f>
        <v>125</v>
      </c>
      <c r="B128" s="230">
        <f ca="1">TblConstr[[#This Row],[Land]]</f>
        <v>250</v>
      </c>
      <c r="C128" s="231"/>
      <c r="D128" s="232">
        <f ca="1">TblConstr[[#This Row],[Plain]]</f>
        <v>40</v>
      </c>
      <c r="E128" s="190">
        <f ca="1">TblConstr[[#This Row],[Forest]]</f>
        <v>20</v>
      </c>
      <c r="F128" s="390">
        <f ca="1">TblConstr[[#This Row],[Mountain]]</f>
        <v>20</v>
      </c>
      <c r="G128" s="394">
        <f ca="1">TblConstr[[#This Row],[Hill]]</f>
        <v>20</v>
      </c>
      <c r="H128" s="398">
        <f ca="1">TblConstr[[#This Row],[Swamp]]</f>
        <v>20</v>
      </c>
      <c r="I128" s="193">
        <f ca="1">TblConstr[[#This Row],[Cavern]]</f>
        <v>20</v>
      </c>
      <c r="J128" s="194">
        <f ca="1">TblConstr[[#This Row],[Water]]</f>
        <v>20</v>
      </c>
      <c r="K128" s="226"/>
      <c r="L128" s="226">
        <v>5</v>
      </c>
      <c r="M128" s="226">
        <v>419</v>
      </c>
      <c r="N128" s="233">
        <f ca="1">TblMili[[#This Row],[Smithies]]</f>
        <v>0</v>
      </c>
      <c r="O128" s="233">
        <f ca="1">TblPop[[#This Row],[Employment]]</f>
        <v>1</v>
      </c>
      <c r="P128" s="233">
        <f ca="1">TblImps[[#This Row],[Population]]</f>
        <v>1</v>
      </c>
      <c r="Q128" s="183">
        <f ca="1">TblExplore[[#This Row],[Land]]</f>
        <v>250</v>
      </c>
      <c r="R128" s="183">
        <f>TblExplore[[#This Row],[Hour]]</f>
        <v>125</v>
      </c>
      <c r="S128" s="234"/>
      <c r="T128" s="187"/>
      <c r="U128" s="187"/>
      <c r="V128" s="187"/>
      <c r="W128" s="187"/>
      <c r="X128" s="187"/>
      <c r="Y128" s="187"/>
      <c r="Z128" s="187"/>
      <c r="AA128" s="167">
        <f ca="1">TblImps[[#This Row],[Real time]]</f>
        <v>44815.916666666366</v>
      </c>
      <c r="AB128" s="97">
        <f ca="1">TblMili[[#This Row],[Draftees]]</f>
        <v>626</v>
      </c>
      <c r="AC128" s="97">
        <f ca="1">TblProd[[#This Row],[Platinum]]</f>
        <v>781142</v>
      </c>
      <c r="AD128" s="231"/>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83">
        <f>TblRezone[[#This Row],[Hour]]</f>
        <v>126</v>
      </c>
      <c r="B129" s="230">
        <f ca="1">TblConstr[[#This Row],[Land]]</f>
        <v>250</v>
      </c>
      <c r="C129" s="231"/>
      <c r="D129" s="232">
        <f ca="1">TblConstr[[#This Row],[Plain]]</f>
        <v>40</v>
      </c>
      <c r="E129" s="190">
        <f ca="1">TblConstr[[#This Row],[Forest]]</f>
        <v>20</v>
      </c>
      <c r="F129" s="390">
        <f ca="1">TblConstr[[#This Row],[Mountain]]</f>
        <v>20</v>
      </c>
      <c r="G129" s="394">
        <f ca="1">TblConstr[[#This Row],[Hill]]</f>
        <v>20</v>
      </c>
      <c r="H129" s="398">
        <f ca="1">TblConstr[[#This Row],[Swamp]]</f>
        <v>20</v>
      </c>
      <c r="I129" s="193">
        <f ca="1">TblConstr[[#This Row],[Cavern]]</f>
        <v>20</v>
      </c>
      <c r="J129" s="194">
        <f ca="1">TblConstr[[#This Row],[Water]]</f>
        <v>20</v>
      </c>
      <c r="K129" s="226"/>
      <c r="L129" s="226">
        <v>6</v>
      </c>
      <c r="M129" s="226">
        <v>632</v>
      </c>
      <c r="N129" s="233">
        <f ca="1">TblMili[[#This Row],[Smithies]]</f>
        <v>0</v>
      </c>
      <c r="O129" s="233">
        <f ca="1">TblPop[[#This Row],[Employment]]</f>
        <v>1</v>
      </c>
      <c r="P129" s="233">
        <f ca="1">TblImps[[#This Row],[Population]]</f>
        <v>1</v>
      </c>
      <c r="Q129" s="183">
        <f ca="1">TblExplore[[#This Row],[Land]]</f>
        <v>250</v>
      </c>
      <c r="R129" s="183">
        <f>TblExplore[[#This Row],[Hour]]</f>
        <v>126</v>
      </c>
      <c r="S129" s="234"/>
      <c r="T129" s="187"/>
      <c r="U129" s="187"/>
      <c r="V129" s="187"/>
      <c r="W129" s="187"/>
      <c r="X129" s="187"/>
      <c r="Y129" s="187"/>
      <c r="Z129" s="187"/>
      <c r="AA129" s="167">
        <f ca="1">TblImps[[#This Row],[Real time]]</f>
        <v>44815.95833333303</v>
      </c>
      <c r="AB129" s="97">
        <f ca="1">TblMili[[#This Row],[Draftees]]</f>
        <v>626</v>
      </c>
      <c r="AC129" s="97">
        <f ca="1">TblProd[[#This Row],[Platinum]]</f>
        <v>786628</v>
      </c>
      <c r="AD129" s="231"/>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83">
        <f>TblRezone[[#This Row],[Hour]]</f>
        <v>127</v>
      </c>
      <c r="B130" s="230">
        <f ca="1">TblConstr[[#This Row],[Land]]</f>
        <v>250</v>
      </c>
      <c r="C130" s="231"/>
      <c r="D130" s="232">
        <f ca="1">TblConstr[[#This Row],[Plain]]</f>
        <v>40</v>
      </c>
      <c r="E130" s="190">
        <f ca="1">TblConstr[[#This Row],[Forest]]</f>
        <v>20</v>
      </c>
      <c r="F130" s="390">
        <f ca="1">TblConstr[[#This Row],[Mountain]]</f>
        <v>20</v>
      </c>
      <c r="G130" s="394">
        <f ca="1">TblConstr[[#This Row],[Hill]]</f>
        <v>20</v>
      </c>
      <c r="H130" s="398">
        <f ca="1">TblConstr[[#This Row],[Swamp]]</f>
        <v>20</v>
      </c>
      <c r="I130" s="193">
        <f ca="1">TblConstr[[#This Row],[Cavern]]</f>
        <v>20</v>
      </c>
      <c r="J130" s="194">
        <f ca="1">TblConstr[[#This Row],[Water]]</f>
        <v>20</v>
      </c>
      <c r="K130" s="226"/>
      <c r="L130" s="226">
        <v>7</v>
      </c>
      <c r="M130" s="226">
        <v>836</v>
      </c>
      <c r="N130" s="233">
        <f ca="1">TblMili[[#This Row],[Smithies]]</f>
        <v>0</v>
      </c>
      <c r="O130" s="233">
        <f ca="1">TblPop[[#This Row],[Employment]]</f>
        <v>1</v>
      </c>
      <c r="P130" s="233">
        <f ca="1">TblImps[[#This Row],[Population]]</f>
        <v>1</v>
      </c>
      <c r="Q130" s="183">
        <f ca="1">TblExplore[[#This Row],[Land]]</f>
        <v>250</v>
      </c>
      <c r="R130" s="183">
        <f>TblExplore[[#This Row],[Hour]]</f>
        <v>127</v>
      </c>
      <c r="S130" s="234"/>
      <c r="T130" s="187"/>
      <c r="U130" s="187"/>
      <c r="V130" s="187"/>
      <c r="W130" s="187"/>
      <c r="X130" s="187"/>
      <c r="Y130" s="187"/>
      <c r="Z130" s="187"/>
      <c r="AA130" s="167">
        <f ca="1">TblImps[[#This Row],[Real time]]</f>
        <v>44815.999999999694</v>
      </c>
      <c r="AB130" s="97">
        <f ca="1">TblMili[[#This Row],[Draftees]]</f>
        <v>626</v>
      </c>
      <c r="AC130" s="97">
        <f ca="1">TblProd[[#This Row],[Platinum]]</f>
        <v>792114</v>
      </c>
      <c r="AD130" s="231"/>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83">
        <f>TblRezone[[#This Row],[Hour]]</f>
        <v>128</v>
      </c>
      <c r="B131" s="230">
        <f ca="1">TblConstr[[#This Row],[Land]]</f>
        <v>250</v>
      </c>
      <c r="C131" s="231"/>
      <c r="D131" s="232">
        <f ca="1">TblConstr[[#This Row],[Plain]]</f>
        <v>40</v>
      </c>
      <c r="E131" s="190">
        <f ca="1">TblConstr[[#This Row],[Forest]]</f>
        <v>20</v>
      </c>
      <c r="F131" s="390">
        <f ca="1">TblConstr[[#This Row],[Mountain]]</f>
        <v>20</v>
      </c>
      <c r="G131" s="394">
        <f ca="1">TblConstr[[#This Row],[Hill]]</f>
        <v>20</v>
      </c>
      <c r="H131" s="398">
        <f ca="1">TblConstr[[#This Row],[Swamp]]</f>
        <v>20</v>
      </c>
      <c r="I131" s="193">
        <f ca="1">TblConstr[[#This Row],[Cavern]]</f>
        <v>20</v>
      </c>
      <c r="J131" s="194">
        <f ca="1">TblConstr[[#This Row],[Water]]</f>
        <v>20</v>
      </c>
      <c r="K131" s="226"/>
      <c r="L131" s="226">
        <v>8</v>
      </c>
      <c r="M131" s="226">
        <v>1035</v>
      </c>
      <c r="N131" s="233">
        <f ca="1">TblMili[[#This Row],[Smithies]]</f>
        <v>0</v>
      </c>
      <c r="O131" s="233">
        <f ca="1">TblPop[[#This Row],[Employment]]</f>
        <v>1</v>
      </c>
      <c r="P131" s="233">
        <f ca="1">TblImps[[#This Row],[Population]]</f>
        <v>1</v>
      </c>
      <c r="Q131" s="183">
        <f ca="1">TblExplore[[#This Row],[Land]]</f>
        <v>250</v>
      </c>
      <c r="R131" s="183">
        <f>TblExplore[[#This Row],[Hour]]</f>
        <v>128</v>
      </c>
      <c r="S131" s="234"/>
      <c r="T131" s="187"/>
      <c r="U131" s="187"/>
      <c r="V131" s="187"/>
      <c r="W131" s="187"/>
      <c r="X131" s="187"/>
      <c r="Y131" s="187"/>
      <c r="Z131" s="187"/>
      <c r="AA131" s="167">
        <f ca="1">TblImps[[#This Row],[Real time]]</f>
        <v>44816.041666666359</v>
      </c>
      <c r="AB131" s="97">
        <f ca="1">TblMili[[#This Row],[Draftees]]</f>
        <v>626</v>
      </c>
      <c r="AC131" s="97">
        <f ca="1">TblProd[[#This Row],[Platinum]]</f>
        <v>797600</v>
      </c>
      <c r="AD131" s="231"/>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83">
        <f>TblRezone[[#This Row],[Hour]]</f>
        <v>129</v>
      </c>
      <c r="B132" s="230">
        <f ca="1">TblConstr[[#This Row],[Land]]</f>
        <v>250</v>
      </c>
      <c r="C132" s="231"/>
      <c r="D132" s="232">
        <f ca="1">TblConstr[[#This Row],[Plain]]</f>
        <v>40</v>
      </c>
      <c r="E132" s="190">
        <f ca="1">TblConstr[[#This Row],[Forest]]</f>
        <v>20</v>
      </c>
      <c r="F132" s="390">
        <f ca="1">TblConstr[[#This Row],[Mountain]]</f>
        <v>20</v>
      </c>
      <c r="G132" s="394">
        <f ca="1">TblConstr[[#This Row],[Hill]]</f>
        <v>20</v>
      </c>
      <c r="H132" s="398">
        <f ca="1">TblConstr[[#This Row],[Swamp]]</f>
        <v>20</v>
      </c>
      <c r="I132" s="193">
        <f ca="1">TblConstr[[#This Row],[Cavern]]</f>
        <v>20</v>
      </c>
      <c r="J132" s="194">
        <f ca="1">TblConstr[[#This Row],[Water]]</f>
        <v>20</v>
      </c>
      <c r="K132" s="226"/>
      <c r="L132" s="226">
        <v>9</v>
      </c>
      <c r="M132" s="226">
        <v>1229</v>
      </c>
      <c r="N132" s="233">
        <f ca="1">TblMili[[#This Row],[Smithies]]</f>
        <v>0</v>
      </c>
      <c r="O132" s="233">
        <f ca="1">TblPop[[#This Row],[Employment]]</f>
        <v>1</v>
      </c>
      <c r="P132" s="233">
        <f ca="1">TblImps[[#This Row],[Population]]</f>
        <v>1</v>
      </c>
      <c r="Q132" s="183">
        <f ca="1">TblExplore[[#This Row],[Land]]</f>
        <v>250</v>
      </c>
      <c r="R132" s="183">
        <f>TblExplore[[#This Row],[Hour]]</f>
        <v>129</v>
      </c>
      <c r="S132" s="234"/>
      <c r="T132" s="187"/>
      <c r="U132" s="187"/>
      <c r="V132" s="187"/>
      <c r="W132" s="187"/>
      <c r="X132" s="187"/>
      <c r="Y132" s="187"/>
      <c r="Z132" s="187"/>
      <c r="AA132" s="167">
        <f ca="1">TblImps[[#This Row],[Real time]]</f>
        <v>44816.083333333023</v>
      </c>
      <c r="AB132" s="97">
        <f ca="1">TblMili[[#This Row],[Draftees]]</f>
        <v>626</v>
      </c>
      <c r="AC132" s="97">
        <f ca="1">TblProd[[#This Row],[Platinum]]</f>
        <v>803086</v>
      </c>
      <c r="AD132" s="231"/>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83">
        <f>TblRezone[[#This Row],[Hour]]</f>
        <v>130</v>
      </c>
      <c r="B133" s="230">
        <f ca="1">TblConstr[[#This Row],[Land]]</f>
        <v>250</v>
      </c>
      <c r="C133" s="231"/>
      <c r="D133" s="232">
        <f ca="1">TblConstr[[#This Row],[Plain]]</f>
        <v>40</v>
      </c>
      <c r="E133" s="190">
        <f ca="1">TblConstr[[#This Row],[Forest]]</f>
        <v>20</v>
      </c>
      <c r="F133" s="390">
        <f ca="1">TblConstr[[#This Row],[Mountain]]</f>
        <v>20</v>
      </c>
      <c r="G133" s="394">
        <f ca="1">TblConstr[[#This Row],[Hill]]</f>
        <v>20</v>
      </c>
      <c r="H133" s="398">
        <f ca="1">TblConstr[[#This Row],[Swamp]]</f>
        <v>20</v>
      </c>
      <c r="I133" s="193">
        <f ca="1">TblConstr[[#This Row],[Cavern]]</f>
        <v>20</v>
      </c>
      <c r="J133" s="194">
        <f ca="1">TblConstr[[#This Row],[Water]]</f>
        <v>20</v>
      </c>
      <c r="K133" s="226"/>
      <c r="L133" s="226">
        <v>10</v>
      </c>
      <c r="M133" s="226">
        <v>1421</v>
      </c>
      <c r="N133" s="233">
        <f ca="1">TblMili[[#This Row],[Smithies]]</f>
        <v>0</v>
      </c>
      <c r="O133" s="233">
        <f ca="1">TblPop[[#This Row],[Employment]]</f>
        <v>1</v>
      </c>
      <c r="P133" s="233">
        <f ca="1">TblImps[[#This Row],[Population]]</f>
        <v>1</v>
      </c>
      <c r="Q133" s="183">
        <f ca="1">TblExplore[[#This Row],[Land]]</f>
        <v>250</v>
      </c>
      <c r="R133" s="183">
        <f>TblExplore[[#This Row],[Hour]]</f>
        <v>130</v>
      </c>
      <c r="S133" s="234"/>
      <c r="T133" s="187"/>
      <c r="U133" s="187"/>
      <c r="V133" s="187"/>
      <c r="W133" s="187"/>
      <c r="X133" s="187"/>
      <c r="Y133" s="187"/>
      <c r="Z133" s="187"/>
      <c r="AA133" s="167">
        <f ca="1">TblImps[[#This Row],[Real time]]</f>
        <v>44816.124999999687</v>
      </c>
      <c r="AB133" s="97">
        <f ca="1">TblMili[[#This Row],[Draftees]]</f>
        <v>626</v>
      </c>
      <c r="AC133" s="97">
        <f ca="1">TblProd[[#This Row],[Platinum]]</f>
        <v>808572</v>
      </c>
      <c r="AD133" s="231"/>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83">
        <f>TblRezone[[#This Row],[Hour]]</f>
        <v>131</v>
      </c>
      <c r="B134" s="230">
        <f ca="1">TblConstr[[#This Row],[Land]]</f>
        <v>250</v>
      </c>
      <c r="C134" s="231"/>
      <c r="D134" s="232">
        <f ca="1">TblConstr[[#This Row],[Plain]]</f>
        <v>40</v>
      </c>
      <c r="E134" s="190">
        <f ca="1">TblConstr[[#This Row],[Forest]]</f>
        <v>20</v>
      </c>
      <c r="F134" s="390">
        <f ca="1">TblConstr[[#This Row],[Mountain]]</f>
        <v>20</v>
      </c>
      <c r="G134" s="394">
        <f ca="1">TblConstr[[#This Row],[Hill]]</f>
        <v>20</v>
      </c>
      <c r="H134" s="398">
        <f ca="1">TblConstr[[#This Row],[Swamp]]</f>
        <v>20</v>
      </c>
      <c r="I134" s="193">
        <f ca="1">TblConstr[[#This Row],[Cavern]]</f>
        <v>20</v>
      </c>
      <c r="J134" s="194">
        <f ca="1">TblConstr[[#This Row],[Water]]</f>
        <v>20</v>
      </c>
      <c r="K134" s="226"/>
      <c r="L134" s="226">
        <v>11</v>
      </c>
      <c r="M134" s="226">
        <v>1610</v>
      </c>
      <c r="N134" s="233">
        <f ca="1">TblMili[[#This Row],[Smithies]]</f>
        <v>0</v>
      </c>
      <c r="O134" s="233">
        <f ca="1">TblPop[[#This Row],[Employment]]</f>
        <v>1</v>
      </c>
      <c r="P134" s="233">
        <f ca="1">TblImps[[#This Row],[Population]]</f>
        <v>1</v>
      </c>
      <c r="Q134" s="183">
        <f ca="1">TblExplore[[#This Row],[Land]]</f>
        <v>250</v>
      </c>
      <c r="R134" s="183">
        <f>TblExplore[[#This Row],[Hour]]</f>
        <v>131</v>
      </c>
      <c r="S134" s="234"/>
      <c r="T134" s="187"/>
      <c r="U134" s="187"/>
      <c r="V134" s="187"/>
      <c r="W134" s="187"/>
      <c r="X134" s="187"/>
      <c r="Y134" s="187"/>
      <c r="Z134" s="187"/>
      <c r="AA134" s="167">
        <f ca="1">TblImps[[#This Row],[Real time]]</f>
        <v>44816.166666666351</v>
      </c>
      <c r="AB134" s="97">
        <f ca="1">TblMili[[#This Row],[Draftees]]</f>
        <v>626</v>
      </c>
      <c r="AC134" s="97">
        <f ca="1">TblProd[[#This Row],[Platinum]]</f>
        <v>814058</v>
      </c>
      <c r="AD134" s="231"/>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83">
        <f>TblRezone[[#This Row],[Hour]]</f>
        <v>132</v>
      </c>
      <c r="B135" s="230">
        <f ca="1">TblConstr[[#This Row],[Land]]</f>
        <v>250</v>
      </c>
      <c r="C135" s="231"/>
      <c r="D135" s="232">
        <f ca="1">TblConstr[[#This Row],[Plain]]</f>
        <v>40</v>
      </c>
      <c r="E135" s="190">
        <f ca="1">TblConstr[[#This Row],[Forest]]</f>
        <v>20</v>
      </c>
      <c r="F135" s="390">
        <f ca="1">TblConstr[[#This Row],[Mountain]]</f>
        <v>20</v>
      </c>
      <c r="G135" s="394">
        <f ca="1">TblConstr[[#This Row],[Hill]]</f>
        <v>20</v>
      </c>
      <c r="H135" s="398">
        <f ca="1">TblConstr[[#This Row],[Swamp]]</f>
        <v>20</v>
      </c>
      <c r="I135" s="193">
        <f ca="1">TblConstr[[#This Row],[Cavern]]</f>
        <v>20</v>
      </c>
      <c r="J135" s="194">
        <f ca="1">TblConstr[[#This Row],[Water]]</f>
        <v>20</v>
      </c>
      <c r="K135" s="226"/>
      <c r="L135" s="226">
        <v>12</v>
      </c>
      <c r="M135" s="226">
        <v>1798</v>
      </c>
      <c r="N135" s="233">
        <f ca="1">TblMili[[#This Row],[Smithies]]</f>
        <v>0</v>
      </c>
      <c r="O135" s="233">
        <f ca="1">TblPop[[#This Row],[Employment]]</f>
        <v>1</v>
      </c>
      <c r="P135" s="233">
        <f ca="1">TblImps[[#This Row],[Population]]</f>
        <v>1</v>
      </c>
      <c r="Q135" s="183">
        <f ca="1">TblExplore[[#This Row],[Land]]</f>
        <v>250</v>
      </c>
      <c r="R135" s="183">
        <f>TblExplore[[#This Row],[Hour]]</f>
        <v>132</v>
      </c>
      <c r="S135" s="234"/>
      <c r="T135" s="187"/>
      <c r="U135" s="187"/>
      <c r="V135" s="187"/>
      <c r="W135" s="187"/>
      <c r="X135" s="187"/>
      <c r="Y135" s="187"/>
      <c r="Z135" s="187"/>
      <c r="AA135" s="167">
        <f ca="1">TblImps[[#This Row],[Real time]]</f>
        <v>44816.208333333016</v>
      </c>
      <c r="AB135" s="97">
        <f ca="1">TblMili[[#This Row],[Draftees]]</f>
        <v>626</v>
      </c>
      <c r="AC135" s="97">
        <f ca="1">TblProd[[#This Row],[Platinum]]</f>
        <v>819544</v>
      </c>
      <c r="AD135" s="231"/>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83">
        <f>TblRezone[[#This Row],[Hour]]</f>
        <v>133</v>
      </c>
      <c r="B136" s="230">
        <f ca="1">TblConstr[[#This Row],[Land]]</f>
        <v>250</v>
      </c>
      <c r="C136" s="231"/>
      <c r="D136" s="232">
        <f ca="1">TblConstr[[#This Row],[Plain]]</f>
        <v>40</v>
      </c>
      <c r="E136" s="190">
        <f ca="1">TblConstr[[#This Row],[Forest]]</f>
        <v>20</v>
      </c>
      <c r="F136" s="390">
        <f ca="1">TblConstr[[#This Row],[Mountain]]</f>
        <v>20</v>
      </c>
      <c r="G136" s="394">
        <f ca="1">TblConstr[[#This Row],[Hill]]</f>
        <v>20</v>
      </c>
      <c r="H136" s="398">
        <f ca="1">TblConstr[[#This Row],[Swamp]]</f>
        <v>20</v>
      </c>
      <c r="I136" s="193">
        <f ca="1">TblConstr[[#This Row],[Cavern]]</f>
        <v>20</v>
      </c>
      <c r="J136" s="194">
        <f ca="1">TblConstr[[#This Row],[Water]]</f>
        <v>20</v>
      </c>
      <c r="K136" s="226"/>
      <c r="L136" s="226">
        <v>13</v>
      </c>
      <c r="M136" s="226">
        <v>1984</v>
      </c>
      <c r="N136" s="233">
        <f ca="1">TblMili[[#This Row],[Smithies]]</f>
        <v>0</v>
      </c>
      <c r="O136" s="233">
        <f ca="1">TblPop[[#This Row],[Employment]]</f>
        <v>0</v>
      </c>
      <c r="P136" s="233">
        <f ca="1">TblImps[[#This Row],[Population]]</f>
        <v>1</v>
      </c>
      <c r="Q136" s="183">
        <f ca="1">TblExplore[[#This Row],[Land]]</f>
        <v>250</v>
      </c>
      <c r="R136" s="183">
        <f>TblExplore[[#This Row],[Hour]]</f>
        <v>133</v>
      </c>
      <c r="S136" s="234"/>
      <c r="T136" s="187"/>
      <c r="U136" s="187"/>
      <c r="V136" s="187"/>
      <c r="W136" s="187"/>
      <c r="X136" s="187"/>
      <c r="Y136" s="187"/>
      <c r="Z136" s="187"/>
      <c r="AA136" s="167">
        <f ca="1">TblImps[[#This Row],[Real time]]</f>
        <v>44816.24999999968</v>
      </c>
      <c r="AB136" s="97">
        <f ca="1">TblMili[[#This Row],[Draftees]]</f>
        <v>626</v>
      </c>
      <c r="AC136" s="97">
        <f ca="1">TblProd[[#This Row],[Platinum]]</f>
        <v>825030</v>
      </c>
      <c r="AD136" s="231"/>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5" t="s">
        <v>321</v>
      </c>
      <c r="C1269" s="495"/>
      <c r="L1269" s="252"/>
      <c r="M1269" s="252"/>
    </row>
    <row r="1270" spans="2:13" x14ac:dyDescent="0.2">
      <c r="B1270" s="28">
        <f>Overview!E17</f>
        <v>0</v>
      </c>
      <c r="C1270" s="28"/>
      <c r="L1270" s="252"/>
      <c r="M1270" s="252"/>
    </row>
  </sheetData>
  <mergeCells count="3">
    <mergeCell ref="AB1:AC1"/>
    <mergeCell ref="L1:Q1"/>
    <mergeCell ref="B1269:C1269"/>
  </mergeCells>
  <phoneticPr fontId="0" type="noConversion"/>
  <conditionalFormatting sqref="M26:M32 M98:M104">
    <cfRule type="expression" dxfId="472" priority="13" stopIfTrue="1">
      <formula>$M26&lt;$M17</formula>
    </cfRule>
    <cfRule type="expression" dxfId="471" priority="14" stopIfTrue="1">
      <formula>$M17&lt;$M26</formula>
    </cfRule>
  </conditionalFormatting>
  <conditionalFormatting sqref="C1270 D1269:AJ1270 A1269:B1270">
    <cfRule type="expression" dxfId="470" priority="11" stopIfTrue="1">
      <formula>$B$1270&gt;144</formula>
    </cfRule>
  </conditionalFormatting>
  <conditionalFormatting sqref="A4:J136 N4:AJ136">
    <cfRule type="expression" dxfId="469" priority="1" stopIfTrue="1">
      <formula>ROW()-3=$B$1270</formula>
    </cfRule>
  </conditionalFormatting>
  <conditionalFormatting sqref="D4:J136">
    <cfRule type="expression" dxfId="468" priority="2" stopIfTrue="1">
      <formula>OR(ROW()-3=$B$1270,D4&lt;0)</formula>
    </cfRule>
  </conditionalFormatting>
  <conditionalFormatting sqref="A1:XFD3">
    <cfRule type="expression" dxfId="467" priority="16" stopIfTrue="1">
      <formula>$B$1270&lt;0</formula>
    </cfRule>
  </conditionalFormatting>
  <conditionalFormatting sqref="A4:AJ136">
    <cfRule type="expression" dxfId="466" priority="3">
      <formula>$A4=73</formula>
    </cfRule>
    <cfRule type="expression" dxfId="465"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54" t="s">
        <v>309</v>
      </c>
      <c r="M1" s="5"/>
      <c r="N1" s="5"/>
      <c r="O1" s="5"/>
      <c r="P1" s="5"/>
      <c r="Q1" s="5"/>
      <c r="R1" s="5"/>
      <c r="S1" s="5"/>
      <c r="T1" s="5"/>
      <c r="U1" s="5"/>
      <c r="V1" s="5" t="s">
        <v>198</v>
      </c>
      <c r="W1" s="5"/>
      <c r="X1" s="5" t="s">
        <v>33</v>
      </c>
      <c r="Y1" s="5"/>
      <c r="Z1" s="5"/>
      <c r="AA1" s="5" t="s">
        <v>197</v>
      </c>
      <c r="AB1" s="5"/>
      <c r="AC1" s="5"/>
    </row>
    <row r="2" spans="1:29" x14ac:dyDescent="0.2">
      <c r="A2" s="5"/>
      <c r="B2" s="5"/>
      <c r="C2" s="5"/>
      <c r="D2" s="5"/>
      <c r="E2" s="5"/>
      <c r="F2" s="5"/>
      <c r="G2" s="5"/>
      <c r="H2" s="5"/>
      <c r="I2" s="5"/>
      <c r="J2" s="28"/>
      <c r="K2" s="5"/>
      <c r="L2" s="254"/>
      <c r="M2" s="5"/>
      <c r="N2" s="5"/>
      <c r="O2" s="5"/>
      <c r="P2" s="5"/>
      <c r="Q2" s="5"/>
      <c r="R2" s="5"/>
      <c r="S2" s="5"/>
      <c r="T2" s="5"/>
      <c r="U2" s="5"/>
      <c r="V2" s="5"/>
      <c r="W2" s="5"/>
      <c r="X2" s="5"/>
      <c r="Y2" s="5"/>
      <c r="Z2" s="5"/>
      <c r="AA2" s="5"/>
      <c r="AB2" s="5"/>
      <c r="AC2" s="5"/>
    </row>
    <row r="3" spans="1:29" ht="15" customHeight="1" x14ac:dyDescent="0.2">
      <c r="A3" s="143" t="s">
        <v>1</v>
      </c>
      <c r="B3" s="143" t="s">
        <v>55</v>
      </c>
      <c r="C3" s="143" t="s">
        <v>58</v>
      </c>
      <c r="D3" s="143" t="s">
        <v>182</v>
      </c>
      <c r="E3" s="143" t="s">
        <v>59</v>
      </c>
      <c r="F3" s="143" t="s">
        <v>60</v>
      </c>
      <c r="G3" s="143" t="s">
        <v>61</v>
      </c>
      <c r="H3" s="143" t="s">
        <v>62</v>
      </c>
      <c r="I3" s="143" t="s">
        <v>791</v>
      </c>
      <c r="J3" s="143" t="s">
        <v>0</v>
      </c>
      <c r="K3" s="143" t="s">
        <v>316</v>
      </c>
      <c r="L3" s="143" t="s">
        <v>1051</v>
      </c>
      <c r="M3" s="143" t="s">
        <v>1052</v>
      </c>
      <c r="N3" s="143" t="s">
        <v>1053</v>
      </c>
      <c r="O3" s="143" t="s">
        <v>1054</v>
      </c>
      <c r="P3" s="143" t="s">
        <v>1055</v>
      </c>
      <c r="Q3" s="143" t="s">
        <v>1056</v>
      </c>
      <c r="R3" s="143" t="s">
        <v>1057</v>
      </c>
      <c r="S3" s="143" t="s">
        <v>307</v>
      </c>
      <c r="T3" s="143" t="s">
        <v>199</v>
      </c>
      <c r="U3" s="143" t="s">
        <v>792</v>
      </c>
      <c r="V3" s="143" t="s">
        <v>2</v>
      </c>
      <c r="W3" s="143" t="s">
        <v>793</v>
      </c>
      <c r="X3" s="143" t="s">
        <v>57</v>
      </c>
      <c r="Y3" s="143" t="s">
        <v>922</v>
      </c>
      <c r="Z3" s="143" t="s">
        <v>809</v>
      </c>
      <c r="AA3" s="143" t="s">
        <v>265</v>
      </c>
      <c r="AB3" s="143" t="s">
        <v>810</v>
      </c>
      <c r="AC3" s="143" t="s">
        <v>195</v>
      </c>
    </row>
    <row r="4" spans="1:29" ht="12.75" customHeight="1" x14ac:dyDescent="0.2">
      <c r="A4" s="230">
        <f ca="1">TblConstr[[#This Row],[Land]]</f>
        <v>250</v>
      </c>
      <c r="B4" s="232">
        <f ca="1">TblConstr[[#This Row],[Plain]]</f>
        <v>40</v>
      </c>
      <c r="C4" s="190">
        <f ca="1">TblConstr[[#This Row],[Forest]]</f>
        <v>20</v>
      </c>
      <c r="D4" s="390">
        <f ca="1">TblConstr[[#This Row],[Mountain]]</f>
        <v>20</v>
      </c>
      <c r="E4" s="394">
        <f ca="1">TblConstr[[#This Row],[Hill]]</f>
        <v>20</v>
      </c>
      <c r="F4" s="398">
        <f ca="1">TblConstr[[#This Row],[Swamp]]</f>
        <v>20</v>
      </c>
      <c r="G4" s="193">
        <f ca="1">TblConstr[[#This Row],[Cavern]]</f>
        <v>20</v>
      </c>
      <c r="H4" s="194">
        <f ca="1">TblConstr[[#This Row],[Water]]</f>
        <v>20</v>
      </c>
      <c r="I4" s="231"/>
      <c r="J4" s="183">
        <v>1</v>
      </c>
      <c r="K4" s="255">
        <f>TblImps[[#This Row],[Real time]]</f>
        <v>44810.75</v>
      </c>
      <c r="L4" s="166"/>
      <c r="M4" s="166"/>
      <c r="N4" s="187"/>
      <c r="O4" s="166"/>
      <c r="P4" s="166"/>
      <c r="Q4" s="166"/>
      <c r="R4" s="166"/>
      <c r="S4" s="97">
        <f>SUMIF(TblRezone[[#This Row],[Plains Rezone]:[Water Rezone]],"&gt;0")</f>
        <v>0</v>
      </c>
      <c r="T4" s="62" t="str">
        <f>IF(SUM(TblRezone[[#This Row],[Plains Rezone]:[Water Rezone]])=0,"Ok","Nope")</f>
        <v>Ok</v>
      </c>
      <c r="U4" s="231"/>
      <c r="V4" s="97">
        <f ca="1">TblProd[[#This Row],[Platinum]]</f>
        <v>100000</v>
      </c>
      <c r="W4" s="231"/>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31"/>
      <c r="AA4" s="97">
        <f ca="1">250+0.6*(TblRezone[[#This Row],[Land]]-250)</f>
        <v>250</v>
      </c>
      <c r="AB4" s="231"/>
      <c r="AC4" s="165">
        <f ca="1">TblConstr[[#This Row],[Facs DB]]</f>
        <v>0</v>
      </c>
    </row>
    <row r="5" spans="1:29" x14ac:dyDescent="0.2">
      <c r="A5" s="230">
        <f ca="1">TblConstr[[#This Row],[Land]]</f>
        <v>250</v>
      </c>
      <c r="B5" s="232">
        <f ca="1">TblConstr[[#This Row],[Plain]]</f>
        <v>40</v>
      </c>
      <c r="C5" s="190">
        <f ca="1">TblConstr[[#This Row],[Forest]]</f>
        <v>20</v>
      </c>
      <c r="D5" s="390">
        <f ca="1">TblConstr[[#This Row],[Mountain]]</f>
        <v>20</v>
      </c>
      <c r="E5" s="394">
        <f ca="1">TblConstr[[#This Row],[Hill]]</f>
        <v>20</v>
      </c>
      <c r="F5" s="398">
        <f ca="1">TblConstr[[#This Row],[Swamp]]</f>
        <v>20</v>
      </c>
      <c r="G5" s="193">
        <f ca="1">TblConstr[[#This Row],[Cavern]]</f>
        <v>20</v>
      </c>
      <c r="H5" s="194">
        <f ca="1">TblConstr[[#This Row],[Water]]</f>
        <v>20</v>
      </c>
      <c r="I5" s="231"/>
      <c r="J5" s="183">
        <f t="shared" ref="J5:J15" si="0">J4+1</f>
        <v>2</v>
      </c>
      <c r="K5" s="255">
        <f ca="1">TblImps[[#This Row],[Real time]]</f>
        <v>44810.791666666664</v>
      </c>
      <c r="L5" s="187"/>
      <c r="M5" s="187"/>
      <c r="N5" s="187"/>
      <c r="O5" s="187"/>
      <c r="P5" s="187"/>
      <c r="Q5" s="187"/>
      <c r="R5" s="187"/>
      <c r="S5" s="97">
        <f>SUMIF(TblRezone[[#This Row],[Plains Rezone]:[Water Rezone]],"&gt;0")</f>
        <v>0</v>
      </c>
      <c r="T5" s="62" t="str">
        <f>IF(SUM(TblRezone[[#This Row],[Plains Rezone]:[Water Rezone]])=0,"Ok","Nope")</f>
        <v>Ok</v>
      </c>
      <c r="U5" s="231"/>
      <c r="V5" s="97">
        <f ca="1">TblProd[[#This Row],[Platinum]]</f>
        <v>104860</v>
      </c>
      <c r="W5" s="231"/>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31"/>
      <c r="AA5" s="97">
        <f ca="1">250+0.6*(TblRezone[[#This Row],[Land]]-250)</f>
        <v>250</v>
      </c>
      <c r="AB5" s="231"/>
      <c r="AC5" s="165">
        <f ca="1">TblConstr[[#This Row],[Facs DB]]</f>
        <v>0</v>
      </c>
    </row>
    <row r="6" spans="1:29" x14ac:dyDescent="0.2">
      <c r="A6" s="230">
        <f ca="1">TblConstr[[#This Row],[Land]]</f>
        <v>250</v>
      </c>
      <c r="B6" s="232">
        <f ca="1">TblConstr[[#This Row],[Plain]]</f>
        <v>40</v>
      </c>
      <c r="C6" s="190">
        <f ca="1">TblConstr[[#This Row],[Forest]]</f>
        <v>20</v>
      </c>
      <c r="D6" s="390">
        <f ca="1">TblConstr[[#This Row],[Mountain]]</f>
        <v>20</v>
      </c>
      <c r="E6" s="394">
        <f ca="1">TblConstr[[#This Row],[Hill]]</f>
        <v>20</v>
      </c>
      <c r="F6" s="398">
        <f ca="1">TblConstr[[#This Row],[Swamp]]</f>
        <v>20</v>
      </c>
      <c r="G6" s="193">
        <f ca="1">TblConstr[[#This Row],[Cavern]]</f>
        <v>20</v>
      </c>
      <c r="H6" s="194">
        <f ca="1">TblConstr[[#This Row],[Water]]</f>
        <v>20</v>
      </c>
      <c r="I6" s="231"/>
      <c r="J6" s="183">
        <f t="shared" si="0"/>
        <v>3</v>
      </c>
      <c r="K6" s="255">
        <f ca="1">TblImps[[#This Row],[Real time]]</f>
        <v>44810.833333333328</v>
      </c>
      <c r="L6" s="187"/>
      <c r="M6" s="187"/>
      <c r="N6" s="187"/>
      <c r="O6" s="187"/>
      <c r="P6" s="187"/>
      <c r="Q6" s="187"/>
      <c r="R6" s="187"/>
      <c r="S6" s="97">
        <f>SUMIF(TblRezone[[#This Row],[Plains Rezone]:[Water Rezone]],"&gt;0")</f>
        <v>0</v>
      </c>
      <c r="T6" s="62" t="str">
        <f>IF(SUM(TblRezone[[#This Row],[Plains Rezone]:[Water Rezone]])=0,"Ok","Nope")</f>
        <v>Ok</v>
      </c>
      <c r="U6" s="231"/>
      <c r="V6" s="97">
        <f ca="1">TblProd[[#This Row],[Platinum]]</f>
        <v>109790</v>
      </c>
      <c r="W6" s="231"/>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31"/>
      <c r="AA6" s="97">
        <f ca="1">250+0.6*(TblRezone[[#This Row],[Land]]-250)</f>
        <v>250</v>
      </c>
      <c r="AB6" s="231"/>
      <c r="AC6" s="165">
        <f ca="1">TblConstr[[#This Row],[Facs DB]]</f>
        <v>0</v>
      </c>
    </row>
    <row r="7" spans="1:29" x14ac:dyDescent="0.2">
      <c r="A7" s="230">
        <f ca="1">TblConstr[[#This Row],[Land]]</f>
        <v>250</v>
      </c>
      <c r="B7" s="232">
        <f ca="1">TblConstr[[#This Row],[Plain]]</f>
        <v>40</v>
      </c>
      <c r="C7" s="190">
        <f ca="1">TblConstr[[#This Row],[Forest]]</f>
        <v>20</v>
      </c>
      <c r="D7" s="390">
        <f ca="1">TblConstr[[#This Row],[Mountain]]</f>
        <v>20</v>
      </c>
      <c r="E7" s="394">
        <f ca="1">TblConstr[[#This Row],[Hill]]</f>
        <v>20</v>
      </c>
      <c r="F7" s="398">
        <f ca="1">TblConstr[[#This Row],[Swamp]]</f>
        <v>20</v>
      </c>
      <c r="G7" s="193">
        <f ca="1">TblConstr[[#This Row],[Cavern]]</f>
        <v>20</v>
      </c>
      <c r="H7" s="194">
        <f ca="1">TblConstr[[#This Row],[Water]]</f>
        <v>20</v>
      </c>
      <c r="I7" s="231"/>
      <c r="J7" s="183">
        <f t="shared" si="0"/>
        <v>4</v>
      </c>
      <c r="K7" s="255">
        <f ca="1">TblImps[[#This Row],[Real time]]</f>
        <v>44810.874999999993</v>
      </c>
      <c r="L7" s="187"/>
      <c r="M7" s="187"/>
      <c r="N7" s="187"/>
      <c r="O7" s="187"/>
      <c r="P7" s="187"/>
      <c r="Q7" s="187"/>
      <c r="R7" s="187"/>
      <c r="S7" s="97">
        <f>SUMIF(TblRezone[[#This Row],[Plains Rezone]:[Water Rezone]],"&gt;0")</f>
        <v>0</v>
      </c>
      <c r="T7" s="62" t="str">
        <f>IF(SUM(TblRezone[[#This Row],[Plains Rezone]:[Water Rezone]])=0,"Ok","Nope")</f>
        <v>Ok</v>
      </c>
      <c r="U7" s="231"/>
      <c r="V7" s="97">
        <f ca="1">TblProd[[#This Row],[Platinum]]</f>
        <v>114790</v>
      </c>
      <c r="W7" s="231"/>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31"/>
      <c r="AA7" s="97">
        <f ca="1">250+0.6*(TblRezone[[#This Row],[Land]]-250)</f>
        <v>250</v>
      </c>
      <c r="AB7" s="231"/>
      <c r="AC7" s="165">
        <f ca="1">TblConstr[[#This Row],[Facs DB]]</f>
        <v>0</v>
      </c>
    </row>
    <row r="8" spans="1:29" x14ac:dyDescent="0.2">
      <c r="A8" s="230">
        <f ca="1">TblConstr[[#This Row],[Land]]</f>
        <v>250</v>
      </c>
      <c r="B8" s="232">
        <f ca="1">TblConstr[[#This Row],[Plain]]</f>
        <v>40</v>
      </c>
      <c r="C8" s="190">
        <f ca="1">TblConstr[[#This Row],[Forest]]</f>
        <v>20</v>
      </c>
      <c r="D8" s="390">
        <f ca="1">TblConstr[[#This Row],[Mountain]]</f>
        <v>20</v>
      </c>
      <c r="E8" s="394">
        <f ca="1">TblConstr[[#This Row],[Hill]]</f>
        <v>20</v>
      </c>
      <c r="F8" s="398">
        <f ca="1">TblConstr[[#This Row],[Swamp]]</f>
        <v>20</v>
      </c>
      <c r="G8" s="193">
        <f ca="1">TblConstr[[#This Row],[Cavern]]</f>
        <v>20</v>
      </c>
      <c r="H8" s="194">
        <f ca="1">TblConstr[[#This Row],[Water]]</f>
        <v>20</v>
      </c>
      <c r="I8" s="231"/>
      <c r="J8" s="183">
        <f t="shared" si="0"/>
        <v>5</v>
      </c>
      <c r="K8" s="255">
        <f ca="1">TblImps[[#This Row],[Real time]]</f>
        <v>44810.916666666657</v>
      </c>
      <c r="L8" s="187"/>
      <c r="M8" s="187"/>
      <c r="N8" s="187"/>
      <c r="O8" s="187"/>
      <c r="P8" s="187"/>
      <c r="Q8" s="187"/>
      <c r="R8" s="187"/>
      <c r="S8" s="97">
        <f>SUMIF(TblRezone[[#This Row],[Plains Rezone]:[Water Rezone]],"&gt;0")</f>
        <v>0</v>
      </c>
      <c r="T8" s="62" t="str">
        <f>IF(SUM(TblRezone[[#This Row],[Plains Rezone]:[Water Rezone]])=0,"Ok","Nope")</f>
        <v>Ok</v>
      </c>
      <c r="U8" s="231"/>
      <c r="V8" s="97">
        <f ca="1">TblProd[[#This Row],[Platinum]]</f>
        <v>119860</v>
      </c>
      <c r="W8" s="231"/>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31"/>
      <c r="AA8" s="97">
        <f ca="1">250+0.6*(TblRezone[[#This Row],[Land]]-250)</f>
        <v>250</v>
      </c>
      <c r="AB8" s="231"/>
      <c r="AC8" s="165">
        <f ca="1">TblConstr[[#This Row],[Facs DB]]</f>
        <v>0</v>
      </c>
    </row>
    <row r="9" spans="1:29" x14ac:dyDescent="0.2">
      <c r="A9" s="230">
        <f ca="1">TblConstr[[#This Row],[Land]]</f>
        <v>250</v>
      </c>
      <c r="B9" s="232">
        <f ca="1">TblConstr[[#This Row],[Plain]]</f>
        <v>40</v>
      </c>
      <c r="C9" s="190">
        <f ca="1">TblConstr[[#This Row],[Forest]]</f>
        <v>20</v>
      </c>
      <c r="D9" s="390">
        <f ca="1">TblConstr[[#This Row],[Mountain]]</f>
        <v>20</v>
      </c>
      <c r="E9" s="394">
        <f ca="1">TblConstr[[#This Row],[Hill]]</f>
        <v>20</v>
      </c>
      <c r="F9" s="398">
        <f ca="1">TblConstr[[#This Row],[Swamp]]</f>
        <v>20</v>
      </c>
      <c r="G9" s="193">
        <f ca="1">TblConstr[[#This Row],[Cavern]]</f>
        <v>20</v>
      </c>
      <c r="H9" s="194">
        <f ca="1">TblConstr[[#This Row],[Water]]</f>
        <v>20</v>
      </c>
      <c r="I9" s="231"/>
      <c r="J9" s="183">
        <f t="shared" si="0"/>
        <v>6</v>
      </c>
      <c r="K9" s="255">
        <f ca="1">TblImps[[#This Row],[Real time]]</f>
        <v>44810.958333333321</v>
      </c>
      <c r="L9" s="187"/>
      <c r="M9" s="187"/>
      <c r="N9" s="187"/>
      <c r="O9" s="187"/>
      <c r="P9" s="187"/>
      <c r="Q9" s="187"/>
      <c r="R9" s="187"/>
      <c r="S9" s="97">
        <f>SUMIF(TblRezone[[#This Row],[Plains Rezone]:[Water Rezone]],"&gt;0")</f>
        <v>0</v>
      </c>
      <c r="T9" s="62" t="str">
        <f>IF(SUM(TblRezone[[#This Row],[Plains Rezone]:[Water Rezone]])=0,"Ok","Nope")</f>
        <v>Ok</v>
      </c>
      <c r="U9" s="231"/>
      <c r="V9" s="97">
        <f ca="1">TblProd[[#This Row],[Platinum]]</f>
        <v>125003</v>
      </c>
      <c r="W9" s="231"/>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31"/>
      <c r="AA9" s="97">
        <f ca="1">250+0.6*(TblRezone[[#This Row],[Land]]-250)</f>
        <v>250</v>
      </c>
      <c r="AB9" s="231"/>
      <c r="AC9" s="165">
        <f ca="1">TblConstr[[#This Row],[Facs DB]]</f>
        <v>0</v>
      </c>
    </row>
    <row r="10" spans="1:29" x14ac:dyDescent="0.2">
      <c r="A10" s="230">
        <f ca="1">TblConstr[[#This Row],[Land]]</f>
        <v>250</v>
      </c>
      <c r="B10" s="232">
        <f ca="1">TblConstr[[#This Row],[Plain]]</f>
        <v>40</v>
      </c>
      <c r="C10" s="190">
        <f ca="1">TblConstr[[#This Row],[Forest]]</f>
        <v>20</v>
      </c>
      <c r="D10" s="390">
        <f ca="1">TblConstr[[#This Row],[Mountain]]</f>
        <v>20</v>
      </c>
      <c r="E10" s="394">
        <f ca="1">TblConstr[[#This Row],[Hill]]</f>
        <v>20</v>
      </c>
      <c r="F10" s="398">
        <f ca="1">TblConstr[[#This Row],[Swamp]]</f>
        <v>20</v>
      </c>
      <c r="G10" s="193">
        <f ca="1">TblConstr[[#This Row],[Cavern]]</f>
        <v>20</v>
      </c>
      <c r="H10" s="194">
        <f ca="1">TblConstr[[#This Row],[Water]]</f>
        <v>20</v>
      </c>
      <c r="I10" s="231"/>
      <c r="J10" s="183">
        <f t="shared" si="0"/>
        <v>7</v>
      </c>
      <c r="K10" s="255">
        <f ca="1">TblImps[[#This Row],[Real time]]</f>
        <v>44810.999999999985</v>
      </c>
      <c r="L10" s="187"/>
      <c r="M10" s="187"/>
      <c r="N10" s="187"/>
      <c r="O10" s="187"/>
      <c r="P10" s="187"/>
      <c r="Q10" s="187"/>
      <c r="R10" s="187"/>
      <c r="S10" s="97">
        <f>SUMIF(TblRezone[[#This Row],[Plains Rezone]:[Water Rezone]],"&gt;0")</f>
        <v>0</v>
      </c>
      <c r="T10" s="62" t="str">
        <f>IF(SUM(TblRezone[[#This Row],[Plains Rezone]:[Water Rezone]])=0,"Ok","Nope")</f>
        <v>Ok</v>
      </c>
      <c r="U10" s="231"/>
      <c r="V10" s="97">
        <f ca="1">TblProd[[#This Row],[Platinum]]</f>
        <v>130222</v>
      </c>
      <c r="W10" s="231"/>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31"/>
      <c r="AA10" s="97">
        <f ca="1">250+0.6*(TblRezone[[#This Row],[Land]]-250)</f>
        <v>250</v>
      </c>
      <c r="AB10" s="231"/>
      <c r="AC10" s="165">
        <f ca="1">TblConstr[[#This Row],[Facs DB]]</f>
        <v>0</v>
      </c>
    </row>
    <row r="11" spans="1:29" x14ac:dyDescent="0.2">
      <c r="A11" s="230">
        <f ca="1">TblConstr[[#This Row],[Land]]</f>
        <v>250</v>
      </c>
      <c r="B11" s="232">
        <f ca="1">TblConstr[[#This Row],[Plain]]</f>
        <v>40</v>
      </c>
      <c r="C11" s="190">
        <f ca="1">TblConstr[[#This Row],[Forest]]</f>
        <v>20</v>
      </c>
      <c r="D11" s="390">
        <f ca="1">TblConstr[[#This Row],[Mountain]]</f>
        <v>20</v>
      </c>
      <c r="E11" s="394">
        <f ca="1">TblConstr[[#This Row],[Hill]]</f>
        <v>20</v>
      </c>
      <c r="F11" s="398">
        <f ca="1">TblConstr[[#This Row],[Swamp]]</f>
        <v>20</v>
      </c>
      <c r="G11" s="193">
        <f ca="1">TblConstr[[#This Row],[Cavern]]</f>
        <v>20</v>
      </c>
      <c r="H11" s="194">
        <f ca="1">TblConstr[[#This Row],[Water]]</f>
        <v>20</v>
      </c>
      <c r="I11" s="231"/>
      <c r="J11" s="183">
        <f t="shared" si="0"/>
        <v>8</v>
      </c>
      <c r="K11" s="255">
        <f ca="1">TblImps[[#This Row],[Real time]]</f>
        <v>44811.04166666665</v>
      </c>
      <c r="L11" s="187"/>
      <c r="M11" s="187"/>
      <c r="N11" s="187"/>
      <c r="O11" s="187"/>
      <c r="P11" s="187"/>
      <c r="Q11" s="187"/>
      <c r="R11" s="187"/>
      <c r="S11" s="97">
        <f>SUMIF(TblRezone[[#This Row],[Plains Rezone]:[Water Rezone]],"&gt;0")</f>
        <v>0</v>
      </c>
      <c r="T11" s="62" t="str">
        <f>IF(SUM(TblRezone[[#This Row],[Plains Rezone]:[Water Rezone]])=0,"Ok","Nope")</f>
        <v>Ok</v>
      </c>
      <c r="U11" s="231"/>
      <c r="V11" s="97">
        <f ca="1">TblProd[[#This Row],[Platinum]]</f>
        <v>135519</v>
      </c>
      <c r="W11" s="231"/>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31"/>
      <c r="AA11" s="97">
        <f ca="1">250+0.6*(TblRezone[[#This Row],[Land]]-250)</f>
        <v>250</v>
      </c>
      <c r="AB11" s="231"/>
      <c r="AC11" s="165">
        <f ca="1">TblConstr[[#This Row],[Facs DB]]</f>
        <v>0</v>
      </c>
    </row>
    <row r="12" spans="1:29" x14ac:dyDescent="0.2">
      <c r="A12" s="230">
        <f ca="1">TblConstr[[#This Row],[Land]]</f>
        <v>250</v>
      </c>
      <c r="B12" s="232">
        <f ca="1">TblConstr[[#This Row],[Plain]]</f>
        <v>40</v>
      </c>
      <c r="C12" s="190">
        <f ca="1">TblConstr[[#This Row],[Forest]]</f>
        <v>20</v>
      </c>
      <c r="D12" s="390">
        <f ca="1">TblConstr[[#This Row],[Mountain]]</f>
        <v>20</v>
      </c>
      <c r="E12" s="394">
        <f ca="1">TblConstr[[#This Row],[Hill]]</f>
        <v>20</v>
      </c>
      <c r="F12" s="398">
        <f ca="1">TblConstr[[#This Row],[Swamp]]</f>
        <v>20</v>
      </c>
      <c r="G12" s="193">
        <f ca="1">TblConstr[[#This Row],[Cavern]]</f>
        <v>20</v>
      </c>
      <c r="H12" s="194">
        <f ca="1">TblConstr[[#This Row],[Water]]</f>
        <v>20</v>
      </c>
      <c r="I12" s="231"/>
      <c r="J12" s="183">
        <f t="shared" si="0"/>
        <v>9</v>
      </c>
      <c r="K12" s="255">
        <f ca="1">TblImps[[#This Row],[Real time]]</f>
        <v>44811.083333333314</v>
      </c>
      <c r="L12" s="187"/>
      <c r="M12" s="187"/>
      <c r="N12" s="187"/>
      <c r="O12" s="187"/>
      <c r="P12" s="187"/>
      <c r="Q12" s="187"/>
      <c r="R12" s="187"/>
      <c r="S12" s="97">
        <f>SUMIF(TblRezone[[#This Row],[Plains Rezone]:[Water Rezone]],"&gt;0")</f>
        <v>0</v>
      </c>
      <c r="T12" s="62" t="str">
        <f>IF(SUM(TblRezone[[#This Row],[Plains Rezone]:[Water Rezone]])=0,"Ok","Nope")</f>
        <v>Ok</v>
      </c>
      <c r="U12" s="231"/>
      <c r="V12" s="97">
        <f ca="1">TblProd[[#This Row],[Platinum]]</f>
        <v>140892</v>
      </c>
      <c r="W12" s="231"/>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31"/>
      <c r="AA12" s="97">
        <f ca="1">250+0.6*(TblRezone[[#This Row],[Land]]-250)</f>
        <v>250</v>
      </c>
      <c r="AB12" s="231"/>
      <c r="AC12" s="165">
        <f ca="1">TblConstr[[#This Row],[Facs DB]]</f>
        <v>0</v>
      </c>
    </row>
    <row r="13" spans="1:29" x14ac:dyDescent="0.2">
      <c r="A13" s="230">
        <f ca="1">TblConstr[[#This Row],[Land]]</f>
        <v>250</v>
      </c>
      <c r="B13" s="232">
        <f ca="1">TblConstr[[#This Row],[Plain]]</f>
        <v>40</v>
      </c>
      <c r="C13" s="190">
        <f ca="1">TblConstr[[#This Row],[Forest]]</f>
        <v>20</v>
      </c>
      <c r="D13" s="390">
        <f ca="1">TblConstr[[#This Row],[Mountain]]</f>
        <v>20</v>
      </c>
      <c r="E13" s="394">
        <f ca="1">TblConstr[[#This Row],[Hill]]</f>
        <v>20</v>
      </c>
      <c r="F13" s="398">
        <f ca="1">TblConstr[[#This Row],[Swamp]]</f>
        <v>20</v>
      </c>
      <c r="G13" s="193">
        <f ca="1">TblConstr[[#This Row],[Cavern]]</f>
        <v>20</v>
      </c>
      <c r="H13" s="194">
        <f ca="1">TblConstr[[#This Row],[Water]]</f>
        <v>20</v>
      </c>
      <c r="I13" s="231"/>
      <c r="J13" s="183">
        <f t="shared" si="0"/>
        <v>10</v>
      </c>
      <c r="K13" s="255">
        <f ca="1">TblImps[[#This Row],[Real time]]</f>
        <v>44811.124999999978</v>
      </c>
      <c r="L13" s="187"/>
      <c r="M13" s="187"/>
      <c r="N13" s="187"/>
      <c r="O13" s="187"/>
      <c r="P13" s="187"/>
      <c r="Q13" s="187"/>
      <c r="R13" s="187"/>
      <c r="S13" s="97">
        <f>SUMIF(TblRezone[[#This Row],[Plains Rezone]:[Water Rezone]],"&gt;0")</f>
        <v>0</v>
      </c>
      <c r="T13" s="62" t="str">
        <f>IF(SUM(TblRezone[[#This Row],[Plains Rezone]:[Water Rezone]])=0,"Ok","Nope")</f>
        <v>Ok</v>
      </c>
      <c r="U13" s="231"/>
      <c r="V13" s="97">
        <f ca="1">TblProd[[#This Row],[Platinum]]</f>
        <v>146343</v>
      </c>
      <c r="W13" s="231"/>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31"/>
      <c r="AA13" s="97">
        <f ca="1">250+0.6*(TblRezone[[#This Row],[Land]]-250)</f>
        <v>250</v>
      </c>
      <c r="AB13" s="231"/>
      <c r="AC13" s="165">
        <f ca="1">TblConstr[[#This Row],[Facs DB]]</f>
        <v>0</v>
      </c>
    </row>
    <row r="14" spans="1:29" x14ac:dyDescent="0.2">
      <c r="A14" s="230">
        <f ca="1">TblConstr[[#This Row],[Land]]</f>
        <v>250</v>
      </c>
      <c r="B14" s="232">
        <f ca="1">TblConstr[[#This Row],[Plain]]</f>
        <v>40</v>
      </c>
      <c r="C14" s="190">
        <f ca="1">TblConstr[[#This Row],[Forest]]</f>
        <v>20</v>
      </c>
      <c r="D14" s="390">
        <f ca="1">TblConstr[[#This Row],[Mountain]]</f>
        <v>20</v>
      </c>
      <c r="E14" s="394">
        <f ca="1">TblConstr[[#This Row],[Hill]]</f>
        <v>20</v>
      </c>
      <c r="F14" s="398">
        <f ca="1">TblConstr[[#This Row],[Swamp]]</f>
        <v>20</v>
      </c>
      <c r="G14" s="193">
        <f ca="1">TblConstr[[#This Row],[Cavern]]</f>
        <v>20</v>
      </c>
      <c r="H14" s="194">
        <f ca="1">TblConstr[[#This Row],[Water]]</f>
        <v>20</v>
      </c>
      <c r="I14" s="231"/>
      <c r="J14" s="183">
        <f t="shared" si="0"/>
        <v>11</v>
      </c>
      <c r="K14" s="255">
        <f ca="1">TblImps[[#This Row],[Real time]]</f>
        <v>44811.166666666642</v>
      </c>
      <c r="L14" s="187"/>
      <c r="M14" s="187"/>
      <c r="N14" s="187"/>
      <c r="O14" s="187"/>
      <c r="P14" s="187"/>
      <c r="Q14" s="187"/>
      <c r="R14" s="187"/>
      <c r="S14" s="97">
        <f>SUMIF(TblRezone[[#This Row],[Plains Rezone]:[Water Rezone]],"&gt;0")</f>
        <v>0</v>
      </c>
      <c r="T14" s="62" t="str">
        <f>IF(SUM(TblRezone[[#This Row],[Plains Rezone]:[Water Rezone]])=0,"Ok","Nope")</f>
        <v>Ok</v>
      </c>
      <c r="U14" s="231"/>
      <c r="V14" s="97">
        <f ca="1">TblProd[[#This Row],[Platinum]]</f>
        <v>151875</v>
      </c>
      <c r="W14" s="231"/>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31"/>
      <c r="AA14" s="97">
        <f ca="1">250+0.6*(TblRezone[[#This Row],[Land]]-250)</f>
        <v>250</v>
      </c>
      <c r="AB14" s="231"/>
      <c r="AC14" s="165">
        <f ca="1">TblConstr[[#This Row],[Facs DB]]</f>
        <v>0</v>
      </c>
    </row>
    <row r="15" spans="1:29" x14ac:dyDescent="0.2">
      <c r="A15" s="230">
        <f ca="1">TblConstr[[#This Row],[Land]]</f>
        <v>250</v>
      </c>
      <c r="B15" s="232">
        <f ca="1">TblConstr[[#This Row],[Plain]]</f>
        <v>40</v>
      </c>
      <c r="C15" s="190">
        <f ca="1">TblConstr[[#This Row],[Forest]]</f>
        <v>20</v>
      </c>
      <c r="D15" s="390">
        <f ca="1">TblConstr[[#This Row],[Mountain]]</f>
        <v>20</v>
      </c>
      <c r="E15" s="394">
        <f ca="1">TblConstr[[#This Row],[Hill]]</f>
        <v>20</v>
      </c>
      <c r="F15" s="398">
        <f ca="1">TblConstr[[#This Row],[Swamp]]</f>
        <v>20</v>
      </c>
      <c r="G15" s="193">
        <f ca="1">TblConstr[[#This Row],[Cavern]]</f>
        <v>20</v>
      </c>
      <c r="H15" s="194">
        <f ca="1">TblConstr[[#This Row],[Water]]</f>
        <v>20</v>
      </c>
      <c r="I15" s="231"/>
      <c r="J15" s="183">
        <f t="shared" si="0"/>
        <v>12</v>
      </c>
      <c r="K15" s="255">
        <f ca="1">TblImps[[#This Row],[Real time]]</f>
        <v>44811.208333333307</v>
      </c>
      <c r="L15" s="187"/>
      <c r="M15" s="187"/>
      <c r="N15" s="187"/>
      <c r="O15" s="187"/>
      <c r="P15" s="187"/>
      <c r="Q15" s="187"/>
      <c r="R15" s="187"/>
      <c r="S15" s="97">
        <f>SUMIF(TblRezone[[#This Row],[Plains Rezone]:[Water Rezone]],"&gt;0")</f>
        <v>0</v>
      </c>
      <c r="T15" s="62" t="str">
        <f>IF(SUM(TblRezone[[#This Row],[Plains Rezone]:[Water Rezone]])=0,"Ok","Nope")</f>
        <v>Ok</v>
      </c>
      <c r="U15" s="231"/>
      <c r="V15" s="97">
        <f ca="1">TblProd[[#This Row],[Platinum]]</f>
        <v>157491</v>
      </c>
      <c r="W15" s="231"/>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31"/>
      <c r="AA15" s="97">
        <f ca="1">250+0.6*(TblRezone[[#This Row],[Land]]-250)</f>
        <v>250</v>
      </c>
      <c r="AB15" s="231"/>
      <c r="AC15" s="165">
        <f ca="1">TblConstr[[#This Row],[Facs DB]]</f>
        <v>0</v>
      </c>
    </row>
    <row r="16" spans="1:29" x14ac:dyDescent="0.2">
      <c r="A16" s="230">
        <f ca="1">TblConstr[[#This Row],[Land]]</f>
        <v>250</v>
      </c>
      <c r="B16" s="232">
        <f ca="1">TblConstr[[#This Row],[Plain]]</f>
        <v>40</v>
      </c>
      <c r="C16" s="190">
        <f ca="1">TblConstr[[#This Row],[Forest]]</f>
        <v>20</v>
      </c>
      <c r="D16" s="390">
        <f ca="1">TblConstr[[#This Row],[Mountain]]</f>
        <v>20</v>
      </c>
      <c r="E16" s="394">
        <f ca="1">TblConstr[[#This Row],[Hill]]</f>
        <v>20</v>
      </c>
      <c r="F16" s="398">
        <f ca="1">TblConstr[[#This Row],[Swamp]]</f>
        <v>20</v>
      </c>
      <c r="G16" s="193">
        <f ca="1">TblConstr[[#This Row],[Cavern]]</f>
        <v>20</v>
      </c>
      <c r="H16" s="194">
        <f ca="1">TblConstr[[#This Row],[Water]]</f>
        <v>20</v>
      </c>
      <c r="I16" s="231"/>
      <c r="J16" s="183">
        <f>J15+1</f>
        <v>13</v>
      </c>
      <c r="K16" s="255">
        <f ca="1">TblImps[[#This Row],[Real time]]</f>
        <v>44811.249999999971</v>
      </c>
      <c r="L16" s="166"/>
      <c r="M16" s="166"/>
      <c r="N16" s="187"/>
      <c r="O16" s="187"/>
      <c r="P16" s="187"/>
      <c r="Q16" s="166"/>
      <c r="R16" s="166"/>
      <c r="S16" s="97">
        <f>SUMIF(TblRezone[[#This Row],[Plains Rezone]:[Water Rezone]],"&gt;0")</f>
        <v>0</v>
      </c>
      <c r="T16" s="62" t="str">
        <f>IF(SUM(TblRezone[[#This Row],[Plains Rezone]:[Water Rezone]])=0,"Ok","Nope")</f>
        <v>Ok</v>
      </c>
      <c r="U16" s="231"/>
      <c r="V16" s="97">
        <f ca="1">TblProd[[#This Row],[Platinum]]</f>
        <v>163161</v>
      </c>
      <c r="W16" s="231"/>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31"/>
      <c r="AA16" s="97">
        <f ca="1">250+0.6*(TblRezone[[#This Row],[Land]]-250)</f>
        <v>250</v>
      </c>
      <c r="AB16" s="231"/>
      <c r="AC16" s="165">
        <f ca="1">TblConstr[[#This Row],[Facs DB]]</f>
        <v>0</v>
      </c>
    </row>
    <row r="17" spans="1:29" x14ac:dyDescent="0.2">
      <c r="A17" s="230">
        <f ca="1">TblConstr[[#This Row],[Land]]</f>
        <v>250</v>
      </c>
      <c r="B17" s="232">
        <f ca="1">TblConstr[[#This Row],[Plain]]</f>
        <v>40</v>
      </c>
      <c r="C17" s="190">
        <f ca="1">TblConstr[[#This Row],[Forest]]</f>
        <v>20</v>
      </c>
      <c r="D17" s="390">
        <f ca="1">TblConstr[[#This Row],[Mountain]]</f>
        <v>20</v>
      </c>
      <c r="E17" s="394">
        <f ca="1">TblConstr[[#This Row],[Hill]]</f>
        <v>20</v>
      </c>
      <c r="F17" s="398">
        <f ca="1">TblConstr[[#This Row],[Swamp]]</f>
        <v>20</v>
      </c>
      <c r="G17" s="193">
        <f ca="1">TblConstr[[#This Row],[Cavern]]</f>
        <v>20</v>
      </c>
      <c r="H17" s="194">
        <f ca="1">TblConstr[[#This Row],[Water]]</f>
        <v>20</v>
      </c>
      <c r="I17" s="231"/>
      <c r="J17" s="183">
        <f t="shared" ref="J17:J76" si="1">J16+1</f>
        <v>14</v>
      </c>
      <c r="K17" s="255">
        <f ca="1">TblImps[[#This Row],[Real time]]</f>
        <v>44811.291666666635</v>
      </c>
      <c r="L17" s="187"/>
      <c r="M17" s="187"/>
      <c r="N17" s="187"/>
      <c r="O17" s="187"/>
      <c r="P17" s="187"/>
      <c r="Q17" s="187"/>
      <c r="R17" s="187"/>
      <c r="S17" s="97">
        <f>SUMIF(TblRezone[[#This Row],[Plains Rezone]:[Water Rezone]],"&gt;0")</f>
        <v>0</v>
      </c>
      <c r="T17" s="62" t="str">
        <f>IF(SUM(TblRezone[[#This Row],[Plains Rezone]:[Water Rezone]])=0,"Ok","Nope")</f>
        <v>Ok</v>
      </c>
      <c r="U17" s="231"/>
      <c r="V17" s="97">
        <f ca="1">TblProd[[#This Row],[Platinum]]</f>
        <v>168831</v>
      </c>
      <c r="W17" s="231"/>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31"/>
      <c r="AA17" s="97">
        <f ca="1">250+0.6*(TblRezone[[#This Row],[Land]]-250)</f>
        <v>250</v>
      </c>
      <c r="AB17" s="231"/>
      <c r="AC17" s="165">
        <f ca="1">TblConstr[[#This Row],[Facs DB]]</f>
        <v>0</v>
      </c>
    </row>
    <row r="18" spans="1:29" x14ac:dyDescent="0.2">
      <c r="A18" s="230">
        <f ca="1">TblConstr[[#This Row],[Land]]</f>
        <v>250</v>
      </c>
      <c r="B18" s="232">
        <f ca="1">TblConstr[[#This Row],[Plain]]</f>
        <v>40</v>
      </c>
      <c r="C18" s="190">
        <f ca="1">TblConstr[[#This Row],[Forest]]</f>
        <v>20</v>
      </c>
      <c r="D18" s="390">
        <f ca="1">TblConstr[[#This Row],[Mountain]]</f>
        <v>20</v>
      </c>
      <c r="E18" s="394">
        <f ca="1">TblConstr[[#This Row],[Hill]]</f>
        <v>20</v>
      </c>
      <c r="F18" s="398">
        <f ca="1">TblConstr[[#This Row],[Swamp]]</f>
        <v>20</v>
      </c>
      <c r="G18" s="193">
        <f ca="1">TblConstr[[#This Row],[Cavern]]</f>
        <v>20</v>
      </c>
      <c r="H18" s="194">
        <f ca="1">TblConstr[[#This Row],[Water]]</f>
        <v>20</v>
      </c>
      <c r="I18" s="231"/>
      <c r="J18" s="183">
        <f t="shared" si="1"/>
        <v>15</v>
      </c>
      <c r="K18" s="255">
        <f ca="1">TblImps[[#This Row],[Real time]]</f>
        <v>44811.333333333299</v>
      </c>
      <c r="L18" s="187"/>
      <c r="M18" s="187"/>
      <c r="N18" s="187"/>
      <c r="O18" s="187"/>
      <c r="P18" s="187"/>
      <c r="Q18" s="187"/>
      <c r="R18" s="187"/>
      <c r="S18" s="97">
        <f>SUMIF(TblRezone[[#This Row],[Plains Rezone]:[Water Rezone]],"&gt;0")</f>
        <v>0</v>
      </c>
      <c r="T18" s="62" t="str">
        <f>IF(SUM(TblRezone[[#This Row],[Plains Rezone]:[Water Rezone]])=0,"Ok","Nope")</f>
        <v>Ok</v>
      </c>
      <c r="U18" s="231"/>
      <c r="V18" s="97">
        <f ca="1">TblProd[[#This Row],[Platinum]]</f>
        <v>174501</v>
      </c>
      <c r="W18" s="231"/>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31"/>
      <c r="AA18" s="97">
        <f ca="1">250+0.6*(TblRezone[[#This Row],[Land]]-250)</f>
        <v>250</v>
      </c>
      <c r="AB18" s="231"/>
      <c r="AC18" s="165">
        <f ca="1">TblConstr[[#This Row],[Facs DB]]</f>
        <v>0</v>
      </c>
    </row>
    <row r="19" spans="1:29" x14ac:dyDescent="0.2">
      <c r="A19" s="230">
        <f ca="1">TblConstr[[#This Row],[Land]]</f>
        <v>250</v>
      </c>
      <c r="B19" s="232">
        <f ca="1">TblConstr[[#This Row],[Plain]]</f>
        <v>40</v>
      </c>
      <c r="C19" s="190">
        <f ca="1">TblConstr[[#This Row],[Forest]]</f>
        <v>20</v>
      </c>
      <c r="D19" s="390">
        <f ca="1">TblConstr[[#This Row],[Mountain]]</f>
        <v>20</v>
      </c>
      <c r="E19" s="394">
        <f ca="1">TblConstr[[#This Row],[Hill]]</f>
        <v>20</v>
      </c>
      <c r="F19" s="398">
        <f ca="1">TblConstr[[#This Row],[Swamp]]</f>
        <v>20</v>
      </c>
      <c r="G19" s="193">
        <f ca="1">TblConstr[[#This Row],[Cavern]]</f>
        <v>20</v>
      </c>
      <c r="H19" s="194">
        <f ca="1">TblConstr[[#This Row],[Water]]</f>
        <v>20</v>
      </c>
      <c r="I19" s="231"/>
      <c r="J19" s="183">
        <f t="shared" si="1"/>
        <v>16</v>
      </c>
      <c r="K19" s="255">
        <f ca="1">TblImps[[#This Row],[Real time]]</f>
        <v>44811.374999999964</v>
      </c>
      <c r="L19" s="187"/>
      <c r="M19" s="187"/>
      <c r="N19" s="187"/>
      <c r="O19" s="187"/>
      <c r="P19" s="187"/>
      <c r="Q19" s="187"/>
      <c r="R19" s="187"/>
      <c r="S19" s="97">
        <f>SUMIF(TblRezone[[#This Row],[Plains Rezone]:[Water Rezone]],"&gt;0")</f>
        <v>0</v>
      </c>
      <c r="T19" s="62" t="str">
        <f>IF(SUM(TblRezone[[#This Row],[Plains Rezone]:[Water Rezone]])=0,"Ok","Nope")</f>
        <v>Ok</v>
      </c>
      <c r="U19" s="231"/>
      <c r="V19" s="97">
        <f ca="1">TblProd[[#This Row],[Platinum]]</f>
        <v>180171</v>
      </c>
      <c r="W19" s="231"/>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31"/>
      <c r="AA19" s="97">
        <f ca="1">250+0.6*(TblRezone[[#This Row],[Land]]-250)</f>
        <v>250</v>
      </c>
      <c r="AB19" s="231"/>
      <c r="AC19" s="165">
        <f ca="1">TblConstr[[#This Row],[Facs DB]]</f>
        <v>0</v>
      </c>
    </row>
    <row r="20" spans="1:29" x14ac:dyDescent="0.2">
      <c r="A20" s="230">
        <f ca="1">TblConstr[[#This Row],[Land]]</f>
        <v>250</v>
      </c>
      <c r="B20" s="232">
        <f ca="1">TblConstr[[#This Row],[Plain]]</f>
        <v>40</v>
      </c>
      <c r="C20" s="190">
        <f ca="1">TblConstr[[#This Row],[Forest]]</f>
        <v>20</v>
      </c>
      <c r="D20" s="390">
        <f ca="1">TblConstr[[#This Row],[Mountain]]</f>
        <v>20</v>
      </c>
      <c r="E20" s="394">
        <f ca="1">TblConstr[[#This Row],[Hill]]</f>
        <v>20</v>
      </c>
      <c r="F20" s="398">
        <f ca="1">TblConstr[[#This Row],[Swamp]]</f>
        <v>20</v>
      </c>
      <c r="G20" s="193">
        <f ca="1">TblConstr[[#This Row],[Cavern]]</f>
        <v>20</v>
      </c>
      <c r="H20" s="194">
        <f ca="1">TblConstr[[#This Row],[Water]]</f>
        <v>20</v>
      </c>
      <c r="I20" s="231"/>
      <c r="J20" s="183">
        <f t="shared" si="1"/>
        <v>17</v>
      </c>
      <c r="K20" s="255">
        <f ca="1">TblImps[[#This Row],[Real time]]</f>
        <v>44811.416666666628</v>
      </c>
      <c r="L20" s="187"/>
      <c r="M20" s="187"/>
      <c r="N20" s="187"/>
      <c r="O20" s="187"/>
      <c r="P20" s="187"/>
      <c r="Q20" s="187"/>
      <c r="R20" s="187"/>
      <c r="S20" s="97">
        <f>SUMIF(TblRezone[[#This Row],[Plains Rezone]:[Water Rezone]],"&gt;0")</f>
        <v>0</v>
      </c>
      <c r="T20" s="62" t="str">
        <f>IF(SUM(TblRezone[[#This Row],[Plains Rezone]:[Water Rezone]])=0,"Ok","Nope")</f>
        <v>Ok</v>
      </c>
      <c r="U20" s="231"/>
      <c r="V20" s="97">
        <f ca="1">TblProd[[#This Row],[Platinum]]</f>
        <v>185841</v>
      </c>
      <c r="W20" s="231"/>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31"/>
      <c r="AA20" s="97">
        <f ca="1">250+0.6*(TblRezone[[#This Row],[Land]]-250)</f>
        <v>250</v>
      </c>
      <c r="AB20" s="231"/>
      <c r="AC20" s="165">
        <f ca="1">TblConstr[[#This Row],[Facs DB]]</f>
        <v>0</v>
      </c>
    </row>
    <row r="21" spans="1:29" x14ac:dyDescent="0.2">
      <c r="A21" s="230">
        <f ca="1">TblConstr[[#This Row],[Land]]</f>
        <v>250</v>
      </c>
      <c r="B21" s="232">
        <f ca="1">TblConstr[[#This Row],[Plain]]</f>
        <v>40</v>
      </c>
      <c r="C21" s="190">
        <f ca="1">TblConstr[[#This Row],[Forest]]</f>
        <v>20</v>
      </c>
      <c r="D21" s="390">
        <f ca="1">TblConstr[[#This Row],[Mountain]]</f>
        <v>20</v>
      </c>
      <c r="E21" s="394">
        <f ca="1">TblConstr[[#This Row],[Hill]]</f>
        <v>20</v>
      </c>
      <c r="F21" s="398">
        <f ca="1">TblConstr[[#This Row],[Swamp]]</f>
        <v>20</v>
      </c>
      <c r="G21" s="193">
        <f ca="1">TblConstr[[#This Row],[Cavern]]</f>
        <v>20</v>
      </c>
      <c r="H21" s="194">
        <f ca="1">TblConstr[[#This Row],[Water]]</f>
        <v>20</v>
      </c>
      <c r="I21" s="231"/>
      <c r="J21" s="183">
        <f t="shared" si="1"/>
        <v>18</v>
      </c>
      <c r="K21" s="255">
        <f ca="1">TblImps[[#This Row],[Real time]]</f>
        <v>44811.458333333292</v>
      </c>
      <c r="L21" s="187"/>
      <c r="M21" s="187"/>
      <c r="N21" s="187"/>
      <c r="O21" s="187"/>
      <c r="P21" s="187"/>
      <c r="Q21" s="187"/>
      <c r="R21" s="187"/>
      <c r="S21" s="97">
        <f>SUMIF(TblRezone[[#This Row],[Plains Rezone]:[Water Rezone]],"&gt;0")</f>
        <v>0</v>
      </c>
      <c r="T21" s="62" t="str">
        <f>IF(SUM(TblRezone[[#This Row],[Plains Rezone]:[Water Rezone]])=0,"Ok","Nope")</f>
        <v>Ok</v>
      </c>
      <c r="U21" s="231"/>
      <c r="V21" s="97">
        <f ca="1">TblProd[[#This Row],[Platinum]]</f>
        <v>191511</v>
      </c>
      <c r="W21" s="231"/>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31"/>
      <c r="AA21" s="97">
        <f ca="1">250+0.6*(TblRezone[[#This Row],[Land]]-250)</f>
        <v>250</v>
      </c>
      <c r="AB21" s="231"/>
      <c r="AC21" s="165">
        <f ca="1">TblConstr[[#This Row],[Facs DB]]</f>
        <v>0</v>
      </c>
    </row>
    <row r="22" spans="1:29" x14ac:dyDescent="0.2">
      <c r="A22" s="230">
        <f ca="1">TblConstr[[#This Row],[Land]]</f>
        <v>250</v>
      </c>
      <c r="B22" s="232">
        <f ca="1">TblConstr[[#This Row],[Plain]]</f>
        <v>40</v>
      </c>
      <c r="C22" s="190">
        <f ca="1">TblConstr[[#This Row],[Forest]]</f>
        <v>20</v>
      </c>
      <c r="D22" s="390">
        <f ca="1">TblConstr[[#This Row],[Mountain]]</f>
        <v>20</v>
      </c>
      <c r="E22" s="394">
        <f ca="1">TblConstr[[#This Row],[Hill]]</f>
        <v>20</v>
      </c>
      <c r="F22" s="398">
        <f ca="1">TblConstr[[#This Row],[Swamp]]</f>
        <v>20</v>
      </c>
      <c r="G22" s="193">
        <f ca="1">TblConstr[[#This Row],[Cavern]]</f>
        <v>20</v>
      </c>
      <c r="H22" s="194">
        <f ca="1">TblConstr[[#This Row],[Water]]</f>
        <v>20</v>
      </c>
      <c r="I22" s="231"/>
      <c r="J22" s="183">
        <f t="shared" si="1"/>
        <v>19</v>
      </c>
      <c r="K22" s="255">
        <f ca="1">TblImps[[#This Row],[Real time]]</f>
        <v>44811.499999999956</v>
      </c>
      <c r="L22" s="187"/>
      <c r="M22" s="187"/>
      <c r="N22" s="187"/>
      <c r="O22" s="187"/>
      <c r="P22" s="187"/>
      <c r="Q22" s="187"/>
      <c r="R22" s="187"/>
      <c r="S22" s="97">
        <f>SUMIF(TblRezone[[#This Row],[Plains Rezone]:[Water Rezone]],"&gt;0")</f>
        <v>0</v>
      </c>
      <c r="T22" s="62" t="str">
        <f>IF(SUM(TblRezone[[#This Row],[Plains Rezone]:[Water Rezone]])=0,"Ok","Nope")</f>
        <v>Ok</v>
      </c>
      <c r="U22" s="231"/>
      <c r="V22" s="97">
        <f ca="1">TblProd[[#This Row],[Platinum]]</f>
        <v>197181</v>
      </c>
      <c r="W22" s="231"/>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31"/>
      <c r="AA22" s="97">
        <f ca="1">250+0.6*(TblRezone[[#This Row],[Land]]-250)</f>
        <v>250</v>
      </c>
      <c r="AB22" s="231"/>
      <c r="AC22" s="165">
        <f ca="1">TblConstr[[#This Row],[Facs DB]]</f>
        <v>0</v>
      </c>
    </row>
    <row r="23" spans="1:29" x14ac:dyDescent="0.2">
      <c r="A23" s="230">
        <f ca="1">TblConstr[[#This Row],[Land]]</f>
        <v>250</v>
      </c>
      <c r="B23" s="232">
        <f ca="1">TblConstr[[#This Row],[Plain]]</f>
        <v>40</v>
      </c>
      <c r="C23" s="190">
        <f ca="1">TblConstr[[#This Row],[Forest]]</f>
        <v>20</v>
      </c>
      <c r="D23" s="390">
        <f ca="1">TblConstr[[#This Row],[Mountain]]</f>
        <v>20</v>
      </c>
      <c r="E23" s="394">
        <f ca="1">TblConstr[[#This Row],[Hill]]</f>
        <v>20</v>
      </c>
      <c r="F23" s="398">
        <f ca="1">TblConstr[[#This Row],[Swamp]]</f>
        <v>20</v>
      </c>
      <c r="G23" s="193">
        <f ca="1">TblConstr[[#This Row],[Cavern]]</f>
        <v>20</v>
      </c>
      <c r="H23" s="194">
        <f ca="1">TblConstr[[#This Row],[Water]]</f>
        <v>20</v>
      </c>
      <c r="I23" s="231"/>
      <c r="J23" s="183">
        <f t="shared" si="1"/>
        <v>20</v>
      </c>
      <c r="K23" s="255">
        <f ca="1">TblImps[[#This Row],[Real time]]</f>
        <v>44811.541666666621</v>
      </c>
      <c r="L23" s="187"/>
      <c r="M23" s="187"/>
      <c r="N23" s="187"/>
      <c r="O23" s="187"/>
      <c r="P23" s="187"/>
      <c r="Q23" s="187"/>
      <c r="R23" s="187"/>
      <c r="S23" s="97">
        <f>SUMIF(TblRezone[[#This Row],[Plains Rezone]:[Water Rezone]],"&gt;0")</f>
        <v>0</v>
      </c>
      <c r="T23" s="62" t="str">
        <f>IF(SUM(TblRezone[[#This Row],[Plains Rezone]:[Water Rezone]])=0,"Ok","Nope")</f>
        <v>Ok</v>
      </c>
      <c r="U23" s="231"/>
      <c r="V23" s="97">
        <f ca="1">TblProd[[#This Row],[Platinum]]</f>
        <v>202851</v>
      </c>
      <c r="W23" s="231"/>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31"/>
      <c r="AA23" s="97">
        <f ca="1">250+0.6*(TblRezone[[#This Row],[Land]]-250)</f>
        <v>250</v>
      </c>
      <c r="AB23" s="231"/>
      <c r="AC23" s="165">
        <f ca="1">TblConstr[[#This Row],[Facs DB]]</f>
        <v>0</v>
      </c>
    </row>
    <row r="24" spans="1:29" x14ac:dyDescent="0.2">
      <c r="A24" s="230">
        <f ca="1">TblConstr[[#This Row],[Land]]</f>
        <v>250</v>
      </c>
      <c r="B24" s="232">
        <f ca="1">TblConstr[[#This Row],[Plain]]</f>
        <v>40</v>
      </c>
      <c r="C24" s="190">
        <f ca="1">TblConstr[[#This Row],[Forest]]</f>
        <v>20</v>
      </c>
      <c r="D24" s="390">
        <f ca="1">TblConstr[[#This Row],[Mountain]]</f>
        <v>20</v>
      </c>
      <c r="E24" s="394">
        <f ca="1">TblConstr[[#This Row],[Hill]]</f>
        <v>20</v>
      </c>
      <c r="F24" s="398">
        <f ca="1">TblConstr[[#This Row],[Swamp]]</f>
        <v>20</v>
      </c>
      <c r="G24" s="193">
        <f ca="1">TblConstr[[#This Row],[Cavern]]</f>
        <v>20</v>
      </c>
      <c r="H24" s="194">
        <f ca="1">TblConstr[[#This Row],[Water]]</f>
        <v>20</v>
      </c>
      <c r="I24" s="231"/>
      <c r="J24" s="183">
        <f t="shared" si="1"/>
        <v>21</v>
      </c>
      <c r="K24" s="255">
        <f ca="1">TblImps[[#This Row],[Real time]]</f>
        <v>44811.583333333285</v>
      </c>
      <c r="L24" s="187"/>
      <c r="M24" s="187"/>
      <c r="N24" s="187"/>
      <c r="O24" s="187"/>
      <c r="P24" s="187"/>
      <c r="Q24" s="187"/>
      <c r="R24" s="187"/>
      <c r="S24" s="97">
        <f>SUMIF(TblRezone[[#This Row],[Plains Rezone]:[Water Rezone]],"&gt;0")</f>
        <v>0</v>
      </c>
      <c r="T24" s="62" t="str">
        <f>IF(SUM(TblRezone[[#This Row],[Plains Rezone]:[Water Rezone]])=0,"Ok","Nope")</f>
        <v>Ok</v>
      </c>
      <c r="U24" s="231"/>
      <c r="V24" s="97">
        <f ca="1">TblProd[[#This Row],[Platinum]]</f>
        <v>208521</v>
      </c>
      <c r="W24" s="231"/>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31"/>
      <c r="AA24" s="97">
        <f ca="1">250+0.6*(TblRezone[[#This Row],[Land]]-250)</f>
        <v>250</v>
      </c>
      <c r="AB24" s="231"/>
      <c r="AC24" s="165">
        <f ca="1">TblConstr[[#This Row],[Facs DB]]</f>
        <v>0</v>
      </c>
    </row>
    <row r="25" spans="1:29" x14ac:dyDescent="0.2">
      <c r="A25" s="230">
        <f ca="1">TblConstr[[#This Row],[Land]]</f>
        <v>250</v>
      </c>
      <c r="B25" s="232">
        <f ca="1">TblConstr[[#This Row],[Plain]]</f>
        <v>40</v>
      </c>
      <c r="C25" s="190">
        <f ca="1">TblConstr[[#This Row],[Forest]]</f>
        <v>20</v>
      </c>
      <c r="D25" s="390">
        <f ca="1">TblConstr[[#This Row],[Mountain]]</f>
        <v>20</v>
      </c>
      <c r="E25" s="394">
        <f ca="1">TblConstr[[#This Row],[Hill]]</f>
        <v>20</v>
      </c>
      <c r="F25" s="398">
        <f ca="1">TblConstr[[#This Row],[Swamp]]</f>
        <v>20</v>
      </c>
      <c r="G25" s="193">
        <f ca="1">TblConstr[[#This Row],[Cavern]]</f>
        <v>20</v>
      </c>
      <c r="H25" s="194">
        <f ca="1">TblConstr[[#This Row],[Water]]</f>
        <v>20</v>
      </c>
      <c r="I25" s="231"/>
      <c r="J25" s="183">
        <f t="shared" si="1"/>
        <v>22</v>
      </c>
      <c r="K25" s="255">
        <f ca="1">TblImps[[#This Row],[Real time]]</f>
        <v>44811.624999999949</v>
      </c>
      <c r="L25" s="187"/>
      <c r="M25" s="187"/>
      <c r="N25" s="187"/>
      <c r="O25" s="187"/>
      <c r="P25" s="187"/>
      <c r="Q25" s="187"/>
      <c r="R25" s="187"/>
      <c r="S25" s="97">
        <f>SUMIF(TblRezone[[#This Row],[Plains Rezone]:[Water Rezone]],"&gt;0")</f>
        <v>0</v>
      </c>
      <c r="T25" s="62" t="str">
        <f>IF(SUM(TblRezone[[#This Row],[Plains Rezone]:[Water Rezone]])=0,"Ok","Nope")</f>
        <v>Ok</v>
      </c>
      <c r="U25" s="231"/>
      <c r="V25" s="97">
        <f ca="1">TblProd[[#This Row],[Platinum]]</f>
        <v>214191</v>
      </c>
      <c r="W25" s="231"/>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31"/>
      <c r="AA25" s="97">
        <f ca="1">250+0.6*(TblRezone[[#This Row],[Land]]-250)</f>
        <v>250</v>
      </c>
      <c r="AB25" s="231"/>
      <c r="AC25" s="165">
        <f ca="1">TblConstr[[#This Row],[Facs DB]]</f>
        <v>0</v>
      </c>
    </row>
    <row r="26" spans="1:29" x14ac:dyDescent="0.2">
      <c r="A26" s="230">
        <f ca="1">TblConstr[[#This Row],[Land]]</f>
        <v>250</v>
      </c>
      <c r="B26" s="232">
        <f ca="1">TblConstr[[#This Row],[Plain]]</f>
        <v>40</v>
      </c>
      <c r="C26" s="190">
        <f ca="1">TblConstr[[#This Row],[Forest]]</f>
        <v>20</v>
      </c>
      <c r="D26" s="390">
        <f ca="1">TblConstr[[#This Row],[Mountain]]</f>
        <v>20</v>
      </c>
      <c r="E26" s="394">
        <f ca="1">TblConstr[[#This Row],[Hill]]</f>
        <v>20</v>
      </c>
      <c r="F26" s="398">
        <f ca="1">TblConstr[[#This Row],[Swamp]]</f>
        <v>20</v>
      </c>
      <c r="G26" s="193">
        <f ca="1">TblConstr[[#This Row],[Cavern]]</f>
        <v>20</v>
      </c>
      <c r="H26" s="194">
        <f ca="1">TblConstr[[#This Row],[Water]]</f>
        <v>20</v>
      </c>
      <c r="I26" s="231"/>
      <c r="J26" s="183">
        <f t="shared" si="1"/>
        <v>23</v>
      </c>
      <c r="K26" s="255">
        <f ca="1">TblImps[[#This Row],[Real time]]</f>
        <v>44811.666666666613</v>
      </c>
      <c r="L26" s="187"/>
      <c r="M26" s="187"/>
      <c r="N26" s="187"/>
      <c r="O26" s="187"/>
      <c r="P26" s="187"/>
      <c r="Q26" s="187"/>
      <c r="R26" s="187"/>
      <c r="S26" s="97">
        <f>SUMIF(TblRezone[[#This Row],[Plains Rezone]:[Water Rezone]],"&gt;0")</f>
        <v>0</v>
      </c>
      <c r="T26" s="62" t="str">
        <f>IF(SUM(TblRezone[[#This Row],[Plains Rezone]:[Water Rezone]])=0,"Ok","Nope")</f>
        <v>Ok</v>
      </c>
      <c r="U26" s="231"/>
      <c r="V26" s="97">
        <f ca="1">TblProd[[#This Row],[Platinum]]</f>
        <v>219861</v>
      </c>
      <c r="W26" s="231"/>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31"/>
      <c r="AA26" s="97">
        <f ca="1">250+0.6*(TblRezone[[#This Row],[Land]]-250)</f>
        <v>250</v>
      </c>
      <c r="AB26" s="231"/>
      <c r="AC26" s="165">
        <f ca="1">TblConstr[[#This Row],[Facs DB]]</f>
        <v>0</v>
      </c>
    </row>
    <row r="27" spans="1:29" x14ac:dyDescent="0.2">
      <c r="A27" s="230">
        <f ca="1">TblConstr[[#This Row],[Land]]</f>
        <v>250</v>
      </c>
      <c r="B27" s="232">
        <f ca="1">TblConstr[[#This Row],[Plain]]</f>
        <v>40</v>
      </c>
      <c r="C27" s="190">
        <f ca="1">TblConstr[[#This Row],[Forest]]</f>
        <v>20</v>
      </c>
      <c r="D27" s="390">
        <f ca="1">TblConstr[[#This Row],[Mountain]]</f>
        <v>20</v>
      </c>
      <c r="E27" s="394">
        <f ca="1">TblConstr[[#This Row],[Hill]]</f>
        <v>20</v>
      </c>
      <c r="F27" s="398">
        <f ca="1">TblConstr[[#This Row],[Swamp]]</f>
        <v>20</v>
      </c>
      <c r="G27" s="193">
        <f ca="1">TblConstr[[#This Row],[Cavern]]</f>
        <v>20</v>
      </c>
      <c r="H27" s="194">
        <f ca="1">TblConstr[[#This Row],[Water]]</f>
        <v>20</v>
      </c>
      <c r="I27" s="231"/>
      <c r="J27" s="183">
        <f t="shared" si="1"/>
        <v>24</v>
      </c>
      <c r="K27" s="255">
        <f ca="1">TblImps[[#This Row],[Real time]]</f>
        <v>44811.708333333278</v>
      </c>
      <c r="L27" s="187"/>
      <c r="M27" s="187"/>
      <c r="N27" s="187"/>
      <c r="O27" s="187"/>
      <c r="P27" s="187"/>
      <c r="Q27" s="187"/>
      <c r="R27" s="187"/>
      <c r="S27" s="97">
        <f>SUMIF(TblRezone[[#This Row],[Plains Rezone]:[Water Rezone]],"&gt;0")</f>
        <v>0</v>
      </c>
      <c r="T27" s="62" t="str">
        <f>IF(SUM(TblRezone[[#This Row],[Plains Rezone]:[Water Rezone]])=0,"Ok","Nope")</f>
        <v>Ok</v>
      </c>
      <c r="U27" s="231"/>
      <c r="V27" s="97">
        <f ca="1">TblProd[[#This Row],[Platinum]]</f>
        <v>225531</v>
      </c>
      <c r="W27" s="231"/>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31"/>
      <c r="AA27" s="97">
        <f ca="1">250+0.6*(TblRezone[[#This Row],[Land]]-250)</f>
        <v>250</v>
      </c>
      <c r="AB27" s="231"/>
      <c r="AC27" s="165">
        <f ca="1">TblConstr[[#This Row],[Facs DB]]</f>
        <v>0</v>
      </c>
    </row>
    <row r="28" spans="1:29" x14ac:dyDescent="0.2">
      <c r="A28" s="230">
        <f ca="1">TblConstr[[#This Row],[Land]]</f>
        <v>250</v>
      </c>
      <c r="B28" s="232">
        <f ca="1">TblConstr[[#This Row],[Plain]]</f>
        <v>40</v>
      </c>
      <c r="C28" s="190">
        <f ca="1">TblConstr[[#This Row],[Forest]]</f>
        <v>20</v>
      </c>
      <c r="D28" s="390">
        <f ca="1">TblConstr[[#This Row],[Mountain]]</f>
        <v>20</v>
      </c>
      <c r="E28" s="394">
        <f ca="1">TblConstr[[#This Row],[Hill]]</f>
        <v>20</v>
      </c>
      <c r="F28" s="398">
        <f ca="1">TblConstr[[#This Row],[Swamp]]</f>
        <v>20</v>
      </c>
      <c r="G28" s="193">
        <f ca="1">TblConstr[[#This Row],[Cavern]]</f>
        <v>20</v>
      </c>
      <c r="H28" s="194">
        <f ca="1">TblConstr[[#This Row],[Water]]</f>
        <v>20</v>
      </c>
      <c r="I28" s="231"/>
      <c r="J28" s="183">
        <f t="shared" si="1"/>
        <v>25</v>
      </c>
      <c r="K28" s="255">
        <f ca="1">TblImps[[#This Row],[Real time]]</f>
        <v>44811.749999999942</v>
      </c>
      <c r="L28" s="187"/>
      <c r="M28" s="187"/>
      <c r="N28" s="187"/>
      <c r="O28" s="187"/>
      <c r="P28" s="187"/>
      <c r="Q28" s="187"/>
      <c r="R28" s="187"/>
      <c r="S28" s="97">
        <f>SUMIF(TblRezone[[#This Row],[Plains Rezone]:[Water Rezone]],"&gt;0")</f>
        <v>0</v>
      </c>
      <c r="T28" s="62" t="str">
        <f>IF(SUM(TblRezone[[#This Row],[Plains Rezone]:[Water Rezone]])=0,"Ok","Nope")</f>
        <v>Ok</v>
      </c>
      <c r="U28" s="231"/>
      <c r="V28" s="97">
        <f ca="1">TblProd[[#This Row],[Platinum]]</f>
        <v>231201</v>
      </c>
      <c r="W28" s="231"/>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31"/>
      <c r="AA28" s="97">
        <f ca="1">250+0.6*(TblRezone[[#This Row],[Land]]-250)</f>
        <v>250</v>
      </c>
      <c r="AB28" s="231"/>
      <c r="AC28" s="165">
        <f ca="1">TblConstr[[#This Row],[Facs DB]]</f>
        <v>0</v>
      </c>
    </row>
    <row r="29" spans="1:29" x14ac:dyDescent="0.2">
      <c r="A29" s="230">
        <f ca="1">TblConstr[[#This Row],[Land]]</f>
        <v>250</v>
      </c>
      <c r="B29" s="232">
        <f ca="1">TblConstr[[#This Row],[Plain]]</f>
        <v>40</v>
      </c>
      <c r="C29" s="190">
        <f ca="1">TblConstr[[#This Row],[Forest]]</f>
        <v>20</v>
      </c>
      <c r="D29" s="390">
        <f ca="1">TblConstr[[#This Row],[Mountain]]</f>
        <v>20</v>
      </c>
      <c r="E29" s="394">
        <f ca="1">TblConstr[[#This Row],[Hill]]</f>
        <v>20</v>
      </c>
      <c r="F29" s="398">
        <f ca="1">TblConstr[[#This Row],[Swamp]]</f>
        <v>20</v>
      </c>
      <c r="G29" s="193">
        <f ca="1">TblConstr[[#This Row],[Cavern]]</f>
        <v>20</v>
      </c>
      <c r="H29" s="194">
        <f ca="1">TblConstr[[#This Row],[Water]]</f>
        <v>20</v>
      </c>
      <c r="I29" s="231"/>
      <c r="J29" s="183">
        <f t="shared" si="1"/>
        <v>26</v>
      </c>
      <c r="K29" s="255">
        <f ca="1">TblImps[[#This Row],[Real time]]</f>
        <v>44811.791666666606</v>
      </c>
      <c r="L29" s="187"/>
      <c r="M29" s="187"/>
      <c r="N29" s="187"/>
      <c r="O29" s="187"/>
      <c r="P29" s="187"/>
      <c r="Q29" s="187"/>
      <c r="R29" s="187"/>
      <c r="S29" s="97">
        <f>SUMIF(TblRezone[[#This Row],[Plains Rezone]:[Water Rezone]],"&gt;0")</f>
        <v>0</v>
      </c>
      <c r="T29" s="62" t="str">
        <f>IF(SUM(TblRezone[[#This Row],[Plains Rezone]:[Water Rezone]])=0,"Ok","Nope")</f>
        <v>Ok</v>
      </c>
      <c r="U29" s="231"/>
      <c r="V29" s="97">
        <f ca="1">TblProd[[#This Row],[Platinum]]</f>
        <v>236871</v>
      </c>
      <c r="W29" s="231"/>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31"/>
      <c r="AA29" s="97">
        <f ca="1">250+0.6*(TblRezone[[#This Row],[Land]]-250)</f>
        <v>250</v>
      </c>
      <c r="AB29" s="231"/>
      <c r="AC29" s="165">
        <f ca="1">TblConstr[[#This Row],[Facs DB]]</f>
        <v>0</v>
      </c>
    </row>
    <row r="30" spans="1:29" x14ac:dyDescent="0.2">
      <c r="A30" s="230">
        <f ca="1">TblConstr[[#This Row],[Land]]</f>
        <v>250</v>
      </c>
      <c r="B30" s="232">
        <f ca="1">TblConstr[[#This Row],[Plain]]</f>
        <v>40</v>
      </c>
      <c r="C30" s="190">
        <f ca="1">TblConstr[[#This Row],[Forest]]</f>
        <v>20</v>
      </c>
      <c r="D30" s="390">
        <f ca="1">TblConstr[[#This Row],[Mountain]]</f>
        <v>20</v>
      </c>
      <c r="E30" s="394">
        <f ca="1">TblConstr[[#This Row],[Hill]]</f>
        <v>20</v>
      </c>
      <c r="F30" s="398">
        <f ca="1">TblConstr[[#This Row],[Swamp]]</f>
        <v>20</v>
      </c>
      <c r="G30" s="193">
        <f ca="1">TblConstr[[#This Row],[Cavern]]</f>
        <v>20</v>
      </c>
      <c r="H30" s="194">
        <f ca="1">TblConstr[[#This Row],[Water]]</f>
        <v>20</v>
      </c>
      <c r="I30" s="231"/>
      <c r="J30" s="183">
        <f t="shared" si="1"/>
        <v>27</v>
      </c>
      <c r="K30" s="255">
        <f ca="1">TblImps[[#This Row],[Real time]]</f>
        <v>44811.83333333327</v>
      </c>
      <c r="L30" s="187"/>
      <c r="M30" s="187"/>
      <c r="N30" s="187"/>
      <c r="O30" s="187"/>
      <c r="P30" s="187"/>
      <c r="Q30" s="187"/>
      <c r="R30" s="187"/>
      <c r="S30" s="97">
        <f>SUMIF(TblRezone[[#This Row],[Plains Rezone]:[Water Rezone]],"&gt;0")</f>
        <v>0</v>
      </c>
      <c r="T30" s="62" t="str">
        <f>IF(SUM(TblRezone[[#This Row],[Plains Rezone]:[Water Rezone]])=0,"Ok","Nope")</f>
        <v>Ok</v>
      </c>
      <c r="U30" s="231"/>
      <c r="V30" s="97">
        <f ca="1">TblProd[[#This Row],[Platinum]]</f>
        <v>242541</v>
      </c>
      <c r="W30" s="231"/>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31"/>
      <c r="AA30" s="97">
        <f ca="1">250+0.6*(TblRezone[[#This Row],[Land]]-250)</f>
        <v>250</v>
      </c>
      <c r="AB30" s="231"/>
      <c r="AC30" s="165">
        <f ca="1">TblConstr[[#This Row],[Facs DB]]</f>
        <v>0</v>
      </c>
    </row>
    <row r="31" spans="1:29" x14ac:dyDescent="0.2">
      <c r="A31" s="230">
        <f ca="1">TblConstr[[#This Row],[Land]]</f>
        <v>250</v>
      </c>
      <c r="B31" s="232">
        <f ca="1">TblConstr[[#This Row],[Plain]]</f>
        <v>40</v>
      </c>
      <c r="C31" s="190">
        <f ca="1">TblConstr[[#This Row],[Forest]]</f>
        <v>20</v>
      </c>
      <c r="D31" s="390">
        <f ca="1">TblConstr[[#This Row],[Mountain]]</f>
        <v>20</v>
      </c>
      <c r="E31" s="394">
        <f ca="1">TblConstr[[#This Row],[Hill]]</f>
        <v>20</v>
      </c>
      <c r="F31" s="398">
        <f ca="1">TblConstr[[#This Row],[Swamp]]</f>
        <v>20</v>
      </c>
      <c r="G31" s="193">
        <f ca="1">TblConstr[[#This Row],[Cavern]]</f>
        <v>20</v>
      </c>
      <c r="H31" s="194">
        <f ca="1">TblConstr[[#This Row],[Water]]</f>
        <v>20</v>
      </c>
      <c r="I31" s="231"/>
      <c r="J31" s="183">
        <f t="shared" si="1"/>
        <v>28</v>
      </c>
      <c r="K31" s="255">
        <f ca="1">TblImps[[#This Row],[Real time]]</f>
        <v>44811.874999999935</v>
      </c>
      <c r="L31" s="187"/>
      <c r="M31" s="187"/>
      <c r="N31" s="187"/>
      <c r="O31" s="187"/>
      <c r="P31" s="187"/>
      <c r="Q31" s="187"/>
      <c r="R31" s="187"/>
      <c r="S31" s="97">
        <f>SUMIF(TblRezone[[#This Row],[Plains Rezone]:[Water Rezone]],"&gt;0")</f>
        <v>0</v>
      </c>
      <c r="T31" s="62" t="str">
        <f>IF(SUM(TblRezone[[#This Row],[Plains Rezone]:[Water Rezone]])=0,"Ok","Nope")</f>
        <v>Ok</v>
      </c>
      <c r="U31" s="231"/>
      <c r="V31" s="97">
        <f ca="1">TblProd[[#This Row],[Platinum]]</f>
        <v>248211</v>
      </c>
      <c r="W31" s="231"/>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31"/>
      <c r="AA31" s="97">
        <f ca="1">250+0.6*(TblRezone[[#This Row],[Land]]-250)</f>
        <v>250</v>
      </c>
      <c r="AB31" s="231"/>
      <c r="AC31" s="165">
        <f ca="1">TblConstr[[#This Row],[Facs DB]]</f>
        <v>0</v>
      </c>
    </row>
    <row r="32" spans="1:29" x14ac:dyDescent="0.2">
      <c r="A32" s="230">
        <f ca="1">TblConstr[[#This Row],[Land]]</f>
        <v>250</v>
      </c>
      <c r="B32" s="232">
        <f ca="1">TblConstr[[#This Row],[Plain]]</f>
        <v>40</v>
      </c>
      <c r="C32" s="190">
        <f ca="1">TblConstr[[#This Row],[Forest]]</f>
        <v>20</v>
      </c>
      <c r="D32" s="390">
        <f ca="1">TblConstr[[#This Row],[Mountain]]</f>
        <v>20</v>
      </c>
      <c r="E32" s="394">
        <f ca="1">TblConstr[[#This Row],[Hill]]</f>
        <v>20</v>
      </c>
      <c r="F32" s="398">
        <f ca="1">TblConstr[[#This Row],[Swamp]]</f>
        <v>20</v>
      </c>
      <c r="G32" s="193">
        <f ca="1">TblConstr[[#This Row],[Cavern]]</f>
        <v>20</v>
      </c>
      <c r="H32" s="194">
        <f ca="1">TblConstr[[#This Row],[Water]]</f>
        <v>20</v>
      </c>
      <c r="I32" s="231"/>
      <c r="J32" s="183">
        <f t="shared" si="1"/>
        <v>29</v>
      </c>
      <c r="K32" s="255">
        <f ca="1">TblImps[[#This Row],[Real time]]</f>
        <v>44811.916666666599</v>
      </c>
      <c r="L32" s="187"/>
      <c r="M32" s="187"/>
      <c r="N32" s="187"/>
      <c r="O32" s="187"/>
      <c r="P32" s="187"/>
      <c r="Q32" s="187"/>
      <c r="R32" s="187"/>
      <c r="S32" s="97">
        <f>SUMIF(TblRezone[[#This Row],[Plains Rezone]:[Water Rezone]],"&gt;0")</f>
        <v>0</v>
      </c>
      <c r="T32" s="62" t="str">
        <f>IF(SUM(TblRezone[[#This Row],[Plains Rezone]:[Water Rezone]])=0,"Ok","Nope")</f>
        <v>Ok</v>
      </c>
      <c r="U32" s="231"/>
      <c r="V32" s="97">
        <f ca="1">TblProd[[#This Row],[Platinum]]</f>
        <v>253881</v>
      </c>
      <c r="W32" s="231"/>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31"/>
      <c r="AA32" s="97">
        <f ca="1">250+0.6*(TblRezone[[#This Row],[Land]]-250)</f>
        <v>250</v>
      </c>
      <c r="AB32" s="231"/>
      <c r="AC32" s="165">
        <f ca="1">TblConstr[[#This Row],[Facs DB]]</f>
        <v>0</v>
      </c>
    </row>
    <row r="33" spans="1:29" x14ac:dyDescent="0.2">
      <c r="A33" s="230">
        <f ca="1">TblConstr[[#This Row],[Land]]</f>
        <v>250</v>
      </c>
      <c r="B33" s="232">
        <f ca="1">TblConstr[[#This Row],[Plain]]</f>
        <v>40</v>
      </c>
      <c r="C33" s="190">
        <f ca="1">TblConstr[[#This Row],[Forest]]</f>
        <v>20</v>
      </c>
      <c r="D33" s="390">
        <f ca="1">TblConstr[[#This Row],[Mountain]]</f>
        <v>20</v>
      </c>
      <c r="E33" s="394">
        <f ca="1">TblConstr[[#This Row],[Hill]]</f>
        <v>20</v>
      </c>
      <c r="F33" s="398">
        <f ca="1">TblConstr[[#This Row],[Swamp]]</f>
        <v>20</v>
      </c>
      <c r="G33" s="193">
        <f ca="1">TblConstr[[#This Row],[Cavern]]</f>
        <v>20</v>
      </c>
      <c r="H33" s="194">
        <f ca="1">TblConstr[[#This Row],[Water]]</f>
        <v>20</v>
      </c>
      <c r="I33" s="231"/>
      <c r="J33" s="183">
        <f t="shared" si="1"/>
        <v>30</v>
      </c>
      <c r="K33" s="255">
        <f ca="1">TblImps[[#This Row],[Real time]]</f>
        <v>44811.958333333263</v>
      </c>
      <c r="L33" s="187"/>
      <c r="M33" s="187"/>
      <c r="N33" s="187"/>
      <c r="O33" s="187"/>
      <c r="P33" s="187"/>
      <c r="Q33" s="187"/>
      <c r="R33" s="187"/>
      <c r="S33" s="97">
        <f>SUMIF(TblRezone[[#This Row],[Plains Rezone]:[Water Rezone]],"&gt;0")</f>
        <v>0</v>
      </c>
      <c r="T33" s="62" t="str">
        <f>IF(SUM(TblRezone[[#This Row],[Plains Rezone]:[Water Rezone]])=0,"Ok","Nope")</f>
        <v>Ok</v>
      </c>
      <c r="U33" s="231"/>
      <c r="V33" s="97">
        <f ca="1">TblProd[[#This Row],[Platinum]]</f>
        <v>259551</v>
      </c>
      <c r="W33" s="231"/>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31"/>
      <c r="AA33" s="97">
        <f ca="1">250+0.6*(TblRezone[[#This Row],[Land]]-250)</f>
        <v>250</v>
      </c>
      <c r="AB33" s="231"/>
      <c r="AC33" s="165">
        <f ca="1">TblConstr[[#This Row],[Facs DB]]</f>
        <v>0</v>
      </c>
    </row>
    <row r="34" spans="1:29" x14ac:dyDescent="0.2">
      <c r="A34" s="230">
        <f ca="1">TblConstr[[#This Row],[Land]]</f>
        <v>250</v>
      </c>
      <c r="B34" s="232">
        <f ca="1">TblConstr[[#This Row],[Plain]]</f>
        <v>40</v>
      </c>
      <c r="C34" s="190">
        <f ca="1">TblConstr[[#This Row],[Forest]]</f>
        <v>20</v>
      </c>
      <c r="D34" s="390">
        <f ca="1">TblConstr[[#This Row],[Mountain]]</f>
        <v>20</v>
      </c>
      <c r="E34" s="394">
        <f ca="1">TblConstr[[#This Row],[Hill]]</f>
        <v>20</v>
      </c>
      <c r="F34" s="398">
        <f ca="1">TblConstr[[#This Row],[Swamp]]</f>
        <v>20</v>
      </c>
      <c r="G34" s="193">
        <f ca="1">TblConstr[[#This Row],[Cavern]]</f>
        <v>20</v>
      </c>
      <c r="H34" s="194">
        <f ca="1">TblConstr[[#This Row],[Water]]</f>
        <v>20</v>
      </c>
      <c r="I34" s="231"/>
      <c r="J34" s="183">
        <f t="shared" si="1"/>
        <v>31</v>
      </c>
      <c r="K34" s="255">
        <f ca="1">TblImps[[#This Row],[Real time]]</f>
        <v>44811.999999999927</v>
      </c>
      <c r="L34" s="187"/>
      <c r="M34" s="187"/>
      <c r="N34" s="187"/>
      <c r="O34" s="187"/>
      <c r="P34" s="187"/>
      <c r="Q34" s="187"/>
      <c r="R34" s="187"/>
      <c r="S34" s="97">
        <f>SUMIF(TblRezone[[#This Row],[Plains Rezone]:[Water Rezone]],"&gt;0")</f>
        <v>0</v>
      </c>
      <c r="T34" s="62" t="str">
        <f>IF(SUM(TblRezone[[#This Row],[Plains Rezone]:[Water Rezone]])=0,"Ok","Nope")</f>
        <v>Ok</v>
      </c>
      <c r="U34" s="231"/>
      <c r="V34" s="97">
        <f ca="1">TblProd[[#This Row],[Platinum]]</f>
        <v>265207</v>
      </c>
      <c r="W34" s="231"/>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31"/>
      <c r="AA34" s="97">
        <f ca="1">250+0.6*(TblRezone[[#This Row],[Land]]-250)</f>
        <v>250</v>
      </c>
      <c r="AB34" s="231"/>
      <c r="AC34" s="165">
        <f ca="1">TblConstr[[#This Row],[Facs DB]]</f>
        <v>0</v>
      </c>
    </row>
    <row r="35" spans="1:29" x14ac:dyDescent="0.2">
      <c r="A35" s="230">
        <f ca="1">TblConstr[[#This Row],[Land]]</f>
        <v>250</v>
      </c>
      <c r="B35" s="232">
        <f ca="1">TblConstr[[#This Row],[Plain]]</f>
        <v>40</v>
      </c>
      <c r="C35" s="190">
        <f ca="1">TblConstr[[#This Row],[Forest]]</f>
        <v>20</v>
      </c>
      <c r="D35" s="390">
        <f ca="1">TblConstr[[#This Row],[Mountain]]</f>
        <v>20</v>
      </c>
      <c r="E35" s="394">
        <f ca="1">TblConstr[[#This Row],[Hill]]</f>
        <v>20</v>
      </c>
      <c r="F35" s="398">
        <f ca="1">TblConstr[[#This Row],[Swamp]]</f>
        <v>20</v>
      </c>
      <c r="G35" s="193">
        <f ca="1">TblConstr[[#This Row],[Cavern]]</f>
        <v>20</v>
      </c>
      <c r="H35" s="194">
        <f ca="1">TblConstr[[#This Row],[Water]]</f>
        <v>20</v>
      </c>
      <c r="I35" s="231"/>
      <c r="J35" s="183">
        <f t="shared" si="1"/>
        <v>32</v>
      </c>
      <c r="K35" s="255">
        <f ca="1">TblImps[[#This Row],[Real time]]</f>
        <v>44812.041666666591</v>
      </c>
      <c r="L35" s="187"/>
      <c r="M35" s="187"/>
      <c r="N35" s="187"/>
      <c r="O35" s="187"/>
      <c r="P35" s="187"/>
      <c r="Q35" s="187"/>
      <c r="R35" s="187"/>
      <c r="S35" s="97">
        <f>SUMIF(TblRezone[[#This Row],[Plains Rezone]:[Water Rezone]],"&gt;0")</f>
        <v>0</v>
      </c>
      <c r="T35" s="62" t="str">
        <f>IF(SUM(TblRezone[[#This Row],[Plains Rezone]:[Water Rezone]])=0,"Ok","Nope")</f>
        <v>Ok</v>
      </c>
      <c r="U35" s="231"/>
      <c r="V35" s="97">
        <f ca="1">TblProd[[#This Row],[Platinum]]</f>
        <v>270820</v>
      </c>
      <c r="W35" s="231"/>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31"/>
      <c r="AA35" s="97">
        <f ca="1">250+0.6*(TblRezone[[#This Row],[Land]]-250)</f>
        <v>250</v>
      </c>
      <c r="AB35" s="231"/>
      <c r="AC35" s="165">
        <f ca="1">TblConstr[[#This Row],[Facs DB]]</f>
        <v>0</v>
      </c>
    </row>
    <row r="36" spans="1:29" x14ac:dyDescent="0.2">
      <c r="A36" s="230">
        <f ca="1">TblConstr[[#This Row],[Land]]</f>
        <v>250</v>
      </c>
      <c r="B36" s="232">
        <f ca="1">TblConstr[[#This Row],[Plain]]</f>
        <v>40</v>
      </c>
      <c r="C36" s="190">
        <f ca="1">TblConstr[[#This Row],[Forest]]</f>
        <v>20</v>
      </c>
      <c r="D36" s="390">
        <f ca="1">TblConstr[[#This Row],[Mountain]]</f>
        <v>20</v>
      </c>
      <c r="E36" s="394">
        <f ca="1">TblConstr[[#This Row],[Hill]]</f>
        <v>20</v>
      </c>
      <c r="F36" s="398">
        <f ca="1">TblConstr[[#This Row],[Swamp]]</f>
        <v>20</v>
      </c>
      <c r="G36" s="193">
        <f ca="1">TblConstr[[#This Row],[Cavern]]</f>
        <v>20</v>
      </c>
      <c r="H36" s="194">
        <f ca="1">TblConstr[[#This Row],[Water]]</f>
        <v>20</v>
      </c>
      <c r="I36" s="231"/>
      <c r="J36" s="183">
        <f t="shared" si="1"/>
        <v>33</v>
      </c>
      <c r="K36" s="255">
        <f ca="1">TblImps[[#This Row],[Real time]]</f>
        <v>44812.083333333256</v>
      </c>
      <c r="L36" s="187"/>
      <c r="M36" s="187"/>
      <c r="N36" s="187"/>
      <c r="O36" s="187"/>
      <c r="P36" s="187"/>
      <c r="Q36" s="187"/>
      <c r="R36" s="187"/>
      <c r="S36" s="97">
        <f>SUMIF(TblRezone[[#This Row],[Plains Rezone]:[Water Rezone]],"&gt;0")</f>
        <v>0</v>
      </c>
      <c r="T36" s="62" t="str">
        <f>IF(SUM(TblRezone[[#This Row],[Plains Rezone]:[Water Rezone]])=0,"Ok","Nope")</f>
        <v>Ok</v>
      </c>
      <c r="U36" s="231"/>
      <c r="V36" s="97">
        <f ca="1">TblProd[[#This Row],[Platinum]]</f>
        <v>276390</v>
      </c>
      <c r="W36" s="231"/>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31"/>
      <c r="AA36" s="97">
        <f ca="1">250+0.6*(TblRezone[[#This Row],[Land]]-250)</f>
        <v>250</v>
      </c>
      <c r="AB36" s="231"/>
      <c r="AC36" s="165">
        <f ca="1">TblConstr[[#This Row],[Facs DB]]</f>
        <v>0</v>
      </c>
    </row>
    <row r="37" spans="1:29" x14ac:dyDescent="0.2">
      <c r="A37" s="230">
        <f ca="1">TblConstr[[#This Row],[Land]]</f>
        <v>250</v>
      </c>
      <c r="B37" s="232">
        <f ca="1">TblConstr[[#This Row],[Plain]]</f>
        <v>40</v>
      </c>
      <c r="C37" s="190">
        <f ca="1">TblConstr[[#This Row],[Forest]]</f>
        <v>20</v>
      </c>
      <c r="D37" s="390">
        <f ca="1">TblConstr[[#This Row],[Mountain]]</f>
        <v>20</v>
      </c>
      <c r="E37" s="394">
        <f ca="1">TblConstr[[#This Row],[Hill]]</f>
        <v>20</v>
      </c>
      <c r="F37" s="398">
        <f ca="1">TblConstr[[#This Row],[Swamp]]</f>
        <v>20</v>
      </c>
      <c r="G37" s="193">
        <f ca="1">TblConstr[[#This Row],[Cavern]]</f>
        <v>20</v>
      </c>
      <c r="H37" s="194">
        <f ca="1">TblConstr[[#This Row],[Water]]</f>
        <v>20</v>
      </c>
      <c r="I37" s="231"/>
      <c r="J37" s="183">
        <f t="shared" si="1"/>
        <v>34</v>
      </c>
      <c r="K37" s="255">
        <f ca="1">TblImps[[#This Row],[Real time]]</f>
        <v>44812.12499999992</v>
      </c>
      <c r="L37" s="187"/>
      <c r="M37" s="187"/>
      <c r="N37" s="187"/>
      <c r="O37" s="187"/>
      <c r="P37" s="187"/>
      <c r="Q37" s="187"/>
      <c r="R37" s="187"/>
      <c r="S37" s="97">
        <f>SUMIF(TblRezone[[#This Row],[Plains Rezone]:[Water Rezone]],"&gt;0")</f>
        <v>0</v>
      </c>
      <c r="T37" s="62" t="str">
        <f>IF(SUM(TblRezone[[#This Row],[Plains Rezone]:[Water Rezone]])=0,"Ok","Nope")</f>
        <v>Ok</v>
      </c>
      <c r="U37" s="231"/>
      <c r="V37" s="97">
        <f ca="1">TblProd[[#This Row],[Platinum]]</f>
        <v>281916</v>
      </c>
      <c r="W37" s="231"/>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31"/>
      <c r="AA37" s="97">
        <f ca="1">250+0.6*(TblRezone[[#This Row],[Land]]-250)</f>
        <v>250</v>
      </c>
      <c r="AB37" s="231"/>
      <c r="AC37" s="165">
        <f ca="1">TblConstr[[#This Row],[Facs DB]]</f>
        <v>0</v>
      </c>
    </row>
    <row r="38" spans="1:29" x14ac:dyDescent="0.2">
      <c r="A38" s="230">
        <f ca="1">TblConstr[[#This Row],[Land]]</f>
        <v>250</v>
      </c>
      <c r="B38" s="232">
        <f ca="1">TblConstr[[#This Row],[Plain]]</f>
        <v>40</v>
      </c>
      <c r="C38" s="190">
        <f ca="1">TblConstr[[#This Row],[Forest]]</f>
        <v>20</v>
      </c>
      <c r="D38" s="390">
        <f ca="1">TblConstr[[#This Row],[Mountain]]</f>
        <v>20</v>
      </c>
      <c r="E38" s="394">
        <f ca="1">TblConstr[[#This Row],[Hill]]</f>
        <v>20</v>
      </c>
      <c r="F38" s="398">
        <f ca="1">TblConstr[[#This Row],[Swamp]]</f>
        <v>20</v>
      </c>
      <c r="G38" s="193">
        <f ca="1">TblConstr[[#This Row],[Cavern]]</f>
        <v>20</v>
      </c>
      <c r="H38" s="194">
        <f ca="1">TblConstr[[#This Row],[Water]]</f>
        <v>20</v>
      </c>
      <c r="I38" s="231"/>
      <c r="J38" s="183">
        <f t="shared" si="1"/>
        <v>35</v>
      </c>
      <c r="K38" s="255">
        <f ca="1">TblImps[[#This Row],[Real time]]</f>
        <v>44812.166666666584</v>
      </c>
      <c r="L38" s="187"/>
      <c r="M38" s="187"/>
      <c r="N38" s="187"/>
      <c r="O38" s="187"/>
      <c r="P38" s="187"/>
      <c r="Q38" s="187"/>
      <c r="R38" s="187"/>
      <c r="S38" s="97">
        <f>SUMIF(TblRezone[[#This Row],[Plains Rezone]:[Water Rezone]],"&gt;0")</f>
        <v>0</v>
      </c>
      <c r="T38" s="62" t="str">
        <f>IF(SUM(TblRezone[[#This Row],[Plains Rezone]:[Water Rezone]])=0,"Ok","Nope")</f>
        <v>Ok</v>
      </c>
      <c r="U38" s="231"/>
      <c r="V38" s="97">
        <f ca="1">TblProd[[#This Row],[Platinum]]</f>
        <v>287402</v>
      </c>
      <c r="W38" s="231"/>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31"/>
      <c r="AA38" s="97">
        <f ca="1">250+0.6*(TblRezone[[#This Row],[Land]]-250)</f>
        <v>250</v>
      </c>
      <c r="AB38" s="231"/>
      <c r="AC38" s="165">
        <f ca="1">TblConstr[[#This Row],[Facs DB]]</f>
        <v>0</v>
      </c>
    </row>
    <row r="39" spans="1:29" x14ac:dyDescent="0.2">
      <c r="A39" s="230">
        <f ca="1">TblConstr[[#This Row],[Land]]</f>
        <v>250</v>
      </c>
      <c r="B39" s="232">
        <f ca="1">TblConstr[[#This Row],[Plain]]</f>
        <v>40</v>
      </c>
      <c r="C39" s="190">
        <f ca="1">TblConstr[[#This Row],[Forest]]</f>
        <v>20</v>
      </c>
      <c r="D39" s="390">
        <f ca="1">TblConstr[[#This Row],[Mountain]]</f>
        <v>20</v>
      </c>
      <c r="E39" s="394">
        <f ca="1">TblConstr[[#This Row],[Hill]]</f>
        <v>20</v>
      </c>
      <c r="F39" s="398">
        <f ca="1">TblConstr[[#This Row],[Swamp]]</f>
        <v>20</v>
      </c>
      <c r="G39" s="193">
        <f ca="1">TblConstr[[#This Row],[Cavern]]</f>
        <v>20</v>
      </c>
      <c r="H39" s="194">
        <f ca="1">TblConstr[[#This Row],[Water]]</f>
        <v>20</v>
      </c>
      <c r="I39" s="231"/>
      <c r="J39" s="183">
        <f t="shared" si="1"/>
        <v>36</v>
      </c>
      <c r="K39" s="255">
        <f ca="1">TblImps[[#This Row],[Real time]]</f>
        <v>44812.208333333248</v>
      </c>
      <c r="L39" s="187"/>
      <c r="M39" s="187"/>
      <c r="N39" s="187"/>
      <c r="O39" s="187"/>
      <c r="P39" s="187"/>
      <c r="Q39" s="187"/>
      <c r="R39" s="187"/>
      <c r="S39" s="97">
        <f>SUMIF(TblRezone[[#This Row],[Plains Rezone]:[Water Rezone]],"&gt;0")</f>
        <v>0</v>
      </c>
      <c r="T39" s="62" t="str">
        <f>IF(SUM(TblRezone[[#This Row],[Plains Rezone]:[Water Rezone]])=0,"Ok","Nope")</f>
        <v>Ok</v>
      </c>
      <c r="U39" s="231"/>
      <c r="V39" s="97">
        <f ca="1">TblProd[[#This Row],[Platinum]]</f>
        <v>292888</v>
      </c>
      <c r="W39" s="231"/>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31"/>
      <c r="AA39" s="97">
        <f ca="1">250+0.6*(TblRezone[[#This Row],[Land]]-250)</f>
        <v>250</v>
      </c>
      <c r="AB39" s="231"/>
      <c r="AC39" s="165">
        <f ca="1">TblConstr[[#This Row],[Facs DB]]</f>
        <v>0</v>
      </c>
    </row>
    <row r="40" spans="1:29" x14ac:dyDescent="0.2">
      <c r="A40" s="230">
        <f ca="1">TblConstr[[#This Row],[Land]]</f>
        <v>250</v>
      </c>
      <c r="B40" s="232">
        <f ca="1">TblConstr[[#This Row],[Plain]]</f>
        <v>40</v>
      </c>
      <c r="C40" s="190">
        <f ca="1">TblConstr[[#This Row],[Forest]]</f>
        <v>20</v>
      </c>
      <c r="D40" s="390">
        <f ca="1">TblConstr[[#This Row],[Mountain]]</f>
        <v>20</v>
      </c>
      <c r="E40" s="394">
        <f ca="1">TblConstr[[#This Row],[Hill]]</f>
        <v>20</v>
      </c>
      <c r="F40" s="398">
        <f ca="1">TblConstr[[#This Row],[Swamp]]</f>
        <v>20</v>
      </c>
      <c r="G40" s="193">
        <f ca="1">TblConstr[[#This Row],[Cavern]]</f>
        <v>20</v>
      </c>
      <c r="H40" s="194">
        <f ca="1">TblConstr[[#This Row],[Water]]</f>
        <v>20</v>
      </c>
      <c r="I40" s="231"/>
      <c r="J40" s="183">
        <f t="shared" si="1"/>
        <v>37</v>
      </c>
      <c r="K40" s="255">
        <f ca="1">TblImps[[#This Row],[Real time]]</f>
        <v>44812.249999999913</v>
      </c>
      <c r="L40" s="187"/>
      <c r="M40" s="187"/>
      <c r="N40" s="187"/>
      <c r="O40" s="187"/>
      <c r="P40" s="187"/>
      <c r="Q40" s="187"/>
      <c r="R40" s="187"/>
      <c r="S40" s="97">
        <f>SUMIF(TblRezone[[#This Row],[Plains Rezone]:[Water Rezone]],"&gt;0")</f>
        <v>0</v>
      </c>
      <c r="T40" s="62" t="str">
        <f>IF(SUM(TblRezone[[#This Row],[Plains Rezone]:[Water Rezone]])=0,"Ok","Nope")</f>
        <v>Ok</v>
      </c>
      <c r="U40" s="231"/>
      <c r="V40" s="97">
        <f ca="1">TblProd[[#This Row],[Platinum]]</f>
        <v>298374</v>
      </c>
      <c r="W40" s="231"/>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31"/>
      <c r="AA40" s="97">
        <f ca="1">250+0.6*(TblRezone[[#This Row],[Land]]-250)</f>
        <v>250</v>
      </c>
      <c r="AB40" s="231"/>
      <c r="AC40" s="165">
        <f ca="1">TblConstr[[#This Row],[Facs DB]]</f>
        <v>0</v>
      </c>
    </row>
    <row r="41" spans="1:29" x14ac:dyDescent="0.2">
      <c r="A41" s="230">
        <f ca="1">TblConstr[[#This Row],[Land]]</f>
        <v>250</v>
      </c>
      <c r="B41" s="232">
        <f ca="1">TblConstr[[#This Row],[Plain]]</f>
        <v>40</v>
      </c>
      <c r="C41" s="190">
        <f ca="1">TblConstr[[#This Row],[Forest]]</f>
        <v>20</v>
      </c>
      <c r="D41" s="390">
        <f ca="1">TblConstr[[#This Row],[Mountain]]</f>
        <v>20</v>
      </c>
      <c r="E41" s="394">
        <f ca="1">TblConstr[[#This Row],[Hill]]</f>
        <v>20</v>
      </c>
      <c r="F41" s="398">
        <f ca="1">TblConstr[[#This Row],[Swamp]]</f>
        <v>20</v>
      </c>
      <c r="G41" s="193">
        <f ca="1">TblConstr[[#This Row],[Cavern]]</f>
        <v>20</v>
      </c>
      <c r="H41" s="194">
        <f ca="1">TblConstr[[#This Row],[Water]]</f>
        <v>20</v>
      </c>
      <c r="I41" s="231"/>
      <c r="J41" s="183">
        <f t="shared" si="1"/>
        <v>38</v>
      </c>
      <c r="K41" s="255">
        <f ca="1">TblImps[[#This Row],[Real time]]</f>
        <v>44812.291666666577</v>
      </c>
      <c r="L41" s="187"/>
      <c r="M41" s="187"/>
      <c r="N41" s="187"/>
      <c r="O41" s="187"/>
      <c r="P41" s="187"/>
      <c r="Q41" s="187"/>
      <c r="R41" s="187"/>
      <c r="S41" s="97">
        <f>SUMIF(TblRezone[[#This Row],[Plains Rezone]:[Water Rezone]],"&gt;0")</f>
        <v>0</v>
      </c>
      <c r="T41" s="62" t="str">
        <f>IF(SUM(TblRezone[[#This Row],[Plains Rezone]:[Water Rezone]])=0,"Ok","Nope")</f>
        <v>Ok</v>
      </c>
      <c r="U41" s="231"/>
      <c r="V41" s="97">
        <f ca="1">TblProd[[#This Row],[Platinum]]</f>
        <v>303860</v>
      </c>
      <c r="W41" s="231"/>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31"/>
      <c r="AA41" s="97">
        <f ca="1">250+0.6*(TblRezone[[#This Row],[Land]]-250)</f>
        <v>250</v>
      </c>
      <c r="AB41" s="231"/>
      <c r="AC41" s="165">
        <f ca="1">TblConstr[[#This Row],[Facs DB]]</f>
        <v>0</v>
      </c>
    </row>
    <row r="42" spans="1:29" x14ac:dyDescent="0.2">
      <c r="A42" s="230">
        <f ca="1">TblConstr[[#This Row],[Land]]</f>
        <v>250</v>
      </c>
      <c r="B42" s="232">
        <f ca="1">TblConstr[[#This Row],[Plain]]</f>
        <v>40</v>
      </c>
      <c r="C42" s="190">
        <f ca="1">TblConstr[[#This Row],[Forest]]</f>
        <v>20</v>
      </c>
      <c r="D42" s="390">
        <f ca="1">TblConstr[[#This Row],[Mountain]]</f>
        <v>20</v>
      </c>
      <c r="E42" s="394">
        <f ca="1">TblConstr[[#This Row],[Hill]]</f>
        <v>20</v>
      </c>
      <c r="F42" s="398">
        <f ca="1">TblConstr[[#This Row],[Swamp]]</f>
        <v>20</v>
      </c>
      <c r="G42" s="193">
        <f ca="1">TblConstr[[#This Row],[Cavern]]</f>
        <v>20</v>
      </c>
      <c r="H42" s="194">
        <f ca="1">TblConstr[[#This Row],[Water]]</f>
        <v>20</v>
      </c>
      <c r="I42" s="231"/>
      <c r="J42" s="183">
        <f t="shared" si="1"/>
        <v>39</v>
      </c>
      <c r="K42" s="255">
        <f ca="1">TblImps[[#This Row],[Real time]]</f>
        <v>44812.333333333241</v>
      </c>
      <c r="L42" s="187"/>
      <c r="M42" s="187"/>
      <c r="N42" s="187"/>
      <c r="O42" s="187"/>
      <c r="P42" s="187"/>
      <c r="Q42" s="187"/>
      <c r="R42" s="187"/>
      <c r="S42" s="97">
        <f>SUMIF(TblRezone[[#This Row],[Plains Rezone]:[Water Rezone]],"&gt;0")</f>
        <v>0</v>
      </c>
      <c r="T42" s="62" t="str">
        <f>IF(SUM(TblRezone[[#This Row],[Plains Rezone]:[Water Rezone]])=0,"Ok","Nope")</f>
        <v>Ok</v>
      </c>
      <c r="U42" s="231"/>
      <c r="V42" s="97">
        <f ca="1">TblProd[[#This Row],[Platinum]]</f>
        <v>309346</v>
      </c>
      <c r="W42" s="231"/>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31"/>
      <c r="AA42" s="97">
        <f ca="1">250+0.6*(TblRezone[[#This Row],[Land]]-250)</f>
        <v>250</v>
      </c>
      <c r="AB42" s="231"/>
      <c r="AC42" s="165">
        <f ca="1">TblConstr[[#This Row],[Facs DB]]</f>
        <v>0</v>
      </c>
    </row>
    <row r="43" spans="1:29" x14ac:dyDescent="0.2">
      <c r="A43" s="230">
        <f ca="1">TblConstr[[#This Row],[Land]]</f>
        <v>250</v>
      </c>
      <c r="B43" s="232">
        <f ca="1">TblConstr[[#This Row],[Plain]]</f>
        <v>40</v>
      </c>
      <c r="C43" s="190">
        <f ca="1">TblConstr[[#This Row],[Forest]]</f>
        <v>20</v>
      </c>
      <c r="D43" s="390">
        <f ca="1">TblConstr[[#This Row],[Mountain]]</f>
        <v>20</v>
      </c>
      <c r="E43" s="394">
        <f ca="1">TblConstr[[#This Row],[Hill]]</f>
        <v>20</v>
      </c>
      <c r="F43" s="398">
        <f ca="1">TblConstr[[#This Row],[Swamp]]</f>
        <v>20</v>
      </c>
      <c r="G43" s="193">
        <f ca="1">TblConstr[[#This Row],[Cavern]]</f>
        <v>20</v>
      </c>
      <c r="H43" s="194">
        <f ca="1">TblConstr[[#This Row],[Water]]</f>
        <v>20</v>
      </c>
      <c r="I43" s="231"/>
      <c r="J43" s="183">
        <f t="shared" si="1"/>
        <v>40</v>
      </c>
      <c r="K43" s="255">
        <f ca="1">TblImps[[#This Row],[Real time]]</f>
        <v>44812.374999999905</v>
      </c>
      <c r="L43" s="187"/>
      <c r="M43" s="187"/>
      <c r="N43" s="187"/>
      <c r="O43" s="187"/>
      <c r="P43" s="187"/>
      <c r="Q43" s="187"/>
      <c r="R43" s="187"/>
      <c r="S43" s="97">
        <f>SUMIF(TblRezone[[#This Row],[Plains Rezone]:[Water Rezone]],"&gt;0")</f>
        <v>0</v>
      </c>
      <c r="T43" s="62" t="str">
        <f>IF(SUM(TblRezone[[#This Row],[Plains Rezone]:[Water Rezone]])=0,"Ok","Nope")</f>
        <v>Ok</v>
      </c>
      <c r="U43" s="231"/>
      <c r="V43" s="97">
        <f ca="1">TblProd[[#This Row],[Platinum]]</f>
        <v>314832</v>
      </c>
      <c r="W43" s="231"/>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31"/>
      <c r="AA43" s="97">
        <f ca="1">250+0.6*(TblRezone[[#This Row],[Land]]-250)</f>
        <v>250</v>
      </c>
      <c r="AB43" s="231"/>
      <c r="AC43" s="165">
        <f ca="1">TblConstr[[#This Row],[Facs DB]]</f>
        <v>0</v>
      </c>
    </row>
    <row r="44" spans="1:29" x14ac:dyDescent="0.2">
      <c r="A44" s="230">
        <f ca="1">TblConstr[[#This Row],[Land]]</f>
        <v>250</v>
      </c>
      <c r="B44" s="232">
        <f ca="1">TblConstr[[#This Row],[Plain]]</f>
        <v>40</v>
      </c>
      <c r="C44" s="190">
        <f ca="1">TblConstr[[#This Row],[Forest]]</f>
        <v>20</v>
      </c>
      <c r="D44" s="390">
        <f ca="1">TblConstr[[#This Row],[Mountain]]</f>
        <v>20</v>
      </c>
      <c r="E44" s="394">
        <f ca="1">TblConstr[[#This Row],[Hill]]</f>
        <v>20</v>
      </c>
      <c r="F44" s="398">
        <f ca="1">TblConstr[[#This Row],[Swamp]]</f>
        <v>20</v>
      </c>
      <c r="G44" s="193">
        <f ca="1">TblConstr[[#This Row],[Cavern]]</f>
        <v>20</v>
      </c>
      <c r="H44" s="194">
        <f ca="1">TblConstr[[#This Row],[Water]]</f>
        <v>20</v>
      </c>
      <c r="I44" s="231"/>
      <c r="J44" s="183">
        <f t="shared" si="1"/>
        <v>41</v>
      </c>
      <c r="K44" s="255">
        <f ca="1">TblImps[[#This Row],[Real time]]</f>
        <v>44812.41666666657</v>
      </c>
      <c r="L44" s="187"/>
      <c r="M44" s="187"/>
      <c r="N44" s="187"/>
      <c r="O44" s="187"/>
      <c r="P44" s="187"/>
      <c r="Q44" s="187"/>
      <c r="R44" s="187"/>
      <c r="S44" s="97">
        <f>SUMIF(TblRezone[[#This Row],[Plains Rezone]:[Water Rezone]],"&gt;0")</f>
        <v>0</v>
      </c>
      <c r="T44" s="62" t="str">
        <f>IF(SUM(TblRezone[[#This Row],[Plains Rezone]:[Water Rezone]])=0,"Ok","Nope")</f>
        <v>Ok</v>
      </c>
      <c r="U44" s="231"/>
      <c r="V44" s="97">
        <f ca="1">TblProd[[#This Row],[Platinum]]</f>
        <v>320318</v>
      </c>
      <c r="W44" s="231"/>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31"/>
      <c r="AA44" s="97">
        <f ca="1">250+0.6*(TblRezone[[#This Row],[Land]]-250)</f>
        <v>250</v>
      </c>
      <c r="AB44" s="231"/>
      <c r="AC44" s="165">
        <f ca="1">TblConstr[[#This Row],[Facs DB]]</f>
        <v>0</v>
      </c>
    </row>
    <row r="45" spans="1:29" x14ac:dyDescent="0.2">
      <c r="A45" s="230">
        <f ca="1">TblConstr[[#This Row],[Land]]</f>
        <v>250</v>
      </c>
      <c r="B45" s="232">
        <f ca="1">TblConstr[[#This Row],[Plain]]</f>
        <v>40</v>
      </c>
      <c r="C45" s="190">
        <f ca="1">TblConstr[[#This Row],[Forest]]</f>
        <v>20</v>
      </c>
      <c r="D45" s="390">
        <f ca="1">TblConstr[[#This Row],[Mountain]]</f>
        <v>20</v>
      </c>
      <c r="E45" s="394">
        <f ca="1">TblConstr[[#This Row],[Hill]]</f>
        <v>20</v>
      </c>
      <c r="F45" s="398">
        <f ca="1">TblConstr[[#This Row],[Swamp]]</f>
        <v>20</v>
      </c>
      <c r="G45" s="193">
        <f ca="1">TblConstr[[#This Row],[Cavern]]</f>
        <v>20</v>
      </c>
      <c r="H45" s="194">
        <f ca="1">TblConstr[[#This Row],[Water]]</f>
        <v>20</v>
      </c>
      <c r="I45" s="231"/>
      <c r="J45" s="183">
        <f t="shared" si="1"/>
        <v>42</v>
      </c>
      <c r="K45" s="255">
        <f ca="1">TblImps[[#This Row],[Real time]]</f>
        <v>44812.458333333234</v>
      </c>
      <c r="L45" s="187"/>
      <c r="M45" s="187"/>
      <c r="N45" s="187"/>
      <c r="O45" s="187"/>
      <c r="P45" s="187"/>
      <c r="Q45" s="187"/>
      <c r="R45" s="187"/>
      <c r="S45" s="97">
        <f>SUMIF(TblRezone[[#This Row],[Plains Rezone]:[Water Rezone]],"&gt;0")</f>
        <v>0</v>
      </c>
      <c r="T45" s="62" t="str">
        <f>IF(SUM(TblRezone[[#This Row],[Plains Rezone]:[Water Rezone]])=0,"Ok","Nope")</f>
        <v>Ok</v>
      </c>
      <c r="U45" s="231"/>
      <c r="V45" s="97">
        <f ca="1">TblProd[[#This Row],[Platinum]]</f>
        <v>325804</v>
      </c>
      <c r="W45" s="231"/>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31"/>
      <c r="AA45" s="97">
        <f ca="1">250+0.6*(TblRezone[[#This Row],[Land]]-250)</f>
        <v>250</v>
      </c>
      <c r="AB45" s="231"/>
      <c r="AC45" s="165">
        <f ca="1">TblConstr[[#This Row],[Facs DB]]</f>
        <v>0</v>
      </c>
    </row>
    <row r="46" spans="1:29" x14ac:dyDescent="0.2">
      <c r="A46" s="230">
        <f ca="1">TblConstr[[#This Row],[Land]]</f>
        <v>250</v>
      </c>
      <c r="B46" s="232">
        <f ca="1">TblConstr[[#This Row],[Plain]]</f>
        <v>40</v>
      </c>
      <c r="C46" s="190">
        <f ca="1">TblConstr[[#This Row],[Forest]]</f>
        <v>20</v>
      </c>
      <c r="D46" s="390">
        <f ca="1">TblConstr[[#This Row],[Mountain]]</f>
        <v>20</v>
      </c>
      <c r="E46" s="394">
        <f ca="1">TblConstr[[#This Row],[Hill]]</f>
        <v>20</v>
      </c>
      <c r="F46" s="398">
        <f ca="1">TblConstr[[#This Row],[Swamp]]</f>
        <v>20</v>
      </c>
      <c r="G46" s="193">
        <f ca="1">TblConstr[[#This Row],[Cavern]]</f>
        <v>20</v>
      </c>
      <c r="H46" s="194">
        <f ca="1">TblConstr[[#This Row],[Water]]</f>
        <v>20</v>
      </c>
      <c r="I46" s="231"/>
      <c r="J46" s="183">
        <f t="shared" si="1"/>
        <v>43</v>
      </c>
      <c r="K46" s="255">
        <f ca="1">TblImps[[#This Row],[Real time]]</f>
        <v>44812.499999999898</v>
      </c>
      <c r="L46" s="187"/>
      <c r="M46" s="187"/>
      <c r="N46" s="187"/>
      <c r="O46" s="187"/>
      <c r="P46" s="187"/>
      <c r="Q46" s="187"/>
      <c r="R46" s="187"/>
      <c r="S46" s="97">
        <f>SUMIF(TblRezone[[#This Row],[Plains Rezone]:[Water Rezone]],"&gt;0")</f>
        <v>0</v>
      </c>
      <c r="T46" s="62" t="str">
        <f>IF(SUM(TblRezone[[#This Row],[Plains Rezone]:[Water Rezone]])=0,"Ok","Nope")</f>
        <v>Ok</v>
      </c>
      <c r="U46" s="231"/>
      <c r="V46" s="97">
        <f ca="1">TblProd[[#This Row],[Platinum]]</f>
        <v>331290</v>
      </c>
      <c r="W46" s="231"/>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31"/>
      <c r="AA46" s="97">
        <f ca="1">250+0.6*(TblRezone[[#This Row],[Land]]-250)</f>
        <v>250</v>
      </c>
      <c r="AB46" s="231"/>
      <c r="AC46" s="165">
        <f ca="1">TblConstr[[#This Row],[Facs DB]]</f>
        <v>0</v>
      </c>
    </row>
    <row r="47" spans="1:29" x14ac:dyDescent="0.2">
      <c r="A47" s="230">
        <f ca="1">TblConstr[[#This Row],[Land]]</f>
        <v>250</v>
      </c>
      <c r="B47" s="232">
        <f ca="1">TblConstr[[#This Row],[Plain]]</f>
        <v>40</v>
      </c>
      <c r="C47" s="190">
        <f ca="1">TblConstr[[#This Row],[Forest]]</f>
        <v>20</v>
      </c>
      <c r="D47" s="390">
        <f ca="1">TblConstr[[#This Row],[Mountain]]</f>
        <v>20</v>
      </c>
      <c r="E47" s="394">
        <f ca="1">TblConstr[[#This Row],[Hill]]</f>
        <v>20</v>
      </c>
      <c r="F47" s="398">
        <f ca="1">TblConstr[[#This Row],[Swamp]]</f>
        <v>20</v>
      </c>
      <c r="G47" s="193">
        <f ca="1">TblConstr[[#This Row],[Cavern]]</f>
        <v>20</v>
      </c>
      <c r="H47" s="194">
        <f ca="1">TblConstr[[#This Row],[Water]]</f>
        <v>20</v>
      </c>
      <c r="I47" s="231"/>
      <c r="J47" s="183">
        <f t="shared" si="1"/>
        <v>44</v>
      </c>
      <c r="K47" s="255">
        <f ca="1">TblImps[[#This Row],[Real time]]</f>
        <v>44812.541666666562</v>
      </c>
      <c r="L47" s="187"/>
      <c r="M47" s="187"/>
      <c r="N47" s="187"/>
      <c r="O47" s="187"/>
      <c r="P47" s="187"/>
      <c r="Q47" s="187"/>
      <c r="R47" s="187"/>
      <c r="S47" s="97">
        <f>SUMIF(TblRezone[[#This Row],[Plains Rezone]:[Water Rezone]],"&gt;0")</f>
        <v>0</v>
      </c>
      <c r="T47" s="62" t="str">
        <f>IF(SUM(TblRezone[[#This Row],[Plains Rezone]:[Water Rezone]])=0,"Ok","Nope")</f>
        <v>Ok</v>
      </c>
      <c r="U47" s="231"/>
      <c r="V47" s="97">
        <f ca="1">TblProd[[#This Row],[Platinum]]</f>
        <v>336776</v>
      </c>
      <c r="W47" s="231"/>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31"/>
      <c r="AA47" s="97">
        <f ca="1">250+0.6*(TblRezone[[#This Row],[Land]]-250)</f>
        <v>250</v>
      </c>
      <c r="AB47" s="231"/>
      <c r="AC47" s="165">
        <f ca="1">TblConstr[[#This Row],[Facs DB]]</f>
        <v>0</v>
      </c>
    </row>
    <row r="48" spans="1:29" x14ac:dyDescent="0.2">
      <c r="A48" s="230">
        <f ca="1">TblConstr[[#This Row],[Land]]</f>
        <v>250</v>
      </c>
      <c r="B48" s="232">
        <f ca="1">TblConstr[[#This Row],[Plain]]</f>
        <v>40</v>
      </c>
      <c r="C48" s="190">
        <f ca="1">TblConstr[[#This Row],[Forest]]</f>
        <v>20</v>
      </c>
      <c r="D48" s="390">
        <f ca="1">TblConstr[[#This Row],[Mountain]]</f>
        <v>20</v>
      </c>
      <c r="E48" s="394">
        <f ca="1">TblConstr[[#This Row],[Hill]]</f>
        <v>20</v>
      </c>
      <c r="F48" s="398">
        <f ca="1">TblConstr[[#This Row],[Swamp]]</f>
        <v>20</v>
      </c>
      <c r="G48" s="193">
        <f ca="1">TblConstr[[#This Row],[Cavern]]</f>
        <v>20</v>
      </c>
      <c r="H48" s="194">
        <f ca="1">TblConstr[[#This Row],[Water]]</f>
        <v>20</v>
      </c>
      <c r="I48" s="231"/>
      <c r="J48" s="183">
        <f t="shared" si="1"/>
        <v>45</v>
      </c>
      <c r="K48" s="255">
        <f ca="1">TblImps[[#This Row],[Real time]]</f>
        <v>44812.583333333227</v>
      </c>
      <c r="L48" s="187"/>
      <c r="M48" s="187"/>
      <c r="N48" s="187"/>
      <c r="O48" s="187"/>
      <c r="P48" s="187"/>
      <c r="Q48" s="187"/>
      <c r="R48" s="187"/>
      <c r="S48" s="97">
        <f>SUMIF(TblRezone[[#This Row],[Plains Rezone]:[Water Rezone]],"&gt;0")</f>
        <v>0</v>
      </c>
      <c r="T48" s="62" t="str">
        <f>IF(SUM(TblRezone[[#This Row],[Plains Rezone]:[Water Rezone]])=0,"Ok","Nope")</f>
        <v>Ok</v>
      </c>
      <c r="U48" s="231"/>
      <c r="V48" s="97">
        <f ca="1">TblProd[[#This Row],[Platinum]]</f>
        <v>342262</v>
      </c>
      <c r="W48" s="231"/>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31"/>
      <c r="AA48" s="97">
        <f ca="1">250+0.6*(TblRezone[[#This Row],[Land]]-250)</f>
        <v>250</v>
      </c>
      <c r="AB48" s="231"/>
      <c r="AC48" s="165">
        <f ca="1">TblConstr[[#This Row],[Facs DB]]</f>
        <v>0</v>
      </c>
    </row>
    <row r="49" spans="1:29" x14ac:dyDescent="0.2">
      <c r="A49" s="230">
        <f ca="1">TblConstr[[#This Row],[Land]]</f>
        <v>250</v>
      </c>
      <c r="B49" s="232">
        <f ca="1">TblConstr[[#This Row],[Plain]]</f>
        <v>40</v>
      </c>
      <c r="C49" s="190">
        <f ca="1">TblConstr[[#This Row],[Forest]]</f>
        <v>20</v>
      </c>
      <c r="D49" s="390">
        <f ca="1">TblConstr[[#This Row],[Mountain]]</f>
        <v>20</v>
      </c>
      <c r="E49" s="394">
        <f ca="1">TblConstr[[#This Row],[Hill]]</f>
        <v>20</v>
      </c>
      <c r="F49" s="398">
        <f ca="1">TblConstr[[#This Row],[Swamp]]</f>
        <v>20</v>
      </c>
      <c r="G49" s="193">
        <f ca="1">TblConstr[[#This Row],[Cavern]]</f>
        <v>20</v>
      </c>
      <c r="H49" s="194">
        <f ca="1">TblConstr[[#This Row],[Water]]</f>
        <v>20</v>
      </c>
      <c r="I49" s="231"/>
      <c r="J49" s="183">
        <f t="shared" si="1"/>
        <v>46</v>
      </c>
      <c r="K49" s="255">
        <f ca="1">TblImps[[#This Row],[Real time]]</f>
        <v>44812.624999999891</v>
      </c>
      <c r="L49" s="187"/>
      <c r="M49" s="187"/>
      <c r="N49" s="187"/>
      <c r="O49" s="187"/>
      <c r="P49" s="187"/>
      <c r="Q49" s="187"/>
      <c r="R49" s="187"/>
      <c r="S49" s="97">
        <f>SUMIF(TblRezone[[#This Row],[Plains Rezone]:[Water Rezone]],"&gt;0")</f>
        <v>0</v>
      </c>
      <c r="T49" s="62" t="str">
        <f>IF(SUM(TblRezone[[#This Row],[Plains Rezone]:[Water Rezone]])=0,"Ok","Nope")</f>
        <v>Ok</v>
      </c>
      <c r="U49" s="231"/>
      <c r="V49" s="97">
        <f ca="1">TblProd[[#This Row],[Platinum]]</f>
        <v>347748</v>
      </c>
      <c r="W49" s="231"/>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31"/>
      <c r="AA49" s="97">
        <f ca="1">250+0.6*(TblRezone[[#This Row],[Land]]-250)</f>
        <v>250</v>
      </c>
      <c r="AB49" s="231"/>
      <c r="AC49" s="165">
        <f ca="1">TblConstr[[#This Row],[Facs DB]]</f>
        <v>0</v>
      </c>
    </row>
    <row r="50" spans="1:29" x14ac:dyDescent="0.2">
      <c r="A50" s="230">
        <f ca="1">TblConstr[[#This Row],[Land]]</f>
        <v>250</v>
      </c>
      <c r="B50" s="232">
        <f ca="1">TblConstr[[#This Row],[Plain]]</f>
        <v>40</v>
      </c>
      <c r="C50" s="190">
        <f ca="1">TblConstr[[#This Row],[Forest]]</f>
        <v>20</v>
      </c>
      <c r="D50" s="390">
        <f ca="1">TblConstr[[#This Row],[Mountain]]</f>
        <v>20</v>
      </c>
      <c r="E50" s="394">
        <f ca="1">TblConstr[[#This Row],[Hill]]</f>
        <v>20</v>
      </c>
      <c r="F50" s="398">
        <f ca="1">TblConstr[[#This Row],[Swamp]]</f>
        <v>20</v>
      </c>
      <c r="G50" s="193">
        <f ca="1">TblConstr[[#This Row],[Cavern]]</f>
        <v>20</v>
      </c>
      <c r="H50" s="194">
        <f ca="1">TblConstr[[#This Row],[Water]]</f>
        <v>20</v>
      </c>
      <c r="I50" s="231"/>
      <c r="J50" s="183">
        <f t="shared" si="1"/>
        <v>47</v>
      </c>
      <c r="K50" s="255">
        <f ca="1">TblImps[[#This Row],[Real time]]</f>
        <v>44812.666666666555</v>
      </c>
      <c r="L50" s="187"/>
      <c r="M50" s="187"/>
      <c r="N50" s="187"/>
      <c r="O50" s="187"/>
      <c r="P50" s="187"/>
      <c r="Q50" s="187"/>
      <c r="R50" s="187"/>
      <c r="S50" s="97">
        <f>SUMIF(TblRezone[[#This Row],[Plains Rezone]:[Water Rezone]],"&gt;0")</f>
        <v>0</v>
      </c>
      <c r="T50" s="62" t="str">
        <f>IF(SUM(TblRezone[[#This Row],[Plains Rezone]:[Water Rezone]])=0,"Ok","Nope")</f>
        <v>Ok</v>
      </c>
      <c r="U50" s="231"/>
      <c r="V50" s="97">
        <f ca="1">TblProd[[#This Row],[Platinum]]</f>
        <v>353234</v>
      </c>
      <c r="W50" s="231"/>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31"/>
      <c r="AA50" s="97">
        <f ca="1">250+0.6*(TblRezone[[#This Row],[Land]]-250)</f>
        <v>250</v>
      </c>
      <c r="AB50" s="231"/>
      <c r="AC50" s="165">
        <f ca="1">TblConstr[[#This Row],[Facs DB]]</f>
        <v>0</v>
      </c>
    </row>
    <row r="51" spans="1:29" x14ac:dyDescent="0.2">
      <c r="A51" s="230">
        <f ca="1">TblConstr[[#This Row],[Land]]</f>
        <v>250</v>
      </c>
      <c r="B51" s="232">
        <f ca="1">TblConstr[[#This Row],[Plain]]</f>
        <v>40</v>
      </c>
      <c r="C51" s="190">
        <f ca="1">TblConstr[[#This Row],[Forest]]</f>
        <v>20</v>
      </c>
      <c r="D51" s="390">
        <f ca="1">TblConstr[[#This Row],[Mountain]]</f>
        <v>20</v>
      </c>
      <c r="E51" s="394">
        <f ca="1">TblConstr[[#This Row],[Hill]]</f>
        <v>20</v>
      </c>
      <c r="F51" s="398">
        <f ca="1">TblConstr[[#This Row],[Swamp]]</f>
        <v>20</v>
      </c>
      <c r="G51" s="193">
        <f ca="1">TblConstr[[#This Row],[Cavern]]</f>
        <v>20</v>
      </c>
      <c r="H51" s="194">
        <f ca="1">TblConstr[[#This Row],[Water]]</f>
        <v>20</v>
      </c>
      <c r="I51" s="231"/>
      <c r="J51" s="183">
        <f t="shared" si="1"/>
        <v>48</v>
      </c>
      <c r="K51" s="255">
        <f ca="1">TblImps[[#This Row],[Real time]]</f>
        <v>44812.708333333219</v>
      </c>
      <c r="L51" s="187"/>
      <c r="M51" s="187"/>
      <c r="N51" s="187"/>
      <c r="O51" s="187"/>
      <c r="P51" s="187"/>
      <c r="Q51" s="187"/>
      <c r="R51" s="187"/>
      <c r="S51" s="97">
        <f>SUMIF(TblRezone[[#This Row],[Plains Rezone]:[Water Rezone]],"&gt;0")</f>
        <v>0</v>
      </c>
      <c r="T51" s="62" t="str">
        <f>IF(SUM(TblRezone[[#This Row],[Plains Rezone]:[Water Rezone]])=0,"Ok","Nope")</f>
        <v>Ok</v>
      </c>
      <c r="U51" s="231"/>
      <c r="V51" s="97">
        <f ca="1">TblProd[[#This Row],[Platinum]]</f>
        <v>358720</v>
      </c>
      <c r="W51" s="231"/>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31"/>
      <c r="AA51" s="97">
        <f ca="1">250+0.6*(TblRezone[[#This Row],[Land]]-250)</f>
        <v>250</v>
      </c>
      <c r="AB51" s="231"/>
      <c r="AC51" s="165">
        <f ca="1">TblConstr[[#This Row],[Facs DB]]</f>
        <v>0</v>
      </c>
    </row>
    <row r="52" spans="1:29" x14ac:dyDescent="0.2">
      <c r="A52" s="230">
        <f ca="1">TblConstr[[#This Row],[Land]]</f>
        <v>250</v>
      </c>
      <c r="B52" s="232">
        <f ca="1">TblConstr[[#This Row],[Plain]]</f>
        <v>40</v>
      </c>
      <c r="C52" s="190">
        <f ca="1">TblConstr[[#This Row],[Forest]]</f>
        <v>20</v>
      </c>
      <c r="D52" s="390">
        <f ca="1">TblConstr[[#This Row],[Mountain]]</f>
        <v>20</v>
      </c>
      <c r="E52" s="394">
        <f ca="1">TblConstr[[#This Row],[Hill]]</f>
        <v>20</v>
      </c>
      <c r="F52" s="398">
        <f ca="1">TblConstr[[#This Row],[Swamp]]</f>
        <v>20</v>
      </c>
      <c r="G52" s="193">
        <f ca="1">TblConstr[[#This Row],[Cavern]]</f>
        <v>20</v>
      </c>
      <c r="H52" s="194">
        <f ca="1">TblConstr[[#This Row],[Water]]</f>
        <v>20</v>
      </c>
      <c r="I52" s="231"/>
      <c r="J52" s="183">
        <f t="shared" si="1"/>
        <v>49</v>
      </c>
      <c r="K52" s="255">
        <f ca="1">TblImps[[#This Row],[Real time]]</f>
        <v>44812.749999999884</v>
      </c>
      <c r="L52" s="187"/>
      <c r="M52" s="187"/>
      <c r="N52" s="187"/>
      <c r="O52" s="187"/>
      <c r="P52" s="187"/>
      <c r="Q52" s="187"/>
      <c r="R52" s="187"/>
      <c r="S52" s="97">
        <f>SUMIF(TblRezone[[#This Row],[Plains Rezone]:[Water Rezone]],"&gt;0")</f>
        <v>0</v>
      </c>
      <c r="T52" s="62" t="str">
        <f>IF(SUM(TblRezone[[#This Row],[Plains Rezone]:[Water Rezone]])=0,"Ok","Nope")</f>
        <v>Ok</v>
      </c>
      <c r="U52" s="231"/>
      <c r="V52" s="97">
        <f ca="1">TblProd[[#This Row],[Platinum]]</f>
        <v>364206</v>
      </c>
      <c r="W52" s="231"/>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31"/>
      <c r="AA52" s="97">
        <f ca="1">250+0.6*(TblRezone[[#This Row],[Land]]-250)</f>
        <v>250</v>
      </c>
      <c r="AB52" s="231"/>
      <c r="AC52" s="165">
        <f ca="1">TblConstr[[#This Row],[Facs DB]]</f>
        <v>0</v>
      </c>
    </row>
    <row r="53" spans="1:29" x14ac:dyDescent="0.2">
      <c r="A53" s="230">
        <f ca="1">TblConstr[[#This Row],[Land]]</f>
        <v>250</v>
      </c>
      <c r="B53" s="232">
        <f ca="1">TblConstr[[#This Row],[Plain]]</f>
        <v>40</v>
      </c>
      <c r="C53" s="190">
        <f ca="1">TblConstr[[#This Row],[Forest]]</f>
        <v>20</v>
      </c>
      <c r="D53" s="390">
        <f ca="1">TblConstr[[#This Row],[Mountain]]</f>
        <v>20</v>
      </c>
      <c r="E53" s="394">
        <f ca="1">TblConstr[[#This Row],[Hill]]</f>
        <v>20</v>
      </c>
      <c r="F53" s="398">
        <f ca="1">TblConstr[[#This Row],[Swamp]]</f>
        <v>20</v>
      </c>
      <c r="G53" s="193">
        <f ca="1">TblConstr[[#This Row],[Cavern]]</f>
        <v>20</v>
      </c>
      <c r="H53" s="194">
        <f ca="1">TblConstr[[#This Row],[Water]]</f>
        <v>20</v>
      </c>
      <c r="I53" s="231"/>
      <c r="J53" s="183">
        <f t="shared" si="1"/>
        <v>50</v>
      </c>
      <c r="K53" s="255">
        <f ca="1">TblImps[[#This Row],[Real time]]</f>
        <v>44812.791666666548</v>
      </c>
      <c r="L53" s="187"/>
      <c r="M53" s="187"/>
      <c r="N53" s="187"/>
      <c r="O53" s="187"/>
      <c r="P53" s="187"/>
      <c r="Q53" s="187"/>
      <c r="R53" s="187"/>
      <c r="S53" s="97">
        <f>SUMIF(TblRezone[[#This Row],[Plains Rezone]:[Water Rezone]],"&gt;0")</f>
        <v>0</v>
      </c>
      <c r="T53" s="62" t="str">
        <f>IF(SUM(TblRezone[[#This Row],[Plains Rezone]:[Water Rezone]])=0,"Ok","Nope")</f>
        <v>Ok</v>
      </c>
      <c r="U53" s="231"/>
      <c r="V53" s="97">
        <f ca="1">TblProd[[#This Row],[Platinum]]</f>
        <v>369692</v>
      </c>
      <c r="W53" s="231"/>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31"/>
      <c r="AA53" s="97">
        <f ca="1">250+0.6*(TblRezone[[#This Row],[Land]]-250)</f>
        <v>250</v>
      </c>
      <c r="AB53" s="231"/>
      <c r="AC53" s="165">
        <f ca="1">TblConstr[[#This Row],[Facs DB]]</f>
        <v>0</v>
      </c>
    </row>
    <row r="54" spans="1:29" x14ac:dyDescent="0.2">
      <c r="A54" s="230">
        <f ca="1">TblConstr[[#This Row],[Land]]</f>
        <v>250</v>
      </c>
      <c r="B54" s="232">
        <f ca="1">TblConstr[[#This Row],[Plain]]</f>
        <v>40</v>
      </c>
      <c r="C54" s="190">
        <f ca="1">TblConstr[[#This Row],[Forest]]</f>
        <v>20</v>
      </c>
      <c r="D54" s="390">
        <f ca="1">TblConstr[[#This Row],[Mountain]]</f>
        <v>20</v>
      </c>
      <c r="E54" s="394">
        <f ca="1">TblConstr[[#This Row],[Hill]]</f>
        <v>20</v>
      </c>
      <c r="F54" s="398">
        <f ca="1">TblConstr[[#This Row],[Swamp]]</f>
        <v>20</v>
      </c>
      <c r="G54" s="193">
        <f ca="1">TblConstr[[#This Row],[Cavern]]</f>
        <v>20</v>
      </c>
      <c r="H54" s="194">
        <f ca="1">TblConstr[[#This Row],[Water]]</f>
        <v>20</v>
      </c>
      <c r="I54" s="231"/>
      <c r="J54" s="183">
        <f t="shared" si="1"/>
        <v>51</v>
      </c>
      <c r="K54" s="255">
        <f ca="1">TblImps[[#This Row],[Real time]]</f>
        <v>44812.833333333212</v>
      </c>
      <c r="L54" s="187"/>
      <c r="M54" s="187"/>
      <c r="N54" s="187"/>
      <c r="O54" s="187"/>
      <c r="P54" s="187"/>
      <c r="Q54" s="187"/>
      <c r="R54" s="187"/>
      <c r="S54" s="97">
        <f>SUMIF(TblRezone[[#This Row],[Plains Rezone]:[Water Rezone]],"&gt;0")</f>
        <v>0</v>
      </c>
      <c r="T54" s="62" t="str">
        <f>IF(SUM(TblRezone[[#This Row],[Plains Rezone]:[Water Rezone]])=0,"Ok","Nope")</f>
        <v>Ok</v>
      </c>
      <c r="U54" s="231"/>
      <c r="V54" s="97">
        <f ca="1">TblProd[[#This Row],[Platinum]]</f>
        <v>375178</v>
      </c>
      <c r="W54" s="231"/>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31"/>
      <c r="AA54" s="97">
        <f ca="1">250+0.6*(TblRezone[[#This Row],[Land]]-250)</f>
        <v>250</v>
      </c>
      <c r="AB54" s="231"/>
      <c r="AC54" s="165">
        <f ca="1">TblConstr[[#This Row],[Facs DB]]</f>
        <v>0</v>
      </c>
    </row>
    <row r="55" spans="1:29" x14ac:dyDescent="0.2">
      <c r="A55" s="230">
        <f ca="1">TblConstr[[#This Row],[Land]]</f>
        <v>250</v>
      </c>
      <c r="B55" s="232">
        <f ca="1">TblConstr[[#This Row],[Plain]]</f>
        <v>40</v>
      </c>
      <c r="C55" s="190">
        <f ca="1">TblConstr[[#This Row],[Forest]]</f>
        <v>20</v>
      </c>
      <c r="D55" s="390">
        <f ca="1">TblConstr[[#This Row],[Mountain]]</f>
        <v>20</v>
      </c>
      <c r="E55" s="394">
        <f ca="1">TblConstr[[#This Row],[Hill]]</f>
        <v>20</v>
      </c>
      <c r="F55" s="398">
        <f ca="1">TblConstr[[#This Row],[Swamp]]</f>
        <v>20</v>
      </c>
      <c r="G55" s="193">
        <f ca="1">TblConstr[[#This Row],[Cavern]]</f>
        <v>20</v>
      </c>
      <c r="H55" s="194">
        <f ca="1">TblConstr[[#This Row],[Water]]</f>
        <v>20</v>
      </c>
      <c r="I55" s="231"/>
      <c r="J55" s="183">
        <f t="shared" si="1"/>
        <v>52</v>
      </c>
      <c r="K55" s="255">
        <f ca="1">TblImps[[#This Row],[Real time]]</f>
        <v>44812.874999999876</v>
      </c>
      <c r="L55" s="187"/>
      <c r="M55" s="187"/>
      <c r="N55" s="187"/>
      <c r="O55" s="187"/>
      <c r="P55" s="187"/>
      <c r="Q55" s="187"/>
      <c r="R55" s="187"/>
      <c r="S55" s="97">
        <f>SUMIF(TblRezone[[#This Row],[Plains Rezone]:[Water Rezone]],"&gt;0")</f>
        <v>0</v>
      </c>
      <c r="T55" s="62" t="str">
        <f>IF(SUM(TblRezone[[#This Row],[Plains Rezone]:[Water Rezone]])=0,"Ok","Nope")</f>
        <v>Ok</v>
      </c>
      <c r="U55" s="231"/>
      <c r="V55" s="97">
        <f ca="1">TblProd[[#This Row],[Platinum]]</f>
        <v>380664</v>
      </c>
      <c r="W55" s="231"/>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31"/>
      <c r="AA55" s="97">
        <f ca="1">250+0.6*(TblRezone[[#This Row],[Land]]-250)</f>
        <v>250</v>
      </c>
      <c r="AB55" s="231"/>
      <c r="AC55" s="165">
        <f ca="1">TblConstr[[#This Row],[Facs DB]]</f>
        <v>0</v>
      </c>
    </row>
    <row r="56" spans="1:29" x14ac:dyDescent="0.2">
      <c r="A56" s="230">
        <f ca="1">TblConstr[[#This Row],[Land]]</f>
        <v>250</v>
      </c>
      <c r="B56" s="232">
        <f ca="1">TblConstr[[#This Row],[Plain]]</f>
        <v>40</v>
      </c>
      <c r="C56" s="190">
        <f ca="1">TblConstr[[#This Row],[Forest]]</f>
        <v>20</v>
      </c>
      <c r="D56" s="390">
        <f ca="1">TblConstr[[#This Row],[Mountain]]</f>
        <v>20</v>
      </c>
      <c r="E56" s="394">
        <f ca="1">TblConstr[[#This Row],[Hill]]</f>
        <v>20</v>
      </c>
      <c r="F56" s="398">
        <f ca="1">TblConstr[[#This Row],[Swamp]]</f>
        <v>20</v>
      </c>
      <c r="G56" s="193">
        <f ca="1">TblConstr[[#This Row],[Cavern]]</f>
        <v>20</v>
      </c>
      <c r="H56" s="194">
        <f ca="1">TblConstr[[#This Row],[Water]]</f>
        <v>20</v>
      </c>
      <c r="I56" s="231"/>
      <c r="J56" s="183">
        <f t="shared" si="1"/>
        <v>53</v>
      </c>
      <c r="K56" s="255">
        <f ca="1">TblImps[[#This Row],[Real time]]</f>
        <v>44812.916666666541</v>
      </c>
      <c r="L56" s="187"/>
      <c r="M56" s="187"/>
      <c r="N56" s="187"/>
      <c r="O56" s="187"/>
      <c r="P56" s="187"/>
      <c r="Q56" s="187"/>
      <c r="R56" s="187"/>
      <c r="S56" s="97">
        <f>SUMIF(TblRezone[[#This Row],[Plains Rezone]:[Water Rezone]],"&gt;0")</f>
        <v>0</v>
      </c>
      <c r="T56" s="62" t="str">
        <f>IF(SUM(TblRezone[[#This Row],[Plains Rezone]:[Water Rezone]])=0,"Ok","Nope")</f>
        <v>Ok</v>
      </c>
      <c r="U56" s="231"/>
      <c r="V56" s="97">
        <f ca="1">TblProd[[#This Row],[Platinum]]</f>
        <v>386150</v>
      </c>
      <c r="W56" s="231"/>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31"/>
      <c r="AA56" s="97">
        <f ca="1">250+0.6*(TblRezone[[#This Row],[Land]]-250)</f>
        <v>250</v>
      </c>
      <c r="AB56" s="231"/>
      <c r="AC56" s="165">
        <f ca="1">TblConstr[[#This Row],[Facs DB]]</f>
        <v>0</v>
      </c>
    </row>
    <row r="57" spans="1:29" x14ac:dyDescent="0.2">
      <c r="A57" s="230">
        <f ca="1">TblConstr[[#This Row],[Land]]</f>
        <v>250</v>
      </c>
      <c r="B57" s="232">
        <f ca="1">TblConstr[[#This Row],[Plain]]</f>
        <v>40</v>
      </c>
      <c r="C57" s="190">
        <f ca="1">TblConstr[[#This Row],[Forest]]</f>
        <v>20</v>
      </c>
      <c r="D57" s="390">
        <f ca="1">TblConstr[[#This Row],[Mountain]]</f>
        <v>20</v>
      </c>
      <c r="E57" s="394">
        <f ca="1">TblConstr[[#This Row],[Hill]]</f>
        <v>20</v>
      </c>
      <c r="F57" s="398">
        <f ca="1">TblConstr[[#This Row],[Swamp]]</f>
        <v>20</v>
      </c>
      <c r="G57" s="193">
        <f ca="1">TblConstr[[#This Row],[Cavern]]</f>
        <v>20</v>
      </c>
      <c r="H57" s="194">
        <f ca="1">TblConstr[[#This Row],[Water]]</f>
        <v>20</v>
      </c>
      <c r="I57" s="231"/>
      <c r="J57" s="183">
        <f t="shared" si="1"/>
        <v>54</v>
      </c>
      <c r="K57" s="255">
        <f ca="1">TblImps[[#This Row],[Real time]]</f>
        <v>44812.958333333205</v>
      </c>
      <c r="L57" s="187"/>
      <c r="M57" s="187"/>
      <c r="N57" s="187"/>
      <c r="O57" s="187"/>
      <c r="P57" s="187"/>
      <c r="Q57" s="187"/>
      <c r="R57" s="187"/>
      <c r="S57" s="97">
        <f>SUMIF(TblRezone[[#This Row],[Plains Rezone]:[Water Rezone]],"&gt;0")</f>
        <v>0</v>
      </c>
      <c r="T57" s="62" t="str">
        <f>IF(SUM(TblRezone[[#This Row],[Plains Rezone]:[Water Rezone]])=0,"Ok","Nope")</f>
        <v>Ok</v>
      </c>
      <c r="U57" s="231"/>
      <c r="V57" s="97">
        <f ca="1">TblProd[[#This Row],[Platinum]]</f>
        <v>391636</v>
      </c>
      <c r="W57" s="231"/>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31"/>
      <c r="AA57" s="97">
        <f ca="1">250+0.6*(TblRezone[[#This Row],[Land]]-250)</f>
        <v>250</v>
      </c>
      <c r="AB57" s="231"/>
      <c r="AC57" s="165">
        <f ca="1">TblConstr[[#This Row],[Facs DB]]</f>
        <v>0</v>
      </c>
    </row>
    <row r="58" spans="1:29" x14ac:dyDescent="0.2">
      <c r="A58" s="230">
        <f ca="1">TblConstr[[#This Row],[Land]]</f>
        <v>250</v>
      </c>
      <c r="B58" s="232">
        <f ca="1">TblConstr[[#This Row],[Plain]]</f>
        <v>40</v>
      </c>
      <c r="C58" s="190">
        <f ca="1">TblConstr[[#This Row],[Forest]]</f>
        <v>20</v>
      </c>
      <c r="D58" s="390">
        <f ca="1">TblConstr[[#This Row],[Mountain]]</f>
        <v>20</v>
      </c>
      <c r="E58" s="394">
        <f ca="1">TblConstr[[#This Row],[Hill]]</f>
        <v>20</v>
      </c>
      <c r="F58" s="398">
        <f ca="1">TblConstr[[#This Row],[Swamp]]</f>
        <v>20</v>
      </c>
      <c r="G58" s="193">
        <f ca="1">TblConstr[[#This Row],[Cavern]]</f>
        <v>20</v>
      </c>
      <c r="H58" s="194">
        <f ca="1">TblConstr[[#This Row],[Water]]</f>
        <v>20</v>
      </c>
      <c r="I58" s="231"/>
      <c r="J58" s="183">
        <f t="shared" si="1"/>
        <v>55</v>
      </c>
      <c r="K58" s="255">
        <f ca="1">TblImps[[#This Row],[Real time]]</f>
        <v>44812.999999999869</v>
      </c>
      <c r="L58" s="187"/>
      <c r="M58" s="187"/>
      <c r="N58" s="187"/>
      <c r="O58" s="187"/>
      <c r="P58" s="187"/>
      <c r="Q58" s="187"/>
      <c r="R58" s="187"/>
      <c r="S58" s="97">
        <f>SUMIF(TblRezone[[#This Row],[Plains Rezone]:[Water Rezone]],"&gt;0")</f>
        <v>0</v>
      </c>
      <c r="T58" s="62" t="str">
        <f>IF(SUM(TblRezone[[#This Row],[Plains Rezone]:[Water Rezone]])=0,"Ok","Nope")</f>
        <v>Ok</v>
      </c>
      <c r="U58" s="231"/>
      <c r="V58" s="97">
        <f ca="1">TblProd[[#This Row],[Platinum]]</f>
        <v>397122</v>
      </c>
      <c r="W58" s="231"/>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31"/>
      <c r="AA58" s="97">
        <f ca="1">250+0.6*(TblRezone[[#This Row],[Land]]-250)</f>
        <v>250</v>
      </c>
      <c r="AB58" s="231"/>
      <c r="AC58" s="165">
        <f ca="1">TblConstr[[#This Row],[Facs DB]]</f>
        <v>0</v>
      </c>
    </row>
    <row r="59" spans="1:29" x14ac:dyDescent="0.2">
      <c r="A59" s="230">
        <f ca="1">TblConstr[[#This Row],[Land]]</f>
        <v>250</v>
      </c>
      <c r="B59" s="232">
        <f ca="1">TblConstr[[#This Row],[Plain]]</f>
        <v>40</v>
      </c>
      <c r="C59" s="190">
        <f ca="1">TblConstr[[#This Row],[Forest]]</f>
        <v>20</v>
      </c>
      <c r="D59" s="390">
        <f ca="1">TblConstr[[#This Row],[Mountain]]</f>
        <v>20</v>
      </c>
      <c r="E59" s="394">
        <f ca="1">TblConstr[[#This Row],[Hill]]</f>
        <v>20</v>
      </c>
      <c r="F59" s="398">
        <f ca="1">TblConstr[[#This Row],[Swamp]]</f>
        <v>20</v>
      </c>
      <c r="G59" s="193">
        <f ca="1">TblConstr[[#This Row],[Cavern]]</f>
        <v>20</v>
      </c>
      <c r="H59" s="194">
        <f ca="1">TblConstr[[#This Row],[Water]]</f>
        <v>20</v>
      </c>
      <c r="I59" s="231"/>
      <c r="J59" s="183">
        <f t="shared" si="1"/>
        <v>56</v>
      </c>
      <c r="K59" s="255">
        <f ca="1">TblImps[[#This Row],[Real time]]</f>
        <v>44813.041666666533</v>
      </c>
      <c r="L59" s="187"/>
      <c r="M59" s="187"/>
      <c r="N59" s="187"/>
      <c r="O59" s="187"/>
      <c r="P59" s="187"/>
      <c r="Q59" s="187"/>
      <c r="R59" s="187"/>
      <c r="S59" s="97">
        <f>SUMIF(TblRezone[[#This Row],[Plains Rezone]:[Water Rezone]],"&gt;0")</f>
        <v>0</v>
      </c>
      <c r="T59" s="62" t="str">
        <f>IF(SUM(TblRezone[[#This Row],[Plains Rezone]:[Water Rezone]])=0,"Ok","Nope")</f>
        <v>Ok</v>
      </c>
      <c r="U59" s="231"/>
      <c r="V59" s="97">
        <f ca="1">TblProd[[#This Row],[Platinum]]</f>
        <v>402608</v>
      </c>
      <c r="W59" s="231"/>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31"/>
      <c r="AA59" s="97">
        <f ca="1">250+0.6*(TblRezone[[#This Row],[Land]]-250)</f>
        <v>250</v>
      </c>
      <c r="AB59" s="231"/>
      <c r="AC59" s="165">
        <f ca="1">TblConstr[[#This Row],[Facs DB]]</f>
        <v>0</v>
      </c>
    </row>
    <row r="60" spans="1:29" x14ac:dyDescent="0.2">
      <c r="A60" s="230">
        <f ca="1">TblConstr[[#This Row],[Land]]</f>
        <v>250</v>
      </c>
      <c r="B60" s="232">
        <f ca="1">TblConstr[[#This Row],[Plain]]</f>
        <v>40</v>
      </c>
      <c r="C60" s="190">
        <f ca="1">TblConstr[[#This Row],[Forest]]</f>
        <v>20</v>
      </c>
      <c r="D60" s="390">
        <f ca="1">TblConstr[[#This Row],[Mountain]]</f>
        <v>20</v>
      </c>
      <c r="E60" s="394">
        <f ca="1">TblConstr[[#This Row],[Hill]]</f>
        <v>20</v>
      </c>
      <c r="F60" s="398">
        <f ca="1">TblConstr[[#This Row],[Swamp]]</f>
        <v>20</v>
      </c>
      <c r="G60" s="193">
        <f ca="1">TblConstr[[#This Row],[Cavern]]</f>
        <v>20</v>
      </c>
      <c r="H60" s="194">
        <f ca="1">TblConstr[[#This Row],[Water]]</f>
        <v>20</v>
      </c>
      <c r="I60" s="231"/>
      <c r="J60" s="183">
        <f t="shared" si="1"/>
        <v>57</v>
      </c>
      <c r="K60" s="255">
        <f ca="1">TblImps[[#This Row],[Real time]]</f>
        <v>44813.083333333198</v>
      </c>
      <c r="L60" s="187"/>
      <c r="M60" s="187"/>
      <c r="N60" s="187"/>
      <c r="O60" s="187"/>
      <c r="P60" s="187"/>
      <c r="Q60" s="187"/>
      <c r="R60" s="187"/>
      <c r="S60" s="97">
        <f>SUMIF(TblRezone[[#This Row],[Plains Rezone]:[Water Rezone]],"&gt;0")</f>
        <v>0</v>
      </c>
      <c r="T60" s="62" t="str">
        <f>IF(SUM(TblRezone[[#This Row],[Plains Rezone]:[Water Rezone]])=0,"Ok","Nope")</f>
        <v>Ok</v>
      </c>
      <c r="U60" s="231"/>
      <c r="V60" s="97">
        <f ca="1">TblProd[[#This Row],[Platinum]]</f>
        <v>408094</v>
      </c>
      <c r="W60" s="231"/>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31"/>
      <c r="AA60" s="97">
        <f ca="1">250+0.6*(TblRezone[[#This Row],[Land]]-250)</f>
        <v>250</v>
      </c>
      <c r="AB60" s="231"/>
      <c r="AC60" s="165">
        <f ca="1">TblConstr[[#This Row],[Facs DB]]</f>
        <v>0</v>
      </c>
    </row>
    <row r="61" spans="1:29" x14ac:dyDescent="0.2">
      <c r="A61" s="230">
        <f ca="1">TblConstr[[#This Row],[Land]]</f>
        <v>250</v>
      </c>
      <c r="B61" s="232">
        <f ca="1">TblConstr[[#This Row],[Plain]]</f>
        <v>40</v>
      </c>
      <c r="C61" s="190">
        <f ca="1">TblConstr[[#This Row],[Forest]]</f>
        <v>20</v>
      </c>
      <c r="D61" s="390">
        <f ca="1">TblConstr[[#This Row],[Mountain]]</f>
        <v>20</v>
      </c>
      <c r="E61" s="394">
        <f ca="1">TblConstr[[#This Row],[Hill]]</f>
        <v>20</v>
      </c>
      <c r="F61" s="398">
        <f ca="1">TblConstr[[#This Row],[Swamp]]</f>
        <v>20</v>
      </c>
      <c r="G61" s="193">
        <f ca="1">TblConstr[[#This Row],[Cavern]]</f>
        <v>20</v>
      </c>
      <c r="H61" s="194">
        <f ca="1">TblConstr[[#This Row],[Water]]</f>
        <v>20</v>
      </c>
      <c r="I61" s="231"/>
      <c r="J61" s="183">
        <f t="shared" si="1"/>
        <v>58</v>
      </c>
      <c r="K61" s="255">
        <f ca="1">TblImps[[#This Row],[Real time]]</f>
        <v>44813.124999999862</v>
      </c>
      <c r="L61" s="187"/>
      <c r="M61" s="187"/>
      <c r="N61" s="187"/>
      <c r="O61" s="187"/>
      <c r="P61" s="187"/>
      <c r="Q61" s="187"/>
      <c r="R61" s="187"/>
      <c r="S61" s="97">
        <f>SUMIF(TblRezone[[#This Row],[Plains Rezone]:[Water Rezone]],"&gt;0")</f>
        <v>0</v>
      </c>
      <c r="T61" s="62" t="str">
        <f>IF(SUM(TblRezone[[#This Row],[Plains Rezone]:[Water Rezone]])=0,"Ok","Nope")</f>
        <v>Ok</v>
      </c>
      <c r="U61" s="231"/>
      <c r="V61" s="97">
        <f ca="1">TblProd[[#This Row],[Platinum]]</f>
        <v>413580</v>
      </c>
      <c r="W61" s="231"/>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31"/>
      <c r="AA61" s="97">
        <f ca="1">250+0.6*(TblRezone[[#This Row],[Land]]-250)</f>
        <v>250</v>
      </c>
      <c r="AB61" s="231"/>
      <c r="AC61" s="165">
        <f ca="1">TblConstr[[#This Row],[Facs DB]]</f>
        <v>0</v>
      </c>
    </row>
    <row r="62" spans="1:29" x14ac:dyDescent="0.2">
      <c r="A62" s="230">
        <f ca="1">TblConstr[[#This Row],[Land]]</f>
        <v>250</v>
      </c>
      <c r="B62" s="232">
        <f ca="1">TblConstr[[#This Row],[Plain]]</f>
        <v>40</v>
      </c>
      <c r="C62" s="190">
        <f ca="1">TblConstr[[#This Row],[Forest]]</f>
        <v>20</v>
      </c>
      <c r="D62" s="390">
        <f ca="1">TblConstr[[#This Row],[Mountain]]</f>
        <v>20</v>
      </c>
      <c r="E62" s="394">
        <f ca="1">TblConstr[[#This Row],[Hill]]</f>
        <v>20</v>
      </c>
      <c r="F62" s="398">
        <f ca="1">TblConstr[[#This Row],[Swamp]]</f>
        <v>20</v>
      </c>
      <c r="G62" s="193">
        <f ca="1">TblConstr[[#This Row],[Cavern]]</f>
        <v>20</v>
      </c>
      <c r="H62" s="194">
        <f ca="1">TblConstr[[#This Row],[Water]]</f>
        <v>20</v>
      </c>
      <c r="I62" s="231"/>
      <c r="J62" s="183">
        <f t="shared" si="1"/>
        <v>59</v>
      </c>
      <c r="K62" s="255">
        <f ca="1">TblImps[[#This Row],[Real time]]</f>
        <v>44813.166666666526</v>
      </c>
      <c r="L62" s="187"/>
      <c r="M62" s="187"/>
      <c r="N62" s="187"/>
      <c r="O62" s="187"/>
      <c r="P62" s="187"/>
      <c r="Q62" s="187"/>
      <c r="R62" s="187"/>
      <c r="S62" s="97">
        <f>SUMIF(TblRezone[[#This Row],[Plains Rezone]:[Water Rezone]],"&gt;0")</f>
        <v>0</v>
      </c>
      <c r="T62" s="62" t="str">
        <f>IF(SUM(TblRezone[[#This Row],[Plains Rezone]:[Water Rezone]])=0,"Ok","Nope")</f>
        <v>Ok</v>
      </c>
      <c r="U62" s="231"/>
      <c r="V62" s="97">
        <f ca="1">TblProd[[#This Row],[Platinum]]</f>
        <v>419066</v>
      </c>
      <c r="W62" s="231"/>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31"/>
      <c r="AA62" s="97">
        <f ca="1">250+0.6*(TblRezone[[#This Row],[Land]]-250)</f>
        <v>250</v>
      </c>
      <c r="AB62" s="231"/>
      <c r="AC62" s="165">
        <f ca="1">TblConstr[[#This Row],[Facs DB]]</f>
        <v>0</v>
      </c>
    </row>
    <row r="63" spans="1:29" x14ac:dyDescent="0.2">
      <c r="A63" s="230">
        <f ca="1">TblConstr[[#This Row],[Land]]</f>
        <v>250</v>
      </c>
      <c r="B63" s="232">
        <f ca="1">TblConstr[[#This Row],[Plain]]</f>
        <v>40</v>
      </c>
      <c r="C63" s="190">
        <f ca="1">TblConstr[[#This Row],[Forest]]</f>
        <v>20</v>
      </c>
      <c r="D63" s="390">
        <f ca="1">TblConstr[[#This Row],[Mountain]]</f>
        <v>20</v>
      </c>
      <c r="E63" s="394">
        <f ca="1">TblConstr[[#This Row],[Hill]]</f>
        <v>20</v>
      </c>
      <c r="F63" s="398">
        <f ca="1">TblConstr[[#This Row],[Swamp]]</f>
        <v>20</v>
      </c>
      <c r="G63" s="193">
        <f ca="1">TblConstr[[#This Row],[Cavern]]</f>
        <v>20</v>
      </c>
      <c r="H63" s="194">
        <f ca="1">TblConstr[[#This Row],[Water]]</f>
        <v>20</v>
      </c>
      <c r="I63" s="231"/>
      <c r="J63" s="183">
        <f t="shared" si="1"/>
        <v>60</v>
      </c>
      <c r="K63" s="255">
        <f ca="1">TblImps[[#This Row],[Real time]]</f>
        <v>44813.20833333319</v>
      </c>
      <c r="L63" s="187"/>
      <c r="M63" s="187"/>
      <c r="N63" s="187"/>
      <c r="O63" s="187"/>
      <c r="P63" s="187"/>
      <c r="Q63" s="187"/>
      <c r="R63" s="187"/>
      <c r="S63" s="97">
        <f>SUMIF(TblRezone[[#This Row],[Plains Rezone]:[Water Rezone]],"&gt;0")</f>
        <v>0</v>
      </c>
      <c r="T63" s="62" t="str">
        <f>IF(SUM(TblRezone[[#This Row],[Plains Rezone]:[Water Rezone]])=0,"Ok","Nope")</f>
        <v>Ok</v>
      </c>
      <c r="U63" s="231"/>
      <c r="V63" s="97">
        <f ca="1">TblProd[[#This Row],[Platinum]]</f>
        <v>424552</v>
      </c>
      <c r="W63" s="231"/>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31"/>
      <c r="AA63" s="97">
        <f ca="1">250+0.6*(TblRezone[[#This Row],[Land]]-250)</f>
        <v>250</v>
      </c>
      <c r="AB63" s="231"/>
      <c r="AC63" s="165">
        <f ca="1">TblConstr[[#This Row],[Facs DB]]</f>
        <v>0</v>
      </c>
    </row>
    <row r="64" spans="1:29" x14ac:dyDescent="0.2">
      <c r="A64" s="230">
        <f ca="1">TblConstr[[#This Row],[Land]]</f>
        <v>250</v>
      </c>
      <c r="B64" s="232">
        <f ca="1">TblConstr[[#This Row],[Plain]]</f>
        <v>40</v>
      </c>
      <c r="C64" s="190">
        <f ca="1">TblConstr[[#This Row],[Forest]]</f>
        <v>20</v>
      </c>
      <c r="D64" s="390">
        <f ca="1">TblConstr[[#This Row],[Mountain]]</f>
        <v>20</v>
      </c>
      <c r="E64" s="394">
        <f ca="1">TblConstr[[#This Row],[Hill]]</f>
        <v>20</v>
      </c>
      <c r="F64" s="398">
        <f ca="1">TblConstr[[#This Row],[Swamp]]</f>
        <v>20</v>
      </c>
      <c r="G64" s="193">
        <f ca="1">TblConstr[[#This Row],[Cavern]]</f>
        <v>20</v>
      </c>
      <c r="H64" s="194">
        <f ca="1">TblConstr[[#This Row],[Water]]</f>
        <v>20</v>
      </c>
      <c r="I64" s="231"/>
      <c r="J64" s="183">
        <f t="shared" si="1"/>
        <v>61</v>
      </c>
      <c r="K64" s="255">
        <f ca="1">TblImps[[#This Row],[Real time]]</f>
        <v>44813.249999999854</v>
      </c>
      <c r="L64" s="187"/>
      <c r="M64" s="187"/>
      <c r="N64" s="187"/>
      <c r="O64" s="187"/>
      <c r="P64" s="187"/>
      <c r="Q64" s="187"/>
      <c r="R64" s="187"/>
      <c r="S64" s="97">
        <f>SUMIF(TblRezone[[#This Row],[Plains Rezone]:[Water Rezone]],"&gt;0")</f>
        <v>0</v>
      </c>
      <c r="T64" s="62" t="str">
        <f>IF(SUM(TblRezone[[#This Row],[Plains Rezone]:[Water Rezone]])=0,"Ok","Nope")</f>
        <v>Ok</v>
      </c>
      <c r="U64" s="231"/>
      <c r="V64" s="97">
        <f ca="1">TblProd[[#This Row],[Platinum]]</f>
        <v>430038</v>
      </c>
      <c r="W64" s="231"/>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31"/>
      <c r="AA64" s="97">
        <f ca="1">250+0.6*(TblRezone[[#This Row],[Land]]-250)</f>
        <v>250</v>
      </c>
      <c r="AB64" s="231"/>
      <c r="AC64" s="165">
        <f ca="1">TblConstr[[#This Row],[Facs DB]]</f>
        <v>0</v>
      </c>
    </row>
    <row r="65" spans="1:29" x14ac:dyDescent="0.2">
      <c r="A65" s="230">
        <f ca="1">TblConstr[[#This Row],[Land]]</f>
        <v>250</v>
      </c>
      <c r="B65" s="232">
        <f ca="1">TblConstr[[#This Row],[Plain]]</f>
        <v>40</v>
      </c>
      <c r="C65" s="190">
        <f ca="1">TblConstr[[#This Row],[Forest]]</f>
        <v>20</v>
      </c>
      <c r="D65" s="390">
        <f ca="1">TblConstr[[#This Row],[Mountain]]</f>
        <v>20</v>
      </c>
      <c r="E65" s="394">
        <f ca="1">TblConstr[[#This Row],[Hill]]</f>
        <v>20</v>
      </c>
      <c r="F65" s="398">
        <f ca="1">TblConstr[[#This Row],[Swamp]]</f>
        <v>20</v>
      </c>
      <c r="G65" s="193">
        <f ca="1">TblConstr[[#This Row],[Cavern]]</f>
        <v>20</v>
      </c>
      <c r="H65" s="194">
        <f ca="1">TblConstr[[#This Row],[Water]]</f>
        <v>20</v>
      </c>
      <c r="I65" s="231"/>
      <c r="J65" s="183">
        <f t="shared" si="1"/>
        <v>62</v>
      </c>
      <c r="K65" s="255">
        <f ca="1">TblImps[[#This Row],[Real time]]</f>
        <v>44813.291666666519</v>
      </c>
      <c r="L65" s="187"/>
      <c r="M65" s="187"/>
      <c r="N65" s="187"/>
      <c r="O65" s="187"/>
      <c r="P65" s="187"/>
      <c r="Q65" s="187"/>
      <c r="R65" s="187"/>
      <c r="S65" s="97">
        <f>SUMIF(TblRezone[[#This Row],[Plains Rezone]:[Water Rezone]],"&gt;0")</f>
        <v>0</v>
      </c>
      <c r="T65" s="62" t="str">
        <f>IF(SUM(TblRezone[[#This Row],[Plains Rezone]:[Water Rezone]])=0,"Ok","Nope")</f>
        <v>Ok</v>
      </c>
      <c r="U65" s="231"/>
      <c r="V65" s="97">
        <f ca="1">TblProd[[#This Row],[Platinum]]</f>
        <v>435524</v>
      </c>
      <c r="W65" s="231"/>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31"/>
      <c r="AA65" s="97">
        <f ca="1">250+0.6*(TblRezone[[#This Row],[Land]]-250)</f>
        <v>250</v>
      </c>
      <c r="AB65" s="231"/>
      <c r="AC65" s="165">
        <f ca="1">TblConstr[[#This Row],[Facs DB]]</f>
        <v>0</v>
      </c>
    </row>
    <row r="66" spans="1:29" x14ac:dyDescent="0.2">
      <c r="A66" s="230">
        <f ca="1">TblConstr[[#This Row],[Land]]</f>
        <v>250</v>
      </c>
      <c r="B66" s="232">
        <f ca="1">TblConstr[[#This Row],[Plain]]</f>
        <v>40</v>
      </c>
      <c r="C66" s="190">
        <f ca="1">TblConstr[[#This Row],[Forest]]</f>
        <v>20</v>
      </c>
      <c r="D66" s="390">
        <f ca="1">TblConstr[[#This Row],[Mountain]]</f>
        <v>20</v>
      </c>
      <c r="E66" s="394">
        <f ca="1">TblConstr[[#This Row],[Hill]]</f>
        <v>20</v>
      </c>
      <c r="F66" s="398">
        <f ca="1">TblConstr[[#This Row],[Swamp]]</f>
        <v>20</v>
      </c>
      <c r="G66" s="193">
        <f ca="1">TblConstr[[#This Row],[Cavern]]</f>
        <v>20</v>
      </c>
      <c r="H66" s="194">
        <f ca="1">TblConstr[[#This Row],[Water]]</f>
        <v>20</v>
      </c>
      <c r="I66" s="231"/>
      <c r="J66" s="183">
        <f t="shared" si="1"/>
        <v>63</v>
      </c>
      <c r="K66" s="255">
        <f ca="1">TblImps[[#This Row],[Real time]]</f>
        <v>44813.333333333183</v>
      </c>
      <c r="L66" s="187"/>
      <c r="M66" s="187"/>
      <c r="N66" s="187"/>
      <c r="O66" s="187"/>
      <c r="P66" s="187"/>
      <c r="Q66" s="187"/>
      <c r="R66" s="187"/>
      <c r="S66" s="97">
        <f>SUMIF(TblRezone[[#This Row],[Plains Rezone]:[Water Rezone]],"&gt;0")</f>
        <v>0</v>
      </c>
      <c r="T66" s="62" t="str">
        <f>IF(SUM(TblRezone[[#This Row],[Plains Rezone]:[Water Rezone]])=0,"Ok","Nope")</f>
        <v>Ok</v>
      </c>
      <c r="U66" s="231"/>
      <c r="V66" s="97">
        <f ca="1">TblProd[[#This Row],[Platinum]]</f>
        <v>441010</v>
      </c>
      <c r="W66" s="231"/>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31"/>
      <c r="AA66" s="97">
        <f ca="1">250+0.6*(TblRezone[[#This Row],[Land]]-250)</f>
        <v>250</v>
      </c>
      <c r="AB66" s="231"/>
      <c r="AC66" s="165">
        <f ca="1">TblConstr[[#This Row],[Facs DB]]</f>
        <v>0</v>
      </c>
    </row>
    <row r="67" spans="1:29" x14ac:dyDescent="0.2">
      <c r="A67" s="230">
        <f ca="1">TblConstr[[#This Row],[Land]]</f>
        <v>250</v>
      </c>
      <c r="B67" s="232">
        <f ca="1">TblConstr[[#This Row],[Plain]]</f>
        <v>40</v>
      </c>
      <c r="C67" s="190">
        <f ca="1">TblConstr[[#This Row],[Forest]]</f>
        <v>20</v>
      </c>
      <c r="D67" s="390">
        <f ca="1">TblConstr[[#This Row],[Mountain]]</f>
        <v>20</v>
      </c>
      <c r="E67" s="394">
        <f ca="1">TblConstr[[#This Row],[Hill]]</f>
        <v>20</v>
      </c>
      <c r="F67" s="398">
        <f ca="1">TblConstr[[#This Row],[Swamp]]</f>
        <v>20</v>
      </c>
      <c r="G67" s="193">
        <f ca="1">TblConstr[[#This Row],[Cavern]]</f>
        <v>20</v>
      </c>
      <c r="H67" s="194">
        <f ca="1">TblConstr[[#This Row],[Water]]</f>
        <v>20</v>
      </c>
      <c r="I67" s="231"/>
      <c r="J67" s="183">
        <f t="shared" si="1"/>
        <v>64</v>
      </c>
      <c r="K67" s="255">
        <f ca="1">TblImps[[#This Row],[Real time]]</f>
        <v>44813.374999999847</v>
      </c>
      <c r="L67" s="187"/>
      <c r="M67" s="187"/>
      <c r="N67" s="187"/>
      <c r="O67" s="187"/>
      <c r="P67" s="187"/>
      <c r="Q67" s="187"/>
      <c r="R67" s="187"/>
      <c r="S67" s="97">
        <f>SUMIF(TblRezone[[#This Row],[Plains Rezone]:[Water Rezone]],"&gt;0")</f>
        <v>0</v>
      </c>
      <c r="T67" s="62" t="str">
        <f>IF(SUM(TblRezone[[#This Row],[Plains Rezone]:[Water Rezone]])=0,"Ok","Nope")</f>
        <v>Ok</v>
      </c>
      <c r="U67" s="231"/>
      <c r="V67" s="97">
        <f ca="1">TblProd[[#This Row],[Platinum]]</f>
        <v>446496</v>
      </c>
      <c r="W67" s="231"/>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31"/>
      <c r="AA67" s="97">
        <f ca="1">250+0.6*(TblRezone[[#This Row],[Land]]-250)</f>
        <v>250</v>
      </c>
      <c r="AB67" s="231"/>
      <c r="AC67" s="165">
        <f ca="1">TblConstr[[#This Row],[Facs DB]]</f>
        <v>0</v>
      </c>
    </row>
    <row r="68" spans="1:29" x14ac:dyDescent="0.2">
      <c r="A68" s="230">
        <f ca="1">TblConstr[[#This Row],[Land]]</f>
        <v>250</v>
      </c>
      <c r="B68" s="232">
        <f ca="1">TblConstr[[#This Row],[Plain]]</f>
        <v>40</v>
      </c>
      <c r="C68" s="190">
        <f ca="1">TblConstr[[#This Row],[Forest]]</f>
        <v>20</v>
      </c>
      <c r="D68" s="390">
        <f ca="1">TblConstr[[#This Row],[Mountain]]</f>
        <v>20</v>
      </c>
      <c r="E68" s="394">
        <f ca="1">TblConstr[[#This Row],[Hill]]</f>
        <v>20</v>
      </c>
      <c r="F68" s="398">
        <f ca="1">TblConstr[[#This Row],[Swamp]]</f>
        <v>20</v>
      </c>
      <c r="G68" s="193">
        <f ca="1">TblConstr[[#This Row],[Cavern]]</f>
        <v>20</v>
      </c>
      <c r="H68" s="194">
        <f ca="1">TblConstr[[#This Row],[Water]]</f>
        <v>20</v>
      </c>
      <c r="I68" s="231"/>
      <c r="J68" s="183">
        <f t="shared" si="1"/>
        <v>65</v>
      </c>
      <c r="K68" s="255">
        <f ca="1">TblImps[[#This Row],[Real time]]</f>
        <v>44813.416666666511</v>
      </c>
      <c r="L68" s="187"/>
      <c r="M68" s="187"/>
      <c r="N68" s="187"/>
      <c r="O68" s="187"/>
      <c r="P68" s="187"/>
      <c r="Q68" s="187"/>
      <c r="R68" s="187"/>
      <c r="S68" s="97">
        <f>SUMIF(TblRezone[[#This Row],[Plains Rezone]:[Water Rezone]],"&gt;0")</f>
        <v>0</v>
      </c>
      <c r="T68" s="62" t="str">
        <f>IF(SUM(TblRezone[[#This Row],[Plains Rezone]:[Water Rezone]])=0,"Ok","Nope")</f>
        <v>Ok</v>
      </c>
      <c r="U68" s="231"/>
      <c r="V68" s="97">
        <f ca="1">TblProd[[#This Row],[Platinum]]</f>
        <v>451982</v>
      </c>
      <c r="W68" s="231"/>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31"/>
      <c r="AA68" s="97">
        <f ca="1">250+0.6*(TblRezone[[#This Row],[Land]]-250)</f>
        <v>250</v>
      </c>
      <c r="AB68" s="231"/>
      <c r="AC68" s="165">
        <f ca="1">TblConstr[[#This Row],[Facs DB]]</f>
        <v>0</v>
      </c>
    </row>
    <row r="69" spans="1:29" x14ac:dyDescent="0.2">
      <c r="A69" s="230">
        <f ca="1">TblConstr[[#This Row],[Land]]</f>
        <v>250</v>
      </c>
      <c r="B69" s="232">
        <f ca="1">TblConstr[[#This Row],[Plain]]</f>
        <v>40</v>
      </c>
      <c r="C69" s="190">
        <f ca="1">TblConstr[[#This Row],[Forest]]</f>
        <v>20</v>
      </c>
      <c r="D69" s="390">
        <f ca="1">TblConstr[[#This Row],[Mountain]]</f>
        <v>20</v>
      </c>
      <c r="E69" s="394">
        <f ca="1">TblConstr[[#This Row],[Hill]]</f>
        <v>20</v>
      </c>
      <c r="F69" s="398">
        <f ca="1">TblConstr[[#This Row],[Swamp]]</f>
        <v>20</v>
      </c>
      <c r="G69" s="193">
        <f ca="1">TblConstr[[#This Row],[Cavern]]</f>
        <v>20</v>
      </c>
      <c r="H69" s="194">
        <f ca="1">TblConstr[[#This Row],[Water]]</f>
        <v>20</v>
      </c>
      <c r="I69" s="231"/>
      <c r="J69" s="183">
        <f t="shared" si="1"/>
        <v>66</v>
      </c>
      <c r="K69" s="255">
        <f ca="1">TblImps[[#This Row],[Real time]]</f>
        <v>44813.458333333176</v>
      </c>
      <c r="L69" s="187"/>
      <c r="M69" s="187"/>
      <c r="N69" s="187"/>
      <c r="O69" s="187"/>
      <c r="P69" s="187"/>
      <c r="Q69" s="187"/>
      <c r="R69" s="187"/>
      <c r="S69" s="97">
        <f>SUMIF(TblRezone[[#This Row],[Plains Rezone]:[Water Rezone]],"&gt;0")</f>
        <v>0</v>
      </c>
      <c r="T69" s="62" t="str">
        <f>IF(SUM(TblRezone[[#This Row],[Plains Rezone]:[Water Rezone]])=0,"Ok","Nope")</f>
        <v>Ok</v>
      </c>
      <c r="U69" s="231"/>
      <c r="V69" s="97">
        <f ca="1">TblProd[[#This Row],[Platinum]]</f>
        <v>457468</v>
      </c>
      <c r="W69" s="231"/>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31"/>
      <c r="AA69" s="97">
        <f ca="1">250+0.6*(TblRezone[[#This Row],[Land]]-250)</f>
        <v>250</v>
      </c>
      <c r="AB69" s="231"/>
      <c r="AC69" s="165">
        <f ca="1">TblConstr[[#This Row],[Facs DB]]</f>
        <v>0</v>
      </c>
    </row>
    <row r="70" spans="1:29" x14ac:dyDescent="0.2">
      <c r="A70" s="230">
        <f ca="1">TblConstr[[#This Row],[Land]]</f>
        <v>250</v>
      </c>
      <c r="B70" s="232">
        <f ca="1">TblConstr[[#This Row],[Plain]]</f>
        <v>40</v>
      </c>
      <c r="C70" s="190">
        <f ca="1">TblConstr[[#This Row],[Forest]]</f>
        <v>20</v>
      </c>
      <c r="D70" s="390">
        <f ca="1">TblConstr[[#This Row],[Mountain]]</f>
        <v>20</v>
      </c>
      <c r="E70" s="394">
        <f ca="1">TblConstr[[#This Row],[Hill]]</f>
        <v>20</v>
      </c>
      <c r="F70" s="398">
        <f ca="1">TblConstr[[#This Row],[Swamp]]</f>
        <v>20</v>
      </c>
      <c r="G70" s="193">
        <f ca="1">TblConstr[[#This Row],[Cavern]]</f>
        <v>20</v>
      </c>
      <c r="H70" s="194">
        <f ca="1">TblConstr[[#This Row],[Water]]</f>
        <v>20</v>
      </c>
      <c r="I70" s="231"/>
      <c r="J70" s="183">
        <f t="shared" si="1"/>
        <v>67</v>
      </c>
      <c r="K70" s="255">
        <f ca="1">TblImps[[#This Row],[Real time]]</f>
        <v>44813.49999999984</v>
      </c>
      <c r="L70" s="187"/>
      <c r="M70" s="187"/>
      <c r="N70" s="187"/>
      <c r="O70" s="187"/>
      <c r="P70" s="187"/>
      <c r="Q70" s="187"/>
      <c r="R70" s="187"/>
      <c r="S70" s="97">
        <f>SUMIF(TblRezone[[#This Row],[Plains Rezone]:[Water Rezone]],"&gt;0")</f>
        <v>0</v>
      </c>
      <c r="T70" s="62" t="str">
        <f>IF(SUM(TblRezone[[#This Row],[Plains Rezone]:[Water Rezone]])=0,"Ok","Nope")</f>
        <v>Ok</v>
      </c>
      <c r="U70" s="231"/>
      <c r="V70" s="97">
        <f ca="1">TblProd[[#This Row],[Platinum]]</f>
        <v>462954</v>
      </c>
      <c r="W70" s="231"/>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31"/>
      <c r="AA70" s="97">
        <f ca="1">250+0.6*(TblRezone[[#This Row],[Land]]-250)</f>
        <v>250</v>
      </c>
      <c r="AB70" s="231"/>
      <c r="AC70" s="165">
        <f ca="1">TblConstr[[#This Row],[Facs DB]]</f>
        <v>0</v>
      </c>
    </row>
    <row r="71" spans="1:29" x14ac:dyDescent="0.2">
      <c r="A71" s="230">
        <f ca="1">TblConstr[[#This Row],[Land]]</f>
        <v>250</v>
      </c>
      <c r="B71" s="232">
        <f ca="1">TblConstr[[#This Row],[Plain]]</f>
        <v>40</v>
      </c>
      <c r="C71" s="190">
        <f ca="1">TblConstr[[#This Row],[Forest]]</f>
        <v>20</v>
      </c>
      <c r="D71" s="390">
        <f ca="1">TblConstr[[#This Row],[Mountain]]</f>
        <v>20</v>
      </c>
      <c r="E71" s="394">
        <f ca="1">TblConstr[[#This Row],[Hill]]</f>
        <v>20</v>
      </c>
      <c r="F71" s="398">
        <f ca="1">TblConstr[[#This Row],[Swamp]]</f>
        <v>20</v>
      </c>
      <c r="G71" s="193">
        <f ca="1">TblConstr[[#This Row],[Cavern]]</f>
        <v>20</v>
      </c>
      <c r="H71" s="194">
        <f ca="1">TblConstr[[#This Row],[Water]]</f>
        <v>20</v>
      </c>
      <c r="I71" s="231"/>
      <c r="J71" s="183">
        <f t="shared" si="1"/>
        <v>68</v>
      </c>
      <c r="K71" s="255">
        <f ca="1">TblImps[[#This Row],[Real time]]</f>
        <v>44813.541666666504</v>
      </c>
      <c r="L71" s="187"/>
      <c r="M71" s="187"/>
      <c r="N71" s="187"/>
      <c r="O71" s="187"/>
      <c r="P71" s="187"/>
      <c r="Q71" s="187"/>
      <c r="R71" s="187"/>
      <c r="S71" s="97">
        <f>SUMIF(TblRezone[[#This Row],[Plains Rezone]:[Water Rezone]],"&gt;0")</f>
        <v>0</v>
      </c>
      <c r="T71" s="62" t="str">
        <f>IF(SUM(TblRezone[[#This Row],[Plains Rezone]:[Water Rezone]])=0,"Ok","Nope")</f>
        <v>Ok</v>
      </c>
      <c r="U71" s="231"/>
      <c r="V71" s="97">
        <f ca="1">TblProd[[#This Row],[Platinum]]</f>
        <v>468440</v>
      </c>
      <c r="W71" s="231"/>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31"/>
      <c r="AA71" s="97">
        <f ca="1">250+0.6*(TblRezone[[#This Row],[Land]]-250)</f>
        <v>250</v>
      </c>
      <c r="AB71" s="231"/>
      <c r="AC71" s="165">
        <f ca="1">TblConstr[[#This Row],[Facs DB]]</f>
        <v>0</v>
      </c>
    </row>
    <row r="72" spans="1:29" x14ac:dyDescent="0.2">
      <c r="A72" s="230">
        <f ca="1">TblConstr[[#This Row],[Land]]</f>
        <v>250</v>
      </c>
      <c r="B72" s="232">
        <f ca="1">TblConstr[[#This Row],[Plain]]</f>
        <v>40</v>
      </c>
      <c r="C72" s="190">
        <f ca="1">TblConstr[[#This Row],[Forest]]</f>
        <v>20</v>
      </c>
      <c r="D72" s="390">
        <f ca="1">TblConstr[[#This Row],[Mountain]]</f>
        <v>20</v>
      </c>
      <c r="E72" s="394">
        <f ca="1">TblConstr[[#This Row],[Hill]]</f>
        <v>20</v>
      </c>
      <c r="F72" s="398">
        <f ca="1">TblConstr[[#This Row],[Swamp]]</f>
        <v>20</v>
      </c>
      <c r="G72" s="193">
        <f ca="1">TblConstr[[#This Row],[Cavern]]</f>
        <v>20</v>
      </c>
      <c r="H72" s="194">
        <f ca="1">TblConstr[[#This Row],[Water]]</f>
        <v>20</v>
      </c>
      <c r="I72" s="231"/>
      <c r="J72" s="183">
        <f t="shared" si="1"/>
        <v>69</v>
      </c>
      <c r="K72" s="255">
        <f ca="1">TblImps[[#This Row],[Real time]]</f>
        <v>44813.583333333168</v>
      </c>
      <c r="L72" s="187"/>
      <c r="M72" s="187"/>
      <c r="N72" s="187"/>
      <c r="O72" s="187"/>
      <c r="P72" s="187"/>
      <c r="Q72" s="187"/>
      <c r="R72" s="187"/>
      <c r="S72" s="97">
        <f>SUMIF(TblRezone[[#This Row],[Plains Rezone]:[Water Rezone]],"&gt;0")</f>
        <v>0</v>
      </c>
      <c r="T72" s="62" t="str">
        <f>IF(SUM(TblRezone[[#This Row],[Plains Rezone]:[Water Rezone]])=0,"Ok","Nope")</f>
        <v>Ok</v>
      </c>
      <c r="U72" s="231"/>
      <c r="V72" s="97">
        <f ca="1">TblProd[[#This Row],[Platinum]]</f>
        <v>473926</v>
      </c>
      <c r="W72" s="231"/>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31"/>
      <c r="AA72" s="97">
        <f ca="1">250+0.6*(TblRezone[[#This Row],[Land]]-250)</f>
        <v>250</v>
      </c>
      <c r="AB72" s="231"/>
      <c r="AC72" s="165">
        <f ca="1">TblConstr[[#This Row],[Facs DB]]</f>
        <v>0</v>
      </c>
    </row>
    <row r="73" spans="1:29" x14ac:dyDescent="0.2">
      <c r="A73" s="230">
        <f ca="1">TblConstr[[#This Row],[Land]]</f>
        <v>250</v>
      </c>
      <c r="B73" s="232">
        <f ca="1">TblConstr[[#This Row],[Plain]]</f>
        <v>40</v>
      </c>
      <c r="C73" s="190">
        <f ca="1">TblConstr[[#This Row],[Forest]]</f>
        <v>20</v>
      </c>
      <c r="D73" s="390">
        <f ca="1">TblConstr[[#This Row],[Mountain]]</f>
        <v>20</v>
      </c>
      <c r="E73" s="394">
        <f ca="1">TblConstr[[#This Row],[Hill]]</f>
        <v>20</v>
      </c>
      <c r="F73" s="398">
        <f ca="1">TblConstr[[#This Row],[Swamp]]</f>
        <v>20</v>
      </c>
      <c r="G73" s="193">
        <f ca="1">TblConstr[[#This Row],[Cavern]]</f>
        <v>20</v>
      </c>
      <c r="H73" s="194">
        <f ca="1">TblConstr[[#This Row],[Water]]</f>
        <v>20</v>
      </c>
      <c r="I73" s="231"/>
      <c r="J73" s="183">
        <f t="shared" si="1"/>
        <v>70</v>
      </c>
      <c r="K73" s="255">
        <f ca="1">TblImps[[#This Row],[Real time]]</f>
        <v>44813.624999999833</v>
      </c>
      <c r="L73" s="187"/>
      <c r="M73" s="187"/>
      <c r="N73" s="187"/>
      <c r="O73" s="187"/>
      <c r="P73" s="187"/>
      <c r="Q73" s="187"/>
      <c r="R73" s="187"/>
      <c r="S73" s="97">
        <f>SUMIF(TblRezone[[#This Row],[Plains Rezone]:[Water Rezone]],"&gt;0")</f>
        <v>0</v>
      </c>
      <c r="T73" s="62" t="str">
        <f>IF(SUM(TblRezone[[#This Row],[Plains Rezone]:[Water Rezone]])=0,"Ok","Nope")</f>
        <v>Ok</v>
      </c>
      <c r="U73" s="231"/>
      <c r="V73" s="97">
        <f ca="1">TblProd[[#This Row],[Platinum]]</f>
        <v>479412</v>
      </c>
      <c r="W73" s="231"/>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31"/>
      <c r="AA73" s="97">
        <f ca="1">250+0.6*(TblRezone[[#This Row],[Land]]-250)</f>
        <v>250</v>
      </c>
      <c r="AB73" s="231"/>
      <c r="AC73" s="165">
        <f ca="1">TblConstr[[#This Row],[Facs DB]]</f>
        <v>0</v>
      </c>
    </row>
    <row r="74" spans="1:29" x14ac:dyDescent="0.2">
      <c r="A74" s="230">
        <f ca="1">TblConstr[[#This Row],[Land]]</f>
        <v>250</v>
      </c>
      <c r="B74" s="232">
        <f ca="1">TblConstr[[#This Row],[Plain]]</f>
        <v>40</v>
      </c>
      <c r="C74" s="190">
        <f ca="1">TblConstr[[#This Row],[Forest]]</f>
        <v>20</v>
      </c>
      <c r="D74" s="390">
        <f ca="1">TblConstr[[#This Row],[Mountain]]</f>
        <v>20</v>
      </c>
      <c r="E74" s="394">
        <f ca="1">TblConstr[[#This Row],[Hill]]</f>
        <v>20</v>
      </c>
      <c r="F74" s="398">
        <f ca="1">TblConstr[[#This Row],[Swamp]]</f>
        <v>20</v>
      </c>
      <c r="G74" s="193">
        <f ca="1">TblConstr[[#This Row],[Cavern]]</f>
        <v>20</v>
      </c>
      <c r="H74" s="194">
        <f ca="1">TblConstr[[#This Row],[Water]]</f>
        <v>20</v>
      </c>
      <c r="I74" s="231"/>
      <c r="J74" s="183">
        <f t="shared" si="1"/>
        <v>71</v>
      </c>
      <c r="K74" s="255">
        <f ca="1">TblImps[[#This Row],[Real time]]</f>
        <v>44813.666666666497</v>
      </c>
      <c r="L74" s="187"/>
      <c r="M74" s="187"/>
      <c r="N74" s="187"/>
      <c r="O74" s="187"/>
      <c r="P74" s="187"/>
      <c r="Q74" s="187"/>
      <c r="R74" s="187"/>
      <c r="S74" s="97">
        <f>SUMIF(TblRezone[[#This Row],[Plains Rezone]:[Water Rezone]],"&gt;0")</f>
        <v>0</v>
      </c>
      <c r="T74" s="62" t="str">
        <f>IF(SUM(TblRezone[[#This Row],[Plains Rezone]:[Water Rezone]])=0,"Ok","Nope")</f>
        <v>Ok</v>
      </c>
      <c r="U74" s="231"/>
      <c r="V74" s="97">
        <f ca="1">TblProd[[#This Row],[Platinum]]</f>
        <v>484898</v>
      </c>
      <c r="W74" s="231"/>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31"/>
      <c r="AA74" s="97">
        <f ca="1">250+0.6*(TblRezone[[#This Row],[Land]]-250)</f>
        <v>250</v>
      </c>
      <c r="AB74" s="231"/>
      <c r="AC74" s="165">
        <f ca="1">TblConstr[[#This Row],[Facs DB]]</f>
        <v>0</v>
      </c>
    </row>
    <row r="75" spans="1:29" x14ac:dyDescent="0.2">
      <c r="A75" s="230">
        <f ca="1">TblConstr[[#This Row],[Land]]</f>
        <v>250</v>
      </c>
      <c r="B75" s="232">
        <f ca="1">TblConstr[[#This Row],[Plain]]</f>
        <v>40</v>
      </c>
      <c r="C75" s="190">
        <f ca="1">TblConstr[[#This Row],[Forest]]</f>
        <v>20</v>
      </c>
      <c r="D75" s="390">
        <f ca="1">TblConstr[[#This Row],[Mountain]]</f>
        <v>20</v>
      </c>
      <c r="E75" s="394">
        <f ca="1">TblConstr[[#This Row],[Hill]]</f>
        <v>20</v>
      </c>
      <c r="F75" s="398">
        <f ca="1">TblConstr[[#This Row],[Swamp]]</f>
        <v>20</v>
      </c>
      <c r="G75" s="193">
        <f ca="1">TblConstr[[#This Row],[Cavern]]</f>
        <v>20</v>
      </c>
      <c r="H75" s="194">
        <f ca="1">TblConstr[[#This Row],[Water]]</f>
        <v>20</v>
      </c>
      <c r="I75" s="231"/>
      <c r="J75" s="183">
        <f t="shared" si="1"/>
        <v>72</v>
      </c>
      <c r="K75" s="255">
        <f ca="1">TblImps[[#This Row],[Real time]]</f>
        <v>44813.708333333161</v>
      </c>
      <c r="L75" s="187"/>
      <c r="M75" s="187"/>
      <c r="N75" s="187"/>
      <c r="O75" s="187"/>
      <c r="P75" s="187"/>
      <c r="Q75" s="187"/>
      <c r="R75" s="187"/>
      <c r="S75" s="97">
        <f>SUMIF(TblRezone[[#This Row],[Plains Rezone]:[Water Rezone]],"&gt;0")</f>
        <v>0</v>
      </c>
      <c r="T75" s="62" t="str">
        <f>IF(SUM(TblRezone[[#This Row],[Plains Rezone]:[Water Rezone]])=0,"Ok","Nope")</f>
        <v>Ok</v>
      </c>
      <c r="U75" s="231"/>
      <c r="V75" s="97">
        <f ca="1">TblProd[[#This Row],[Platinum]]</f>
        <v>490384</v>
      </c>
      <c r="W75" s="231"/>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31"/>
      <c r="AA75" s="97">
        <f ca="1">250+0.6*(TblRezone[[#This Row],[Land]]-250)</f>
        <v>250</v>
      </c>
      <c r="AB75" s="231"/>
      <c r="AC75" s="165">
        <f ca="1">TblConstr[[#This Row],[Facs DB]]</f>
        <v>0</v>
      </c>
    </row>
    <row r="76" spans="1:29" x14ac:dyDescent="0.2">
      <c r="A76" s="247">
        <f ca="1">TblConstr[[#This Row],[Land]]</f>
        <v>250</v>
      </c>
      <c r="B76" s="249">
        <f ca="1">TblConstr[[#This Row],[Plain]]</f>
        <v>40</v>
      </c>
      <c r="C76" s="207">
        <f ca="1">TblConstr[[#This Row],[Forest]]</f>
        <v>20</v>
      </c>
      <c r="D76" s="391">
        <f ca="1">TblConstr[[#This Row],[Mountain]]</f>
        <v>20</v>
      </c>
      <c r="E76" s="395">
        <f ca="1">TblConstr[[#This Row],[Hill]]</f>
        <v>20</v>
      </c>
      <c r="F76" s="399">
        <f ca="1">TblConstr[[#This Row],[Swamp]]</f>
        <v>20</v>
      </c>
      <c r="G76" s="210">
        <f ca="1">TblConstr[[#This Row],[Cavern]]</f>
        <v>20</v>
      </c>
      <c r="H76" s="211">
        <f ca="1">TblConstr[[#This Row],[Water]]</f>
        <v>20</v>
      </c>
      <c r="I76" s="248"/>
      <c r="J76" s="201">
        <f t="shared" si="1"/>
        <v>73</v>
      </c>
      <c r="K76" s="256">
        <f ca="1">TblImps[[#This Row],[Real time]]</f>
        <v>44813.749999999825</v>
      </c>
      <c r="L76" s="212"/>
      <c r="M76" s="212"/>
      <c r="N76" s="212"/>
      <c r="O76" s="212"/>
      <c r="P76" s="212"/>
      <c r="Q76" s="212"/>
      <c r="R76" s="212"/>
      <c r="S76" s="215">
        <f>SUMIF(TblRezone[[#This Row],[Plains Rezone]:[Water Rezone]],"&gt;0")</f>
        <v>0</v>
      </c>
      <c r="T76" s="205" t="str">
        <f>IF(SUM(TblRezone[[#This Row],[Plains Rezone]:[Water Rezone]])=0,"Ok","Nope")</f>
        <v>Ok</v>
      </c>
      <c r="U76" s="248"/>
      <c r="V76" s="215">
        <f ca="1">TblProd[[#This Row],[Platinum]]</f>
        <v>495870</v>
      </c>
      <c r="W76" s="248"/>
      <c r="X76" s="215">
        <f ca="1">ROUNDUP( (1-MIN(ROUND(facs_rezone_factor*TblRezone[[#This Row],[Facs]],4),facs_rezone_max) + tech_6_4*TblTech[[#This Row],[6-4]] + tech_10_2*TblTech[[#This Row],[10-2]] - IF(TblMagic[[#This Row],[Active Mechanical Genius]]&gt;0,mech_genius_bonus,0) + race_rezone_cost) * TblRezone[[#This Row],[Plat/acre*]],0)</f>
        <v>250</v>
      </c>
      <c r="Y76" s="215">
        <f ca="1">TblRezone[[#This Row],[Total acres]]*TblRezone[[#This Row],[Plat/acre]]</f>
        <v>0</v>
      </c>
      <c r="Z76" s="248"/>
      <c r="AA76" s="215">
        <f ca="1">250+0.6*(TblRezone[[#This Row],[Land]]-250)</f>
        <v>250</v>
      </c>
      <c r="AB76" s="248"/>
      <c r="AC76" s="257">
        <f ca="1">TblConstr[[#This Row],[Facs DB]]</f>
        <v>0</v>
      </c>
    </row>
    <row r="77" spans="1:29" x14ac:dyDescent="0.2">
      <c r="A77" s="230">
        <f ca="1">TblConstr[[#This Row],[Land]]</f>
        <v>250</v>
      </c>
      <c r="B77" s="232">
        <f ca="1">TblConstr[[#This Row],[Plain]]</f>
        <v>40</v>
      </c>
      <c r="C77" s="190">
        <f ca="1">TblConstr[[#This Row],[Forest]]</f>
        <v>20</v>
      </c>
      <c r="D77" s="390">
        <f ca="1">TblConstr[[#This Row],[Mountain]]</f>
        <v>20</v>
      </c>
      <c r="E77" s="394">
        <f ca="1">TblConstr[[#This Row],[Hill]]</f>
        <v>20</v>
      </c>
      <c r="F77" s="398">
        <f ca="1">TblConstr[[#This Row],[Swamp]]</f>
        <v>20</v>
      </c>
      <c r="G77" s="193">
        <f ca="1">TblConstr[[#This Row],[Cavern]]</f>
        <v>20</v>
      </c>
      <c r="H77" s="194">
        <f ca="1">TblConstr[[#This Row],[Water]]</f>
        <v>20</v>
      </c>
      <c r="I77" s="231"/>
      <c r="J77" s="183">
        <f t="shared" ref="J77:J87" si="2">J76+1</f>
        <v>74</v>
      </c>
      <c r="K77" s="255">
        <f ca="1">TblImps[[#This Row],[Real time]]</f>
        <v>44813.79166666649</v>
      </c>
      <c r="L77" s="187"/>
      <c r="M77" s="187"/>
      <c r="N77" s="187"/>
      <c r="O77" s="187"/>
      <c r="P77" s="187"/>
      <c r="Q77" s="187"/>
      <c r="R77" s="187"/>
      <c r="S77" s="97">
        <f>SUMIF(TblRezone[[#This Row],[Plains Rezone]:[Water Rezone]],"&gt;0")</f>
        <v>0</v>
      </c>
      <c r="T77" s="62" t="str">
        <f>IF(SUM(TblRezone[[#This Row],[Plains Rezone]:[Water Rezone]])=0,"Ok","Nope")</f>
        <v>Ok</v>
      </c>
      <c r="U77" s="231"/>
      <c r="V77" s="97">
        <f ca="1">TblProd[[#This Row],[Platinum]]</f>
        <v>501356</v>
      </c>
      <c r="W77" s="231"/>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31"/>
      <c r="AA77" s="97">
        <f ca="1">250+0.6*(TblRezone[[#This Row],[Land]]-250)</f>
        <v>250</v>
      </c>
      <c r="AB77" s="231"/>
      <c r="AC77" s="165">
        <f ca="1">TblConstr[[#This Row],[Facs DB]]</f>
        <v>0</v>
      </c>
    </row>
    <row r="78" spans="1:29" x14ac:dyDescent="0.2">
      <c r="A78" s="230">
        <f ca="1">TblConstr[[#This Row],[Land]]</f>
        <v>250</v>
      </c>
      <c r="B78" s="232">
        <f ca="1">TblConstr[[#This Row],[Plain]]</f>
        <v>40</v>
      </c>
      <c r="C78" s="190">
        <f ca="1">TblConstr[[#This Row],[Forest]]</f>
        <v>20</v>
      </c>
      <c r="D78" s="390">
        <f ca="1">TblConstr[[#This Row],[Mountain]]</f>
        <v>20</v>
      </c>
      <c r="E78" s="394">
        <f ca="1">TblConstr[[#This Row],[Hill]]</f>
        <v>20</v>
      </c>
      <c r="F78" s="398">
        <f ca="1">TblConstr[[#This Row],[Swamp]]</f>
        <v>20</v>
      </c>
      <c r="G78" s="193">
        <f ca="1">TblConstr[[#This Row],[Cavern]]</f>
        <v>20</v>
      </c>
      <c r="H78" s="194">
        <f ca="1">TblConstr[[#This Row],[Water]]</f>
        <v>20</v>
      </c>
      <c r="I78" s="231"/>
      <c r="J78" s="183">
        <f t="shared" si="2"/>
        <v>75</v>
      </c>
      <c r="K78" s="255">
        <f ca="1">TblImps[[#This Row],[Real time]]</f>
        <v>44813.833333333154</v>
      </c>
      <c r="L78" s="187"/>
      <c r="M78" s="187"/>
      <c r="N78" s="187"/>
      <c r="O78" s="187"/>
      <c r="P78" s="187"/>
      <c r="Q78" s="187"/>
      <c r="R78" s="187"/>
      <c r="S78" s="97">
        <f>SUMIF(TblRezone[[#This Row],[Plains Rezone]:[Water Rezone]],"&gt;0")</f>
        <v>0</v>
      </c>
      <c r="T78" s="62" t="str">
        <f>IF(SUM(TblRezone[[#This Row],[Plains Rezone]:[Water Rezone]])=0,"Ok","Nope")</f>
        <v>Ok</v>
      </c>
      <c r="U78" s="231"/>
      <c r="V78" s="97">
        <f ca="1">TblProd[[#This Row],[Platinum]]</f>
        <v>506842</v>
      </c>
      <c r="W78" s="231"/>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31"/>
      <c r="AA78" s="97">
        <f ca="1">250+0.6*(TblRezone[[#This Row],[Land]]-250)</f>
        <v>250</v>
      </c>
      <c r="AB78" s="231"/>
      <c r="AC78" s="165">
        <f ca="1">TblConstr[[#This Row],[Facs DB]]</f>
        <v>0</v>
      </c>
    </row>
    <row r="79" spans="1:29" x14ac:dyDescent="0.2">
      <c r="A79" s="230">
        <f ca="1">TblConstr[[#This Row],[Land]]</f>
        <v>250</v>
      </c>
      <c r="B79" s="232">
        <f ca="1">TblConstr[[#This Row],[Plain]]</f>
        <v>40</v>
      </c>
      <c r="C79" s="190">
        <f ca="1">TblConstr[[#This Row],[Forest]]</f>
        <v>20</v>
      </c>
      <c r="D79" s="390">
        <f ca="1">TblConstr[[#This Row],[Mountain]]</f>
        <v>20</v>
      </c>
      <c r="E79" s="394">
        <f ca="1">TblConstr[[#This Row],[Hill]]</f>
        <v>20</v>
      </c>
      <c r="F79" s="398">
        <f ca="1">TblConstr[[#This Row],[Swamp]]</f>
        <v>20</v>
      </c>
      <c r="G79" s="193">
        <f ca="1">TblConstr[[#This Row],[Cavern]]</f>
        <v>20</v>
      </c>
      <c r="H79" s="194">
        <f ca="1">TblConstr[[#This Row],[Water]]</f>
        <v>20</v>
      </c>
      <c r="I79" s="231"/>
      <c r="J79" s="183">
        <f t="shared" si="2"/>
        <v>76</v>
      </c>
      <c r="K79" s="255">
        <f ca="1">TblImps[[#This Row],[Real time]]</f>
        <v>44813.874999999818</v>
      </c>
      <c r="L79" s="187"/>
      <c r="M79" s="187"/>
      <c r="N79" s="187"/>
      <c r="O79" s="187"/>
      <c r="P79" s="187"/>
      <c r="Q79" s="187"/>
      <c r="R79" s="187"/>
      <c r="S79" s="97">
        <f>SUMIF(TblRezone[[#This Row],[Plains Rezone]:[Water Rezone]],"&gt;0")</f>
        <v>0</v>
      </c>
      <c r="T79" s="62" t="str">
        <f>IF(SUM(TblRezone[[#This Row],[Plains Rezone]:[Water Rezone]])=0,"Ok","Nope")</f>
        <v>Ok</v>
      </c>
      <c r="U79" s="231"/>
      <c r="V79" s="97">
        <f ca="1">TblProd[[#This Row],[Platinum]]</f>
        <v>512328</v>
      </c>
      <c r="W79" s="231"/>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31"/>
      <c r="AA79" s="97">
        <f ca="1">250+0.6*(TblRezone[[#This Row],[Land]]-250)</f>
        <v>250</v>
      </c>
      <c r="AB79" s="231"/>
      <c r="AC79" s="165">
        <f ca="1">TblConstr[[#This Row],[Facs DB]]</f>
        <v>0</v>
      </c>
    </row>
    <row r="80" spans="1:29" x14ac:dyDescent="0.2">
      <c r="A80" s="230">
        <f ca="1">TblConstr[[#This Row],[Land]]</f>
        <v>250</v>
      </c>
      <c r="B80" s="232">
        <f ca="1">TblConstr[[#This Row],[Plain]]</f>
        <v>40</v>
      </c>
      <c r="C80" s="190">
        <f ca="1">TblConstr[[#This Row],[Forest]]</f>
        <v>20</v>
      </c>
      <c r="D80" s="390">
        <f ca="1">TblConstr[[#This Row],[Mountain]]</f>
        <v>20</v>
      </c>
      <c r="E80" s="394">
        <f ca="1">TblConstr[[#This Row],[Hill]]</f>
        <v>20</v>
      </c>
      <c r="F80" s="398">
        <f ca="1">TblConstr[[#This Row],[Swamp]]</f>
        <v>20</v>
      </c>
      <c r="G80" s="193">
        <f ca="1">TblConstr[[#This Row],[Cavern]]</f>
        <v>20</v>
      </c>
      <c r="H80" s="194">
        <f ca="1">TblConstr[[#This Row],[Water]]</f>
        <v>20</v>
      </c>
      <c r="I80" s="231"/>
      <c r="J80" s="183">
        <f t="shared" si="2"/>
        <v>77</v>
      </c>
      <c r="K80" s="255">
        <f ca="1">TblImps[[#This Row],[Real time]]</f>
        <v>44813.916666666482</v>
      </c>
      <c r="L80" s="187"/>
      <c r="M80" s="187"/>
      <c r="N80" s="187"/>
      <c r="O80" s="187"/>
      <c r="P80" s="187"/>
      <c r="Q80" s="187"/>
      <c r="R80" s="187"/>
      <c r="S80" s="97">
        <f>SUMIF(TblRezone[[#This Row],[Plains Rezone]:[Water Rezone]],"&gt;0")</f>
        <v>0</v>
      </c>
      <c r="T80" s="62" t="str">
        <f>IF(SUM(TblRezone[[#This Row],[Plains Rezone]:[Water Rezone]])=0,"Ok","Nope")</f>
        <v>Ok</v>
      </c>
      <c r="U80" s="231"/>
      <c r="V80" s="97">
        <f ca="1">TblProd[[#This Row],[Platinum]]</f>
        <v>517814</v>
      </c>
      <c r="W80" s="231"/>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31"/>
      <c r="AA80" s="97">
        <f ca="1">250+0.6*(TblRezone[[#This Row],[Land]]-250)</f>
        <v>250</v>
      </c>
      <c r="AB80" s="231"/>
      <c r="AC80" s="165">
        <f ca="1">TblConstr[[#This Row],[Facs DB]]</f>
        <v>0</v>
      </c>
    </row>
    <row r="81" spans="1:29" x14ac:dyDescent="0.2">
      <c r="A81" s="230">
        <f ca="1">TblConstr[[#This Row],[Land]]</f>
        <v>250</v>
      </c>
      <c r="B81" s="232">
        <f ca="1">TblConstr[[#This Row],[Plain]]</f>
        <v>40</v>
      </c>
      <c r="C81" s="190">
        <f ca="1">TblConstr[[#This Row],[Forest]]</f>
        <v>20</v>
      </c>
      <c r="D81" s="390">
        <f ca="1">TblConstr[[#This Row],[Mountain]]</f>
        <v>20</v>
      </c>
      <c r="E81" s="394">
        <f ca="1">TblConstr[[#This Row],[Hill]]</f>
        <v>20</v>
      </c>
      <c r="F81" s="398">
        <f ca="1">TblConstr[[#This Row],[Swamp]]</f>
        <v>20</v>
      </c>
      <c r="G81" s="193">
        <f ca="1">TblConstr[[#This Row],[Cavern]]</f>
        <v>20</v>
      </c>
      <c r="H81" s="194">
        <f ca="1">TblConstr[[#This Row],[Water]]</f>
        <v>20</v>
      </c>
      <c r="I81" s="231"/>
      <c r="J81" s="183">
        <f t="shared" si="2"/>
        <v>78</v>
      </c>
      <c r="K81" s="255">
        <f ca="1">TblImps[[#This Row],[Real time]]</f>
        <v>44813.958333333147</v>
      </c>
      <c r="L81" s="187"/>
      <c r="M81" s="187"/>
      <c r="N81" s="187"/>
      <c r="O81" s="187"/>
      <c r="P81" s="187"/>
      <c r="Q81" s="187"/>
      <c r="R81" s="187"/>
      <c r="S81" s="97">
        <f>SUMIF(TblRezone[[#This Row],[Plains Rezone]:[Water Rezone]],"&gt;0")</f>
        <v>0</v>
      </c>
      <c r="T81" s="62" t="str">
        <f>IF(SUM(TblRezone[[#This Row],[Plains Rezone]:[Water Rezone]])=0,"Ok","Nope")</f>
        <v>Ok</v>
      </c>
      <c r="U81" s="231"/>
      <c r="V81" s="97">
        <f ca="1">TblProd[[#This Row],[Platinum]]</f>
        <v>523300</v>
      </c>
      <c r="W81" s="231"/>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31"/>
      <c r="AA81" s="97">
        <f ca="1">250+0.6*(TblRezone[[#This Row],[Land]]-250)</f>
        <v>250</v>
      </c>
      <c r="AB81" s="231"/>
      <c r="AC81" s="165">
        <f ca="1">TblConstr[[#This Row],[Facs DB]]</f>
        <v>0</v>
      </c>
    </row>
    <row r="82" spans="1:29" x14ac:dyDescent="0.2">
      <c r="A82" s="230">
        <f ca="1">TblConstr[[#This Row],[Land]]</f>
        <v>250</v>
      </c>
      <c r="B82" s="232">
        <f ca="1">TblConstr[[#This Row],[Plain]]</f>
        <v>40</v>
      </c>
      <c r="C82" s="190">
        <f ca="1">TblConstr[[#This Row],[Forest]]</f>
        <v>20</v>
      </c>
      <c r="D82" s="390">
        <f ca="1">TblConstr[[#This Row],[Mountain]]</f>
        <v>20</v>
      </c>
      <c r="E82" s="394">
        <f ca="1">TblConstr[[#This Row],[Hill]]</f>
        <v>20</v>
      </c>
      <c r="F82" s="398">
        <f ca="1">TblConstr[[#This Row],[Swamp]]</f>
        <v>20</v>
      </c>
      <c r="G82" s="193">
        <f ca="1">TblConstr[[#This Row],[Cavern]]</f>
        <v>20</v>
      </c>
      <c r="H82" s="194">
        <f ca="1">TblConstr[[#This Row],[Water]]</f>
        <v>20</v>
      </c>
      <c r="I82" s="231"/>
      <c r="J82" s="183">
        <f t="shared" si="2"/>
        <v>79</v>
      </c>
      <c r="K82" s="255">
        <f ca="1">TblImps[[#This Row],[Real time]]</f>
        <v>44813.999999999811</v>
      </c>
      <c r="L82" s="187"/>
      <c r="M82" s="187"/>
      <c r="N82" s="187"/>
      <c r="O82" s="187"/>
      <c r="P82" s="187"/>
      <c r="Q82" s="187"/>
      <c r="R82" s="187"/>
      <c r="S82" s="97">
        <f>SUMIF(TblRezone[[#This Row],[Plains Rezone]:[Water Rezone]],"&gt;0")</f>
        <v>0</v>
      </c>
      <c r="T82" s="62" t="str">
        <f>IF(SUM(TblRezone[[#This Row],[Plains Rezone]:[Water Rezone]])=0,"Ok","Nope")</f>
        <v>Ok</v>
      </c>
      <c r="U82" s="231"/>
      <c r="V82" s="97">
        <f ca="1">TblProd[[#This Row],[Platinum]]</f>
        <v>528786</v>
      </c>
      <c r="W82" s="231"/>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31"/>
      <c r="AA82" s="97">
        <f ca="1">250+0.6*(TblRezone[[#This Row],[Land]]-250)</f>
        <v>250</v>
      </c>
      <c r="AB82" s="231"/>
      <c r="AC82" s="165">
        <f ca="1">TblConstr[[#This Row],[Facs DB]]</f>
        <v>0</v>
      </c>
    </row>
    <row r="83" spans="1:29" x14ac:dyDescent="0.2">
      <c r="A83" s="230">
        <f ca="1">TblConstr[[#This Row],[Land]]</f>
        <v>250</v>
      </c>
      <c r="B83" s="232">
        <f ca="1">TblConstr[[#This Row],[Plain]]</f>
        <v>40</v>
      </c>
      <c r="C83" s="190">
        <f ca="1">TblConstr[[#This Row],[Forest]]</f>
        <v>20</v>
      </c>
      <c r="D83" s="390">
        <f ca="1">TblConstr[[#This Row],[Mountain]]</f>
        <v>20</v>
      </c>
      <c r="E83" s="394">
        <f ca="1">TblConstr[[#This Row],[Hill]]</f>
        <v>20</v>
      </c>
      <c r="F83" s="398">
        <f ca="1">TblConstr[[#This Row],[Swamp]]</f>
        <v>20</v>
      </c>
      <c r="G83" s="193">
        <f ca="1">TblConstr[[#This Row],[Cavern]]</f>
        <v>20</v>
      </c>
      <c r="H83" s="194">
        <f ca="1">TblConstr[[#This Row],[Water]]</f>
        <v>20</v>
      </c>
      <c r="I83" s="231"/>
      <c r="J83" s="183">
        <f t="shared" si="2"/>
        <v>80</v>
      </c>
      <c r="K83" s="255">
        <f ca="1">TblImps[[#This Row],[Real time]]</f>
        <v>44814.041666666475</v>
      </c>
      <c r="L83" s="187"/>
      <c r="M83" s="187"/>
      <c r="N83" s="187"/>
      <c r="O83" s="187"/>
      <c r="P83" s="187"/>
      <c r="Q83" s="187"/>
      <c r="R83" s="187"/>
      <c r="S83" s="97">
        <f>SUMIF(TblRezone[[#This Row],[Plains Rezone]:[Water Rezone]],"&gt;0")</f>
        <v>0</v>
      </c>
      <c r="T83" s="62" t="str">
        <f>IF(SUM(TblRezone[[#This Row],[Plains Rezone]:[Water Rezone]])=0,"Ok","Nope")</f>
        <v>Ok</v>
      </c>
      <c r="U83" s="231"/>
      <c r="V83" s="97">
        <f ca="1">TblProd[[#This Row],[Platinum]]</f>
        <v>534272</v>
      </c>
      <c r="W83" s="231"/>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31"/>
      <c r="AA83" s="97">
        <f ca="1">250+0.6*(TblRezone[[#This Row],[Land]]-250)</f>
        <v>250</v>
      </c>
      <c r="AB83" s="231"/>
      <c r="AC83" s="165">
        <f ca="1">TblConstr[[#This Row],[Facs DB]]</f>
        <v>0</v>
      </c>
    </row>
    <row r="84" spans="1:29" x14ac:dyDescent="0.2">
      <c r="A84" s="230">
        <f ca="1">TblConstr[[#This Row],[Land]]</f>
        <v>250</v>
      </c>
      <c r="B84" s="232">
        <f ca="1">TblConstr[[#This Row],[Plain]]</f>
        <v>40</v>
      </c>
      <c r="C84" s="190">
        <f ca="1">TblConstr[[#This Row],[Forest]]</f>
        <v>20</v>
      </c>
      <c r="D84" s="390">
        <f ca="1">TblConstr[[#This Row],[Mountain]]</f>
        <v>20</v>
      </c>
      <c r="E84" s="394">
        <f ca="1">TblConstr[[#This Row],[Hill]]</f>
        <v>20</v>
      </c>
      <c r="F84" s="398">
        <f ca="1">TblConstr[[#This Row],[Swamp]]</f>
        <v>20</v>
      </c>
      <c r="G84" s="193">
        <f ca="1">TblConstr[[#This Row],[Cavern]]</f>
        <v>20</v>
      </c>
      <c r="H84" s="194">
        <f ca="1">TblConstr[[#This Row],[Water]]</f>
        <v>20</v>
      </c>
      <c r="I84" s="231"/>
      <c r="J84" s="183">
        <f t="shared" si="2"/>
        <v>81</v>
      </c>
      <c r="K84" s="255">
        <f ca="1">TblImps[[#This Row],[Real time]]</f>
        <v>44814.083333333139</v>
      </c>
      <c r="L84" s="187"/>
      <c r="M84" s="187"/>
      <c r="N84" s="187"/>
      <c r="O84" s="187"/>
      <c r="P84" s="187"/>
      <c r="Q84" s="187"/>
      <c r="R84" s="187"/>
      <c r="S84" s="97">
        <f>SUMIF(TblRezone[[#This Row],[Plains Rezone]:[Water Rezone]],"&gt;0")</f>
        <v>0</v>
      </c>
      <c r="T84" s="62" t="str">
        <f>IF(SUM(TblRezone[[#This Row],[Plains Rezone]:[Water Rezone]])=0,"Ok","Nope")</f>
        <v>Ok</v>
      </c>
      <c r="U84" s="231"/>
      <c r="V84" s="97">
        <f ca="1">TblProd[[#This Row],[Platinum]]</f>
        <v>539758</v>
      </c>
      <c r="W84" s="231"/>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31"/>
      <c r="AA84" s="97">
        <f ca="1">250+0.6*(TblRezone[[#This Row],[Land]]-250)</f>
        <v>250</v>
      </c>
      <c r="AB84" s="231"/>
      <c r="AC84" s="165">
        <f ca="1">TblConstr[[#This Row],[Facs DB]]</f>
        <v>0</v>
      </c>
    </row>
    <row r="85" spans="1:29" x14ac:dyDescent="0.2">
      <c r="A85" s="230">
        <f ca="1">TblConstr[[#This Row],[Land]]</f>
        <v>250</v>
      </c>
      <c r="B85" s="232">
        <f ca="1">TblConstr[[#This Row],[Plain]]</f>
        <v>40</v>
      </c>
      <c r="C85" s="190">
        <f ca="1">TblConstr[[#This Row],[Forest]]</f>
        <v>20</v>
      </c>
      <c r="D85" s="390">
        <f ca="1">TblConstr[[#This Row],[Mountain]]</f>
        <v>20</v>
      </c>
      <c r="E85" s="394">
        <f ca="1">TblConstr[[#This Row],[Hill]]</f>
        <v>20</v>
      </c>
      <c r="F85" s="398">
        <f ca="1">TblConstr[[#This Row],[Swamp]]</f>
        <v>20</v>
      </c>
      <c r="G85" s="193">
        <f ca="1">TblConstr[[#This Row],[Cavern]]</f>
        <v>20</v>
      </c>
      <c r="H85" s="194">
        <f ca="1">TblConstr[[#This Row],[Water]]</f>
        <v>20</v>
      </c>
      <c r="I85" s="231"/>
      <c r="J85" s="183">
        <f t="shared" si="2"/>
        <v>82</v>
      </c>
      <c r="K85" s="255">
        <f ca="1">TblImps[[#This Row],[Real time]]</f>
        <v>44814.124999999804</v>
      </c>
      <c r="L85" s="187"/>
      <c r="M85" s="187"/>
      <c r="N85" s="187"/>
      <c r="O85" s="187"/>
      <c r="P85" s="187"/>
      <c r="Q85" s="187"/>
      <c r="R85" s="187"/>
      <c r="S85" s="97">
        <f>SUMIF(TblRezone[[#This Row],[Plains Rezone]:[Water Rezone]],"&gt;0")</f>
        <v>0</v>
      </c>
      <c r="T85" s="62" t="str">
        <f>IF(SUM(TblRezone[[#This Row],[Plains Rezone]:[Water Rezone]])=0,"Ok","Nope")</f>
        <v>Ok</v>
      </c>
      <c r="U85" s="231"/>
      <c r="V85" s="97">
        <f ca="1">TblProd[[#This Row],[Platinum]]</f>
        <v>545244</v>
      </c>
      <c r="W85" s="231"/>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31"/>
      <c r="AA85" s="97">
        <f ca="1">250+0.6*(TblRezone[[#This Row],[Land]]-250)</f>
        <v>250</v>
      </c>
      <c r="AB85" s="231"/>
      <c r="AC85" s="165">
        <f ca="1">TblConstr[[#This Row],[Facs DB]]</f>
        <v>0</v>
      </c>
    </row>
    <row r="86" spans="1:29" x14ac:dyDescent="0.2">
      <c r="A86" s="230">
        <f ca="1">TblConstr[[#This Row],[Land]]</f>
        <v>250</v>
      </c>
      <c r="B86" s="232">
        <f ca="1">TblConstr[[#This Row],[Plain]]</f>
        <v>40</v>
      </c>
      <c r="C86" s="190">
        <f ca="1">TblConstr[[#This Row],[Forest]]</f>
        <v>20</v>
      </c>
      <c r="D86" s="390">
        <f ca="1">TblConstr[[#This Row],[Mountain]]</f>
        <v>20</v>
      </c>
      <c r="E86" s="394">
        <f ca="1">TblConstr[[#This Row],[Hill]]</f>
        <v>20</v>
      </c>
      <c r="F86" s="398">
        <f ca="1">TblConstr[[#This Row],[Swamp]]</f>
        <v>20</v>
      </c>
      <c r="G86" s="193">
        <f ca="1">TblConstr[[#This Row],[Cavern]]</f>
        <v>20</v>
      </c>
      <c r="H86" s="194">
        <f ca="1">TblConstr[[#This Row],[Water]]</f>
        <v>20</v>
      </c>
      <c r="I86" s="231"/>
      <c r="J86" s="183">
        <f t="shared" si="2"/>
        <v>83</v>
      </c>
      <c r="K86" s="255">
        <f ca="1">TblImps[[#This Row],[Real time]]</f>
        <v>44814.166666666468</v>
      </c>
      <c r="L86" s="187"/>
      <c r="M86" s="187"/>
      <c r="N86" s="187"/>
      <c r="O86" s="187"/>
      <c r="P86" s="187"/>
      <c r="Q86" s="187"/>
      <c r="R86" s="187"/>
      <c r="S86" s="97">
        <f>SUMIF(TblRezone[[#This Row],[Plains Rezone]:[Water Rezone]],"&gt;0")</f>
        <v>0</v>
      </c>
      <c r="T86" s="62" t="str">
        <f>IF(SUM(TblRezone[[#This Row],[Plains Rezone]:[Water Rezone]])=0,"Ok","Nope")</f>
        <v>Ok</v>
      </c>
      <c r="U86" s="231"/>
      <c r="V86" s="97">
        <f ca="1">TblProd[[#This Row],[Platinum]]</f>
        <v>550730</v>
      </c>
      <c r="W86" s="231"/>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31"/>
      <c r="AA86" s="97">
        <f ca="1">250+0.6*(TblRezone[[#This Row],[Land]]-250)</f>
        <v>250</v>
      </c>
      <c r="AB86" s="231"/>
      <c r="AC86" s="165">
        <f ca="1">TblConstr[[#This Row],[Facs DB]]</f>
        <v>0</v>
      </c>
    </row>
    <row r="87" spans="1:29" x14ac:dyDescent="0.2">
      <c r="A87" s="230">
        <f ca="1">TblConstr[[#This Row],[Land]]</f>
        <v>250</v>
      </c>
      <c r="B87" s="232">
        <f ca="1">TblConstr[[#This Row],[Plain]]</f>
        <v>40</v>
      </c>
      <c r="C87" s="190">
        <f ca="1">TblConstr[[#This Row],[Forest]]</f>
        <v>20</v>
      </c>
      <c r="D87" s="390">
        <f ca="1">TblConstr[[#This Row],[Mountain]]</f>
        <v>20</v>
      </c>
      <c r="E87" s="394">
        <f ca="1">TblConstr[[#This Row],[Hill]]</f>
        <v>20</v>
      </c>
      <c r="F87" s="398">
        <f ca="1">TblConstr[[#This Row],[Swamp]]</f>
        <v>20</v>
      </c>
      <c r="G87" s="193">
        <f ca="1">TblConstr[[#This Row],[Cavern]]</f>
        <v>20</v>
      </c>
      <c r="H87" s="194">
        <f ca="1">TblConstr[[#This Row],[Water]]</f>
        <v>20</v>
      </c>
      <c r="I87" s="231"/>
      <c r="J87" s="183">
        <f t="shared" si="2"/>
        <v>84</v>
      </c>
      <c r="K87" s="255">
        <f ca="1">TblImps[[#This Row],[Real time]]</f>
        <v>44814.208333333132</v>
      </c>
      <c r="L87" s="187"/>
      <c r="M87" s="187"/>
      <c r="N87" s="187"/>
      <c r="O87" s="187"/>
      <c r="P87" s="187"/>
      <c r="Q87" s="187"/>
      <c r="R87" s="187"/>
      <c r="S87" s="97">
        <f>SUMIF(TblRezone[[#This Row],[Plains Rezone]:[Water Rezone]],"&gt;0")</f>
        <v>0</v>
      </c>
      <c r="T87" s="62" t="str">
        <f>IF(SUM(TblRezone[[#This Row],[Plains Rezone]:[Water Rezone]])=0,"Ok","Nope")</f>
        <v>Ok</v>
      </c>
      <c r="U87" s="231"/>
      <c r="V87" s="97">
        <f ca="1">TblProd[[#This Row],[Platinum]]</f>
        <v>556216</v>
      </c>
      <c r="W87" s="231"/>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31"/>
      <c r="AA87" s="97">
        <f ca="1">250+0.6*(TblRezone[[#This Row],[Land]]-250)</f>
        <v>250</v>
      </c>
      <c r="AB87" s="231"/>
      <c r="AC87" s="165">
        <f ca="1">TblConstr[[#This Row],[Facs DB]]</f>
        <v>0</v>
      </c>
    </row>
    <row r="88" spans="1:29" x14ac:dyDescent="0.2">
      <c r="A88" s="230">
        <f ca="1">TblConstr[[#This Row],[Land]]</f>
        <v>250</v>
      </c>
      <c r="B88" s="232">
        <f ca="1">TblConstr[[#This Row],[Plain]]</f>
        <v>40</v>
      </c>
      <c r="C88" s="190">
        <f ca="1">TblConstr[[#This Row],[Forest]]</f>
        <v>20</v>
      </c>
      <c r="D88" s="390">
        <f ca="1">TblConstr[[#This Row],[Mountain]]</f>
        <v>20</v>
      </c>
      <c r="E88" s="394">
        <f ca="1">TblConstr[[#This Row],[Hill]]</f>
        <v>20</v>
      </c>
      <c r="F88" s="398">
        <f ca="1">TblConstr[[#This Row],[Swamp]]</f>
        <v>20</v>
      </c>
      <c r="G88" s="193">
        <f ca="1">TblConstr[[#This Row],[Cavern]]</f>
        <v>20</v>
      </c>
      <c r="H88" s="194">
        <f ca="1">TblConstr[[#This Row],[Water]]</f>
        <v>20</v>
      </c>
      <c r="I88" s="231"/>
      <c r="J88" s="183">
        <f>J87+1</f>
        <v>85</v>
      </c>
      <c r="K88" s="255">
        <f ca="1">TblImps[[#This Row],[Real time]]</f>
        <v>44814.249999999796</v>
      </c>
      <c r="L88" s="166"/>
      <c r="M88" s="166"/>
      <c r="N88" s="187"/>
      <c r="O88" s="187"/>
      <c r="P88" s="187"/>
      <c r="Q88" s="187"/>
      <c r="R88" s="166"/>
      <c r="S88" s="97">
        <f>SUMIF(TblRezone[[#This Row],[Plains Rezone]:[Water Rezone]],"&gt;0")</f>
        <v>0</v>
      </c>
      <c r="T88" s="62" t="str">
        <f>IF(SUM(TblRezone[[#This Row],[Plains Rezone]:[Water Rezone]])=0,"Ok","Nope")</f>
        <v>Ok</v>
      </c>
      <c r="U88" s="231"/>
      <c r="V88" s="97">
        <f ca="1">TblProd[[#This Row],[Platinum]]</f>
        <v>561702</v>
      </c>
      <c r="W88" s="231"/>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31"/>
      <c r="AA88" s="97">
        <f ca="1">250+0.6*(TblRezone[[#This Row],[Land]]-250)</f>
        <v>250</v>
      </c>
      <c r="AB88" s="231"/>
      <c r="AC88" s="165">
        <f ca="1">TblConstr[[#This Row],[Facs DB]]</f>
        <v>0</v>
      </c>
    </row>
    <row r="89" spans="1:29" x14ac:dyDescent="0.2">
      <c r="A89" s="230">
        <f ca="1">TblConstr[[#This Row],[Land]]</f>
        <v>250</v>
      </c>
      <c r="B89" s="232">
        <f ca="1">TblConstr[[#This Row],[Plain]]</f>
        <v>40</v>
      </c>
      <c r="C89" s="190">
        <f ca="1">TblConstr[[#This Row],[Forest]]</f>
        <v>20</v>
      </c>
      <c r="D89" s="390">
        <f ca="1">TblConstr[[#This Row],[Mountain]]</f>
        <v>20</v>
      </c>
      <c r="E89" s="394">
        <f ca="1">TblConstr[[#This Row],[Hill]]</f>
        <v>20</v>
      </c>
      <c r="F89" s="398">
        <f ca="1">TblConstr[[#This Row],[Swamp]]</f>
        <v>20</v>
      </c>
      <c r="G89" s="193">
        <f ca="1">TblConstr[[#This Row],[Cavern]]</f>
        <v>20</v>
      </c>
      <c r="H89" s="194">
        <f ca="1">TblConstr[[#This Row],[Water]]</f>
        <v>20</v>
      </c>
      <c r="I89" s="231"/>
      <c r="J89" s="183">
        <f t="shared" ref="J89:J136" si="3">J88+1</f>
        <v>86</v>
      </c>
      <c r="K89" s="255">
        <f ca="1">TblImps[[#This Row],[Real time]]</f>
        <v>44814.291666666461</v>
      </c>
      <c r="L89" s="187"/>
      <c r="M89" s="187"/>
      <c r="N89" s="187"/>
      <c r="O89" s="187"/>
      <c r="P89" s="187"/>
      <c r="Q89" s="187"/>
      <c r="R89" s="187"/>
      <c r="S89" s="97">
        <f>SUMIF(TblRezone[[#This Row],[Plains Rezone]:[Water Rezone]],"&gt;0")</f>
        <v>0</v>
      </c>
      <c r="T89" s="62" t="str">
        <f>IF(SUM(TblRezone[[#This Row],[Plains Rezone]:[Water Rezone]])=0,"Ok","Nope")</f>
        <v>Ok</v>
      </c>
      <c r="U89" s="231"/>
      <c r="V89" s="97">
        <f ca="1">TblProd[[#This Row],[Platinum]]</f>
        <v>567188</v>
      </c>
      <c r="W89" s="231"/>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31"/>
      <c r="AA89" s="97">
        <f ca="1">250+0.6*(TblRezone[[#This Row],[Land]]-250)</f>
        <v>250</v>
      </c>
      <c r="AB89" s="231"/>
      <c r="AC89" s="165">
        <f ca="1">TblConstr[[#This Row],[Facs DB]]</f>
        <v>0</v>
      </c>
    </row>
    <row r="90" spans="1:29" x14ac:dyDescent="0.2">
      <c r="A90" s="230">
        <f ca="1">TblConstr[[#This Row],[Land]]</f>
        <v>250</v>
      </c>
      <c r="B90" s="232">
        <f ca="1">TblConstr[[#This Row],[Plain]]</f>
        <v>40</v>
      </c>
      <c r="C90" s="190">
        <f ca="1">TblConstr[[#This Row],[Forest]]</f>
        <v>20</v>
      </c>
      <c r="D90" s="390">
        <f ca="1">TblConstr[[#This Row],[Mountain]]</f>
        <v>20</v>
      </c>
      <c r="E90" s="394">
        <f ca="1">TblConstr[[#This Row],[Hill]]</f>
        <v>20</v>
      </c>
      <c r="F90" s="398">
        <f ca="1">TblConstr[[#This Row],[Swamp]]</f>
        <v>20</v>
      </c>
      <c r="G90" s="193">
        <f ca="1">TblConstr[[#This Row],[Cavern]]</f>
        <v>20</v>
      </c>
      <c r="H90" s="194">
        <f ca="1">TblConstr[[#This Row],[Water]]</f>
        <v>20</v>
      </c>
      <c r="I90" s="231"/>
      <c r="J90" s="183">
        <f t="shared" si="3"/>
        <v>87</v>
      </c>
      <c r="K90" s="255">
        <f ca="1">TblImps[[#This Row],[Real time]]</f>
        <v>44814.333333333125</v>
      </c>
      <c r="L90" s="187"/>
      <c r="M90" s="187"/>
      <c r="N90" s="187"/>
      <c r="O90" s="187"/>
      <c r="P90" s="187"/>
      <c r="Q90" s="187"/>
      <c r="R90" s="187"/>
      <c r="S90" s="97">
        <f>SUMIF(TblRezone[[#This Row],[Plains Rezone]:[Water Rezone]],"&gt;0")</f>
        <v>0</v>
      </c>
      <c r="T90" s="62" t="str">
        <f>IF(SUM(TblRezone[[#This Row],[Plains Rezone]:[Water Rezone]])=0,"Ok","Nope")</f>
        <v>Ok</v>
      </c>
      <c r="U90" s="231"/>
      <c r="V90" s="97">
        <f ca="1">TblProd[[#This Row],[Platinum]]</f>
        <v>572674</v>
      </c>
      <c r="W90" s="231"/>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31"/>
      <c r="AA90" s="97">
        <f ca="1">250+0.6*(TblRezone[[#This Row],[Land]]-250)</f>
        <v>250</v>
      </c>
      <c r="AB90" s="231"/>
      <c r="AC90" s="165">
        <f ca="1">TblConstr[[#This Row],[Facs DB]]</f>
        <v>0</v>
      </c>
    </row>
    <row r="91" spans="1:29" x14ac:dyDescent="0.2">
      <c r="A91" s="230">
        <f ca="1">TblConstr[[#This Row],[Land]]</f>
        <v>250</v>
      </c>
      <c r="B91" s="232">
        <f ca="1">TblConstr[[#This Row],[Plain]]</f>
        <v>40</v>
      </c>
      <c r="C91" s="190">
        <f ca="1">TblConstr[[#This Row],[Forest]]</f>
        <v>20</v>
      </c>
      <c r="D91" s="390">
        <f ca="1">TblConstr[[#This Row],[Mountain]]</f>
        <v>20</v>
      </c>
      <c r="E91" s="394">
        <f ca="1">TblConstr[[#This Row],[Hill]]</f>
        <v>20</v>
      </c>
      <c r="F91" s="398">
        <f ca="1">TblConstr[[#This Row],[Swamp]]</f>
        <v>20</v>
      </c>
      <c r="G91" s="193">
        <f ca="1">TblConstr[[#This Row],[Cavern]]</f>
        <v>20</v>
      </c>
      <c r="H91" s="194">
        <f ca="1">TblConstr[[#This Row],[Water]]</f>
        <v>20</v>
      </c>
      <c r="I91" s="231"/>
      <c r="J91" s="183">
        <f t="shared" si="3"/>
        <v>88</v>
      </c>
      <c r="K91" s="255">
        <f ca="1">TblImps[[#This Row],[Real time]]</f>
        <v>44814.374999999789</v>
      </c>
      <c r="L91" s="187"/>
      <c r="M91" s="187"/>
      <c r="N91" s="187"/>
      <c r="O91" s="187"/>
      <c r="P91" s="187"/>
      <c r="Q91" s="187"/>
      <c r="R91" s="187"/>
      <c r="S91" s="97">
        <f>SUMIF(TblRezone[[#This Row],[Plains Rezone]:[Water Rezone]],"&gt;0")</f>
        <v>0</v>
      </c>
      <c r="T91" s="62" t="str">
        <f>IF(SUM(TblRezone[[#This Row],[Plains Rezone]:[Water Rezone]])=0,"Ok","Nope")</f>
        <v>Ok</v>
      </c>
      <c r="U91" s="231"/>
      <c r="V91" s="97">
        <f ca="1">TblProd[[#This Row],[Platinum]]</f>
        <v>578160</v>
      </c>
      <c r="W91" s="231"/>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31"/>
      <c r="AA91" s="97">
        <f ca="1">250+0.6*(TblRezone[[#This Row],[Land]]-250)</f>
        <v>250</v>
      </c>
      <c r="AB91" s="231"/>
      <c r="AC91" s="165">
        <f ca="1">TblConstr[[#This Row],[Facs DB]]</f>
        <v>0</v>
      </c>
    </row>
    <row r="92" spans="1:29" x14ac:dyDescent="0.2">
      <c r="A92" s="230">
        <f ca="1">TblConstr[[#This Row],[Land]]</f>
        <v>250</v>
      </c>
      <c r="B92" s="232">
        <f ca="1">TblConstr[[#This Row],[Plain]]</f>
        <v>40</v>
      </c>
      <c r="C92" s="190">
        <f ca="1">TblConstr[[#This Row],[Forest]]</f>
        <v>20</v>
      </c>
      <c r="D92" s="390">
        <f ca="1">TblConstr[[#This Row],[Mountain]]</f>
        <v>20</v>
      </c>
      <c r="E92" s="394">
        <f ca="1">TblConstr[[#This Row],[Hill]]</f>
        <v>20</v>
      </c>
      <c r="F92" s="398">
        <f ca="1">TblConstr[[#This Row],[Swamp]]</f>
        <v>20</v>
      </c>
      <c r="G92" s="193">
        <f ca="1">TblConstr[[#This Row],[Cavern]]</f>
        <v>20</v>
      </c>
      <c r="H92" s="194">
        <f ca="1">TblConstr[[#This Row],[Water]]</f>
        <v>20</v>
      </c>
      <c r="I92" s="231"/>
      <c r="J92" s="183">
        <f t="shared" si="3"/>
        <v>89</v>
      </c>
      <c r="K92" s="255">
        <f ca="1">TblImps[[#This Row],[Real time]]</f>
        <v>44814.416666666453</v>
      </c>
      <c r="L92" s="187"/>
      <c r="M92" s="187"/>
      <c r="N92" s="187"/>
      <c r="O92" s="187"/>
      <c r="P92" s="187"/>
      <c r="Q92" s="187"/>
      <c r="R92" s="187"/>
      <c r="S92" s="97">
        <f>SUMIF(TblRezone[[#This Row],[Plains Rezone]:[Water Rezone]],"&gt;0")</f>
        <v>0</v>
      </c>
      <c r="T92" s="62" t="str">
        <f>IF(SUM(TblRezone[[#This Row],[Plains Rezone]:[Water Rezone]])=0,"Ok","Nope")</f>
        <v>Ok</v>
      </c>
      <c r="U92" s="231"/>
      <c r="V92" s="97">
        <f ca="1">TblProd[[#This Row],[Platinum]]</f>
        <v>583646</v>
      </c>
      <c r="W92" s="231"/>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31"/>
      <c r="AA92" s="97">
        <f ca="1">250+0.6*(TblRezone[[#This Row],[Land]]-250)</f>
        <v>250</v>
      </c>
      <c r="AB92" s="231"/>
      <c r="AC92" s="165">
        <f ca="1">TblConstr[[#This Row],[Facs DB]]</f>
        <v>0</v>
      </c>
    </row>
    <row r="93" spans="1:29" x14ac:dyDescent="0.2">
      <c r="A93" s="230">
        <f ca="1">TblConstr[[#This Row],[Land]]</f>
        <v>250</v>
      </c>
      <c r="B93" s="232">
        <f ca="1">TblConstr[[#This Row],[Plain]]</f>
        <v>40</v>
      </c>
      <c r="C93" s="190">
        <f ca="1">TblConstr[[#This Row],[Forest]]</f>
        <v>20</v>
      </c>
      <c r="D93" s="390">
        <f ca="1">TblConstr[[#This Row],[Mountain]]</f>
        <v>20</v>
      </c>
      <c r="E93" s="394">
        <f ca="1">TblConstr[[#This Row],[Hill]]</f>
        <v>20</v>
      </c>
      <c r="F93" s="398">
        <f ca="1">TblConstr[[#This Row],[Swamp]]</f>
        <v>20</v>
      </c>
      <c r="G93" s="193">
        <f ca="1">TblConstr[[#This Row],[Cavern]]</f>
        <v>20</v>
      </c>
      <c r="H93" s="194">
        <f ca="1">TblConstr[[#This Row],[Water]]</f>
        <v>20</v>
      </c>
      <c r="I93" s="231"/>
      <c r="J93" s="183">
        <f t="shared" si="3"/>
        <v>90</v>
      </c>
      <c r="K93" s="255">
        <f ca="1">TblImps[[#This Row],[Real time]]</f>
        <v>44814.458333333117</v>
      </c>
      <c r="L93" s="187"/>
      <c r="M93" s="187"/>
      <c r="N93" s="187"/>
      <c r="O93" s="187"/>
      <c r="P93" s="187"/>
      <c r="Q93" s="187"/>
      <c r="R93" s="187"/>
      <c r="S93" s="97">
        <f>SUMIF(TblRezone[[#This Row],[Plains Rezone]:[Water Rezone]],"&gt;0")</f>
        <v>0</v>
      </c>
      <c r="T93" s="62" t="str">
        <f>IF(SUM(TblRezone[[#This Row],[Plains Rezone]:[Water Rezone]])=0,"Ok","Nope")</f>
        <v>Ok</v>
      </c>
      <c r="U93" s="231"/>
      <c r="V93" s="97">
        <f ca="1">TblProd[[#This Row],[Platinum]]</f>
        <v>589132</v>
      </c>
      <c r="W93" s="231"/>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31"/>
      <c r="AA93" s="97">
        <f ca="1">250+0.6*(TblRezone[[#This Row],[Land]]-250)</f>
        <v>250</v>
      </c>
      <c r="AB93" s="231"/>
      <c r="AC93" s="165">
        <f ca="1">TblConstr[[#This Row],[Facs DB]]</f>
        <v>0</v>
      </c>
    </row>
    <row r="94" spans="1:29" x14ac:dyDescent="0.2">
      <c r="A94" s="230">
        <f ca="1">TblConstr[[#This Row],[Land]]</f>
        <v>250</v>
      </c>
      <c r="B94" s="232">
        <f ca="1">TblConstr[[#This Row],[Plain]]</f>
        <v>40</v>
      </c>
      <c r="C94" s="190">
        <f ca="1">TblConstr[[#This Row],[Forest]]</f>
        <v>20</v>
      </c>
      <c r="D94" s="390">
        <f ca="1">TblConstr[[#This Row],[Mountain]]</f>
        <v>20</v>
      </c>
      <c r="E94" s="394">
        <f ca="1">TblConstr[[#This Row],[Hill]]</f>
        <v>20</v>
      </c>
      <c r="F94" s="398">
        <f ca="1">TblConstr[[#This Row],[Swamp]]</f>
        <v>20</v>
      </c>
      <c r="G94" s="193">
        <f ca="1">TblConstr[[#This Row],[Cavern]]</f>
        <v>20</v>
      </c>
      <c r="H94" s="194">
        <f ca="1">TblConstr[[#This Row],[Water]]</f>
        <v>20</v>
      </c>
      <c r="I94" s="231"/>
      <c r="J94" s="183">
        <f t="shared" si="3"/>
        <v>91</v>
      </c>
      <c r="K94" s="255">
        <f ca="1">TblImps[[#This Row],[Real time]]</f>
        <v>44814.499999999782</v>
      </c>
      <c r="L94" s="187"/>
      <c r="M94" s="187"/>
      <c r="N94" s="187"/>
      <c r="O94" s="187"/>
      <c r="P94" s="187"/>
      <c r="Q94" s="187"/>
      <c r="R94" s="187"/>
      <c r="S94" s="97">
        <f>SUMIF(TblRezone[[#This Row],[Plains Rezone]:[Water Rezone]],"&gt;0")</f>
        <v>0</v>
      </c>
      <c r="T94" s="62" t="str">
        <f>IF(SUM(TblRezone[[#This Row],[Plains Rezone]:[Water Rezone]])=0,"Ok","Nope")</f>
        <v>Ok</v>
      </c>
      <c r="U94" s="231"/>
      <c r="V94" s="97">
        <f ca="1">TblProd[[#This Row],[Platinum]]</f>
        <v>594618</v>
      </c>
      <c r="W94" s="231"/>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31"/>
      <c r="AA94" s="97">
        <f ca="1">250+0.6*(TblRezone[[#This Row],[Land]]-250)</f>
        <v>250</v>
      </c>
      <c r="AB94" s="231"/>
      <c r="AC94" s="165">
        <f ca="1">TblConstr[[#This Row],[Facs DB]]</f>
        <v>0</v>
      </c>
    </row>
    <row r="95" spans="1:29" x14ac:dyDescent="0.2">
      <c r="A95" s="230">
        <f ca="1">TblConstr[[#This Row],[Land]]</f>
        <v>250</v>
      </c>
      <c r="B95" s="232">
        <f ca="1">TblConstr[[#This Row],[Plain]]</f>
        <v>40</v>
      </c>
      <c r="C95" s="190">
        <f ca="1">TblConstr[[#This Row],[Forest]]</f>
        <v>20</v>
      </c>
      <c r="D95" s="390">
        <f ca="1">TblConstr[[#This Row],[Mountain]]</f>
        <v>20</v>
      </c>
      <c r="E95" s="394">
        <f ca="1">TblConstr[[#This Row],[Hill]]</f>
        <v>20</v>
      </c>
      <c r="F95" s="398">
        <f ca="1">TblConstr[[#This Row],[Swamp]]</f>
        <v>20</v>
      </c>
      <c r="G95" s="193">
        <f ca="1">TblConstr[[#This Row],[Cavern]]</f>
        <v>20</v>
      </c>
      <c r="H95" s="194">
        <f ca="1">TblConstr[[#This Row],[Water]]</f>
        <v>20</v>
      </c>
      <c r="I95" s="231"/>
      <c r="J95" s="183">
        <f t="shared" si="3"/>
        <v>92</v>
      </c>
      <c r="K95" s="255">
        <f ca="1">TblImps[[#This Row],[Real time]]</f>
        <v>44814.541666666446</v>
      </c>
      <c r="L95" s="187"/>
      <c r="M95" s="187"/>
      <c r="N95" s="187"/>
      <c r="O95" s="187"/>
      <c r="P95" s="187"/>
      <c r="Q95" s="187"/>
      <c r="R95" s="187"/>
      <c r="S95" s="97">
        <f>SUMIF(TblRezone[[#This Row],[Plains Rezone]:[Water Rezone]],"&gt;0")</f>
        <v>0</v>
      </c>
      <c r="T95" s="62" t="str">
        <f>IF(SUM(TblRezone[[#This Row],[Plains Rezone]:[Water Rezone]])=0,"Ok","Nope")</f>
        <v>Ok</v>
      </c>
      <c r="U95" s="231"/>
      <c r="V95" s="97">
        <f ca="1">TblProd[[#This Row],[Platinum]]</f>
        <v>600104</v>
      </c>
      <c r="W95" s="231"/>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31"/>
      <c r="AA95" s="97">
        <f ca="1">250+0.6*(TblRezone[[#This Row],[Land]]-250)</f>
        <v>250</v>
      </c>
      <c r="AB95" s="231"/>
      <c r="AC95" s="165">
        <f ca="1">TblConstr[[#This Row],[Facs DB]]</f>
        <v>0</v>
      </c>
    </row>
    <row r="96" spans="1:29" x14ac:dyDescent="0.2">
      <c r="A96" s="230">
        <f ca="1">TblConstr[[#This Row],[Land]]</f>
        <v>250</v>
      </c>
      <c r="B96" s="232">
        <f ca="1">TblConstr[[#This Row],[Plain]]</f>
        <v>40</v>
      </c>
      <c r="C96" s="190">
        <f ca="1">TblConstr[[#This Row],[Forest]]</f>
        <v>20</v>
      </c>
      <c r="D96" s="390">
        <f ca="1">TblConstr[[#This Row],[Mountain]]</f>
        <v>20</v>
      </c>
      <c r="E96" s="394">
        <f ca="1">TblConstr[[#This Row],[Hill]]</f>
        <v>20</v>
      </c>
      <c r="F96" s="398">
        <f ca="1">TblConstr[[#This Row],[Swamp]]</f>
        <v>20</v>
      </c>
      <c r="G96" s="193">
        <f ca="1">TblConstr[[#This Row],[Cavern]]</f>
        <v>20</v>
      </c>
      <c r="H96" s="194">
        <f ca="1">TblConstr[[#This Row],[Water]]</f>
        <v>20</v>
      </c>
      <c r="I96" s="231"/>
      <c r="J96" s="183">
        <f t="shared" si="3"/>
        <v>93</v>
      </c>
      <c r="K96" s="255">
        <f ca="1">TblImps[[#This Row],[Real time]]</f>
        <v>44814.58333333311</v>
      </c>
      <c r="L96" s="187"/>
      <c r="M96" s="187"/>
      <c r="N96" s="187"/>
      <c r="O96" s="187"/>
      <c r="P96" s="187"/>
      <c r="Q96" s="187"/>
      <c r="R96" s="187"/>
      <c r="S96" s="97">
        <f>SUMIF(TblRezone[[#This Row],[Plains Rezone]:[Water Rezone]],"&gt;0")</f>
        <v>0</v>
      </c>
      <c r="T96" s="62" t="str">
        <f>IF(SUM(TblRezone[[#This Row],[Plains Rezone]:[Water Rezone]])=0,"Ok","Nope")</f>
        <v>Ok</v>
      </c>
      <c r="U96" s="231"/>
      <c r="V96" s="97">
        <f ca="1">TblProd[[#This Row],[Platinum]]</f>
        <v>605590</v>
      </c>
      <c r="W96" s="231"/>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31"/>
      <c r="AA96" s="97">
        <f ca="1">250+0.6*(TblRezone[[#This Row],[Land]]-250)</f>
        <v>250</v>
      </c>
      <c r="AB96" s="231"/>
      <c r="AC96" s="165">
        <f ca="1">TblConstr[[#This Row],[Facs DB]]</f>
        <v>0</v>
      </c>
    </row>
    <row r="97" spans="1:29" x14ac:dyDescent="0.2">
      <c r="A97" s="230">
        <f ca="1">TblConstr[[#This Row],[Land]]</f>
        <v>250</v>
      </c>
      <c r="B97" s="232">
        <f ca="1">TblConstr[[#This Row],[Plain]]</f>
        <v>40</v>
      </c>
      <c r="C97" s="190">
        <f ca="1">TblConstr[[#This Row],[Forest]]</f>
        <v>20</v>
      </c>
      <c r="D97" s="390">
        <f ca="1">TblConstr[[#This Row],[Mountain]]</f>
        <v>20</v>
      </c>
      <c r="E97" s="394">
        <f ca="1">TblConstr[[#This Row],[Hill]]</f>
        <v>20</v>
      </c>
      <c r="F97" s="398">
        <f ca="1">TblConstr[[#This Row],[Swamp]]</f>
        <v>20</v>
      </c>
      <c r="G97" s="193">
        <f ca="1">TblConstr[[#This Row],[Cavern]]</f>
        <v>20</v>
      </c>
      <c r="H97" s="194">
        <f ca="1">TblConstr[[#This Row],[Water]]</f>
        <v>20</v>
      </c>
      <c r="I97" s="231"/>
      <c r="J97" s="183">
        <f t="shared" si="3"/>
        <v>94</v>
      </c>
      <c r="K97" s="255">
        <f ca="1">TblImps[[#This Row],[Real time]]</f>
        <v>44814.624999999774</v>
      </c>
      <c r="L97" s="187"/>
      <c r="M97" s="187"/>
      <c r="N97" s="187"/>
      <c r="O97" s="187"/>
      <c r="P97" s="187"/>
      <c r="Q97" s="187"/>
      <c r="R97" s="187"/>
      <c r="S97" s="97">
        <f>SUMIF(TblRezone[[#This Row],[Plains Rezone]:[Water Rezone]],"&gt;0")</f>
        <v>0</v>
      </c>
      <c r="T97" s="62" t="str">
        <f>IF(SUM(TblRezone[[#This Row],[Plains Rezone]:[Water Rezone]])=0,"Ok","Nope")</f>
        <v>Ok</v>
      </c>
      <c r="U97" s="231"/>
      <c r="V97" s="97">
        <f ca="1">TblProd[[#This Row],[Platinum]]</f>
        <v>611076</v>
      </c>
      <c r="W97" s="231"/>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31"/>
      <c r="AA97" s="97">
        <f ca="1">250+0.6*(TblRezone[[#This Row],[Land]]-250)</f>
        <v>250</v>
      </c>
      <c r="AB97" s="231"/>
      <c r="AC97" s="165">
        <f ca="1">TblConstr[[#This Row],[Facs DB]]</f>
        <v>0</v>
      </c>
    </row>
    <row r="98" spans="1:29" x14ac:dyDescent="0.2">
      <c r="A98" s="230">
        <f ca="1">TblConstr[[#This Row],[Land]]</f>
        <v>250</v>
      </c>
      <c r="B98" s="232">
        <f ca="1">TblConstr[[#This Row],[Plain]]</f>
        <v>40</v>
      </c>
      <c r="C98" s="190">
        <f ca="1">TblConstr[[#This Row],[Forest]]</f>
        <v>20</v>
      </c>
      <c r="D98" s="390">
        <f ca="1">TblConstr[[#This Row],[Mountain]]</f>
        <v>20</v>
      </c>
      <c r="E98" s="394">
        <f ca="1">TblConstr[[#This Row],[Hill]]</f>
        <v>20</v>
      </c>
      <c r="F98" s="398">
        <f ca="1">TblConstr[[#This Row],[Swamp]]</f>
        <v>20</v>
      </c>
      <c r="G98" s="193">
        <f ca="1">TblConstr[[#This Row],[Cavern]]</f>
        <v>20</v>
      </c>
      <c r="H98" s="194">
        <f ca="1">TblConstr[[#This Row],[Water]]</f>
        <v>20</v>
      </c>
      <c r="I98" s="231"/>
      <c r="J98" s="183">
        <f t="shared" si="3"/>
        <v>95</v>
      </c>
      <c r="K98" s="255">
        <f ca="1">TblImps[[#This Row],[Real time]]</f>
        <v>44814.666666666439</v>
      </c>
      <c r="L98" s="187"/>
      <c r="M98" s="187"/>
      <c r="N98" s="187"/>
      <c r="O98" s="187"/>
      <c r="P98" s="187"/>
      <c r="Q98" s="187"/>
      <c r="R98" s="187"/>
      <c r="S98" s="97">
        <f>SUMIF(TblRezone[[#This Row],[Plains Rezone]:[Water Rezone]],"&gt;0")</f>
        <v>0</v>
      </c>
      <c r="T98" s="62" t="str">
        <f>IF(SUM(TblRezone[[#This Row],[Plains Rezone]:[Water Rezone]])=0,"Ok","Nope")</f>
        <v>Ok</v>
      </c>
      <c r="U98" s="231"/>
      <c r="V98" s="97">
        <f ca="1">TblProd[[#This Row],[Platinum]]</f>
        <v>616562</v>
      </c>
      <c r="W98" s="231"/>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31"/>
      <c r="AA98" s="97">
        <f ca="1">250+0.6*(TblRezone[[#This Row],[Land]]-250)</f>
        <v>250</v>
      </c>
      <c r="AB98" s="231"/>
      <c r="AC98" s="165">
        <f ca="1">TblConstr[[#This Row],[Facs DB]]</f>
        <v>0</v>
      </c>
    </row>
    <row r="99" spans="1:29" x14ac:dyDescent="0.2">
      <c r="A99" s="230">
        <f ca="1">TblConstr[[#This Row],[Land]]</f>
        <v>250</v>
      </c>
      <c r="B99" s="232">
        <f ca="1">TblConstr[[#This Row],[Plain]]</f>
        <v>40</v>
      </c>
      <c r="C99" s="190">
        <f ca="1">TblConstr[[#This Row],[Forest]]</f>
        <v>20</v>
      </c>
      <c r="D99" s="390">
        <f ca="1">TblConstr[[#This Row],[Mountain]]</f>
        <v>20</v>
      </c>
      <c r="E99" s="394">
        <f ca="1">TblConstr[[#This Row],[Hill]]</f>
        <v>20</v>
      </c>
      <c r="F99" s="398">
        <f ca="1">TblConstr[[#This Row],[Swamp]]</f>
        <v>20</v>
      </c>
      <c r="G99" s="193">
        <f ca="1">TblConstr[[#This Row],[Cavern]]</f>
        <v>20</v>
      </c>
      <c r="H99" s="194">
        <f ca="1">TblConstr[[#This Row],[Water]]</f>
        <v>20</v>
      </c>
      <c r="I99" s="231"/>
      <c r="J99" s="183">
        <f t="shared" si="3"/>
        <v>96</v>
      </c>
      <c r="K99" s="255">
        <f ca="1">TblImps[[#This Row],[Real time]]</f>
        <v>44814.708333333103</v>
      </c>
      <c r="L99" s="187"/>
      <c r="M99" s="187"/>
      <c r="N99" s="187"/>
      <c r="O99" s="187"/>
      <c r="P99" s="187"/>
      <c r="Q99" s="187"/>
      <c r="R99" s="187"/>
      <c r="S99" s="97">
        <f>SUMIF(TblRezone[[#This Row],[Plains Rezone]:[Water Rezone]],"&gt;0")</f>
        <v>0</v>
      </c>
      <c r="T99" s="62" t="str">
        <f>IF(SUM(TblRezone[[#This Row],[Plains Rezone]:[Water Rezone]])=0,"Ok","Nope")</f>
        <v>Ok</v>
      </c>
      <c r="U99" s="231"/>
      <c r="V99" s="97">
        <f ca="1">TblProd[[#This Row],[Platinum]]</f>
        <v>622048</v>
      </c>
      <c r="W99" s="231"/>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31"/>
      <c r="AA99" s="97">
        <f ca="1">250+0.6*(TblRezone[[#This Row],[Land]]-250)</f>
        <v>250</v>
      </c>
      <c r="AB99" s="231"/>
      <c r="AC99" s="165">
        <f ca="1">TblConstr[[#This Row],[Facs DB]]</f>
        <v>0</v>
      </c>
    </row>
    <row r="100" spans="1:29" x14ac:dyDescent="0.2">
      <c r="A100" s="230">
        <f ca="1">TblConstr[[#This Row],[Land]]</f>
        <v>250</v>
      </c>
      <c r="B100" s="232">
        <f ca="1">TblConstr[[#This Row],[Plain]]</f>
        <v>40</v>
      </c>
      <c r="C100" s="190">
        <f ca="1">TblConstr[[#This Row],[Forest]]</f>
        <v>20</v>
      </c>
      <c r="D100" s="390">
        <f ca="1">TblConstr[[#This Row],[Mountain]]</f>
        <v>20</v>
      </c>
      <c r="E100" s="394">
        <f ca="1">TblConstr[[#This Row],[Hill]]</f>
        <v>20</v>
      </c>
      <c r="F100" s="398">
        <f ca="1">TblConstr[[#This Row],[Swamp]]</f>
        <v>20</v>
      </c>
      <c r="G100" s="193">
        <f ca="1">TblConstr[[#This Row],[Cavern]]</f>
        <v>20</v>
      </c>
      <c r="H100" s="194">
        <f ca="1">TblConstr[[#This Row],[Water]]</f>
        <v>20</v>
      </c>
      <c r="I100" s="231"/>
      <c r="J100" s="183">
        <f t="shared" si="3"/>
        <v>97</v>
      </c>
      <c r="K100" s="255">
        <f ca="1">TblImps[[#This Row],[Real time]]</f>
        <v>44814.749999999767</v>
      </c>
      <c r="L100" s="187"/>
      <c r="M100" s="187"/>
      <c r="N100" s="187"/>
      <c r="O100" s="187"/>
      <c r="P100" s="187"/>
      <c r="Q100" s="187"/>
      <c r="R100" s="187"/>
      <c r="S100" s="97">
        <f>SUMIF(TblRezone[[#This Row],[Plains Rezone]:[Water Rezone]],"&gt;0")</f>
        <v>0</v>
      </c>
      <c r="T100" s="62" t="str">
        <f>IF(SUM(TblRezone[[#This Row],[Plains Rezone]:[Water Rezone]])=0,"Ok","Nope")</f>
        <v>Ok</v>
      </c>
      <c r="U100" s="231"/>
      <c r="V100" s="97">
        <f ca="1">TblProd[[#This Row],[Platinum]]</f>
        <v>627534</v>
      </c>
      <c r="W100" s="231"/>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31"/>
      <c r="AA100" s="97">
        <f ca="1">250+0.6*(TblRezone[[#This Row],[Land]]-250)</f>
        <v>250</v>
      </c>
      <c r="AB100" s="231"/>
      <c r="AC100" s="165">
        <f ca="1">TblConstr[[#This Row],[Facs DB]]</f>
        <v>0</v>
      </c>
    </row>
    <row r="101" spans="1:29" x14ac:dyDescent="0.2">
      <c r="A101" s="230">
        <f ca="1">TblConstr[[#This Row],[Land]]</f>
        <v>250</v>
      </c>
      <c r="B101" s="232">
        <f ca="1">TblConstr[[#This Row],[Plain]]</f>
        <v>40</v>
      </c>
      <c r="C101" s="190">
        <f ca="1">TblConstr[[#This Row],[Forest]]</f>
        <v>20</v>
      </c>
      <c r="D101" s="390">
        <f ca="1">TblConstr[[#This Row],[Mountain]]</f>
        <v>20</v>
      </c>
      <c r="E101" s="394">
        <f ca="1">TblConstr[[#This Row],[Hill]]</f>
        <v>20</v>
      </c>
      <c r="F101" s="398">
        <f ca="1">TblConstr[[#This Row],[Swamp]]</f>
        <v>20</v>
      </c>
      <c r="G101" s="193">
        <f ca="1">TblConstr[[#This Row],[Cavern]]</f>
        <v>20</v>
      </c>
      <c r="H101" s="194">
        <f ca="1">TblConstr[[#This Row],[Water]]</f>
        <v>20</v>
      </c>
      <c r="I101" s="231"/>
      <c r="J101" s="183">
        <f t="shared" si="3"/>
        <v>98</v>
      </c>
      <c r="K101" s="255">
        <f ca="1">TblImps[[#This Row],[Real time]]</f>
        <v>44814.791666666431</v>
      </c>
      <c r="L101" s="187"/>
      <c r="M101" s="187"/>
      <c r="N101" s="187"/>
      <c r="O101" s="187"/>
      <c r="P101" s="187"/>
      <c r="Q101" s="187"/>
      <c r="R101" s="187"/>
      <c r="S101" s="97">
        <f>SUMIF(TblRezone[[#This Row],[Plains Rezone]:[Water Rezone]],"&gt;0")</f>
        <v>0</v>
      </c>
      <c r="T101" s="62" t="str">
        <f>IF(SUM(TblRezone[[#This Row],[Plains Rezone]:[Water Rezone]])=0,"Ok","Nope")</f>
        <v>Ok</v>
      </c>
      <c r="U101" s="231"/>
      <c r="V101" s="97">
        <f ca="1">TblProd[[#This Row],[Platinum]]</f>
        <v>633020</v>
      </c>
      <c r="W101" s="231"/>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31"/>
      <c r="AA101" s="97">
        <f ca="1">250+0.6*(TblRezone[[#This Row],[Land]]-250)</f>
        <v>250</v>
      </c>
      <c r="AB101" s="231"/>
      <c r="AC101" s="165">
        <f ca="1">TblConstr[[#This Row],[Facs DB]]</f>
        <v>0</v>
      </c>
    </row>
    <row r="102" spans="1:29" x14ac:dyDescent="0.2">
      <c r="A102" s="230">
        <f ca="1">TblConstr[[#This Row],[Land]]</f>
        <v>250</v>
      </c>
      <c r="B102" s="232">
        <f ca="1">TblConstr[[#This Row],[Plain]]</f>
        <v>40</v>
      </c>
      <c r="C102" s="190">
        <f ca="1">TblConstr[[#This Row],[Forest]]</f>
        <v>20</v>
      </c>
      <c r="D102" s="390">
        <f ca="1">TblConstr[[#This Row],[Mountain]]</f>
        <v>20</v>
      </c>
      <c r="E102" s="394">
        <f ca="1">TblConstr[[#This Row],[Hill]]</f>
        <v>20</v>
      </c>
      <c r="F102" s="398">
        <f ca="1">TblConstr[[#This Row],[Swamp]]</f>
        <v>20</v>
      </c>
      <c r="G102" s="193">
        <f ca="1">TblConstr[[#This Row],[Cavern]]</f>
        <v>20</v>
      </c>
      <c r="H102" s="194">
        <f ca="1">TblConstr[[#This Row],[Water]]</f>
        <v>20</v>
      </c>
      <c r="I102" s="231"/>
      <c r="J102" s="183">
        <f t="shared" si="3"/>
        <v>99</v>
      </c>
      <c r="K102" s="255">
        <f ca="1">TblImps[[#This Row],[Real time]]</f>
        <v>44814.833333333096</v>
      </c>
      <c r="L102" s="187"/>
      <c r="M102" s="187"/>
      <c r="N102" s="187"/>
      <c r="O102" s="187"/>
      <c r="P102" s="187"/>
      <c r="Q102" s="187"/>
      <c r="R102" s="187"/>
      <c r="S102" s="97">
        <f>SUMIF(TblRezone[[#This Row],[Plains Rezone]:[Water Rezone]],"&gt;0")</f>
        <v>0</v>
      </c>
      <c r="T102" s="62" t="str">
        <f>IF(SUM(TblRezone[[#This Row],[Plains Rezone]:[Water Rezone]])=0,"Ok","Nope")</f>
        <v>Ok</v>
      </c>
      <c r="U102" s="231"/>
      <c r="V102" s="97">
        <f ca="1">TblProd[[#This Row],[Platinum]]</f>
        <v>638506</v>
      </c>
      <c r="W102" s="231"/>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31"/>
      <c r="AA102" s="97">
        <f ca="1">250+0.6*(TblRezone[[#This Row],[Land]]-250)</f>
        <v>250</v>
      </c>
      <c r="AB102" s="231"/>
      <c r="AC102" s="165">
        <f ca="1">TblConstr[[#This Row],[Facs DB]]</f>
        <v>0</v>
      </c>
    </row>
    <row r="103" spans="1:29" x14ac:dyDescent="0.2">
      <c r="A103" s="230">
        <f ca="1">TblConstr[[#This Row],[Land]]</f>
        <v>250</v>
      </c>
      <c r="B103" s="232">
        <f ca="1">TblConstr[[#This Row],[Plain]]</f>
        <v>40</v>
      </c>
      <c r="C103" s="190">
        <f ca="1">TblConstr[[#This Row],[Forest]]</f>
        <v>20</v>
      </c>
      <c r="D103" s="390">
        <f ca="1">TblConstr[[#This Row],[Mountain]]</f>
        <v>20</v>
      </c>
      <c r="E103" s="394">
        <f ca="1">TblConstr[[#This Row],[Hill]]</f>
        <v>20</v>
      </c>
      <c r="F103" s="398">
        <f ca="1">TblConstr[[#This Row],[Swamp]]</f>
        <v>20</v>
      </c>
      <c r="G103" s="193">
        <f ca="1">TblConstr[[#This Row],[Cavern]]</f>
        <v>20</v>
      </c>
      <c r="H103" s="194">
        <f ca="1">TblConstr[[#This Row],[Water]]</f>
        <v>20</v>
      </c>
      <c r="I103" s="231"/>
      <c r="J103" s="183">
        <f t="shared" si="3"/>
        <v>100</v>
      </c>
      <c r="K103" s="255">
        <f ca="1">TblImps[[#This Row],[Real time]]</f>
        <v>44814.87499999976</v>
      </c>
      <c r="L103" s="187"/>
      <c r="M103" s="187"/>
      <c r="N103" s="187"/>
      <c r="O103" s="187"/>
      <c r="P103" s="187"/>
      <c r="Q103" s="187"/>
      <c r="R103" s="187"/>
      <c r="S103" s="97">
        <f>SUMIF(TblRezone[[#This Row],[Plains Rezone]:[Water Rezone]],"&gt;0")</f>
        <v>0</v>
      </c>
      <c r="T103" s="62" t="str">
        <f>IF(SUM(TblRezone[[#This Row],[Plains Rezone]:[Water Rezone]])=0,"Ok","Nope")</f>
        <v>Ok</v>
      </c>
      <c r="U103" s="231"/>
      <c r="V103" s="97">
        <f ca="1">TblProd[[#This Row],[Platinum]]</f>
        <v>643992</v>
      </c>
      <c r="W103" s="231"/>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31"/>
      <c r="AA103" s="97">
        <f ca="1">250+0.6*(TblRezone[[#This Row],[Land]]-250)</f>
        <v>250</v>
      </c>
      <c r="AB103" s="231"/>
      <c r="AC103" s="165">
        <f ca="1">TblConstr[[#This Row],[Facs DB]]</f>
        <v>0</v>
      </c>
    </row>
    <row r="104" spans="1:29" x14ac:dyDescent="0.2">
      <c r="A104" s="230">
        <f ca="1">TblConstr[[#This Row],[Land]]</f>
        <v>250</v>
      </c>
      <c r="B104" s="232">
        <f ca="1">TblConstr[[#This Row],[Plain]]</f>
        <v>40</v>
      </c>
      <c r="C104" s="190">
        <f ca="1">TblConstr[[#This Row],[Forest]]</f>
        <v>20</v>
      </c>
      <c r="D104" s="390">
        <f ca="1">TblConstr[[#This Row],[Mountain]]</f>
        <v>20</v>
      </c>
      <c r="E104" s="394">
        <f ca="1">TblConstr[[#This Row],[Hill]]</f>
        <v>20</v>
      </c>
      <c r="F104" s="398">
        <f ca="1">TblConstr[[#This Row],[Swamp]]</f>
        <v>20</v>
      </c>
      <c r="G104" s="193">
        <f ca="1">TblConstr[[#This Row],[Cavern]]</f>
        <v>20</v>
      </c>
      <c r="H104" s="194">
        <f ca="1">TblConstr[[#This Row],[Water]]</f>
        <v>20</v>
      </c>
      <c r="I104" s="231"/>
      <c r="J104" s="183">
        <f t="shared" si="3"/>
        <v>101</v>
      </c>
      <c r="K104" s="255">
        <f ca="1">TblImps[[#This Row],[Real time]]</f>
        <v>44814.916666666424</v>
      </c>
      <c r="L104" s="187"/>
      <c r="M104" s="187"/>
      <c r="N104" s="187"/>
      <c r="O104" s="187"/>
      <c r="P104" s="187"/>
      <c r="Q104" s="187"/>
      <c r="R104" s="187"/>
      <c r="S104" s="97">
        <f>SUMIF(TblRezone[[#This Row],[Plains Rezone]:[Water Rezone]],"&gt;0")</f>
        <v>0</v>
      </c>
      <c r="T104" s="62" t="str">
        <f>IF(SUM(TblRezone[[#This Row],[Plains Rezone]:[Water Rezone]])=0,"Ok","Nope")</f>
        <v>Ok</v>
      </c>
      <c r="U104" s="231"/>
      <c r="V104" s="97">
        <f ca="1">TblProd[[#This Row],[Platinum]]</f>
        <v>649478</v>
      </c>
      <c r="W104" s="231"/>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31"/>
      <c r="AA104" s="97">
        <f ca="1">250+0.6*(TblRezone[[#This Row],[Land]]-250)</f>
        <v>250</v>
      </c>
      <c r="AB104" s="231"/>
      <c r="AC104" s="165">
        <f ca="1">TblConstr[[#This Row],[Facs DB]]</f>
        <v>0</v>
      </c>
    </row>
    <row r="105" spans="1:29" x14ac:dyDescent="0.2">
      <c r="A105" s="230">
        <f ca="1">TblConstr[[#This Row],[Land]]</f>
        <v>250</v>
      </c>
      <c r="B105" s="232">
        <f ca="1">TblConstr[[#This Row],[Plain]]</f>
        <v>40</v>
      </c>
      <c r="C105" s="190">
        <f ca="1">TblConstr[[#This Row],[Forest]]</f>
        <v>20</v>
      </c>
      <c r="D105" s="390">
        <f ca="1">TblConstr[[#This Row],[Mountain]]</f>
        <v>20</v>
      </c>
      <c r="E105" s="394">
        <f ca="1">TblConstr[[#This Row],[Hill]]</f>
        <v>20</v>
      </c>
      <c r="F105" s="398">
        <f ca="1">TblConstr[[#This Row],[Swamp]]</f>
        <v>20</v>
      </c>
      <c r="G105" s="193">
        <f ca="1">TblConstr[[#This Row],[Cavern]]</f>
        <v>20</v>
      </c>
      <c r="H105" s="194">
        <f ca="1">TblConstr[[#This Row],[Water]]</f>
        <v>20</v>
      </c>
      <c r="I105" s="231"/>
      <c r="J105" s="183">
        <f t="shared" si="3"/>
        <v>102</v>
      </c>
      <c r="K105" s="255">
        <f ca="1">TblImps[[#This Row],[Real time]]</f>
        <v>44814.958333333088</v>
      </c>
      <c r="L105" s="187"/>
      <c r="M105" s="187"/>
      <c r="N105" s="187"/>
      <c r="O105" s="187"/>
      <c r="P105" s="187"/>
      <c r="Q105" s="187"/>
      <c r="R105" s="187"/>
      <c r="S105" s="97">
        <f>SUMIF(TblRezone[[#This Row],[Plains Rezone]:[Water Rezone]],"&gt;0")</f>
        <v>0</v>
      </c>
      <c r="T105" s="62" t="str">
        <f>IF(SUM(TblRezone[[#This Row],[Plains Rezone]:[Water Rezone]])=0,"Ok","Nope")</f>
        <v>Ok</v>
      </c>
      <c r="U105" s="231"/>
      <c r="V105" s="97">
        <f ca="1">TblProd[[#This Row],[Platinum]]</f>
        <v>654964</v>
      </c>
      <c r="W105" s="231"/>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31"/>
      <c r="AA105" s="97">
        <f ca="1">250+0.6*(TblRezone[[#This Row],[Land]]-250)</f>
        <v>250</v>
      </c>
      <c r="AB105" s="231"/>
      <c r="AC105" s="165">
        <f ca="1">TblConstr[[#This Row],[Facs DB]]</f>
        <v>0</v>
      </c>
    </row>
    <row r="106" spans="1:29" x14ac:dyDescent="0.2">
      <c r="A106" s="230">
        <f ca="1">TblConstr[[#This Row],[Land]]</f>
        <v>250</v>
      </c>
      <c r="B106" s="232">
        <f ca="1">TblConstr[[#This Row],[Plain]]</f>
        <v>40</v>
      </c>
      <c r="C106" s="190">
        <f ca="1">TblConstr[[#This Row],[Forest]]</f>
        <v>20</v>
      </c>
      <c r="D106" s="390">
        <f ca="1">TblConstr[[#This Row],[Mountain]]</f>
        <v>20</v>
      </c>
      <c r="E106" s="394">
        <f ca="1">TblConstr[[#This Row],[Hill]]</f>
        <v>20</v>
      </c>
      <c r="F106" s="398">
        <f ca="1">TblConstr[[#This Row],[Swamp]]</f>
        <v>20</v>
      </c>
      <c r="G106" s="193">
        <f ca="1">TblConstr[[#This Row],[Cavern]]</f>
        <v>20</v>
      </c>
      <c r="H106" s="194">
        <f ca="1">TblConstr[[#This Row],[Water]]</f>
        <v>20</v>
      </c>
      <c r="I106" s="231"/>
      <c r="J106" s="183">
        <f t="shared" si="3"/>
        <v>103</v>
      </c>
      <c r="K106" s="255">
        <f ca="1">TblImps[[#This Row],[Real time]]</f>
        <v>44814.999999999753</v>
      </c>
      <c r="L106" s="187"/>
      <c r="M106" s="187"/>
      <c r="N106" s="187"/>
      <c r="O106" s="187"/>
      <c r="P106" s="187"/>
      <c r="Q106" s="187"/>
      <c r="R106" s="187"/>
      <c r="S106" s="97">
        <f>SUMIF(TblRezone[[#This Row],[Plains Rezone]:[Water Rezone]],"&gt;0")</f>
        <v>0</v>
      </c>
      <c r="T106" s="62" t="str">
        <f>IF(SUM(TblRezone[[#This Row],[Plains Rezone]:[Water Rezone]])=0,"Ok","Nope")</f>
        <v>Ok</v>
      </c>
      <c r="U106" s="231"/>
      <c r="V106" s="97">
        <f ca="1">TblProd[[#This Row],[Platinum]]</f>
        <v>660450</v>
      </c>
      <c r="W106" s="231"/>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31"/>
      <c r="AA106" s="97">
        <f ca="1">250+0.6*(TblRezone[[#This Row],[Land]]-250)</f>
        <v>250</v>
      </c>
      <c r="AB106" s="231"/>
      <c r="AC106" s="165">
        <f ca="1">TblConstr[[#This Row],[Facs DB]]</f>
        <v>0</v>
      </c>
    </row>
    <row r="107" spans="1:29" x14ac:dyDescent="0.2">
      <c r="A107" s="230">
        <f ca="1">TblConstr[[#This Row],[Land]]</f>
        <v>250</v>
      </c>
      <c r="B107" s="232">
        <f ca="1">TblConstr[[#This Row],[Plain]]</f>
        <v>40</v>
      </c>
      <c r="C107" s="190">
        <f ca="1">TblConstr[[#This Row],[Forest]]</f>
        <v>20</v>
      </c>
      <c r="D107" s="390">
        <f ca="1">TblConstr[[#This Row],[Mountain]]</f>
        <v>20</v>
      </c>
      <c r="E107" s="394">
        <f ca="1">TblConstr[[#This Row],[Hill]]</f>
        <v>20</v>
      </c>
      <c r="F107" s="398">
        <f ca="1">TblConstr[[#This Row],[Swamp]]</f>
        <v>20</v>
      </c>
      <c r="G107" s="193">
        <f ca="1">TblConstr[[#This Row],[Cavern]]</f>
        <v>20</v>
      </c>
      <c r="H107" s="194">
        <f ca="1">TblConstr[[#This Row],[Water]]</f>
        <v>20</v>
      </c>
      <c r="I107" s="231"/>
      <c r="J107" s="183">
        <f t="shared" si="3"/>
        <v>104</v>
      </c>
      <c r="K107" s="255">
        <f ca="1">TblImps[[#This Row],[Real time]]</f>
        <v>44815.041666666417</v>
      </c>
      <c r="L107" s="187"/>
      <c r="M107" s="187"/>
      <c r="N107" s="187"/>
      <c r="O107" s="187"/>
      <c r="P107" s="187"/>
      <c r="Q107" s="187"/>
      <c r="R107" s="187"/>
      <c r="S107" s="97">
        <f>SUMIF(TblRezone[[#This Row],[Plains Rezone]:[Water Rezone]],"&gt;0")</f>
        <v>0</v>
      </c>
      <c r="T107" s="62" t="str">
        <f>IF(SUM(TblRezone[[#This Row],[Plains Rezone]:[Water Rezone]])=0,"Ok","Nope")</f>
        <v>Ok</v>
      </c>
      <c r="U107" s="231"/>
      <c r="V107" s="97">
        <f ca="1">TblProd[[#This Row],[Platinum]]</f>
        <v>665936</v>
      </c>
      <c r="W107" s="231"/>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31"/>
      <c r="AA107" s="97">
        <f ca="1">250+0.6*(TblRezone[[#This Row],[Land]]-250)</f>
        <v>250</v>
      </c>
      <c r="AB107" s="231"/>
      <c r="AC107" s="165">
        <f ca="1">TblConstr[[#This Row],[Facs DB]]</f>
        <v>0</v>
      </c>
    </row>
    <row r="108" spans="1:29" x14ac:dyDescent="0.2">
      <c r="A108" s="230">
        <f ca="1">TblConstr[[#This Row],[Land]]</f>
        <v>250</v>
      </c>
      <c r="B108" s="232">
        <f ca="1">TblConstr[[#This Row],[Plain]]</f>
        <v>40</v>
      </c>
      <c r="C108" s="190">
        <f ca="1">TblConstr[[#This Row],[Forest]]</f>
        <v>20</v>
      </c>
      <c r="D108" s="390">
        <f ca="1">TblConstr[[#This Row],[Mountain]]</f>
        <v>20</v>
      </c>
      <c r="E108" s="394">
        <f ca="1">TblConstr[[#This Row],[Hill]]</f>
        <v>20</v>
      </c>
      <c r="F108" s="398">
        <f ca="1">TblConstr[[#This Row],[Swamp]]</f>
        <v>20</v>
      </c>
      <c r="G108" s="193">
        <f ca="1">TblConstr[[#This Row],[Cavern]]</f>
        <v>20</v>
      </c>
      <c r="H108" s="194">
        <f ca="1">TblConstr[[#This Row],[Water]]</f>
        <v>20</v>
      </c>
      <c r="I108" s="231"/>
      <c r="J108" s="183">
        <f t="shared" si="3"/>
        <v>105</v>
      </c>
      <c r="K108" s="255">
        <f ca="1">TblImps[[#This Row],[Real time]]</f>
        <v>44815.083333333081</v>
      </c>
      <c r="L108" s="187"/>
      <c r="M108" s="187"/>
      <c r="N108" s="187"/>
      <c r="O108" s="187"/>
      <c r="P108" s="187"/>
      <c r="Q108" s="187"/>
      <c r="R108" s="187"/>
      <c r="S108" s="97">
        <f>SUMIF(TblRezone[[#This Row],[Plains Rezone]:[Water Rezone]],"&gt;0")</f>
        <v>0</v>
      </c>
      <c r="T108" s="62" t="str">
        <f>IF(SUM(TblRezone[[#This Row],[Plains Rezone]:[Water Rezone]])=0,"Ok","Nope")</f>
        <v>Ok</v>
      </c>
      <c r="U108" s="231"/>
      <c r="V108" s="97">
        <f ca="1">TblProd[[#This Row],[Platinum]]</f>
        <v>671422</v>
      </c>
      <c r="W108" s="231"/>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31"/>
      <c r="AA108" s="97">
        <f ca="1">250+0.6*(TblRezone[[#This Row],[Land]]-250)</f>
        <v>250</v>
      </c>
      <c r="AB108" s="231"/>
      <c r="AC108" s="165">
        <f ca="1">TblConstr[[#This Row],[Facs DB]]</f>
        <v>0</v>
      </c>
    </row>
    <row r="109" spans="1:29" x14ac:dyDescent="0.2">
      <c r="A109" s="230">
        <f ca="1">TblConstr[[#This Row],[Land]]</f>
        <v>250</v>
      </c>
      <c r="B109" s="232">
        <f ca="1">TblConstr[[#This Row],[Plain]]</f>
        <v>40</v>
      </c>
      <c r="C109" s="190">
        <f ca="1">TblConstr[[#This Row],[Forest]]</f>
        <v>20</v>
      </c>
      <c r="D109" s="390">
        <f ca="1">TblConstr[[#This Row],[Mountain]]</f>
        <v>20</v>
      </c>
      <c r="E109" s="394">
        <f ca="1">TblConstr[[#This Row],[Hill]]</f>
        <v>20</v>
      </c>
      <c r="F109" s="398">
        <f ca="1">TblConstr[[#This Row],[Swamp]]</f>
        <v>20</v>
      </c>
      <c r="G109" s="193">
        <f ca="1">TblConstr[[#This Row],[Cavern]]</f>
        <v>20</v>
      </c>
      <c r="H109" s="194">
        <f ca="1">TblConstr[[#This Row],[Water]]</f>
        <v>20</v>
      </c>
      <c r="I109" s="231"/>
      <c r="J109" s="183">
        <f t="shared" si="3"/>
        <v>106</v>
      </c>
      <c r="K109" s="255">
        <f ca="1">TblImps[[#This Row],[Real time]]</f>
        <v>44815.124999999745</v>
      </c>
      <c r="L109" s="187"/>
      <c r="M109" s="187"/>
      <c r="N109" s="187"/>
      <c r="O109" s="187"/>
      <c r="P109" s="187"/>
      <c r="Q109" s="187"/>
      <c r="R109" s="187"/>
      <c r="S109" s="97">
        <f>SUMIF(TblRezone[[#This Row],[Plains Rezone]:[Water Rezone]],"&gt;0")</f>
        <v>0</v>
      </c>
      <c r="T109" s="62" t="str">
        <f>IF(SUM(TblRezone[[#This Row],[Plains Rezone]:[Water Rezone]])=0,"Ok","Nope")</f>
        <v>Ok</v>
      </c>
      <c r="U109" s="231"/>
      <c r="V109" s="97">
        <f ca="1">TblProd[[#This Row],[Platinum]]</f>
        <v>676908</v>
      </c>
      <c r="W109" s="231"/>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31"/>
      <c r="AA109" s="97">
        <f ca="1">250+0.6*(TblRezone[[#This Row],[Land]]-250)</f>
        <v>250</v>
      </c>
      <c r="AB109" s="231"/>
      <c r="AC109" s="165">
        <f ca="1">TblConstr[[#This Row],[Facs DB]]</f>
        <v>0</v>
      </c>
    </row>
    <row r="110" spans="1:29" x14ac:dyDescent="0.2">
      <c r="A110" s="230">
        <f ca="1">TblConstr[[#This Row],[Land]]</f>
        <v>250</v>
      </c>
      <c r="B110" s="232">
        <f ca="1">TblConstr[[#This Row],[Plain]]</f>
        <v>40</v>
      </c>
      <c r="C110" s="190">
        <f ca="1">TblConstr[[#This Row],[Forest]]</f>
        <v>20</v>
      </c>
      <c r="D110" s="390">
        <f ca="1">TblConstr[[#This Row],[Mountain]]</f>
        <v>20</v>
      </c>
      <c r="E110" s="394">
        <f ca="1">TblConstr[[#This Row],[Hill]]</f>
        <v>20</v>
      </c>
      <c r="F110" s="398">
        <f ca="1">TblConstr[[#This Row],[Swamp]]</f>
        <v>20</v>
      </c>
      <c r="G110" s="193">
        <f ca="1">TblConstr[[#This Row],[Cavern]]</f>
        <v>20</v>
      </c>
      <c r="H110" s="194">
        <f ca="1">TblConstr[[#This Row],[Water]]</f>
        <v>20</v>
      </c>
      <c r="I110" s="231"/>
      <c r="J110" s="183">
        <f t="shared" si="3"/>
        <v>107</v>
      </c>
      <c r="K110" s="255">
        <f ca="1">TblImps[[#This Row],[Real time]]</f>
        <v>44815.16666666641</v>
      </c>
      <c r="L110" s="187"/>
      <c r="M110" s="187"/>
      <c r="N110" s="187"/>
      <c r="O110" s="187"/>
      <c r="P110" s="187"/>
      <c r="Q110" s="187"/>
      <c r="R110" s="187"/>
      <c r="S110" s="97">
        <f>SUMIF(TblRezone[[#This Row],[Plains Rezone]:[Water Rezone]],"&gt;0")</f>
        <v>0</v>
      </c>
      <c r="T110" s="62" t="str">
        <f>IF(SUM(TblRezone[[#This Row],[Plains Rezone]:[Water Rezone]])=0,"Ok","Nope")</f>
        <v>Ok</v>
      </c>
      <c r="U110" s="231"/>
      <c r="V110" s="97">
        <f ca="1">TblProd[[#This Row],[Platinum]]</f>
        <v>682394</v>
      </c>
      <c r="W110" s="231"/>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31"/>
      <c r="AA110" s="97">
        <f ca="1">250+0.6*(TblRezone[[#This Row],[Land]]-250)</f>
        <v>250</v>
      </c>
      <c r="AB110" s="231"/>
      <c r="AC110" s="165">
        <f ca="1">TblConstr[[#This Row],[Facs DB]]</f>
        <v>0</v>
      </c>
    </row>
    <row r="111" spans="1:29" x14ac:dyDescent="0.2">
      <c r="A111" s="230">
        <f ca="1">TblConstr[[#This Row],[Land]]</f>
        <v>250</v>
      </c>
      <c r="B111" s="232">
        <f ca="1">TblConstr[[#This Row],[Plain]]</f>
        <v>40</v>
      </c>
      <c r="C111" s="190">
        <f ca="1">TblConstr[[#This Row],[Forest]]</f>
        <v>20</v>
      </c>
      <c r="D111" s="390">
        <f ca="1">TblConstr[[#This Row],[Mountain]]</f>
        <v>20</v>
      </c>
      <c r="E111" s="394">
        <f ca="1">TblConstr[[#This Row],[Hill]]</f>
        <v>20</v>
      </c>
      <c r="F111" s="398">
        <f ca="1">TblConstr[[#This Row],[Swamp]]</f>
        <v>20</v>
      </c>
      <c r="G111" s="193">
        <f ca="1">TblConstr[[#This Row],[Cavern]]</f>
        <v>20</v>
      </c>
      <c r="H111" s="194">
        <f ca="1">TblConstr[[#This Row],[Water]]</f>
        <v>20</v>
      </c>
      <c r="I111" s="231"/>
      <c r="J111" s="183">
        <f t="shared" si="3"/>
        <v>108</v>
      </c>
      <c r="K111" s="255">
        <f ca="1">TblImps[[#This Row],[Real time]]</f>
        <v>44815.208333333074</v>
      </c>
      <c r="L111" s="187"/>
      <c r="M111" s="187"/>
      <c r="N111" s="187"/>
      <c r="O111" s="187"/>
      <c r="P111" s="187"/>
      <c r="Q111" s="187"/>
      <c r="R111" s="187"/>
      <c r="S111" s="97">
        <f>SUMIF(TblRezone[[#This Row],[Plains Rezone]:[Water Rezone]],"&gt;0")</f>
        <v>0</v>
      </c>
      <c r="T111" s="62" t="str">
        <f>IF(SUM(TblRezone[[#This Row],[Plains Rezone]:[Water Rezone]])=0,"Ok","Nope")</f>
        <v>Ok</v>
      </c>
      <c r="U111" s="231"/>
      <c r="V111" s="97">
        <f ca="1">TblProd[[#This Row],[Platinum]]</f>
        <v>687880</v>
      </c>
      <c r="W111" s="231"/>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31"/>
      <c r="AA111" s="97">
        <f ca="1">250+0.6*(TblRezone[[#This Row],[Land]]-250)</f>
        <v>250</v>
      </c>
      <c r="AB111" s="231"/>
      <c r="AC111" s="165">
        <f ca="1">TblConstr[[#This Row],[Facs DB]]</f>
        <v>0</v>
      </c>
    </row>
    <row r="112" spans="1:29" x14ac:dyDescent="0.2">
      <c r="A112" s="230">
        <f ca="1">TblConstr[[#This Row],[Land]]</f>
        <v>250</v>
      </c>
      <c r="B112" s="232">
        <f ca="1">TblConstr[[#This Row],[Plain]]</f>
        <v>40</v>
      </c>
      <c r="C112" s="190">
        <f ca="1">TblConstr[[#This Row],[Forest]]</f>
        <v>20</v>
      </c>
      <c r="D112" s="390">
        <f ca="1">TblConstr[[#This Row],[Mountain]]</f>
        <v>20</v>
      </c>
      <c r="E112" s="394">
        <f ca="1">TblConstr[[#This Row],[Hill]]</f>
        <v>20</v>
      </c>
      <c r="F112" s="398">
        <f ca="1">TblConstr[[#This Row],[Swamp]]</f>
        <v>20</v>
      </c>
      <c r="G112" s="193">
        <f ca="1">TblConstr[[#This Row],[Cavern]]</f>
        <v>20</v>
      </c>
      <c r="H112" s="194">
        <f ca="1">TblConstr[[#This Row],[Water]]</f>
        <v>20</v>
      </c>
      <c r="I112" s="231"/>
      <c r="J112" s="183">
        <f t="shared" si="3"/>
        <v>109</v>
      </c>
      <c r="K112" s="255">
        <f ca="1">TblImps[[#This Row],[Real time]]</f>
        <v>44815.249999999738</v>
      </c>
      <c r="L112" s="187"/>
      <c r="M112" s="187"/>
      <c r="N112" s="187"/>
      <c r="O112" s="187"/>
      <c r="P112" s="187"/>
      <c r="Q112" s="187"/>
      <c r="R112" s="187"/>
      <c r="S112" s="97">
        <f>SUMIF(TblRezone[[#This Row],[Plains Rezone]:[Water Rezone]],"&gt;0")</f>
        <v>0</v>
      </c>
      <c r="T112" s="62" t="str">
        <f>IF(SUM(TblRezone[[#This Row],[Plains Rezone]:[Water Rezone]])=0,"Ok","Nope")</f>
        <v>Ok</v>
      </c>
      <c r="U112" s="231"/>
      <c r="V112" s="97">
        <f ca="1">TblProd[[#This Row],[Platinum]]</f>
        <v>693366</v>
      </c>
      <c r="W112" s="231"/>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31"/>
      <c r="AA112" s="97">
        <f ca="1">250+0.6*(TblRezone[[#This Row],[Land]]-250)</f>
        <v>250</v>
      </c>
      <c r="AB112" s="231"/>
      <c r="AC112" s="165">
        <f ca="1">TblConstr[[#This Row],[Facs DB]]</f>
        <v>0</v>
      </c>
    </row>
    <row r="113" spans="1:29" x14ac:dyDescent="0.2">
      <c r="A113" s="230">
        <f ca="1">TblConstr[[#This Row],[Land]]</f>
        <v>250</v>
      </c>
      <c r="B113" s="232">
        <f ca="1">TblConstr[[#This Row],[Plain]]</f>
        <v>40</v>
      </c>
      <c r="C113" s="190">
        <f ca="1">TblConstr[[#This Row],[Forest]]</f>
        <v>20</v>
      </c>
      <c r="D113" s="390">
        <f ca="1">TblConstr[[#This Row],[Mountain]]</f>
        <v>20</v>
      </c>
      <c r="E113" s="394">
        <f ca="1">TblConstr[[#This Row],[Hill]]</f>
        <v>20</v>
      </c>
      <c r="F113" s="398">
        <f ca="1">TblConstr[[#This Row],[Swamp]]</f>
        <v>20</v>
      </c>
      <c r="G113" s="193">
        <f ca="1">TblConstr[[#This Row],[Cavern]]</f>
        <v>20</v>
      </c>
      <c r="H113" s="194">
        <f ca="1">TblConstr[[#This Row],[Water]]</f>
        <v>20</v>
      </c>
      <c r="I113" s="231"/>
      <c r="J113" s="183">
        <f t="shared" si="3"/>
        <v>110</v>
      </c>
      <c r="K113" s="255">
        <f ca="1">TblImps[[#This Row],[Real time]]</f>
        <v>44815.291666666402</v>
      </c>
      <c r="L113" s="187"/>
      <c r="M113" s="187"/>
      <c r="N113" s="187"/>
      <c r="O113" s="187"/>
      <c r="P113" s="187"/>
      <c r="Q113" s="187"/>
      <c r="R113" s="187"/>
      <c r="S113" s="97">
        <f>SUMIF(TblRezone[[#This Row],[Plains Rezone]:[Water Rezone]],"&gt;0")</f>
        <v>0</v>
      </c>
      <c r="T113" s="62" t="str">
        <f>IF(SUM(TblRezone[[#This Row],[Plains Rezone]:[Water Rezone]])=0,"Ok","Nope")</f>
        <v>Ok</v>
      </c>
      <c r="U113" s="231"/>
      <c r="V113" s="97">
        <f ca="1">TblProd[[#This Row],[Platinum]]</f>
        <v>698852</v>
      </c>
      <c r="W113" s="231"/>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31"/>
      <c r="AA113" s="97">
        <f ca="1">250+0.6*(TblRezone[[#This Row],[Land]]-250)</f>
        <v>250</v>
      </c>
      <c r="AB113" s="231"/>
      <c r="AC113" s="165">
        <f ca="1">TblConstr[[#This Row],[Facs DB]]</f>
        <v>0</v>
      </c>
    </row>
    <row r="114" spans="1:29" x14ac:dyDescent="0.2">
      <c r="A114" s="230">
        <f ca="1">TblConstr[[#This Row],[Land]]</f>
        <v>250</v>
      </c>
      <c r="B114" s="232">
        <f ca="1">TblConstr[[#This Row],[Plain]]</f>
        <v>40</v>
      </c>
      <c r="C114" s="190">
        <f ca="1">TblConstr[[#This Row],[Forest]]</f>
        <v>20</v>
      </c>
      <c r="D114" s="390">
        <f ca="1">TblConstr[[#This Row],[Mountain]]</f>
        <v>20</v>
      </c>
      <c r="E114" s="394">
        <f ca="1">TblConstr[[#This Row],[Hill]]</f>
        <v>20</v>
      </c>
      <c r="F114" s="398">
        <f ca="1">TblConstr[[#This Row],[Swamp]]</f>
        <v>20</v>
      </c>
      <c r="G114" s="193">
        <f ca="1">TblConstr[[#This Row],[Cavern]]</f>
        <v>20</v>
      </c>
      <c r="H114" s="194">
        <f ca="1">TblConstr[[#This Row],[Water]]</f>
        <v>20</v>
      </c>
      <c r="I114" s="231"/>
      <c r="J114" s="183">
        <f t="shared" si="3"/>
        <v>111</v>
      </c>
      <c r="K114" s="255">
        <f ca="1">TblImps[[#This Row],[Real time]]</f>
        <v>44815.333333333067</v>
      </c>
      <c r="L114" s="187"/>
      <c r="M114" s="187"/>
      <c r="N114" s="187"/>
      <c r="O114" s="187"/>
      <c r="P114" s="187"/>
      <c r="Q114" s="187"/>
      <c r="R114" s="187"/>
      <c r="S114" s="97">
        <f>SUMIF(TblRezone[[#This Row],[Plains Rezone]:[Water Rezone]],"&gt;0")</f>
        <v>0</v>
      </c>
      <c r="T114" s="62" t="str">
        <f>IF(SUM(TblRezone[[#This Row],[Plains Rezone]:[Water Rezone]])=0,"Ok","Nope")</f>
        <v>Ok</v>
      </c>
      <c r="U114" s="231"/>
      <c r="V114" s="97">
        <f ca="1">TblProd[[#This Row],[Platinum]]</f>
        <v>704338</v>
      </c>
      <c r="W114" s="231"/>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31"/>
      <c r="AA114" s="97">
        <f ca="1">250+0.6*(TblRezone[[#This Row],[Land]]-250)</f>
        <v>250</v>
      </c>
      <c r="AB114" s="231"/>
      <c r="AC114" s="165">
        <f ca="1">TblConstr[[#This Row],[Facs DB]]</f>
        <v>0</v>
      </c>
    </row>
    <row r="115" spans="1:29" x14ac:dyDescent="0.2">
      <c r="A115" s="230">
        <f ca="1">TblConstr[[#This Row],[Land]]</f>
        <v>250</v>
      </c>
      <c r="B115" s="232">
        <f ca="1">TblConstr[[#This Row],[Plain]]</f>
        <v>40</v>
      </c>
      <c r="C115" s="190">
        <f ca="1">TblConstr[[#This Row],[Forest]]</f>
        <v>20</v>
      </c>
      <c r="D115" s="390">
        <f ca="1">TblConstr[[#This Row],[Mountain]]</f>
        <v>20</v>
      </c>
      <c r="E115" s="394">
        <f ca="1">TblConstr[[#This Row],[Hill]]</f>
        <v>20</v>
      </c>
      <c r="F115" s="398">
        <f ca="1">TblConstr[[#This Row],[Swamp]]</f>
        <v>20</v>
      </c>
      <c r="G115" s="193">
        <f ca="1">TblConstr[[#This Row],[Cavern]]</f>
        <v>20</v>
      </c>
      <c r="H115" s="194">
        <f ca="1">TblConstr[[#This Row],[Water]]</f>
        <v>20</v>
      </c>
      <c r="I115" s="231"/>
      <c r="J115" s="183">
        <f t="shared" si="3"/>
        <v>112</v>
      </c>
      <c r="K115" s="255">
        <f ca="1">TblImps[[#This Row],[Real time]]</f>
        <v>44815.374999999731</v>
      </c>
      <c r="L115" s="187"/>
      <c r="M115" s="187"/>
      <c r="N115" s="187"/>
      <c r="O115" s="187"/>
      <c r="P115" s="187"/>
      <c r="Q115" s="187"/>
      <c r="R115" s="187"/>
      <c r="S115" s="97">
        <f>SUMIF(TblRezone[[#This Row],[Plains Rezone]:[Water Rezone]],"&gt;0")</f>
        <v>0</v>
      </c>
      <c r="T115" s="62" t="str">
        <f>IF(SUM(TblRezone[[#This Row],[Plains Rezone]:[Water Rezone]])=0,"Ok","Nope")</f>
        <v>Ok</v>
      </c>
      <c r="U115" s="231"/>
      <c r="V115" s="97">
        <f ca="1">TblProd[[#This Row],[Platinum]]</f>
        <v>709824</v>
      </c>
      <c r="W115" s="231"/>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31"/>
      <c r="AA115" s="97">
        <f ca="1">250+0.6*(TblRezone[[#This Row],[Land]]-250)</f>
        <v>250</v>
      </c>
      <c r="AB115" s="231"/>
      <c r="AC115" s="165">
        <f ca="1">TblConstr[[#This Row],[Facs DB]]</f>
        <v>0</v>
      </c>
    </row>
    <row r="116" spans="1:29" x14ac:dyDescent="0.2">
      <c r="A116" s="230">
        <f ca="1">TblConstr[[#This Row],[Land]]</f>
        <v>250</v>
      </c>
      <c r="B116" s="232">
        <f ca="1">TblConstr[[#This Row],[Plain]]</f>
        <v>40</v>
      </c>
      <c r="C116" s="190">
        <f ca="1">TblConstr[[#This Row],[Forest]]</f>
        <v>20</v>
      </c>
      <c r="D116" s="390">
        <f ca="1">TblConstr[[#This Row],[Mountain]]</f>
        <v>20</v>
      </c>
      <c r="E116" s="394">
        <f ca="1">TblConstr[[#This Row],[Hill]]</f>
        <v>20</v>
      </c>
      <c r="F116" s="398">
        <f ca="1">TblConstr[[#This Row],[Swamp]]</f>
        <v>20</v>
      </c>
      <c r="G116" s="193">
        <f ca="1">TblConstr[[#This Row],[Cavern]]</f>
        <v>20</v>
      </c>
      <c r="H116" s="194">
        <f ca="1">TblConstr[[#This Row],[Water]]</f>
        <v>20</v>
      </c>
      <c r="I116" s="231"/>
      <c r="J116" s="183">
        <f t="shared" si="3"/>
        <v>113</v>
      </c>
      <c r="K116" s="255">
        <f ca="1">TblImps[[#This Row],[Real time]]</f>
        <v>44815.416666666395</v>
      </c>
      <c r="L116" s="187"/>
      <c r="M116" s="187"/>
      <c r="N116" s="187"/>
      <c r="O116" s="187"/>
      <c r="P116" s="187"/>
      <c r="Q116" s="187"/>
      <c r="R116" s="187"/>
      <c r="S116" s="97">
        <f>SUMIF(TblRezone[[#This Row],[Plains Rezone]:[Water Rezone]],"&gt;0")</f>
        <v>0</v>
      </c>
      <c r="T116" s="62" t="str">
        <f>IF(SUM(TblRezone[[#This Row],[Plains Rezone]:[Water Rezone]])=0,"Ok","Nope")</f>
        <v>Ok</v>
      </c>
      <c r="U116" s="231"/>
      <c r="V116" s="97">
        <f ca="1">TblProd[[#This Row],[Platinum]]</f>
        <v>715310</v>
      </c>
      <c r="W116" s="231"/>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31"/>
      <c r="AA116" s="97">
        <f ca="1">250+0.6*(TblRezone[[#This Row],[Land]]-250)</f>
        <v>250</v>
      </c>
      <c r="AB116" s="231"/>
      <c r="AC116" s="165">
        <f ca="1">TblConstr[[#This Row],[Facs DB]]</f>
        <v>0</v>
      </c>
    </row>
    <row r="117" spans="1:29" x14ac:dyDescent="0.2">
      <c r="A117" s="230">
        <f ca="1">TblConstr[[#This Row],[Land]]</f>
        <v>250</v>
      </c>
      <c r="B117" s="232">
        <f ca="1">TblConstr[[#This Row],[Plain]]</f>
        <v>40</v>
      </c>
      <c r="C117" s="190">
        <f ca="1">TblConstr[[#This Row],[Forest]]</f>
        <v>20</v>
      </c>
      <c r="D117" s="390">
        <f ca="1">TblConstr[[#This Row],[Mountain]]</f>
        <v>20</v>
      </c>
      <c r="E117" s="394">
        <f ca="1">TblConstr[[#This Row],[Hill]]</f>
        <v>20</v>
      </c>
      <c r="F117" s="398">
        <f ca="1">TblConstr[[#This Row],[Swamp]]</f>
        <v>20</v>
      </c>
      <c r="G117" s="193">
        <f ca="1">TblConstr[[#This Row],[Cavern]]</f>
        <v>20</v>
      </c>
      <c r="H117" s="194">
        <f ca="1">TblConstr[[#This Row],[Water]]</f>
        <v>20</v>
      </c>
      <c r="I117" s="231"/>
      <c r="J117" s="183">
        <f t="shared" si="3"/>
        <v>114</v>
      </c>
      <c r="K117" s="255">
        <f ca="1">TblImps[[#This Row],[Real time]]</f>
        <v>44815.458333333059</v>
      </c>
      <c r="L117" s="187"/>
      <c r="M117" s="187"/>
      <c r="N117" s="187"/>
      <c r="O117" s="187"/>
      <c r="P117" s="187"/>
      <c r="Q117" s="187"/>
      <c r="R117" s="187"/>
      <c r="S117" s="97">
        <f>SUMIF(TblRezone[[#This Row],[Plains Rezone]:[Water Rezone]],"&gt;0")</f>
        <v>0</v>
      </c>
      <c r="T117" s="62" t="str">
        <f>IF(SUM(TblRezone[[#This Row],[Plains Rezone]:[Water Rezone]])=0,"Ok","Nope")</f>
        <v>Ok</v>
      </c>
      <c r="U117" s="231"/>
      <c r="V117" s="97">
        <f ca="1">TblProd[[#This Row],[Platinum]]</f>
        <v>720796</v>
      </c>
      <c r="W117" s="231"/>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31"/>
      <c r="AA117" s="97">
        <f ca="1">250+0.6*(TblRezone[[#This Row],[Land]]-250)</f>
        <v>250</v>
      </c>
      <c r="AB117" s="231"/>
      <c r="AC117" s="165">
        <f ca="1">TblConstr[[#This Row],[Facs DB]]</f>
        <v>0</v>
      </c>
    </row>
    <row r="118" spans="1:29" x14ac:dyDescent="0.2">
      <c r="A118" s="230">
        <f ca="1">TblConstr[[#This Row],[Land]]</f>
        <v>250</v>
      </c>
      <c r="B118" s="232">
        <f ca="1">TblConstr[[#This Row],[Plain]]</f>
        <v>40</v>
      </c>
      <c r="C118" s="190">
        <f ca="1">TblConstr[[#This Row],[Forest]]</f>
        <v>20</v>
      </c>
      <c r="D118" s="390">
        <f ca="1">TblConstr[[#This Row],[Mountain]]</f>
        <v>20</v>
      </c>
      <c r="E118" s="394">
        <f ca="1">TblConstr[[#This Row],[Hill]]</f>
        <v>20</v>
      </c>
      <c r="F118" s="398">
        <f ca="1">TblConstr[[#This Row],[Swamp]]</f>
        <v>20</v>
      </c>
      <c r="G118" s="193">
        <f ca="1">TblConstr[[#This Row],[Cavern]]</f>
        <v>20</v>
      </c>
      <c r="H118" s="194">
        <f ca="1">TblConstr[[#This Row],[Water]]</f>
        <v>20</v>
      </c>
      <c r="I118" s="231"/>
      <c r="J118" s="183">
        <f t="shared" si="3"/>
        <v>115</v>
      </c>
      <c r="K118" s="255">
        <f ca="1">TblImps[[#This Row],[Real time]]</f>
        <v>44815.499999999724</v>
      </c>
      <c r="L118" s="187"/>
      <c r="M118" s="187"/>
      <c r="N118" s="187"/>
      <c r="O118" s="187"/>
      <c r="P118" s="187"/>
      <c r="Q118" s="187"/>
      <c r="R118" s="187"/>
      <c r="S118" s="97">
        <f>SUMIF(TblRezone[[#This Row],[Plains Rezone]:[Water Rezone]],"&gt;0")</f>
        <v>0</v>
      </c>
      <c r="T118" s="62" t="str">
        <f>IF(SUM(TblRezone[[#This Row],[Plains Rezone]:[Water Rezone]])=0,"Ok","Nope")</f>
        <v>Ok</v>
      </c>
      <c r="U118" s="231"/>
      <c r="V118" s="97">
        <f ca="1">TblProd[[#This Row],[Platinum]]</f>
        <v>726282</v>
      </c>
      <c r="W118" s="231"/>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31"/>
      <c r="AA118" s="97">
        <f ca="1">250+0.6*(TblRezone[[#This Row],[Land]]-250)</f>
        <v>250</v>
      </c>
      <c r="AB118" s="231"/>
      <c r="AC118" s="165">
        <f ca="1">TblConstr[[#This Row],[Facs DB]]</f>
        <v>0</v>
      </c>
    </row>
    <row r="119" spans="1:29" x14ac:dyDescent="0.2">
      <c r="A119" s="230">
        <f ca="1">TblConstr[[#This Row],[Land]]</f>
        <v>250</v>
      </c>
      <c r="B119" s="232">
        <f ca="1">TblConstr[[#This Row],[Plain]]</f>
        <v>40</v>
      </c>
      <c r="C119" s="190">
        <f ca="1">TblConstr[[#This Row],[Forest]]</f>
        <v>20</v>
      </c>
      <c r="D119" s="390">
        <f ca="1">TblConstr[[#This Row],[Mountain]]</f>
        <v>20</v>
      </c>
      <c r="E119" s="394">
        <f ca="1">TblConstr[[#This Row],[Hill]]</f>
        <v>20</v>
      </c>
      <c r="F119" s="398">
        <f ca="1">TblConstr[[#This Row],[Swamp]]</f>
        <v>20</v>
      </c>
      <c r="G119" s="193">
        <f ca="1">TblConstr[[#This Row],[Cavern]]</f>
        <v>20</v>
      </c>
      <c r="H119" s="194">
        <f ca="1">TblConstr[[#This Row],[Water]]</f>
        <v>20</v>
      </c>
      <c r="I119" s="231"/>
      <c r="J119" s="183">
        <f t="shared" si="3"/>
        <v>116</v>
      </c>
      <c r="K119" s="255">
        <f ca="1">TblImps[[#This Row],[Real time]]</f>
        <v>44815.541666666388</v>
      </c>
      <c r="L119" s="187"/>
      <c r="M119" s="187"/>
      <c r="N119" s="187"/>
      <c r="O119" s="187"/>
      <c r="P119" s="187"/>
      <c r="Q119" s="187"/>
      <c r="R119" s="187"/>
      <c r="S119" s="97">
        <f>SUMIF(TblRezone[[#This Row],[Plains Rezone]:[Water Rezone]],"&gt;0")</f>
        <v>0</v>
      </c>
      <c r="T119" s="62" t="str">
        <f>IF(SUM(TblRezone[[#This Row],[Plains Rezone]:[Water Rezone]])=0,"Ok","Nope")</f>
        <v>Ok</v>
      </c>
      <c r="U119" s="231"/>
      <c r="V119" s="97">
        <f ca="1">TblProd[[#This Row],[Platinum]]</f>
        <v>731768</v>
      </c>
      <c r="W119" s="231"/>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31"/>
      <c r="AA119" s="97">
        <f ca="1">250+0.6*(TblRezone[[#This Row],[Land]]-250)</f>
        <v>250</v>
      </c>
      <c r="AB119" s="231"/>
      <c r="AC119" s="165">
        <f ca="1">TblConstr[[#This Row],[Facs DB]]</f>
        <v>0</v>
      </c>
    </row>
    <row r="120" spans="1:29" x14ac:dyDescent="0.2">
      <c r="A120" s="230">
        <f ca="1">TblConstr[[#This Row],[Land]]</f>
        <v>250</v>
      </c>
      <c r="B120" s="232">
        <f ca="1">TblConstr[[#This Row],[Plain]]</f>
        <v>40</v>
      </c>
      <c r="C120" s="190">
        <f ca="1">TblConstr[[#This Row],[Forest]]</f>
        <v>20</v>
      </c>
      <c r="D120" s="390">
        <f ca="1">TblConstr[[#This Row],[Mountain]]</f>
        <v>20</v>
      </c>
      <c r="E120" s="394">
        <f ca="1">TblConstr[[#This Row],[Hill]]</f>
        <v>20</v>
      </c>
      <c r="F120" s="398">
        <f ca="1">TblConstr[[#This Row],[Swamp]]</f>
        <v>20</v>
      </c>
      <c r="G120" s="193">
        <f ca="1">TblConstr[[#This Row],[Cavern]]</f>
        <v>20</v>
      </c>
      <c r="H120" s="194">
        <f ca="1">TblConstr[[#This Row],[Water]]</f>
        <v>20</v>
      </c>
      <c r="I120" s="231"/>
      <c r="J120" s="183">
        <f t="shared" si="3"/>
        <v>117</v>
      </c>
      <c r="K120" s="255">
        <f ca="1">TblImps[[#This Row],[Real time]]</f>
        <v>44815.583333333052</v>
      </c>
      <c r="L120" s="187"/>
      <c r="M120" s="187"/>
      <c r="N120" s="187"/>
      <c r="O120" s="187"/>
      <c r="P120" s="187"/>
      <c r="Q120" s="187"/>
      <c r="R120" s="187"/>
      <c r="S120" s="97">
        <f>SUMIF(TblRezone[[#This Row],[Plains Rezone]:[Water Rezone]],"&gt;0")</f>
        <v>0</v>
      </c>
      <c r="T120" s="62" t="str">
        <f>IF(SUM(TblRezone[[#This Row],[Plains Rezone]:[Water Rezone]])=0,"Ok","Nope")</f>
        <v>Ok</v>
      </c>
      <c r="U120" s="231"/>
      <c r="V120" s="97">
        <f ca="1">TblProd[[#This Row],[Platinum]]</f>
        <v>737254</v>
      </c>
      <c r="W120" s="231"/>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31"/>
      <c r="AA120" s="97">
        <f ca="1">250+0.6*(TblRezone[[#This Row],[Land]]-250)</f>
        <v>250</v>
      </c>
      <c r="AB120" s="231"/>
      <c r="AC120" s="165">
        <f ca="1">TblConstr[[#This Row],[Facs DB]]</f>
        <v>0</v>
      </c>
    </row>
    <row r="121" spans="1:29" x14ac:dyDescent="0.2">
      <c r="A121" s="230">
        <f ca="1">TblConstr[[#This Row],[Land]]</f>
        <v>250</v>
      </c>
      <c r="B121" s="232">
        <f ca="1">TblConstr[[#This Row],[Plain]]</f>
        <v>40</v>
      </c>
      <c r="C121" s="190">
        <f ca="1">TblConstr[[#This Row],[Forest]]</f>
        <v>20</v>
      </c>
      <c r="D121" s="390">
        <f ca="1">TblConstr[[#This Row],[Mountain]]</f>
        <v>20</v>
      </c>
      <c r="E121" s="394">
        <f ca="1">TblConstr[[#This Row],[Hill]]</f>
        <v>20</v>
      </c>
      <c r="F121" s="398">
        <f ca="1">TblConstr[[#This Row],[Swamp]]</f>
        <v>20</v>
      </c>
      <c r="G121" s="193">
        <f ca="1">TblConstr[[#This Row],[Cavern]]</f>
        <v>20</v>
      </c>
      <c r="H121" s="194">
        <f ca="1">TblConstr[[#This Row],[Water]]</f>
        <v>20</v>
      </c>
      <c r="I121" s="231"/>
      <c r="J121" s="183">
        <f t="shared" si="3"/>
        <v>118</v>
      </c>
      <c r="K121" s="255">
        <f ca="1">TblImps[[#This Row],[Real time]]</f>
        <v>44815.624999999716</v>
      </c>
      <c r="L121" s="187"/>
      <c r="M121" s="187"/>
      <c r="N121" s="187"/>
      <c r="O121" s="187"/>
      <c r="P121" s="187"/>
      <c r="Q121" s="187"/>
      <c r="R121" s="187"/>
      <c r="S121" s="97">
        <f>SUMIF(TblRezone[[#This Row],[Plains Rezone]:[Water Rezone]],"&gt;0")</f>
        <v>0</v>
      </c>
      <c r="T121" s="62" t="str">
        <f>IF(SUM(TblRezone[[#This Row],[Plains Rezone]:[Water Rezone]])=0,"Ok","Nope")</f>
        <v>Ok</v>
      </c>
      <c r="U121" s="231"/>
      <c r="V121" s="97">
        <f ca="1">TblProd[[#This Row],[Platinum]]</f>
        <v>742740</v>
      </c>
      <c r="W121" s="231"/>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31"/>
      <c r="AA121" s="97">
        <f ca="1">250+0.6*(TblRezone[[#This Row],[Land]]-250)</f>
        <v>250</v>
      </c>
      <c r="AB121" s="231"/>
      <c r="AC121" s="165">
        <f ca="1">TblConstr[[#This Row],[Facs DB]]</f>
        <v>0</v>
      </c>
    </row>
    <row r="122" spans="1:29" x14ac:dyDescent="0.2">
      <c r="A122" s="230">
        <f ca="1">TblConstr[[#This Row],[Land]]</f>
        <v>250</v>
      </c>
      <c r="B122" s="232">
        <f ca="1">TblConstr[[#This Row],[Plain]]</f>
        <v>40</v>
      </c>
      <c r="C122" s="190">
        <f ca="1">TblConstr[[#This Row],[Forest]]</f>
        <v>20</v>
      </c>
      <c r="D122" s="390">
        <f ca="1">TblConstr[[#This Row],[Mountain]]</f>
        <v>20</v>
      </c>
      <c r="E122" s="394">
        <f ca="1">TblConstr[[#This Row],[Hill]]</f>
        <v>20</v>
      </c>
      <c r="F122" s="398">
        <f ca="1">TblConstr[[#This Row],[Swamp]]</f>
        <v>20</v>
      </c>
      <c r="G122" s="193">
        <f ca="1">TblConstr[[#This Row],[Cavern]]</f>
        <v>20</v>
      </c>
      <c r="H122" s="194">
        <f ca="1">TblConstr[[#This Row],[Water]]</f>
        <v>20</v>
      </c>
      <c r="I122" s="231"/>
      <c r="J122" s="183">
        <f t="shared" si="3"/>
        <v>119</v>
      </c>
      <c r="K122" s="255">
        <f ca="1">TblImps[[#This Row],[Real time]]</f>
        <v>44815.66666666638</v>
      </c>
      <c r="L122" s="187"/>
      <c r="M122" s="187"/>
      <c r="N122" s="187"/>
      <c r="O122" s="187"/>
      <c r="P122" s="187"/>
      <c r="Q122" s="187"/>
      <c r="R122" s="187"/>
      <c r="S122" s="97">
        <f>SUMIF(TblRezone[[#This Row],[Plains Rezone]:[Water Rezone]],"&gt;0")</f>
        <v>0</v>
      </c>
      <c r="T122" s="62" t="str">
        <f>IF(SUM(TblRezone[[#This Row],[Plains Rezone]:[Water Rezone]])=0,"Ok","Nope")</f>
        <v>Ok</v>
      </c>
      <c r="U122" s="231"/>
      <c r="V122" s="97">
        <f ca="1">TblProd[[#This Row],[Platinum]]</f>
        <v>748226</v>
      </c>
      <c r="W122" s="231"/>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31"/>
      <c r="AA122" s="97">
        <f ca="1">250+0.6*(TblRezone[[#This Row],[Land]]-250)</f>
        <v>250</v>
      </c>
      <c r="AB122" s="231"/>
      <c r="AC122" s="165">
        <f ca="1">TblConstr[[#This Row],[Facs DB]]</f>
        <v>0</v>
      </c>
    </row>
    <row r="123" spans="1:29" x14ac:dyDescent="0.2">
      <c r="A123" s="230">
        <f ca="1">TblConstr[[#This Row],[Land]]</f>
        <v>250</v>
      </c>
      <c r="B123" s="232">
        <f ca="1">TblConstr[[#This Row],[Plain]]</f>
        <v>40</v>
      </c>
      <c r="C123" s="190">
        <f ca="1">TblConstr[[#This Row],[Forest]]</f>
        <v>20</v>
      </c>
      <c r="D123" s="390">
        <f ca="1">TblConstr[[#This Row],[Mountain]]</f>
        <v>20</v>
      </c>
      <c r="E123" s="394">
        <f ca="1">TblConstr[[#This Row],[Hill]]</f>
        <v>20</v>
      </c>
      <c r="F123" s="398">
        <f ca="1">TblConstr[[#This Row],[Swamp]]</f>
        <v>20</v>
      </c>
      <c r="G123" s="193">
        <f ca="1">TblConstr[[#This Row],[Cavern]]</f>
        <v>20</v>
      </c>
      <c r="H123" s="194">
        <f ca="1">TblConstr[[#This Row],[Water]]</f>
        <v>20</v>
      </c>
      <c r="I123" s="231"/>
      <c r="J123" s="183">
        <f t="shared" si="3"/>
        <v>120</v>
      </c>
      <c r="K123" s="255">
        <f ca="1">TblImps[[#This Row],[Real time]]</f>
        <v>44815.708333333045</v>
      </c>
      <c r="L123" s="187"/>
      <c r="M123" s="187"/>
      <c r="N123" s="187"/>
      <c r="O123" s="187"/>
      <c r="P123" s="187"/>
      <c r="Q123" s="187"/>
      <c r="R123" s="187"/>
      <c r="S123" s="97">
        <f>SUMIF(TblRezone[[#This Row],[Plains Rezone]:[Water Rezone]],"&gt;0")</f>
        <v>0</v>
      </c>
      <c r="T123" s="62" t="str">
        <f>IF(SUM(TblRezone[[#This Row],[Plains Rezone]:[Water Rezone]])=0,"Ok","Nope")</f>
        <v>Ok</v>
      </c>
      <c r="U123" s="231"/>
      <c r="V123" s="97">
        <f ca="1">TblProd[[#This Row],[Platinum]]</f>
        <v>753712</v>
      </c>
      <c r="W123" s="231"/>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31"/>
      <c r="AA123" s="97">
        <f ca="1">250+0.6*(TblRezone[[#This Row],[Land]]-250)</f>
        <v>250</v>
      </c>
      <c r="AB123" s="231"/>
      <c r="AC123" s="165">
        <f ca="1">TblConstr[[#This Row],[Facs DB]]</f>
        <v>0</v>
      </c>
    </row>
    <row r="124" spans="1:29" x14ac:dyDescent="0.2">
      <c r="A124" s="230">
        <f ca="1">TblConstr[[#This Row],[Land]]</f>
        <v>250</v>
      </c>
      <c r="B124" s="232">
        <f ca="1">TblConstr[[#This Row],[Plain]]</f>
        <v>40</v>
      </c>
      <c r="C124" s="190">
        <f ca="1">TblConstr[[#This Row],[Forest]]</f>
        <v>20</v>
      </c>
      <c r="D124" s="390">
        <f ca="1">TblConstr[[#This Row],[Mountain]]</f>
        <v>20</v>
      </c>
      <c r="E124" s="394">
        <f ca="1">TblConstr[[#This Row],[Hill]]</f>
        <v>20</v>
      </c>
      <c r="F124" s="398">
        <f ca="1">TblConstr[[#This Row],[Swamp]]</f>
        <v>20</v>
      </c>
      <c r="G124" s="193">
        <f ca="1">TblConstr[[#This Row],[Cavern]]</f>
        <v>20</v>
      </c>
      <c r="H124" s="194">
        <f ca="1">TblConstr[[#This Row],[Water]]</f>
        <v>20</v>
      </c>
      <c r="I124" s="231"/>
      <c r="J124" s="183">
        <f t="shared" si="3"/>
        <v>121</v>
      </c>
      <c r="K124" s="255">
        <f ca="1">TblImps[[#This Row],[Real time]]</f>
        <v>44815.749999999709</v>
      </c>
      <c r="L124" s="187"/>
      <c r="M124" s="187"/>
      <c r="N124" s="187"/>
      <c r="O124" s="187"/>
      <c r="P124" s="187"/>
      <c r="Q124" s="187"/>
      <c r="R124" s="187"/>
      <c r="S124" s="97">
        <f>SUMIF(TblRezone[[#This Row],[Plains Rezone]:[Water Rezone]],"&gt;0")</f>
        <v>0</v>
      </c>
      <c r="T124" s="62" t="str">
        <f>IF(SUM(TblRezone[[#This Row],[Plains Rezone]:[Water Rezone]])=0,"Ok","Nope")</f>
        <v>Ok</v>
      </c>
      <c r="U124" s="231"/>
      <c r="V124" s="97">
        <f ca="1">TblProd[[#This Row],[Platinum]]</f>
        <v>759198</v>
      </c>
      <c r="W124" s="231"/>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31"/>
      <c r="AA124" s="97">
        <f ca="1">250+0.6*(TblRezone[[#This Row],[Land]]-250)</f>
        <v>250</v>
      </c>
      <c r="AB124" s="231"/>
      <c r="AC124" s="165">
        <f ca="1">TblConstr[[#This Row],[Facs DB]]</f>
        <v>0</v>
      </c>
    </row>
    <row r="125" spans="1:29" x14ac:dyDescent="0.2">
      <c r="A125" s="230">
        <f ca="1">TblConstr[[#This Row],[Land]]</f>
        <v>250</v>
      </c>
      <c r="B125" s="232">
        <f ca="1">TblConstr[[#This Row],[Plain]]</f>
        <v>40</v>
      </c>
      <c r="C125" s="190">
        <f ca="1">TblConstr[[#This Row],[Forest]]</f>
        <v>20</v>
      </c>
      <c r="D125" s="390">
        <f ca="1">TblConstr[[#This Row],[Mountain]]</f>
        <v>20</v>
      </c>
      <c r="E125" s="394">
        <f ca="1">TblConstr[[#This Row],[Hill]]</f>
        <v>20</v>
      </c>
      <c r="F125" s="398">
        <f ca="1">TblConstr[[#This Row],[Swamp]]</f>
        <v>20</v>
      </c>
      <c r="G125" s="193">
        <f ca="1">TblConstr[[#This Row],[Cavern]]</f>
        <v>20</v>
      </c>
      <c r="H125" s="194">
        <f ca="1">TblConstr[[#This Row],[Water]]</f>
        <v>20</v>
      </c>
      <c r="I125" s="231"/>
      <c r="J125" s="183">
        <f t="shared" si="3"/>
        <v>122</v>
      </c>
      <c r="K125" s="255">
        <f ca="1">TblImps[[#This Row],[Real time]]</f>
        <v>44815.791666666373</v>
      </c>
      <c r="L125" s="187"/>
      <c r="M125" s="187"/>
      <c r="N125" s="187"/>
      <c r="O125" s="187"/>
      <c r="P125" s="187"/>
      <c r="Q125" s="187"/>
      <c r="R125" s="187"/>
      <c r="S125" s="97">
        <f>SUMIF(TblRezone[[#This Row],[Plains Rezone]:[Water Rezone]],"&gt;0")</f>
        <v>0</v>
      </c>
      <c r="T125" s="62" t="str">
        <f>IF(SUM(TblRezone[[#This Row],[Plains Rezone]:[Water Rezone]])=0,"Ok","Nope")</f>
        <v>Ok</v>
      </c>
      <c r="U125" s="231"/>
      <c r="V125" s="97">
        <f ca="1">TblProd[[#This Row],[Platinum]]</f>
        <v>764684</v>
      </c>
      <c r="W125" s="231"/>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31"/>
      <c r="AA125" s="97">
        <f ca="1">250+0.6*(TblRezone[[#This Row],[Land]]-250)</f>
        <v>250</v>
      </c>
      <c r="AB125" s="231"/>
      <c r="AC125" s="165">
        <f ca="1">TblConstr[[#This Row],[Facs DB]]</f>
        <v>0</v>
      </c>
    </row>
    <row r="126" spans="1:29" x14ac:dyDescent="0.2">
      <c r="A126" s="230">
        <f ca="1">TblConstr[[#This Row],[Land]]</f>
        <v>250</v>
      </c>
      <c r="B126" s="232">
        <f ca="1">TblConstr[[#This Row],[Plain]]</f>
        <v>40</v>
      </c>
      <c r="C126" s="190">
        <f ca="1">TblConstr[[#This Row],[Forest]]</f>
        <v>20</v>
      </c>
      <c r="D126" s="390">
        <f ca="1">TblConstr[[#This Row],[Mountain]]</f>
        <v>20</v>
      </c>
      <c r="E126" s="394">
        <f ca="1">TblConstr[[#This Row],[Hill]]</f>
        <v>20</v>
      </c>
      <c r="F126" s="398">
        <f ca="1">TblConstr[[#This Row],[Swamp]]</f>
        <v>20</v>
      </c>
      <c r="G126" s="193">
        <f ca="1">TblConstr[[#This Row],[Cavern]]</f>
        <v>20</v>
      </c>
      <c r="H126" s="194">
        <f ca="1">TblConstr[[#This Row],[Water]]</f>
        <v>20</v>
      </c>
      <c r="I126" s="231"/>
      <c r="J126" s="183">
        <f t="shared" si="3"/>
        <v>123</v>
      </c>
      <c r="K126" s="255">
        <f ca="1">TblImps[[#This Row],[Real time]]</f>
        <v>44815.833333333037</v>
      </c>
      <c r="L126" s="187"/>
      <c r="M126" s="187"/>
      <c r="N126" s="187"/>
      <c r="O126" s="187"/>
      <c r="P126" s="187"/>
      <c r="Q126" s="187"/>
      <c r="R126" s="187"/>
      <c r="S126" s="97">
        <f>SUMIF(TblRezone[[#This Row],[Plains Rezone]:[Water Rezone]],"&gt;0")</f>
        <v>0</v>
      </c>
      <c r="T126" s="62" t="str">
        <f>IF(SUM(TblRezone[[#This Row],[Plains Rezone]:[Water Rezone]])=0,"Ok","Nope")</f>
        <v>Ok</v>
      </c>
      <c r="U126" s="231"/>
      <c r="V126" s="97">
        <f ca="1">TblProd[[#This Row],[Platinum]]</f>
        <v>770170</v>
      </c>
      <c r="W126" s="231"/>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31"/>
      <c r="AA126" s="97">
        <f ca="1">250+0.6*(TblRezone[[#This Row],[Land]]-250)</f>
        <v>250</v>
      </c>
      <c r="AB126" s="231"/>
      <c r="AC126" s="165">
        <f ca="1">TblConstr[[#This Row],[Facs DB]]</f>
        <v>0</v>
      </c>
    </row>
    <row r="127" spans="1:29" x14ac:dyDescent="0.2">
      <c r="A127" s="230">
        <f ca="1">TblConstr[[#This Row],[Land]]</f>
        <v>250</v>
      </c>
      <c r="B127" s="232">
        <f ca="1">TblConstr[[#This Row],[Plain]]</f>
        <v>40</v>
      </c>
      <c r="C127" s="190">
        <f ca="1">TblConstr[[#This Row],[Forest]]</f>
        <v>20</v>
      </c>
      <c r="D127" s="390">
        <f ca="1">TblConstr[[#This Row],[Mountain]]</f>
        <v>20</v>
      </c>
      <c r="E127" s="394">
        <f ca="1">TblConstr[[#This Row],[Hill]]</f>
        <v>20</v>
      </c>
      <c r="F127" s="398">
        <f ca="1">TblConstr[[#This Row],[Swamp]]</f>
        <v>20</v>
      </c>
      <c r="G127" s="193">
        <f ca="1">TblConstr[[#This Row],[Cavern]]</f>
        <v>20</v>
      </c>
      <c r="H127" s="194">
        <f ca="1">TblConstr[[#This Row],[Water]]</f>
        <v>20</v>
      </c>
      <c r="I127" s="231"/>
      <c r="J127" s="183">
        <f t="shared" si="3"/>
        <v>124</v>
      </c>
      <c r="K127" s="255">
        <f ca="1">TblImps[[#This Row],[Real time]]</f>
        <v>44815.874999999702</v>
      </c>
      <c r="L127" s="187"/>
      <c r="M127" s="187"/>
      <c r="N127" s="187"/>
      <c r="O127" s="187"/>
      <c r="P127" s="187"/>
      <c r="Q127" s="187"/>
      <c r="R127" s="187"/>
      <c r="S127" s="97">
        <f>SUMIF(TblRezone[[#This Row],[Plains Rezone]:[Water Rezone]],"&gt;0")</f>
        <v>0</v>
      </c>
      <c r="T127" s="62" t="str">
        <f>IF(SUM(TblRezone[[#This Row],[Plains Rezone]:[Water Rezone]])=0,"Ok","Nope")</f>
        <v>Ok</v>
      </c>
      <c r="U127" s="231"/>
      <c r="V127" s="97">
        <f ca="1">TblProd[[#This Row],[Platinum]]</f>
        <v>775656</v>
      </c>
      <c r="W127" s="231"/>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31"/>
      <c r="AA127" s="97">
        <f ca="1">250+0.6*(TblRezone[[#This Row],[Land]]-250)</f>
        <v>250</v>
      </c>
      <c r="AB127" s="231"/>
      <c r="AC127" s="165">
        <f ca="1">TblConstr[[#This Row],[Facs DB]]</f>
        <v>0</v>
      </c>
    </row>
    <row r="128" spans="1:29" x14ac:dyDescent="0.2">
      <c r="A128" s="230">
        <f ca="1">TblConstr[[#This Row],[Land]]</f>
        <v>250</v>
      </c>
      <c r="B128" s="232">
        <f ca="1">TblConstr[[#This Row],[Plain]]</f>
        <v>40</v>
      </c>
      <c r="C128" s="190">
        <f ca="1">TblConstr[[#This Row],[Forest]]</f>
        <v>20</v>
      </c>
      <c r="D128" s="390">
        <f ca="1">TblConstr[[#This Row],[Mountain]]</f>
        <v>20</v>
      </c>
      <c r="E128" s="394">
        <f ca="1">TblConstr[[#This Row],[Hill]]</f>
        <v>20</v>
      </c>
      <c r="F128" s="398">
        <f ca="1">TblConstr[[#This Row],[Swamp]]</f>
        <v>20</v>
      </c>
      <c r="G128" s="193">
        <f ca="1">TblConstr[[#This Row],[Cavern]]</f>
        <v>20</v>
      </c>
      <c r="H128" s="194">
        <f ca="1">TblConstr[[#This Row],[Water]]</f>
        <v>20</v>
      </c>
      <c r="I128" s="231"/>
      <c r="J128" s="183">
        <f t="shared" si="3"/>
        <v>125</v>
      </c>
      <c r="K128" s="255">
        <f ca="1">TblImps[[#This Row],[Real time]]</f>
        <v>44815.916666666366</v>
      </c>
      <c r="L128" s="187"/>
      <c r="M128" s="187"/>
      <c r="N128" s="187"/>
      <c r="O128" s="187"/>
      <c r="P128" s="187"/>
      <c r="Q128" s="187"/>
      <c r="R128" s="187"/>
      <c r="S128" s="97">
        <f>SUMIF(TblRezone[[#This Row],[Plains Rezone]:[Water Rezone]],"&gt;0")</f>
        <v>0</v>
      </c>
      <c r="T128" s="62" t="str">
        <f>IF(SUM(TblRezone[[#This Row],[Plains Rezone]:[Water Rezone]])=0,"Ok","Nope")</f>
        <v>Ok</v>
      </c>
      <c r="U128" s="231"/>
      <c r="V128" s="97">
        <f ca="1">TblProd[[#This Row],[Platinum]]</f>
        <v>781142</v>
      </c>
      <c r="W128" s="231"/>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31"/>
      <c r="AA128" s="97">
        <f ca="1">250+0.6*(TblRezone[[#This Row],[Land]]-250)</f>
        <v>250</v>
      </c>
      <c r="AB128" s="231"/>
      <c r="AC128" s="165">
        <f ca="1">TblConstr[[#This Row],[Facs DB]]</f>
        <v>0</v>
      </c>
    </row>
    <row r="129" spans="1:29" x14ac:dyDescent="0.2">
      <c r="A129" s="230">
        <f ca="1">TblConstr[[#This Row],[Land]]</f>
        <v>250</v>
      </c>
      <c r="B129" s="232">
        <f ca="1">TblConstr[[#This Row],[Plain]]</f>
        <v>40</v>
      </c>
      <c r="C129" s="190">
        <f ca="1">TblConstr[[#This Row],[Forest]]</f>
        <v>20</v>
      </c>
      <c r="D129" s="390">
        <f ca="1">TblConstr[[#This Row],[Mountain]]</f>
        <v>20</v>
      </c>
      <c r="E129" s="394">
        <f ca="1">TblConstr[[#This Row],[Hill]]</f>
        <v>20</v>
      </c>
      <c r="F129" s="398">
        <f ca="1">TblConstr[[#This Row],[Swamp]]</f>
        <v>20</v>
      </c>
      <c r="G129" s="193">
        <f ca="1">TblConstr[[#This Row],[Cavern]]</f>
        <v>20</v>
      </c>
      <c r="H129" s="194">
        <f ca="1">TblConstr[[#This Row],[Water]]</f>
        <v>20</v>
      </c>
      <c r="I129" s="231"/>
      <c r="J129" s="183">
        <f t="shared" si="3"/>
        <v>126</v>
      </c>
      <c r="K129" s="255">
        <f ca="1">TblImps[[#This Row],[Real time]]</f>
        <v>44815.95833333303</v>
      </c>
      <c r="L129" s="187"/>
      <c r="M129" s="187"/>
      <c r="N129" s="187"/>
      <c r="O129" s="187"/>
      <c r="P129" s="187"/>
      <c r="Q129" s="187"/>
      <c r="R129" s="187"/>
      <c r="S129" s="97">
        <f>SUMIF(TblRezone[[#This Row],[Plains Rezone]:[Water Rezone]],"&gt;0")</f>
        <v>0</v>
      </c>
      <c r="T129" s="62" t="str">
        <f>IF(SUM(TblRezone[[#This Row],[Plains Rezone]:[Water Rezone]])=0,"Ok","Nope")</f>
        <v>Ok</v>
      </c>
      <c r="U129" s="231"/>
      <c r="V129" s="97">
        <f ca="1">TblProd[[#This Row],[Platinum]]</f>
        <v>786628</v>
      </c>
      <c r="W129" s="231"/>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31"/>
      <c r="AA129" s="97">
        <f ca="1">250+0.6*(TblRezone[[#This Row],[Land]]-250)</f>
        <v>250</v>
      </c>
      <c r="AB129" s="231"/>
      <c r="AC129" s="165">
        <f ca="1">TblConstr[[#This Row],[Facs DB]]</f>
        <v>0</v>
      </c>
    </row>
    <row r="130" spans="1:29" x14ac:dyDescent="0.2">
      <c r="A130" s="230">
        <f ca="1">TblConstr[[#This Row],[Land]]</f>
        <v>250</v>
      </c>
      <c r="B130" s="232">
        <f ca="1">TblConstr[[#This Row],[Plain]]</f>
        <v>40</v>
      </c>
      <c r="C130" s="190">
        <f ca="1">TblConstr[[#This Row],[Forest]]</f>
        <v>20</v>
      </c>
      <c r="D130" s="390">
        <f ca="1">TblConstr[[#This Row],[Mountain]]</f>
        <v>20</v>
      </c>
      <c r="E130" s="394">
        <f ca="1">TblConstr[[#This Row],[Hill]]</f>
        <v>20</v>
      </c>
      <c r="F130" s="398">
        <f ca="1">TblConstr[[#This Row],[Swamp]]</f>
        <v>20</v>
      </c>
      <c r="G130" s="193">
        <f ca="1">TblConstr[[#This Row],[Cavern]]</f>
        <v>20</v>
      </c>
      <c r="H130" s="194">
        <f ca="1">TblConstr[[#This Row],[Water]]</f>
        <v>20</v>
      </c>
      <c r="I130" s="231"/>
      <c r="J130" s="183">
        <f t="shared" si="3"/>
        <v>127</v>
      </c>
      <c r="K130" s="255">
        <f ca="1">TblImps[[#This Row],[Real time]]</f>
        <v>44815.999999999694</v>
      </c>
      <c r="L130" s="187"/>
      <c r="M130" s="187"/>
      <c r="N130" s="187"/>
      <c r="O130" s="187"/>
      <c r="P130" s="187"/>
      <c r="Q130" s="187"/>
      <c r="R130" s="187"/>
      <c r="S130" s="97">
        <f>SUMIF(TblRezone[[#This Row],[Plains Rezone]:[Water Rezone]],"&gt;0")</f>
        <v>0</v>
      </c>
      <c r="T130" s="62" t="str">
        <f>IF(SUM(TblRezone[[#This Row],[Plains Rezone]:[Water Rezone]])=0,"Ok","Nope")</f>
        <v>Ok</v>
      </c>
      <c r="U130" s="231"/>
      <c r="V130" s="97">
        <f ca="1">TblProd[[#This Row],[Platinum]]</f>
        <v>792114</v>
      </c>
      <c r="W130" s="231"/>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31"/>
      <c r="AA130" s="97">
        <f ca="1">250+0.6*(TblRezone[[#This Row],[Land]]-250)</f>
        <v>250</v>
      </c>
      <c r="AB130" s="231"/>
      <c r="AC130" s="165">
        <f ca="1">TblConstr[[#This Row],[Facs DB]]</f>
        <v>0</v>
      </c>
    </row>
    <row r="131" spans="1:29" x14ac:dyDescent="0.2">
      <c r="A131" s="230">
        <f ca="1">TblConstr[[#This Row],[Land]]</f>
        <v>250</v>
      </c>
      <c r="B131" s="232">
        <f ca="1">TblConstr[[#This Row],[Plain]]</f>
        <v>40</v>
      </c>
      <c r="C131" s="190">
        <f ca="1">TblConstr[[#This Row],[Forest]]</f>
        <v>20</v>
      </c>
      <c r="D131" s="390">
        <f ca="1">TblConstr[[#This Row],[Mountain]]</f>
        <v>20</v>
      </c>
      <c r="E131" s="394">
        <f ca="1">TblConstr[[#This Row],[Hill]]</f>
        <v>20</v>
      </c>
      <c r="F131" s="398">
        <f ca="1">TblConstr[[#This Row],[Swamp]]</f>
        <v>20</v>
      </c>
      <c r="G131" s="193">
        <f ca="1">TblConstr[[#This Row],[Cavern]]</f>
        <v>20</v>
      </c>
      <c r="H131" s="194">
        <f ca="1">TblConstr[[#This Row],[Water]]</f>
        <v>20</v>
      </c>
      <c r="I131" s="231"/>
      <c r="J131" s="183">
        <f t="shared" si="3"/>
        <v>128</v>
      </c>
      <c r="K131" s="255">
        <f ca="1">TblImps[[#This Row],[Real time]]</f>
        <v>44816.041666666359</v>
      </c>
      <c r="L131" s="187"/>
      <c r="M131" s="187"/>
      <c r="N131" s="187"/>
      <c r="O131" s="187"/>
      <c r="P131" s="187"/>
      <c r="Q131" s="187"/>
      <c r="R131" s="187"/>
      <c r="S131" s="97">
        <f>SUMIF(TblRezone[[#This Row],[Plains Rezone]:[Water Rezone]],"&gt;0")</f>
        <v>0</v>
      </c>
      <c r="T131" s="62" t="str">
        <f>IF(SUM(TblRezone[[#This Row],[Plains Rezone]:[Water Rezone]])=0,"Ok","Nope")</f>
        <v>Ok</v>
      </c>
      <c r="U131" s="231"/>
      <c r="V131" s="97">
        <f ca="1">TblProd[[#This Row],[Platinum]]</f>
        <v>797600</v>
      </c>
      <c r="W131" s="231"/>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31"/>
      <c r="AA131" s="97">
        <f ca="1">250+0.6*(TblRezone[[#This Row],[Land]]-250)</f>
        <v>250</v>
      </c>
      <c r="AB131" s="231"/>
      <c r="AC131" s="165">
        <f ca="1">TblConstr[[#This Row],[Facs DB]]</f>
        <v>0</v>
      </c>
    </row>
    <row r="132" spans="1:29" x14ac:dyDescent="0.2">
      <c r="A132" s="230">
        <f ca="1">TblConstr[[#This Row],[Land]]</f>
        <v>250</v>
      </c>
      <c r="B132" s="232">
        <f ca="1">TblConstr[[#This Row],[Plain]]</f>
        <v>40</v>
      </c>
      <c r="C132" s="190">
        <f ca="1">TblConstr[[#This Row],[Forest]]</f>
        <v>20</v>
      </c>
      <c r="D132" s="390">
        <f ca="1">TblConstr[[#This Row],[Mountain]]</f>
        <v>20</v>
      </c>
      <c r="E132" s="394">
        <f ca="1">TblConstr[[#This Row],[Hill]]</f>
        <v>20</v>
      </c>
      <c r="F132" s="398">
        <f ca="1">TblConstr[[#This Row],[Swamp]]</f>
        <v>20</v>
      </c>
      <c r="G132" s="193">
        <f ca="1">TblConstr[[#This Row],[Cavern]]</f>
        <v>20</v>
      </c>
      <c r="H132" s="194">
        <f ca="1">TblConstr[[#This Row],[Water]]</f>
        <v>20</v>
      </c>
      <c r="I132" s="231"/>
      <c r="J132" s="183">
        <f t="shared" si="3"/>
        <v>129</v>
      </c>
      <c r="K132" s="255">
        <f ca="1">TblImps[[#This Row],[Real time]]</f>
        <v>44816.083333333023</v>
      </c>
      <c r="L132" s="187"/>
      <c r="M132" s="187"/>
      <c r="N132" s="187"/>
      <c r="O132" s="187"/>
      <c r="P132" s="187"/>
      <c r="Q132" s="187"/>
      <c r="R132" s="187"/>
      <c r="S132" s="97">
        <f>SUMIF(TblRezone[[#This Row],[Plains Rezone]:[Water Rezone]],"&gt;0")</f>
        <v>0</v>
      </c>
      <c r="T132" s="62" t="str">
        <f>IF(SUM(TblRezone[[#This Row],[Plains Rezone]:[Water Rezone]])=0,"Ok","Nope")</f>
        <v>Ok</v>
      </c>
      <c r="U132" s="231"/>
      <c r="V132" s="97">
        <f ca="1">TblProd[[#This Row],[Platinum]]</f>
        <v>803086</v>
      </c>
      <c r="W132" s="231"/>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31"/>
      <c r="AA132" s="97">
        <f ca="1">250+0.6*(TblRezone[[#This Row],[Land]]-250)</f>
        <v>250</v>
      </c>
      <c r="AB132" s="231"/>
      <c r="AC132" s="165">
        <f ca="1">TblConstr[[#This Row],[Facs DB]]</f>
        <v>0</v>
      </c>
    </row>
    <row r="133" spans="1:29" x14ac:dyDescent="0.2">
      <c r="A133" s="230">
        <f ca="1">TblConstr[[#This Row],[Land]]</f>
        <v>250</v>
      </c>
      <c r="B133" s="232">
        <f ca="1">TblConstr[[#This Row],[Plain]]</f>
        <v>40</v>
      </c>
      <c r="C133" s="190">
        <f ca="1">TblConstr[[#This Row],[Forest]]</f>
        <v>20</v>
      </c>
      <c r="D133" s="390">
        <f ca="1">TblConstr[[#This Row],[Mountain]]</f>
        <v>20</v>
      </c>
      <c r="E133" s="394">
        <f ca="1">TblConstr[[#This Row],[Hill]]</f>
        <v>20</v>
      </c>
      <c r="F133" s="398">
        <f ca="1">TblConstr[[#This Row],[Swamp]]</f>
        <v>20</v>
      </c>
      <c r="G133" s="193">
        <f ca="1">TblConstr[[#This Row],[Cavern]]</f>
        <v>20</v>
      </c>
      <c r="H133" s="194">
        <f ca="1">TblConstr[[#This Row],[Water]]</f>
        <v>20</v>
      </c>
      <c r="I133" s="231"/>
      <c r="J133" s="183">
        <f t="shared" si="3"/>
        <v>130</v>
      </c>
      <c r="K133" s="255">
        <f ca="1">TblImps[[#This Row],[Real time]]</f>
        <v>44816.124999999687</v>
      </c>
      <c r="L133" s="187"/>
      <c r="M133" s="187"/>
      <c r="N133" s="187"/>
      <c r="O133" s="187"/>
      <c r="P133" s="187"/>
      <c r="Q133" s="187"/>
      <c r="R133" s="187"/>
      <c r="S133" s="97">
        <f>SUMIF(TblRezone[[#This Row],[Plains Rezone]:[Water Rezone]],"&gt;0")</f>
        <v>0</v>
      </c>
      <c r="T133" s="62" t="str">
        <f>IF(SUM(TblRezone[[#This Row],[Plains Rezone]:[Water Rezone]])=0,"Ok","Nope")</f>
        <v>Ok</v>
      </c>
      <c r="U133" s="231"/>
      <c r="V133" s="97">
        <f ca="1">TblProd[[#This Row],[Platinum]]</f>
        <v>808572</v>
      </c>
      <c r="W133" s="231"/>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31"/>
      <c r="AA133" s="97">
        <f ca="1">250+0.6*(TblRezone[[#This Row],[Land]]-250)</f>
        <v>250</v>
      </c>
      <c r="AB133" s="231"/>
      <c r="AC133" s="165">
        <f ca="1">TblConstr[[#This Row],[Facs DB]]</f>
        <v>0</v>
      </c>
    </row>
    <row r="134" spans="1:29" x14ac:dyDescent="0.2">
      <c r="A134" s="230">
        <f ca="1">TblConstr[[#This Row],[Land]]</f>
        <v>250</v>
      </c>
      <c r="B134" s="232">
        <f ca="1">TblConstr[[#This Row],[Plain]]</f>
        <v>40</v>
      </c>
      <c r="C134" s="190">
        <f ca="1">TblConstr[[#This Row],[Forest]]</f>
        <v>20</v>
      </c>
      <c r="D134" s="390">
        <f ca="1">TblConstr[[#This Row],[Mountain]]</f>
        <v>20</v>
      </c>
      <c r="E134" s="394">
        <f ca="1">TblConstr[[#This Row],[Hill]]</f>
        <v>20</v>
      </c>
      <c r="F134" s="398">
        <f ca="1">TblConstr[[#This Row],[Swamp]]</f>
        <v>20</v>
      </c>
      <c r="G134" s="193">
        <f ca="1">TblConstr[[#This Row],[Cavern]]</f>
        <v>20</v>
      </c>
      <c r="H134" s="194">
        <f ca="1">TblConstr[[#This Row],[Water]]</f>
        <v>20</v>
      </c>
      <c r="I134" s="231"/>
      <c r="J134" s="183">
        <f t="shared" si="3"/>
        <v>131</v>
      </c>
      <c r="K134" s="255">
        <f ca="1">TblImps[[#This Row],[Real time]]</f>
        <v>44816.166666666351</v>
      </c>
      <c r="L134" s="187"/>
      <c r="M134" s="187"/>
      <c r="N134" s="187"/>
      <c r="O134" s="187"/>
      <c r="P134" s="187"/>
      <c r="Q134" s="187"/>
      <c r="R134" s="187"/>
      <c r="S134" s="97">
        <f>SUMIF(TblRezone[[#This Row],[Plains Rezone]:[Water Rezone]],"&gt;0")</f>
        <v>0</v>
      </c>
      <c r="T134" s="62" t="str">
        <f>IF(SUM(TblRezone[[#This Row],[Plains Rezone]:[Water Rezone]])=0,"Ok","Nope")</f>
        <v>Ok</v>
      </c>
      <c r="U134" s="231"/>
      <c r="V134" s="97">
        <f ca="1">TblProd[[#This Row],[Platinum]]</f>
        <v>814058</v>
      </c>
      <c r="W134" s="231"/>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31"/>
      <c r="AA134" s="97">
        <f ca="1">250+0.6*(TblRezone[[#This Row],[Land]]-250)</f>
        <v>250</v>
      </c>
      <c r="AB134" s="231"/>
      <c r="AC134" s="165">
        <f ca="1">TblConstr[[#This Row],[Facs DB]]</f>
        <v>0</v>
      </c>
    </row>
    <row r="135" spans="1:29" x14ac:dyDescent="0.2">
      <c r="A135" s="230">
        <f ca="1">TblConstr[[#This Row],[Land]]</f>
        <v>250</v>
      </c>
      <c r="B135" s="232">
        <f ca="1">TblConstr[[#This Row],[Plain]]</f>
        <v>40</v>
      </c>
      <c r="C135" s="190">
        <f ca="1">TblConstr[[#This Row],[Forest]]</f>
        <v>20</v>
      </c>
      <c r="D135" s="390">
        <f ca="1">TblConstr[[#This Row],[Mountain]]</f>
        <v>20</v>
      </c>
      <c r="E135" s="394">
        <f ca="1">TblConstr[[#This Row],[Hill]]</f>
        <v>20</v>
      </c>
      <c r="F135" s="398">
        <f ca="1">TblConstr[[#This Row],[Swamp]]</f>
        <v>20</v>
      </c>
      <c r="G135" s="193">
        <f ca="1">TblConstr[[#This Row],[Cavern]]</f>
        <v>20</v>
      </c>
      <c r="H135" s="194">
        <f ca="1">TblConstr[[#This Row],[Water]]</f>
        <v>20</v>
      </c>
      <c r="I135" s="231"/>
      <c r="J135" s="183">
        <f t="shared" si="3"/>
        <v>132</v>
      </c>
      <c r="K135" s="255">
        <f ca="1">TblImps[[#This Row],[Real time]]</f>
        <v>44816.208333333016</v>
      </c>
      <c r="L135" s="187"/>
      <c r="M135" s="187"/>
      <c r="N135" s="187"/>
      <c r="O135" s="187"/>
      <c r="P135" s="187"/>
      <c r="Q135" s="187"/>
      <c r="R135" s="187"/>
      <c r="S135" s="97">
        <f>SUMIF(TblRezone[[#This Row],[Plains Rezone]:[Water Rezone]],"&gt;0")</f>
        <v>0</v>
      </c>
      <c r="T135" s="62" t="str">
        <f>IF(SUM(TblRezone[[#This Row],[Plains Rezone]:[Water Rezone]])=0,"Ok","Nope")</f>
        <v>Ok</v>
      </c>
      <c r="U135" s="231"/>
      <c r="V135" s="97">
        <f ca="1">TblProd[[#This Row],[Platinum]]</f>
        <v>819544</v>
      </c>
      <c r="W135" s="231"/>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31"/>
      <c r="AA135" s="97">
        <f ca="1">250+0.6*(TblRezone[[#This Row],[Land]]-250)</f>
        <v>250</v>
      </c>
      <c r="AB135" s="231"/>
      <c r="AC135" s="165">
        <f ca="1">TblConstr[[#This Row],[Facs DB]]</f>
        <v>0</v>
      </c>
    </row>
    <row r="136" spans="1:29" x14ac:dyDescent="0.2">
      <c r="A136" s="230">
        <f ca="1">TblConstr[[#This Row],[Land]]</f>
        <v>250</v>
      </c>
      <c r="B136" s="232">
        <f ca="1">TblConstr[[#This Row],[Plain]]</f>
        <v>40</v>
      </c>
      <c r="C136" s="190">
        <f ca="1">TblConstr[[#This Row],[Forest]]</f>
        <v>20</v>
      </c>
      <c r="D136" s="390">
        <f ca="1">TblConstr[[#This Row],[Mountain]]</f>
        <v>20</v>
      </c>
      <c r="E136" s="394">
        <f ca="1">TblConstr[[#This Row],[Hill]]</f>
        <v>20</v>
      </c>
      <c r="F136" s="398">
        <f ca="1">TblConstr[[#This Row],[Swamp]]</f>
        <v>20</v>
      </c>
      <c r="G136" s="193">
        <f ca="1">TblConstr[[#This Row],[Cavern]]</f>
        <v>20</v>
      </c>
      <c r="H136" s="194">
        <f ca="1">TblConstr[[#This Row],[Water]]</f>
        <v>20</v>
      </c>
      <c r="I136" s="231"/>
      <c r="J136" s="183">
        <f t="shared" si="3"/>
        <v>133</v>
      </c>
      <c r="K136" s="255">
        <f ca="1">TblImps[[#This Row],[Real time]]</f>
        <v>44816.24999999968</v>
      </c>
      <c r="L136" s="187"/>
      <c r="M136" s="187"/>
      <c r="N136" s="187"/>
      <c r="O136" s="187"/>
      <c r="P136" s="187"/>
      <c r="Q136" s="187"/>
      <c r="R136" s="187"/>
      <c r="S136" s="97">
        <f>SUMIF(TblRezone[[#This Row],[Plains Rezone]:[Water Rezone]],"&gt;0")</f>
        <v>0</v>
      </c>
      <c r="T136" s="62" t="str">
        <f>IF(SUM(TblRezone[[#This Row],[Plains Rezone]:[Water Rezone]])=0,"Ok","Nope")</f>
        <v>Ok</v>
      </c>
      <c r="U136" s="231"/>
      <c r="V136" s="97">
        <f ca="1">TblProd[[#This Row],[Platinum]]</f>
        <v>825030</v>
      </c>
      <c r="W136" s="231"/>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31"/>
      <c r="AA136" s="97">
        <f ca="1">250+0.6*(TblRezone[[#This Row],[Land]]-250)</f>
        <v>250</v>
      </c>
      <c r="AB136" s="231"/>
      <c r="AC136" s="165">
        <f ca="1">TblConstr[[#This Row],[Facs DB]]</f>
        <v>0</v>
      </c>
    </row>
    <row r="1269" spans="1:18" x14ac:dyDescent="0.2">
      <c r="A1269" s="495" t="s">
        <v>321</v>
      </c>
      <c r="B1269" s="495"/>
      <c r="I1269" s="258" t="s">
        <v>311</v>
      </c>
      <c r="L1269" s="259"/>
      <c r="M1269" s="259">
        <v>-10</v>
      </c>
      <c r="N1269" s="259">
        <v>10</v>
      </c>
      <c r="O1269" s="259"/>
      <c r="P1269" s="259"/>
      <c r="Q1269" s="259"/>
      <c r="R1269" s="259"/>
    </row>
    <row r="1270" spans="1:18" x14ac:dyDescent="0.2">
      <c r="A1270" s="28">
        <f>Overview!E17</f>
        <v>0</v>
      </c>
      <c r="B1270" s="28"/>
      <c r="L1270" s="500" t="s">
        <v>310</v>
      </c>
      <c r="M1270" s="448"/>
      <c r="N1270" s="448"/>
      <c r="O1270" s="448"/>
      <c r="P1270" s="448"/>
      <c r="Q1270" s="448"/>
      <c r="R1270" s="448"/>
    </row>
  </sheetData>
  <mergeCells count="2">
    <mergeCell ref="L1270:R1270"/>
    <mergeCell ref="A1269:B1269"/>
  </mergeCells>
  <phoneticPr fontId="0" type="noConversion"/>
  <conditionalFormatting sqref="A1271:AC60158 A137:AC1268">
    <cfRule type="expression" dxfId="425" priority="14" stopIfTrue="1">
      <formula>ROW()-2=#REF!</formula>
    </cfRule>
  </conditionalFormatting>
  <conditionalFormatting sqref="A1269:AC1270">
    <cfRule type="expression" dxfId="424" priority="15" stopIfTrue="1">
      <formula>$A$1270&gt;144</formula>
    </cfRule>
  </conditionalFormatting>
  <conditionalFormatting sqref="A1:AC3">
    <cfRule type="expression" dxfId="423" priority="19" stopIfTrue="1">
      <formula>$A$1270&lt;0</formula>
    </cfRule>
  </conditionalFormatting>
  <conditionalFormatting sqref="A4:AC136">
    <cfRule type="expression" dxfId="422" priority="1" stopIfTrue="1">
      <formula>ROW()-3=$A$1270</formula>
    </cfRule>
    <cfRule type="expression" dxfId="421" priority="2" stopIfTrue="1">
      <formula>OR(AND(ROW()-3=$A$1270,A4="Ok",XFD4&lt;&gt;0),A4="Nope")</formula>
    </cfRule>
    <cfRule type="expression" dxfId="420" priority="4">
      <formula>$J4=73</formula>
    </cfRule>
    <cfRule type="expression" dxfId="419" priority="7">
      <formula>ROUND(($J4-1)/12,0)=INT($J4-1)/12</formula>
    </cfRule>
  </conditionalFormatting>
  <conditionalFormatting sqref="T76">
    <cfRule type="expression" dxfId="418" priority="13" stopIfTrue="1">
      <formula>S76=0</formula>
    </cfRule>
  </conditionalFormatting>
  <conditionalFormatting sqref="B4:H136">
    <cfRule type="cellIs" dxfId="41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5" customWidth="1"/>
    <col min="2" max="2" width="8.85546875" style="45" customWidth="1"/>
    <col min="3" max="3" width="11.42578125" style="45" customWidth="1"/>
    <col min="4" max="4" width="2.85546875" style="45" customWidth="1"/>
    <col min="5" max="11" width="10" style="45" customWidth="1"/>
    <col min="12" max="12" width="2.85546875" style="45" customWidth="1"/>
    <col min="13" max="13" width="11.7109375" style="45" customWidth="1"/>
    <col min="14" max="14" width="2.85546875" style="45" customWidth="1"/>
    <col min="15" max="19" width="10" style="45" customWidth="1"/>
    <col min="20" max="20" width="10" style="185" customWidth="1"/>
    <col min="21" max="21" width="10" style="269" customWidth="1"/>
    <col min="22" max="23" width="10" style="45" customWidth="1"/>
    <col min="24" max="24" width="4.7109375" style="45" bestFit="1" customWidth="1"/>
    <col min="25" max="25" width="11.28515625" style="45" customWidth="1"/>
    <col min="26" max="26" width="11.140625" style="45" customWidth="1"/>
    <col min="27" max="27" width="2.85546875" style="45" customWidth="1"/>
    <col min="28" max="28" width="11.42578125" style="45" customWidth="1"/>
    <col min="29" max="29" width="2.85546875" style="45" customWidth="1"/>
    <col min="30" max="30" width="8.5703125" style="45" customWidth="1"/>
    <col min="31" max="31" width="7.85546875" style="45" customWidth="1"/>
    <col min="32" max="35" width="11.140625" style="45" bestFit="1" customWidth="1"/>
    <col min="36" max="36" width="10.5703125" style="45" bestFit="1" customWidth="1"/>
    <col min="37" max="37" width="9.28515625" style="45" bestFit="1" customWidth="1"/>
    <col min="38" max="38" width="11.7109375" style="45" bestFit="1" customWidth="1"/>
    <col min="39" max="39" width="2.85546875" style="45" customWidth="1"/>
    <col min="40" max="54" width="11.42578125" style="45" customWidth="1"/>
    <col min="55" max="55" width="2.85546875" style="45" customWidth="1"/>
    <col min="56" max="56" width="10.140625" style="45" customWidth="1"/>
    <col min="57" max="57" width="7" style="45" customWidth="1"/>
    <col min="58" max="59" width="9.5703125" style="45" customWidth="1"/>
    <col min="60" max="61" width="9.42578125" style="45" customWidth="1"/>
    <col min="62" max="65" width="9.140625" style="45" customWidth="1"/>
    <col min="66" max="66" width="10.42578125" style="45" customWidth="1"/>
    <col min="67" max="67" width="10.28515625" style="45" customWidth="1"/>
    <col min="68" max="68" width="10.140625" style="45" customWidth="1"/>
    <col min="69" max="69" width="2.85546875" style="45" customWidth="1"/>
    <col min="70" max="103" width="12.85546875" style="45" customWidth="1"/>
    <col min="104" max="104" width="3" style="45" customWidth="1"/>
    <col min="105" max="106" width="12.85546875" style="45" customWidth="1"/>
    <col min="107" max="16384" width="9.140625" style="45"/>
  </cols>
  <sheetData>
    <row r="1" spans="1:106" x14ac:dyDescent="0.2">
      <c r="A1" s="5"/>
      <c r="B1" s="5"/>
      <c r="C1" s="5"/>
      <c r="D1" s="5"/>
      <c r="E1" s="5"/>
      <c r="F1" s="5"/>
      <c r="G1" s="5"/>
      <c r="H1" s="5"/>
      <c r="I1" s="5"/>
      <c r="J1" s="5"/>
      <c r="K1" s="5"/>
      <c r="L1" s="5"/>
      <c r="M1" s="5"/>
      <c r="N1" s="5"/>
      <c r="O1" s="496" t="s">
        <v>31</v>
      </c>
      <c r="P1" s="496"/>
      <c r="Q1" s="496"/>
      <c r="R1" s="501" t="s">
        <v>481</v>
      </c>
      <c r="S1" s="496"/>
      <c r="T1" s="181"/>
      <c r="U1" s="496" t="s">
        <v>482</v>
      </c>
      <c r="V1" s="496"/>
      <c r="W1" s="5"/>
      <c r="X1" s="496" t="s">
        <v>24</v>
      </c>
      <c r="Y1" s="496"/>
      <c r="Z1" s="496"/>
      <c r="AA1" s="28"/>
      <c r="AB1" s="5"/>
      <c r="AC1" s="5"/>
      <c r="AD1" s="5"/>
      <c r="AE1" s="5"/>
      <c r="AF1" s="5" t="s">
        <v>186</v>
      </c>
      <c r="AG1" s="5"/>
      <c r="AH1" s="5"/>
      <c r="AI1" s="5"/>
      <c r="AJ1" s="5"/>
      <c r="AK1" s="5"/>
      <c r="AL1" s="5"/>
      <c r="AM1" s="5"/>
      <c r="AN1" s="5" t="s">
        <v>77</v>
      </c>
      <c r="AO1" s="5"/>
      <c r="AP1" s="5" t="s">
        <v>33</v>
      </c>
      <c r="AQ1" s="5"/>
      <c r="AR1" s="5"/>
      <c r="AS1" s="5"/>
      <c r="AT1" s="5"/>
      <c r="AU1" s="5" t="s">
        <v>191</v>
      </c>
      <c r="AV1" s="5"/>
      <c r="AW1" s="5"/>
      <c r="AX1" s="5"/>
      <c r="AY1" s="5"/>
      <c r="AZ1" s="5"/>
      <c r="BA1" s="5"/>
      <c r="BB1" s="5"/>
      <c r="BC1" s="5"/>
      <c r="BD1" s="5"/>
      <c r="BE1" s="5"/>
      <c r="BF1" s="496" t="s">
        <v>497</v>
      </c>
      <c r="BG1" s="496"/>
      <c r="BH1" s="496"/>
      <c r="BI1" s="496"/>
      <c r="BJ1" s="496"/>
      <c r="BK1" s="496"/>
      <c r="BL1" s="496"/>
      <c r="BM1" s="496"/>
      <c r="BN1" s="497"/>
      <c r="BO1" s="497"/>
      <c r="BP1" s="497"/>
      <c r="BQ1" s="5"/>
      <c r="BR1" s="498" t="s">
        <v>303</v>
      </c>
      <c r="BS1" s="448"/>
      <c r="BT1" s="448"/>
      <c r="BU1" s="28"/>
      <c r="BV1" s="28"/>
      <c r="BW1" s="5"/>
      <c r="BX1" s="5"/>
      <c r="BY1" s="28"/>
      <c r="BZ1" s="28"/>
      <c r="CA1" s="28"/>
      <c r="CB1" s="28"/>
      <c r="CC1" s="28"/>
      <c r="CD1" s="28"/>
      <c r="CE1" s="28"/>
      <c r="CF1" s="28"/>
      <c r="CG1" s="5"/>
      <c r="CH1" s="5"/>
      <c r="CI1" s="5"/>
      <c r="CJ1" s="496" t="s">
        <v>317</v>
      </c>
      <c r="CK1" s="496"/>
      <c r="CL1" s="496"/>
      <c r="CM1" s="497"/>
      <c r="CN1" s="497"/>
      <c r="CO1" s="497"/>
      <c r="CP1" s="497"/>
      <c r="CQ1" s="497"/>
      <c r="CR1" s="497"/>
      <c r="CS1" s="57"/>
      <c r="CT1" s="57"/>
      <c r="CU1" s="57"/>
      <c r="CV1" s="57"/>
      <c r="CW1" s="57"/>
      <c r="CX1" s="57"/>
      <c r="CY1" s="5"/>
      <c r="CZ1" s="5"/>
      <c r="DA1" s="5" t="s">
        <v>259</v>
      </c>
      <c r="DB1" s="5"/>
    </row>
    <row r="2" spans="1:106" x14ac:dyDescent="0.2">
      <c r="A2" s="5"/>
      <c r="B2" s="5"/>
      <c r="C2" s="5"/>
      <c r="D2" s="5"/>
      <c r="E2" s="260" t="str">
        <f>Overview!$A$22</f>
        <v>Spearman</v>
      </c>
      <c r="F2" s="260" t="str">
        <f>Overview!$A$23</f>
        <v>Archer</v>
      </c>
      <c r="G2" s="260" t="str">
        <f>Overview!$A$24</f>
        <v>Knight</v>
      </c>
      <c r="H2" s="260" t="str">
        <f>Overview!$A$25</f>
        <v>Cavalry</v>
      </c>
      <c r="I2" s="260" t="s">
        <v>25</v>
      </c>
      <c r="J2" s="260" t="s">
        <v>26</v>
      </c>
      <c r="K2" s="260" t="s">
        <v>27</v>
      </c>
      <c r="L2" s="5"/>
      <c r="M2" s="5"/>
      <c r="N2" s="5"/>
      <c r="O2" s="28"/>
      <c r="P2" s="28"/>
      <c r="Q2" s="28"/>
      <c r="R2" s="261"/>
      <c r="S2" s="28"/>
      <c r="T2" s="181"/>
      <c r="U2" s="28"/>
      <c r="V2" s="28"/>
      <c r="W2" s="5"/>
      <c r="X2" s="5"/>
      <c r="Y2" s="5"/>
      <c r="Z2" s="5"/>
      <c r="AA2" s="5"/>
      <c r="AB2" s="5"/>
      <c r="AC2" s="5"/>
      <c r="AD2" s="5"/>
      <c r="AE2" s="5"/>
      <c r="AF2" s="260" t="str">
        <f>Overview!$A$22</f>
        <v>Spearman</v>
      </c>
      <c r="AG2" s="260" t="str">
        <f>Overview!$A$23</f>
        <v>Archer</v>
      </c>
      <c r="AH2" s="260" t="str">
        <f>Overview!$A$24</f>
        <v>Knight</v>
      </c>
      <c r="AI2" s="260" t="str">
        <f>Overview!$A$25</f>
        <v>Cavalry</v>
      </c>
      <c r="AJ2" s="260" t="s">
        <v>25</v>
      </c>
      <c r="AK2" s="260" t="s">
        <v>26</v>
      </c>
      <c r="AL2" s="260" t="s">
        <v>27</v>
      </c>
      <c r="AM2" s="5"/>
      <c r="AN2" s="5"/>
      <c r="AO2" s="262" t="str">
        <f>INDEX(Constants!A132:B151,MATCH(race,Constants!A132:A151,0),2)</f>
        <v>Ore</v>
      </c>
      <c r="AP2" s="5"/>
      <c r="AQ2" s="262" t="str">
        <f>AO2</f>
        <v>Ore</v>
      </c>
      <c r="AR2" s="5"/>
      <c r="AS2" s="5"/>
      <c r="AT2" s="5"/>
      <c r="AU2" s="260" t="s">
        <v>24</v>
      </c>
      <c r="AV2" s="260" t="str">
        <f>Overview!$A$22</f>
        <v>Spearman</v>
      </c>
      <c r="AW2" s="260" t="str">
        <f>Overview!$A$23</f>
        <v>Archer</v>
      </c>
      <c r="AX2" s="260" t="str">
        <f>Overview!$A$24</f>
        <v>Knight</v>
      </c>
      <c r="AY2" s="260" t="str">
        <f>Overview!$A$25</f>
        <v>Cavalry</v>
      </c>
      <c r="AZ2" s="260" t="s">
        <v>25</v>
      </c>
      <c r="BA2" s="260" t="s">
        <v>26</v>
      </c>
      <c r="BB2" s="260" t="s">
        <v>27</v>
      </c>
      <c r="BC2" s="5"/>
      <c r="BD2" s="5"/>
      <c r="BE2" s="5"/>
      <c r="BF2" s="28"/>
      <c r="BG2" s="28"/>
      <c r="BH2" s="28"/>
      <c r="BI2" s="28"/>
      <c r="BJ2" s="28"/>
      <c r="BK2" s="28"/>
      <c r="BL2" s="28"/>
      <c r="BM2" s="28"/>
      <c r="BN2" s="57"/>
      <c r="BO2" s="57"/>
      <c r="BP2" s="57"/>
      <c r="BQ2" s="5"/>
      <c r="BR2" s="5"/>
      <c r="BU2" s="28"/>
      <c r="BV2" s="28"/>
      <c r="BW2" s="5"/>
      <c r="BX2" s="5"/>
      <c r="BY2" s="28"/>
      <c r="BZ2" s="28"/>
      <c r="CA2" s="28"/>
      <c r="CB2" s="28"/>
      <c r="CC2" s="28"/>
      <c r="CD2" s="28"/>
      <c r="CE2" s="28"/>
      <c r="CF2" s="28"/>
      <c r="CG2" s="5"/>
      <c r="CH2" s="5"/>
      <c r="CI2" s="5"/>
      <c r="CJ2" s="28"/>
      <c r="CK2" s="28"/>
      <c r="CL2" s="28"/>
      <c r="CM2" s="57"/>
      <c r="CN2" s="57"/>
      <c r="CO2" s="57"/>
      <c r="CP2" s="57"/>
      <c r="CQ2" s="57"/>
      <c r="CR2" s="57"/>
      <c r="CS2" s="57"/>
      <c r="CT2" s="57"/>
      <c r="CU2" s="57"/>
      <c r="CV2" s="57"/>
      <c r="CW2" s="57"/>
      <c r="CX2" s="57"/>
      <c r="CY2" s="5"/>
      <c r="CZ2" s="5"/>
      <c r="DA2" s="5"/>
      <c r="DB2" s="5"/>
    </row>
    <row r="3" spans="1:106" ht="30" customHeight="1" x14ac:dyDescent="0.2">
      <c r="A3" s="143" t="s">
        <v>0</v>
      </c>
      <c r="B3" s="143" t="s">
        <v>22</v>
      </c>
      <c r="C3" s="143" t="s">
        <v>193</v>
      </c>
      <c r="D3" s="143" t="s">
        <v>791</v>
      </c>
      <c r="E3" s="143" t="s">
        <v>787</v>
      </c>
      <c r="F3" s="143" t="s">
        <v>788</v>
      </c>
      <c r="G3" s="143" t="s">
        <v>789</v>
      </c>
      <c r="H3" s="143" t="s">
        <v>790</v>
      </c>
      <c r="I3" s="143" t="s">
        <v>25</v>
      </c>
      <c r="J3" s="143" t="s">
        <v>26</v>
      </c>
      <c r="K3" s="143" t="s">
        <v>27</v>
      </c>
      <c r="L3" s="143" t="s">
        <v>792</v>
      </c>
      <c r="M3" s="143" t="s">
        <v>236</v>
      </c>
      <c r="N3" s="143" t="s">
        <v>793</v>
      </c>
      <c r="O3" s="143" t="s">
        <v>194</v>
      </c>
      <c r="P3" s="143" t="s">
        <v>820</v>
      </c>
      <c r="Q3" s="143" t="s">
        <v>233</v>
      </c>
      <c r="R3" s="263" t="s">
        <v>483</v>
      </c>
      <c r="S3" s="143" t="s">
        <v>480</v>
      </c>
      <c r="T3" s="143" t="s">
        <v>821</v>
      </c>
      <c r="U3" s="264" t="s">
        <v>889</v>
      </c>
      <c r="V3" s="143" t="s">
        <v>890</v>
      </c>
      <c r="W3" s="143" t="s">
        <v>1</v>
      </c>
      <c r="X3" s="143" t="s">
        <v>185</v>
      </c>
      <c r="Y3" s="143" t="s">
        <v>184</v>
      </c>
      <c r="Z3" s="143" t="s">
        <v>24</v>
      </c>
      <c r="AA3" s="143" t="s">
        <v>809</v>
      </c>
      <c r="AB3" s="143" t="s">
        <v>189</v>
      </c>
      <c r="AC3" s="143" t="s">
        <v>810</v>
      </c>
      <c r="AD3" s="143" t="s">
        <v>875</v>
      </c>
      <c r="AE3" s="143" t="s">
        <v>316</v>
      </c>
      <c r="AF3" s="143" t="s">
        <v>802</v>
      </c>
      <c r="AG3" s="143" t="s">
        <v>803</v>
      </c>
      <c r="AH3" s="143" t="s">
        <v>804</v>
      </c>
      <c r="AI3" s="143" t="s">
        <v>805</v>
      </c>
      <c r="AJ3" s="143" t="s">
        <v>806</v>
      </c>
      <c r="AK3" s="143" t="s">
        <v>807</v>
      </c>
      <c r="AL3" s="143" t="s">
        <v>808</v>
      </c>
      <c r="AM3" s="143" t="s">
        <v>811</v>
      </c>
      <c r="AN3" s="143" t="s">
        <v>2</v>
      </c>
      <c r="AO3" s="263" t="s">
        <v>1032</v>
      </c>
      <c r="AP3" s="143" t="s">
        <v>822</v>
      </c>
      <c r="AQ3" s="263" t="s">
        <v>1033</v>
      </c>
      <c r="AR3" s="143" t="s">
        <v>1070</v>
      </c>
      <c r="AS3" s="143" t="s">
        <v>1072</v>
      </c>
      <c r="AT3" s="143" t="s">
        <v>795</v>
      </c>
      <c r="AU3" s="143" t="s">
        <v>812</v>
      </c>
      <c r="AV3" s="143" t="s">
        <v>813</v>
      </c>
      <c r="AW3" s="143" t="s">
        <v>814</v>
      </c>
      <c r="AX3" s="143" t="s">
        <v>815</v>
      </c>
      <c r="AY3" s="143" t="s">
        <v>816</v>
      </c>
      <c r="AZ3" s="143" t="s">
        <v>817</v>
      </c>
      <c r="BA3" s="143" t="s">
        <v>818</v>
      </c>
      <c r="BB3" s="143" t="s">
        <v>819</v>
      </c>
      <c r="BC3" s="143" t="s">
        <v>796</v>
      </c>
      <c r="BD3" s="143" t="s">
        <v>237</v>
      </c>
      <c r="BE3" s="143" t="s">
        <v>359</v>
      </c>
      <c r="BF3" s="143" t="s">
        <v>498</v>
      </c>
      <c r="BG3" s="143" t="s">
        <v>499</v>
      </c>
      <c r="BH3" s="143" t="s">
        <v>500</v>
      </c>
      <c r="BI3" s="143" t="s">
        <v>501</v>
      </c>
      <c r="BJ3" s="143" t="s">
        <v>502</v>
      </c>
      <c r="BK3" s="143" t="s">
        <v>503</v>
      </c>
      <c r="BL3" s="143" t="s">
        <v>504</v>
      </c>
      <c r="BM3" s="143" t="s">
        <v>505</v>
      </c>
      <c r="BN3" s="143" t="s">
        <v>918</v>
      </c>
      <c r="BO3" s="143" t="s">
        <v>919</v>
      </c>
      <c r="BP3" s="143" t="s">
        <v>920</v>
      </c>
      <c r="BQ3" s="143" t="s">
        <v>921</v>
      </c>
      <c r="BR3" s="143" t="s">
        <v>250</v>
      </c>
      <c r="BS3" s="143" t="s">
        <v>302</v>
      </c>
      <c r="BT3" s="143" t="s">
        <v>125</v>
      </c>
      <c r="BU3" s="143" t="s">
        <v>1035</v>
      </c>
      <c r="BV3" s="143" t="s">
        <v>1034</v>
      </c>
      <c r="BW3" s="143" t="s">
        <v>141</v>
      </c>
      <c r="BX3" s="143" t="s">
        <v>133</v>
      </c>
      <c r="BY3" s="143" t="s">
        <v>1099</v>
      </c>
      <c r="BZ3" s="143" t="s">
        <v>1103</v>
      </c>
      <c r="CA3" s="143" t="s">
        <v>333</v>
      </c>
      <c r="CB3" s="143" t="s">
        <v>334</v>
      </c>
      <c r="CC3" s="143" t="s">
        <v>338</v>
      </c>
      <c r="CD3" s="143" t="s">
        <v>339</v>
      </c>
      <c r="CE3" s="143" t="s">
        <v>145</v>
      </c>
      <c r="CF3" s="143" t="s">
        <v>507</v>
      </c>
      <c r="CG3" s="265" t="s">
        <v>797</v>
      </c>
      <c r="CH3" s="265" t="s">
        <v>798</v>
      </c>
      <c r="CI3" s="265" t="s">
        <v>799</v>
      </c>
      <c r="CJ3" s="143" t="s">
        <v>1036</v>
      </c>
      <c r="CK3" s="143" t="s">
        <v>904</v>
      </c>
      <c r="CL3" s="143" t="s">
        <v>905</v>
      </c>
      <c r="CM3" s="143" t="s">
        <v>906</v>
      </c>
      <c r="CN3" s="143" t="s">
        <v>907</v>
      </c>
      <c r="CO3" s="143" t="s">
        <v>908</v>
      </c>
      <c r="CP3" s="143" t="s">
        <v>909</v>
      </c>
      <c r="CQ3" s="143" t="s">
        <v>910</v>
      </c>
      <c r="CR3" s="143" t="s">
        <v>911</v>
      </c>
      <c r="CS3" s="143" t="s">
        <v>912</v>
      </c>
      <c r="CT3" s="143" t="s">
        <v>913</v>
      </c>
      <c r="CU3" s="143" t="s">
        <v>914</v>
      </c>
      <c r="CV3" s="265" t="s">
        <v>800</v>
      </c>
      <c r="CW3" s="143" t="s">
        <v>1110</v>
      </c>
      <c r="CX3" s="265" t="s">
        <v>801</v>
      </c>
      <c r="CY3" s="143" t="s">
        <v>915</v>
      </c>
      <c r="CZ3" s="143" t="s">
        <v>1073</v>
      </c>
      <c r="DA3" s="143" t="s">
        <v>916</v>
      </c>
      <c r="DB3" s="143" t="s">
        <v>917</v>
      </c>
    </row>
    <row r="4" spans="1:106" x14ac:dyDescent="0.2">
      <c r="A4" s="145">
        <f>TblRezone[[#This Row],[Hour]]</f>
        <v>1</v>
      </c>
      <c r="B4" s="266">
        <f ca="1">SUM(TblMili[[#This Row],[Unit 1]:[Archmages]])+SUM(TblMili[[#This Row],[Train Unit 1]:[Train Unit 4]])+TblMili[[#This Row],[Draftees]]</f>
        <v>300</v>
      </c>
      <c r="C4" s="165">
        <f ca="1">TblPop[[#This Row],[Military%]]</f>
        <v>0.1875</v>
      </c>
      <c r="D4" s="150"/>
      <c r="E4" s="427">
        <f>start_op_specs - TblMili[[#This Row],[Release Unit 1]]</f>
        <v>0</v>
      </c>
      <c r="F4" s="427">
        <f>start_dp_specs - TblMili[[#This Row],[Release Unit 2]]+days_late*days_late_def_specs</f>
        <v>150</v>
      </c>
      <c r="G4" s="427">
        <f>start_elite1s - TblMili[[#This Row],[Release Unit 3]]</f>
        <v>0</v>
      </c>
      <c r="H4" s="427">
        <f>start_elite2s - TblMili[[#This Row],[Release Unit 4]]</f>
        <v>0</v>
      </c>
      <c r="I4" s="428">
        <f>start_spies -TblMili[[#This Row],[Release Spies]]</f>
        <v>25</v>
      </c>
      <c r="J4" s="428">
        <f>start_wizards  - TblMili[[#This Row],[Train Arch]] - TblMili[[#This Row],[Release Wizards]]</f>
        <v>25</v>
      </c>
      <c r="K4" s="427">
        <f>start_ams  - TblMili[[#This Row],[Release Arch]]</f>
        <v>0</v>
      </c>
      <c r="L4" s="150"/>
      <c r="M4" s="97">
        <f ca="1">TblProd[[#This Row],[Networth]]</f>
        <v>6450</v>
      </c>
      <c r="N4" s="150"/>
      <c r="O4" s="267">
        <f ca="1">TblMili[[#This Row],[Unit 1]]*spec_op+TblMili[[#This Row],[Unit 3]]*(elite1_base_op)+TblMili[[#This Row],[Unit 4]]*(elite2_base_op+dark_elf*TblMili[[#This Row],[Spellblade]]+icekin*TblMili[[#This Row],[Ice Elemental]]+woodie*TblMili[[#This Row],[Druid (op)]]+orc*TblMili[[#This Row],[Orc]])+kobold*TblMili[[#This Row],[Overlords]]</f>
        <v>0</v>
      </c>
      <c r="P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 s="267">
        <f ca="1">TblMili[[#This Row],[Raw]]*(1+TblMili[[#This Row],[Mods_Off]])</f>
        <v>0</v>
      </c>
      <c r="R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 s="267">
        <f ca="1">TblMili[[#This Row],[Non Draft]]+TblMili[[#This Row],[Draftees]]</f>
        <v>550</v>
      </c>
      <c r="T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269">
        <f ca="1">TblMili[[#This Row],[Non Draft]] * (1 + TblMili[[#This Row],[Mods_Def]])</f>
        <v>450</v>
      </c>
      <c r="V4" s="267">
        <f ca="1">TblMili[[#This Row],[Draft]] * (1 + TblMili[[#This Row],[Mods_Def]])</f>
        <v>550</v>
      </c>
      <c r="W4" s="267">
        <f ca="1">TblConstr[[#This Row],[Land]]</f>
        <v>250</v>
      </c>
      <c r="X4" s="270"/>
      <c r="Y4" s="275">
        <f>IF(TblMili[[#This Row],[Set]]&lt;&gt;"",TblMili[[#This Row],[Set]],0.35)</f>
        <v>0.35</v>
      </c>
      <c r="Z4" s="409">
        <f ca="1">start_draftees - SUM(TblMili[[#This Row],[Train Unit 1]:[Train Wiz]]) - TblMili[[#This Row],[Release Draft]] + SUM(TblMili[[#This Row],[Release Unit 1]:[Release Arch]]) - TblExplore[[#This Row],[Draftees (2)]]+MIN(13,days_late)*days_late_draftees</f>
        <v>100</v>
      </c>
      <c r="AA4" s="162"/>
      <c r="AB4" s="188">
        <f ca="1">(TblConstr[[#This Row],[Tot Smi]]+TblConstr[[#This Row],[Dest Smi]])/(TblConstr[[#This Row],[Land]]-TblExplore[[#This Row],[Land Bonus]]*20)</f>
        <v>0</v>
      </c>
      <c r="AC4" s="266"/>
      <c r="AD4" s="266">
        <f>TblMili[[#This Row],[Hour]]</f>
        <v>1</v>
      </c>
      <c r="AE4" s="146">
        <f>TblExplore[[#This Row],[Time]]</f>
        <v>44810.75</v>
      </c>
      <c r="AF4" s="187"/>
      <c r="AG4" s="187"/>
      <c r="AH4" s="187"/>
      <c r="AI4" s="187"/>
      <c r="AJ4" s="187"/>
      <c r="AK4" s="187"/>
      <c r="AL4" s="187"/>
      <c r="AM4" s="150"/>
      <c r="AN4" s="97">
        <f ca="1">TblProd[[#This Row],[Platinum]]</f>
        <v>100000</v>
      </c>
      <c r="AO4" s="97">
        <f ca="1">INDEX(TblProd[[#Headers],[Lumber]]:TblProd[[#This Row],[Ore]],COUNTA(TblProd[[#Headers],[Lumber]]:TblProd[[#This Row],[Lumber]]),MATCH(Military!$AO$2,TblProd[[#Headers],[Lumber]:[Ore]],0))</f>
        <v>0</v>
      </c>
      <c r="AP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97">
        <f ca="1">TblMili[[#This Row],[Train Unit 1]]*TblMili[[#This Row],[OP Ore]]+TblMili[[#This Row],[Train Unit 2]]*TblMili[[#This Row],[DP Ore]]+TblMili[[#This Row],[Train Unit 3]]*TblMili[[#This Row],[E1 Ore]]+TblMili[[#This Row],[Train Unit 4]]*TblMili[[#This Row],[E2 Ore]]</f>
        <v>0</v>
      </c>
      <c r="AR4" s="150">
        <f>TblMili[[#This Row],[Hour]]</f>
        <v>1</v>
      </c>
      <c r="AS4" s="160">
        <f>TblMili[[#This Row],[Time]]</f>
        <v>44810.75</v>
      </c>
      <c r="AT4" s="97">
        <f ca="1">TblMili[[#This Row],[Draftees]]</f>
        <v>100</v>
      </c>
      <c r="AU4" s="166"/>
      <c r="AV4" s="187"/>
      <c r="AW4" s="187"/>
      <c r="AX4" s="187"/>
      <c r="AY4" s="187"/>
      <c r="AZ4" s="166"/>
      <c r="BA4" s="166"/>
      <c r="BB4" s="187"/>
      <c r="BC4" s="150"/>
      <c r="BD4" s="165">
        <f ca="1">TblConstr[[#This Row],[Tot WG]]/TblConstr[[#This Row],[Land]]</f>
        <v>0</v>
      </c>
      <c r="BE4" s="165">
        <f ca="1">TblConstr[[#This Row],[Tot Hav]]/TblConstr[[#This Row],[Land]]</f>
        <v>0</v>
      </c>
      <c r="BF4" s="97">
        <f ca="1">ROUNDUP((1-MIN(TblMili[[#This Row],[Smithies]]*smithy_bonus,smithy_bonus_cap) + tech_3_5*TblTech[[#This Row],[3-5]] + tech_5_3*TblTech[[#This Row],[5-3]] + tech_5_5*TblTech[[#This Row],[5-5]])*spec_op_plat,0)</f>
        <v>275</v>
      </c>
      <c r="BG4" s="97">
        <f ca="1">ROUNDUP(IF(race="Gnome",1,(1-MIN(TblMili[[#This Row],[Smithies]]*smithy_bonus,smithy_bonus_cap) + tech_3_5*TblTech[[#This Row],[3-5]] + tech_5_3*TblTech[[#This Row],[5-3]] + tech_5_5*TblTech[[#This Row],[5-5]]))*spec_op_ore,0)</f>
        <v>25</v>
      </c>
      <c r="BH4" s="97">
        <f ca="1">ROUNDUP((1-MIN(TblMili[[#This Row],[Smithies]]*smithy_bonus,smithy_bonus_cap) + tech_3_5*TblTech[[#This Row],[3-5]] + tech_5_3*TblTech[[#This Row],[5-3]] + tech_5_5*TblTech[[#This Row],[5-5]])*spec_dp_plat,0)</f>
        <v>275</v>
      </c>
      <c r="BI4" s="97">
        <f ca="1">ROUNDUP(IF(race="Gnome",1,(1-MIN(TblMili[[#This Row],[Smithies]]*smithy_bonus,smithy_bonus_cap) + tech_3_5*TblTech[[#This Row],[3-5]] + tech_5_3*TblTech[[#This Row],[5-3]] + tech_5_5*TblTech[[#This Row],[5-5]]))*spec_dp_ore,0)</f>
        <v>15</v>
      </c>
      <c r="BJ4" s="97">
        <f ca="1">ROUNDUP((1-MIN(TblMili[[#This Row],[Smithies]]*smithy_bonus,smithy_bonus_cap) + tech_3_5*TblTech[[#This Row],[3-5]] + tech_5_3*TblTech[[#This Row],[5-3]] + tech_5_5*TblTech[[#This Row],[5-5]])*elite1_plat,0)</f>
        <v>1000</v>
      </c>
      <c r="BK4" s="97">
        <f ca="1">ROUNDUP(IF(race="Gnome",1,(1-MIN(TblMili[[#This Row],[Smithies]]*smithy_bonus,smithy_bonus_cap) + tech_3_5*TblTech[[#This Row],[3-5]] + tech_5_3*TblTech[[#This Row],[5-3]] + tech_5_5*TblTech[[#This Row],[5-5]]))*elite1_ore,0)</f>
        <v>75</v>
      </c>
      <c r="BL4" s="97">
        <f ca="1">ROUNDUP((1-MIN(TblMili[[#This Row],[Smithies]]*smithy_bonus,smithy_bonus_cap) + tech_3_5*TblTech[[#This Row],[3-5]] + tech_5_3*TblTech[[#This Row],[5-3]] + tech_5_5*TblTech[[#This Row],[5-5]])*elite2_plat,0)</f>
        <v>1200</v>
      </c>
      <c r="BM4" s="97">
        <f ca="1">ROUNDUP(IF(race="Gnome",1,(1-MIN(TblMili[[#This Row],[Smithies]]*smithy_bonus,smithy_bonus_cap) + tech_3_5*TblTech[[#This Row],[3-5]] + tech_5_3*TblTech[[#This Row],[5-3]] + tech_5_5*TblTech[[#This Row],[5-5]]))*elite2_ore,0)</f>
        <v>100</v>
      </c>
      <c r="BN4" s="97">
        <f ca="1">ROUNDUP((1-MIN(ROUND(fh_spy_cost_red*TblMili[[#This Row],[FH''s]],4),fh_spy_cost_cap)+ tech_1_9*TblTech[[#This Row],[1-9]] + tech_9_1*TblTech[[#This Row],[9-1]])*spy_plat,0)</f>
        <v>500</v>
      </c>
      <c r="BO4" s="97">
        <f ca="1">ROUNDUP((1-MIN(ROUND(wg_wiz_cost_bonus*TblMili[[#This Row],[WG''s]],4),wg_wiz_cost_cap) + tech_1_9_2*TblTech[[#This Row],[1-9]] + tech_9_1_2*TblTech[[#This Row],[9-1]])*wizard_plat,0)</f>
        <v>500</v>
      </c>
      <c r="BP4" s="97">
        <f ca="1">ROUNDUP((1-MIN(ROUND(wg_wiz_cost_bonus*TblMili[[#This Row],[WG''s]],4),wg_wiz_cost_cap) + tech_1_9_2*TblTech[[#This Row],[1-9]] + tech_9_1_2*TblTech[[#This Row],[9-1]])*archmage_plat,0)</f>
        <v>1000</v>
      </c>
      <c r="BQ4" s="150"/>
      <c r="BR4" s="165">
        <f ca="1">TblConstr[[#This Row],[Homeland]]/TblConstr[[#This Row],[Land]]</f>
        <v>0.44</v>
      </c>
      <c r="BS4" s="165">
        <f ca="1">TblMili[[#This Row],[WG''s]]</f>
        <v>0</v>
      </c>
      <c r="BT4" s="271">
        <f ca="1">IF(mystic_cap="none",TblMili[[#This Row],[Hill]]/mystic_bonus,MIN(mystic_cap,TblMili[[#This Row],[Hill]]/mystic_bonus))</f>
        <v>2.1999999999999997</v>
      </c>
      <c r="BU4" s="271">
        <f ca="1">IF(druid_op_cap="none",TblMili[[#This Row],[Hill]]/druid_op_bonus,MIN(druid_op_cap,TblMili[[#This Row],[Hill]]/druid_op_bonus))</f>
        <v>2.1999999999999997</v>
      </c>
      <c r="BV4" s="271">
        <f ca="1">IF(druid_dp_cap="none",TblMili[[#This Row],[Hill]]/druid_dp_bonus,MIN(druid_dp_cap,TblMili[[#This Row],[Hill]]/druid_dp_bonus))</f>
        <v>2.1999999999999997</v>
      </c>
      <c r="BW4" s="271">
        <f ca="1">MIN(dryad_cap,TblMili[[#This Row],[Hill]]/dryad_bonus)</f>
        <v>2.1999999999999997</v>
      </c>
      <c r="BX4" s="271">
        <f ca="1">MIN(rocka_cap,TblMili[[#This Row],[Hill]]/rocka_bonus)</f>
        <v>2</v>
      </c>
      <c r="BY4" s="271">
        <f ca="1">MIN(adept_op_cap,TblMili[[#This Row],[WG]]/adept_op_bonus)</f>
        <v>0</v>
      </c>
      <c r="BZ4" s="271">
        <f ca="1">MIN(adept_dp_cap,TblMili[[#This Row],[WG]]/adept_dp_bonus)</f>
        <v>0</v>
      </c>
      <c r="CA4" s="97">
        <f>MIN(TblMili[[#This Row],[Unit 3]],TblMili[[#This Row],[Unit 4]])*2</f>
        <v>0</v>
      </c>
      <c r="CB4" s="97">
        <f>MIN(TblMili[[#This Row],[Unit 1]],TblMili[[#This Row],[Unit 4]])*2</f>
        <v>0</v>
      </c>
      <c r="CC4" s="271">
        <f ca="1">MIN(frost_mage_cap,TblMili[[#This Row],[Hill]]/frost_mage_bonus)</f>
        <v>2.1999999999999997</v>
      </c>
      <c r="CD4" s="45">
        <f ca="1">MIN(ice_elem_cap,TblMili[[#This Row],[Raw (2)]]*ice_elem_bonus)</f>
        <v>0.1</v>
      </c>
      <c r="CE4" s="271">
        <f t="shared" ref="CE4:CE35" si="0">MIN(bone_breaker_cap,250/bone_breaker_bonus)</f>
        <v>1</v>
      </c>
      <c r="CF4" s="271">
        <f ca="1">MIN(nox_nightshade_cap,TblConstr[[#This Row],[Homeland]]/TblConstr[[#This Row],[Land]]/nox_nightshade_swamp_bonus)</f>
        <v>3</v>
      </c>
      <c r="CG4" s="272"/>
      <c r="CH4" s="272"/>
      <c r="CI4" s="272"/>
      <c r="CJ4" s="271">
        <f ca="1">MIN(6,TblMili[[#This Row],[Mystic]]+Races!$F$19)*1.8 +  IF(TblMili[[#This Row],[Mystic]]+Races!$F$19&gt;6,(TblMili[[#This Row],[Mystic]]+Races!$F$19-6)*0.2,0) - Races!$I$19</f>
        <v>3.6399999999999997</v>
      </c>
      <c r="CK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4" s="97">
        <f ca="1">TblMili[[#This Row],[Mystic bonus]]*TblMili[[#This Row],[Unit 3]]+TblMili[[#This Row],[Druid bonus]]*TblMili[[#This Row],[Unit 4]]</f>
        <v>0</v>
      </c>
      <c r="CM4" s="163">
        <f ca="1">MIN(6,TblMili[[#This Row],[Dryad]]+Races!$F$35)*1.8 +  IF(TblMili[[#This Row],[Dryad]]+Races!$F$35&gt;6,(TblMili[[#This Row],[Dryad]]+Races!$F$35-6)*0.2,0) - Races!$I$19</f>
        <v>2.1599999999999993</v>
      </c>
      <c r="CN4" s="97">
        <f ca="1">sylvan*(TblMili[[#This Row],[Mystic bonus]]*TblMili[[#This Row],[Unit 3]])</f>
        <v>0</v>
      </c>
      <c r="CO4" s="163">
        <f ca="1">1.8 * MIN(MAX(Races!$E$27,TblMili[[#This Row],[Rockapult]]+Races!$F$27),6)  +  0.45 * MIN(MIN(Races!$E$27,TblMili[[#This Row],[Rockapult]]+Races!$F$27),6)  +  0.2 * ( MAX(Races!$E$27-6,0) + MAX(TblMili[[#This Row],[Rockapult]]+Races!$F$27-6,0) )  -  Races!$I$20</f>
        <v>5.8500000000000005</v>
      </c>
      <c r="CP4" s="97">
        <f ca="1">gnome*(TblMili[[#This Row],[Rockapult bonus]]*TblMili[[#This Row],[Unit 3]])</f>
        <v>0</v>
      </c>
      <c r="CQ4" s="163">
        <f ca="1">1.8 * MIN(MAX(TblMili[[#This Row],[Spellblade]]+Races!$E$47,TblMili[[#This Row],[Adept-DP]]+Races!$F$47),6)  +  0.45 * MIN(MIN(TblMili[[#This Row],[Spellblade]]+Races!$E$47,TblMili[[#This Row],[Adept-DP]]+Races!$F$47),6)  +  0.2 * ( MAX(TblMili[[#This Row],[Spellblade]]+Races!$E$47-6,0) + MAX(TblMili[[#This Row],[Adept-DP]]+Races!$F$47-6,0) )  -  Races!$I$47</f>
        <v>0</v>
      </c>
      <c r="CR4" s="97">
        <f ca="1">dark_elf*(TblMili[[#This Row],[Adept bonus]]*TblMili[[#This Row],[Unit 3]])</f>
        <v>0</v>
      </c>
      <c r="CS4" s="271">
        <f ca="1">1.8 * MIN(MAX(TblMili[[#This Row],[Frost Mage]]+Races!$F$71,Races!$E$71),6)  +  0.45 * MIN(MIN(TblMili[[#This Row],[Frost Mage]]+Races!$F$71,Races!$E$71),6)  +  0.2 * ( MAX(TblMili[[#This Row],[Frost Mage]]+Races!$F$71-6,0) + MAX(Races!$E$71-6,0) )  -  Races!$I$71</f>
        <v>3.9599999999999991</v>
      </c>
      <c r="CT4" s="271">
        <f ca="1">1.8 * MIN(MAX(TblMili[[#This Row],[Ice Elemental]]+Races!$E$71,Races!$F$71),6)  +  0.45 * MIN(MIN(TblMili[[#This Row],[Ice Elemental]]+Races!$E$71,Races!$F$71),6)  +  0.2 * ( MAX(TblMili[[#This Row],[Ice Elemental]]+Races!$E$71-6,0) + MAX(Races!$F$71-6,0) )  -  Races!$I$71</f>
        <v>0.17999999999999972</v>
      </c>
      <c r="CU4" s="97">
        <f ca="1">TblMili[[#This Row],[Frost Mage bonus]]*TblMili[[#This Row],[Unit 3]]+TblMili[[#This Row],[Ice Elemental bonus]]*TblMili[[#This Row],[Unit 4]]</f>
        <v>0</v>
      </c>
      <c r="CV4" s="273"/>
      <c r="CW4" s="151">
        <f ca="1">MIN(SUM(TblConstr[[#This Row],[Plain]:[Water]])/TblMili[[#This Row],[Land]]/favorable_terrain_bonus/100,favorable_terrain_max)</f>
        <v>0.1</v>
      </c>
      <c r="CX4" s="273"/>
      <c r="CY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50"/>
      <c r="DA4" s="274">
        <f ca="1">(TblMili[[#This Row],[Wizards]]+2*TblMili[[#This Row],[Archmages]])/TblConstr[[#This Row],[Land]]</f>
        <v>0.1</v>
      </c>
      <c r="DB4" s="274">
        <f ca="1">TblMili[[#This Row],[Raw (2)]]*(1+race_wizard_strength+IF(TblMili[[#This Row],[Hour]]&gt;72,tech_magical_weaponry_wiz*TblTech[[#This Row],[3-5]],0))</f>
        <v>0.1</v>
      </c>
    </row>
    <row r="5" spans="1:106" x14ac:dyDescent="0.2">
      <c r="A5" s="145">
        <f>TblRezone[[#This Row],[Hour]]</f>
        <v>2</v>
      </c>
      <c r="B5" s="266">
        <f ca="1">SUM(TblMili[[#This Row],[Unit 1]:[Archmages]])+SUM(OFFSET(TblMili[[#This Row],[Train Unit 1]],-1,0):TblMili[[#This Row],[Train Unit 4]])+TblMili[[#This Row],[Draftees]]</f>
        <v>313</v>
      </c>
      <c r="C5" s="165">
        <f ca="1">TblPop[[#This Row],[Military%]]</f>
        <v>0.19097010372178158</v>
      </c>
      <c r="D5" s="150"/>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f>
        <v>25</v>
      </c>
      <c r="J5" s="45">
        <f ca="1">OFFSET(TblMili[[#This Row],[Wizards]],-1,0)-TblMili[[#This Row],[Release Wizards]]-TblMili[[#This Row],[Train Arch]]</f>
        <v>25</v>
      </c>
      <c r="K5" s="45">
        <f ca="1">OFFSET(TblMili[[#This Row],[Archmages]],-1,0)-TblMili[[#This Row],[Release Arch]]</f>
        <v>0</v>
      </c>
      <c r="L5" s="150"/>
      <c r="M5" s="97">
        <f ca="1">TblProd[[#This Row],[Networth]]</f>
        <v>6450</v>
      </c>
      <c r="N5" s="150"/>
      <c r="O5" s="267">
        <f ca="1">TblMili[[#This Row],[Unit 1]]*spec_op+TblMili[[#This Row],[Unit 3]]*(elite1_base_op)+TblMili[[#This Row],[Unit 4]]*(elite2_base_op+dark_elf*TblMili[[#This Row],[Spellblade]]+icekin*TblMili[[#This Row],[Ice Elemental]]+woodie*TblMili[[#This Row],[Druid (op)]]+orc*TblMili[[#This Row],[Orc]])+kobold*TblMili[[#This Row],[Overlords]]</f>
        <v>0</v>
      </c>
      <c r="P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 s="267">
        <f ca="1">TblMili[[#This Row],[Raw]]*(1+TblMili[[#This Row],[Mods_Off]])</f>
        <v>0</v>
      </c>
      <c r="R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 s="267">
        <f ca="1">TblMili[[#This Row],[Non Draft]]+TblMili[[#This Row],[Draftees]]</f>
        <v>563</v>
      </c>
      <c r="T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269">
        <f ca="1">TblMili[[#This Row],[Non Draft]] * (1 + TblMili[[#This Row],[Mods_Def]])</f>
        <v>450</v>
      </c>
      <c r="V5" s="267">
        <f ca="1">TblMili[[#This Row],[Draft]] * (1 + TblMili[[#This Row],[Mods_Def]])</f>
        <v>563</v>
      </c>
      <c r="W5" s="267">
        <f ca="1">TblConstr[[#This Row],[Land]]</f>
        <v>250</v>
      </c>
      <c r="X5" s="270"/>
      <c r="Y5" s="275">
        <f ca="1">IF(TblMili[[#This Row],[Set]]&lt;&gt;"",TblMili[[#This Row],[Set]],OFFSET(TblMili[[#This Row],[Draftrate]],-1,0))</f>
        <v>0.35</v>
      </c>
      <c r="Z5" s="97">
        <f ca="1">OFFSET(TblMili[[#This Row],[Draftees]],-1,0)+OFFSET(TblPop[[#This Row],[Draft Growth]],-1,0) - SUM(TblMili[[#This Row],[Train Unit 1]:[Train Wiz]]) - TblMili[[#This Row],[Release Draft]] + SUM(TblMili[[#This Row],[Release Unit 1]:[Release Arch]]) -TblExplore[[#This Row],[Draftees (2)]]</f>
        <v>113</v>
      </c>
      <c r="AA5" s="162"/>
      <c r="AB5" s="188">
        <f ca="1">(TblConstr[[#This Row],[Tot Smi]]+TblConstr[[#This Row],[Dest Smi]])/(TblConstr[[#This Row],[Land]]-TblExplore[[#This Row],[Land Bonus]]*20)</f>
        <v>0</v>
      </c>
      <c r="AC5" s="145"/>
      <c r="AD5" s="266">
        <f>TblMili[[#This Row],[Hour]]</f>
        <v>2</v>
      </c>
      <c r="AE5" s="146">
        <f ca="1">TblExplore[[#This Row],[Time]]</f>
        <v>44810.791666666664</v>
      </c>
      <c r="AF5" s="187"/>
      <c r="AG5" s="187"/>
      <c r="AH5" s="187"/>
      <c r="AI5" s="187"/>
      <c r="AJ5" s="187"/>
      <c r="AK5" s="187"/>
      <c r="AL5" s="187"/>
      <c r="AM5" s="150"/>
      <c r="AN5" s="97">
        <f ca="1">TblProd[[#This Row],[Platinum]]</f>
        <v>104860</v>
      </c>
      <c r="AO5" s="97">
        <f ca="1">INDEX(TblProd[[#Headers],[Lumber]]:TblProd[[#This Row],[Ore]],COUNTA(TblProd[[#Headers],[Lumber]]:TblProd[[#This Row],[Lumber]]),MATCH(Military!$AO$2,TblProd[[#Headers],[Lumber]:[Ore]],0))</f>
        <v>0</v>
      </c>
      <c r="AP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97">
        <f ca="1">TblMili[[#This Row],[Train Unit 1]]*TblMili[[#This Row],[OP Ore]]+TblMili[[#This Row],[Train Unit 2]]*TblMili[[#This Row],[DP Ore]]+TblMili[[#This Row],[Train Unit 3]]*TblMili[[#This Row],[E1 Ore]]+TblMili[[#This Row],[Train Unit 4]]*TblMili[[#This Row],[E2 Ore]]</f>
        <v>0</v>
      </c>
      <c r="AR5" s="150">
        <f>TblMili[[#This Row],[Hour]]</f>
        <v>2</v>
      </c>
      <c r="AS5" s="160">
        <f ca="1">TblMili[[#This Row],[Time]]</f>
        <v>44810.791666666664</v>
      </c>
      <c r="AT5" s="97">
        <f ca="1">TblMili[[#This Row],[Draftees]]</f>
        <v>113</v>
      </c>
      <c r="AU5" s="166"/>
      <c r="AV5" s="187"/>
      <c r="AW5" s="187"/>
      <c r="AX5" s="187"/>
      <c r="AY5" s="187"/>
      <c r="AZ5" s="187"/>
      <c r="BA5" s="187"/>
      <c r="BB5" s="187"/>
      <c r="BC5" s="150"/>
      <c r="BD5" s="165">
        <f ca="1">TblConstr[[#This Row],[Tot WG]]/TblConstr[[#This Row],[Land]]</f>
        <v>0</v>
      </c>
      <c r="BE5" s="165">
        <f ca="1">TblConstr[[#This Row],[Tot Hav]]/TblConstr[[#This Row],[Land]]</f>
        <v>0</v>
      </c>
      <c r="BF5" s="97">
        <f ca="1">ROUNDUP((1-MIN(TblMili[[#This Row],[Smithies]]*smithy_bonus,smithy_bonus_cap) + tech_3_5*TblTech[[#This Row],[3-5]] + tech_5_3*TblTech[[#This Row],[5-3]] + tech_5_5*TblTech[[#This Row],[5-5]])*spec_op_plat,0)</f>
        <v>275</v>
      </c>
      <c r="BG5" s="97">
        <f ca="1">ROUNDUP(IF(race="Gnome",1,(1-MIN(TblMili[[#This Row],[Smithies]]*smithy_bonus,smithy_bonus_cap) + tech_3_5*TblTech[[#This Row],[3-5]] + tech_5_3*TblTech[[#This Row],[5-3]] + tech_5_5*TblTech[[#This Row],[5-5]]))*spec_op_ore,0)</f>
        <v>25</v>
      </c>
      <c r="BH5" s="97">
        <f ca="1">ROUNDUP((1-MIN(TblMili[[#This Row],[Smithies]]*smithy_bonus,smithy_bonus_cap) + tech_3_5*TblTech[[#This Row],[3-5]] + tech_5_3*TblTech[[#This Row],[5-3]] + tech_5_5*TblTech[[#This Row],[5-5]])*spec_dp_plat,0)</f>
        <v>275</v>
      </c>
      <c r="BI5" s="97">
        <f ca="1">ROUNDUP(IF(race="Gnome",1,(1-MIN(TblMili[[#This Row],[Smithies]]*smithy_bonus,smithy_bonus_cap) + tech_3_5*TblTech[[#This Row],[3-5]] + tech_5_3*TblTech[[#This Row],[5-3]] + tech_5_5*TblTech[[#This Row],[5-5]]))*spec_dp_ore,0)</f>
        <v>15</v>
      </c>
      <c r="BJ5" s="97">
        <f ca="1">ROUNDUP((1-MIN(TblMili[[#This Row],[Smithies]]*smithy_bonus,smithy_bonus_cap) + tech_3_5*TblTech[[#This Row],[3-5]] + tech_5_3*TblTech[[#This Row],[5-3]] + tech_5_5*TblTech[[#This Row],[5-5]])*elite1_plat,0)</f>
        <v>1000</v>
      </c>
      <c r="BK5" s="97">
        <f ca="1">ROUNDUP(IF(race="Gnome",1,(1-MIN(TblMili[[#This Row],[Smithies]]*smithy_bonus,smithy_bonus_cap) + tech_3_5*TblTech[[#This Row],[3-5]] + tech_5_3*TblTech[[#This Row],[5-3]] + tech_5_5*TblTech[[#This Row],[5-5]]))*elite1_ore,0)</f>
        <v>75</v>
      </c>
      <c r="BL5" s="97">
        <f ca="1">ROUNDUP((1-MIN(TblMili[[#This Row],[Smithies]]*smithy_bonus,smithy_bonus_cap) + tech_3_5*TblTech[[#This Row],[3-5]] + tech_5_3*TblTech[[#This Row],[5-3]] + tech_5_5*TblTech[[#This Row],[5-5]])*elite2_plat,0)</f>
        <v>1200</v>
      </c>
      <c r="BM5" s="97">
        <f ca="1">ROUNDUP(IF(race="Gnome",1,(1-MIN(TblMili[[#This Row],[Smithies]]*smithy_bonus,smithy_bonus_cap) + tech_3_5*TblTech[[#This Row],[3-5]] + tech_5_3*TblTech[[#This Row],[5-3]] + tech_5_5*TblTech[[#This Row],[5-5]]))*elite2_ore,0)</f>
        <v>100</v>
      </c>
      <c r="BN5" s="97">
        <f ca="1">ROUNDUP((1-MIN(ROUND(fh_spy_cost_red*TblMili[[#This Row],[FH''s]],4),fh_spy_cost_cap)+ tech_1_9*TblTech[[#This Row],[1-9]] + tech_9_1*TblTech[[#This Row],[9-1]])*spy_plat,0)</f>
        <v>500</v>
      </c>
      <c r="BO5" s="97">
        <f ca="1">ROUNDUP((1-MIN(ROUND(wg_wiz_cost_bonus*TblMili[[#This Row],[WG''s]],4),wg_wiz_cost_cap) + tech_1_9_2*TblTech[[#This Row],[1-9]] + tech_9_1_2*TblTech[[#This Row],[9-1]])*wizard_plat,0)</f>
        <v>500</v>
      </c>
      <c r="BP5" s="97">
        <f ca="1">ROUNDUP((1-MIN(ROUND(wg_wiz_cost_bonus*TblMili[[#This Row],[WG''s]],4),wg_wiz_cost_cap) + tech_1_9_2*TblTech[[#This Row],[1-9]] + tech_9_1_2*TblTech[[#This Row],[9-1]])*archmage_plat,0)</f>
        <v>1000</v>
      </c>
      <c r="BQ5" s="150"/>
      <c r="BR5" s="165">
        <f ca="1">TblConstr[[#This Row],[Homeland]]/TblConstr[[#This Row],[Land]]</f>
        <v>0.44</v>
      </c>
      <c r="BS5" s="165">
        <f ca="1">TblMili[[#This Row],[WG''s]]</f>
        <v>0</v>
      </c>
      <c r="BT5" s="271">
        <f ca="1">IF(mystic_cap="none",TblMili[[#This Row],[Hill]]/mystic_bonus,MIN(mystic_cap,TblMili[[#This Row],[Hill]]/mystic_bonus))</f>
        <v>2.1999999999999997</v>
      </c>
      <c r="BU5" s="271">
        <f ca="1">IF(druid_op_cap="none",TblMili[[#This Row],[Hill]]/druid_op_bonus,MIN(druid_op_cap,TblMili[[#This Row],[Hill]]/druid_op_bonus))</f>
        <v>2.1999999999999997</v>
      </c>
      <c r="BV5" s="271">
        <f ca="1">IF(druid_dp_cap="none",TblMili[[#This Row],[Hill]]/druid_dp_bonus,MIN(druid_dp_cap,TblMili[[#This Row],[Hill]]/druid_dp_bonus))</f>
        <v>2.1999999999999997</v>
      </c>
      <c r="BW5" s="271">
        <f ca="1">MIN(dryad_cap,TblMili[[#This Row],[Hill]]/dryad_bonus)</f>
        <v>2.1999999999999997</v>
      </c>
      <c r="BX5" s="271">
        <f ca="1">MIN(rocka_cap,TblMili[[#This Row],[Hill]]/rocka_bonus)</f>
        <v>2</v>
      </c>
      <c r="BY5" s="271">
        <f ca="1">MIN(adept_op_cap,TblMili[[#This Row],[WG]]/adept_op_bonus)</f>
        <v>0</v>
      </c>
      <c r="BZ5" s="271">
        <f ca="1">MIN(adept_dp_cap,TblMili[[#This Row],[WG]]/adept_dp_bonus)</f>
        <v>0</v>
      </c>
      <c r="CA5" s="97">
        <f ca="1">MIN(TblMili[[#This Row],[Unit 3]],TblMili[[#This Row],[Unit 4]])*2</f>
        <v>0</v>
      </c>
      <c r="CB5" s="97">
        <f ca="1">MIN(TblMili[[#This Row],[Unit 1]],TblMili[[#This Row],[Unit 4]])*2</f>
        <v>0</v>
      </c>
      <c r="CC5" s="271">
        <f ca="1">MIN(frost_mage_cap,TblMili[[#This Row],[Hill]]/frost_mage_bonus)</f>
        <v>2.1999999999999997</v>
      </c>
      <c r="CD5" s="45">
        <f ca="1">MIN(ice_elem_cap,TblMili[[#This Row],[Raw (2)]]*ice_elem_bonus)</f>
        <v>0.1</v>
      </c>
      <c r="CE5" s="271">
        <f t="shared" si="0"/>
        <v>1</v>
      </c>
      <c r="CF5" s="271">
        <f ca="1">MIN(nox_nightshade_cap,TblConstr[[#This Row],[Homeland]]/TblConstr[[#This Row],[Land]]/nox_nightshade_swamp_bonus)</f>
        <v>3</v>
      </c>
      <c r="CG5" s="272" t="s">
        <v>92</v>
      </c>
      <c r="CH5" s="272" t="b">
        <f t="shared" ref="CH5:CH12" si="1">race=CG5</f>
        <v>0</v>
      </c>
      <c r="CI5" s="272"/>
      <c r="CJ5" s="271">
        <f ca="1">MIN(6,TblMili[[#This Row],[Mystic]]+Races!$F$19)*1.8 +  IF(TblMili[[#This Row],[Mystic]]+Races!$F$19&gt;6,(TblMili[[#This Row],[Mystic]]+Races!$F$19-6)*0.2,0) - Races!$I$19</f>
        <v>3.6399999999999997</v>
      </c>
      <c r="CK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5" s="97">
        <f ca="1">TblMili[[#This Row],[Mystic bonus]]*TblMili[[#This Row],[Unit 3]]+TblMili[[#This Row],[Druid bonus]]*TblMili[[#This Row],[Unit 4]]</f>
        <v>0</v>
      </c>
      <c r="CM5" s="163">
        <f ca="1">MIN(6,TblMili[[#This Row],[Dryad]]+Races!$F$35)*1.8 +  IF(TblMili[[#This Row],[Dryad]]+Races!$F$35&gt;6,(TblMili[[#This Row],[Dryad]]+Races!$F$35-6)*0.2,0) - Races!$I$19</f>
        <v>2.1599999999999993</v>
      </c>
      <c r="CN5" s="97">
        <f ca="1">sylvan*(TblMili[[#This Row],[Mystic bonus]]*TblMili[[#This Row],[Unit 3]])</f>
        <v>0</v>
      </c>
      <c r="CO5" s="163">
        <f ca="1">1.8 * MIN(MAX(Races!$E$27,TblMili[[#This Row],[Rockapult]]+Races!$F$27),6)  +  0.45 * MIN(MIN(Races!$E$27,TblMili[[#This Row],[Rockapult]]+Races!$F$27),6)  +  0.2 * ( MAX(Races!$E$27-6,0) + MAX(TblMili[[#This Row],[Rockapult]]+Races!$F$27-6,0) )  -  Races!$I$20</f>
        <v>5.8500000000000005</v>
      </c>
      <c r="CP5" s="97">
        <f ca="1">gnome*(TblMili[[#This Row],[Rockapult bonus]]*TblMili[[#This Row],[Unit 3]])</f>
        <v>0</v>
      </c>
      <c r="CQ5" s="163">
        <f ca="1">1.8 * MIN(MAX(TblMili[[#This Row],[Spellblade]]+Races!$E$47,TblMili[[#This Row],[Adept-DP]]+Races!$F$47),6)  +  0.45 * MIN(MIN(TblMili[[#This Row],[Spellblade]]+Races!$E$47,TblMili[[#This Row],[Adept-DP]]+Races!$F$47),6)  +  0.2 * ( MAX(TblMili[[#This Row],[Spellblade]]+Races!$E$47-6,0) + MAX(TblMili[[#This Row],[Adept-DP]]+Races!$F$47-6,0) )  -  Races!$I$47</f>
        <v>0</v>
      </c>
      <c r="CR5" s="97">
        <f ca="1">dark_elf*(TblMili[[#This Row],[Adept bonus]]*TblMili[[#This Row],[Unit 3]])</f>
        <v>0</v>
      </c>
      <c r="CS5" s="163">
        <f ca="1">1.8 * MIN(MAX(TblMili[[#This Row],[Frost Mage]]+Races!$F$71,Races!$E$71),6)  +  0.45 * MIN(MIN(TblMili[[#This Row],[Frost Mage]]+Races!$F$71,Races!$E$71),6)  +  0.2 * ( MAX(TblMili[[#This Row],[Frost Mage]]+Races!$F$71-6,0) + MAX(Races!$E$71-6,0) )  -  Races!$I$71</f>
        <v>3.9599999999999991</v>
      </c>
      <c r="CT5" s="163">
        <f ca="1">1.8 * MIN(MAX(TblMili[[#This Row],[Ice Elemental]]+Races!$E$71,Races!$F$71),6)  +  0.45 * MIN(MIN(TblMili[[#This Row],[Ice Elemental]]+Races!$E$71,Races!$F$71),6)  +  0.2 * ( MAX(TblMili[[#This Row],[Ice Elemental]]+Races!$E$71-6,0) + MAX(Races!$F$71-6,0) )  -  Races!$I$71</f>
        <v>0.17999999999999972</v>
      </c>
      <c r="CU5" s="97">
        <f ca="1">TblMili[[#This Row],[Frost Mage bonus]]*TblMili[[#This Row],[Unit 3]]+TblMili[[#This Row],[Ice Elemental bonus]]*TblMili[[#This Row],[Unit 4]]</f>
        <v>0</v>
      </c>
      <c r="CV5" s="273"/>
      <c r="CW5" s="151">
        <f ca="1">MIN(SUM(TblConstr[[#This Row],[Plain]:[Water]])/TblMili[[#This Row],[Land]]/favorable_terrain_bonus/100,favorable_terrain_max)</f>
        <v>0.1</v>
      </c>
      <c r="CX5" s="273"/>
      <c r="CY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50"/>
      <c r="DA5" s="274">
        <f ca="1">(TblMili[[#This Row],[Wizards]]+2*TblMili[[#This Row],[Archmages]])/TblConstr[[#This Row],[Land]]</f>
        <v>0.1</v>
      </c>
      <c r="DB5" s="274">
        <f ca="1">TblMili[[#This Row],[Raw (2)]]*(1+race_wizard_strength+IF(TblMili[[#This Row],[Hour]]&gt;72,tech_magical_weaponry_wiz*TblTech[[#This Row],[3-5]],0))</f>
        <v>0.1</v>
      </c>
    </row>
    <row r="6" spans="1:106" x14ac:dyDescent="0.2">
      <c r="A6" s="145">
        <f>TblRezone[[#This Row],[Hour]]</f>
        <v>3</v>
      </c>
      <c r="B6" s="266">
        <f ca="1">SUM(TblMili[[#This Row],[Unit 1]:[Archmages]])+SUM(OFFSET(TblMili[[#This Row],[Train Unit 1]],-2,0):TblMili[[#This Row],[Train Unit 4]])+TblMili[[#This Row],[Draftees]]</f>
        <v>326</v>
      </c>
      <c r="C6" s="165">
        <f ca="1">TblPop[[#This Row],[Military%]]</f>
        <v>0.19427890345649582</v>
      </c>
      <c r="D6" s="150"/>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f>
        <v>25</v>
      </c>
      <c r="J6" s="45">
        <f ca="1">OFFSET(TblMili[[#This Row],[Wizards]],-1,0)-TblMili[[#This Row],[Release Wizards]]-TblMili[[#This Row],[Train Arch]]</f>
        <v>25</v>
      </c>
      <c r="K6" s="45">
        <f ca="1">OFFSET(TblMili[[#This Row],[Archmages]],-1,0)-TblMili[[#This Row],[Release Arch]]</f>
        <v>0</v>
      </c>
      <c r="L6" s="150"/>
      <c r="M6" s="97">
        <f ca="1">TblProd[[#This Row],[Networth]]</f>
        <v>6450</v>
      </c>
      <c r="N6" s="150"/>
      <c r="O6" s="267">
        <f ca="1">TblMili[[#This Row],[Unit 1]]*spec_op+TblMili[[#This Row],[Unit 3]]*(elite1_base_op)+TblMili[[#This Row],[Unit 4]]*(elite2_base_op+dark_elf*TblMili[[#This Row],[Spellblade]]+icekin*TblMili[[#This Row],[Ice Elemental]]+woodie*TblMili[[#This Row],[Druid (op)]]+orc*TblMili[[#This Row],[Orc]])+kobold*TblMili[[#This Row],[Overlords]]</f>
        <v>0</v>
      </c>
      <c r="P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 s="267">
        <f ca="1">TblMili[[#This Row],[Raw]]*(1+TblMili[[#This Row],[Mods_Off]])</f>
        <v>0</v>
      </c>
      <c r="R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 s="267">
        <f ca="1">TblMili[[#This Row],[Non Draft]]+TblMili[[#This Row],[Draftees]]</f>
        <v>576</v>
      </c>
      <c r="T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269">
        <f ca="1">TblMili[[#This Row],[Non Draft]] * (1 + TblMili[[#This Row],[Mods_Def]])</f>
        <v>450</v>
      </c>
      <c r="V6" s="267">
        <f ca="1">TblMili[[#This Row],[Draft]] * (1 + TblMili[[#This Row],[Mods_Def]])</f>
        <v>576</v>
      </c>
      <c r="W6" s="267">
        <f ca="1">TblConstr[[#This Row],[Land]]</f>
        <v>250</v>
      </c>
      <c r="X6" s="270"/>
      <c r="Y6" s="275">
        <f ca="1">IF(TblMili[[#This Row],[Set]]&lt;&gt;"",TblMili[[#This Row],[Set]],OFFSET(TblMili[[#This Row],[Draftrate]],-1,0))</f>
        <v>0.35</v>
      </c>
      <c r="Z6" s="97">
        <f ca="1">OFFSET(TblMili[[#This Row],[Draftees]],-1,0)+OFFSET(TblPop[[#This Row],[Draft Growth]],-1,0) - SUM(TblMili[[#This Row],[Train Unit 1]:[Train Wiz]]) - TblMili[[#This Row],[Release Draft]] + SUM(TblMili[[#This Row],[Release Unit 1]:[Release Arch]]) -TblExplore[[#This Row],[Draftees (2)]]</f>
        <v>126</v>
      </c>
      <c r="AA6" s="162"/>
      <c r="AB6" s="188">
        <f ca="1">(TblConstr[[#This Row],[Tot Smi]]+TblConstr[[#This Row],[Dest Smi]])/(TblConstr[[#This Row],[Land]]-TblExplore[[#This Row],[Land Bonus]]*20)</f>
        <v>0</v>
      </c>
      <c r="AC6" s="145"/>
      <c r="AD6" s="266">
        <f>TblMili[[#This Row],[Hour]]</f>
        <v>3</v>
      </c>
      <c r="AE6" s="146">
        <f ca="1">TblExplore[[#This Row],[Time]]</f>
        <v>44810.833333333328</v>
      </c>
      <c r="AF6" s="187"/>
      <c r="AG6" s="187"/>
      <c r="AH6" s="187"/>
      <c r="AI6" s="187"/>
      <c r="AJ6" s="187"/>
      <c r="AK6" s="187"/>
      <c r="AL6" s="187"/>
      <c r="AM6" s="150"/>
      <c r="AN6" s="97">
        <f ca="1">TblProd[[#This Row],[Platinum]]</f>
        <v>109790</v>
      </c>
      <c r="AO6" s="97">
        <f ca="1">INDEX(TblProd[[#Headers],[Lumber]]:TblProd[[#This Row],[Ore]],COUNTA(TblProd[[#Headers],[Lumber]]:TblProd[[#This Row],[Lumber]]),MATCH(Military!$AO$2,TblProd[[#Headers],[Lumber]:[Ore]],0))</f>
        <v>0</v>
      </c>
      <c r="AP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97">
        <f ca="1">TblMili[[#This Row],[Train Unit 1]]*TblMili[[#This Row],[OP Ore]]+TblMili[[#This Row],[Train Unit 2]]*TblMili[[#This Row],[DP Ore]]+TblMili[[#This Row],[Train Unit 3]]*TblMili[[#This Row],[E1 Ore]]+TblMili[[#This Row],[Train Unit 4]]*TblMili[[#This Row],[E2 Ore]]</f>
        <v>0</v>
      </c>
      <c r="AR6" s="150">
        <f>TblMili[[#This Row],[Hour]]</f>
        <v>3</v>
      </c>
      <c r="AS6" s="160">
        <f ca="1">TblMili[[#This Row],[Time]]</f>
        <v>44810.833333333328</v>
      </c>
      <c r="AT6" s="97">
        <f ca="1">TblMili[[#This Row],[Draftees]]</f>
        <v>126</v>
      </c>
      <c r="AU6" s="187"/>
      <c r="AV6" s="187"/>
      <c r="AW6" s="187"/>
      <c r="AX6" s="187"/>
      <c r="AY6" s="187"/>
      <c r="AZ6" s="187"/>
      <c r="BA6" s="187"/>
      <c r="BB6" s="187"/>
      <c r="BC6" s="150"/>
      <c r="BD6" s="165">
        <f ca="1">TblConstr[[#This Row],[Tot WG]]/TblConstr[[#This Row],[Land]]</f>
        <v>0</v>
      </c>
      <c r="BE6" s="165">
        <f ca="1">TblConstr[[#This Row],[Tot Hav]]/TblConstr[[#This Row],[Land]]</f>
        <v>0</v>
      </c>
      <c r="BF6" s="97">
        <f ca="1">ROUNDUP((1-MIN(TblMili[[#This Row],[Smithies]]*smithy_bonus,smithy_bonus_cap) + tech_3_5*TblTech[[#This Row],[3-5]] + tech_5_3*TblTech[[#This Row],[5-3]] + tech_5_5*TblTech[[#This Row],[5-5]])*spec_op_plat,0)</f>
        <v>275</v>
      </c>
      <c r="BG6" s="97">
        <f ca="1">ROUNDUP(IF(race="Gnome",1,(1-MIN(TblMili[[#This Row],[Smithies]]*smithy_bonus,smithy_bonus_cap) + tech_3_5*TblTech[[#This Row],[3-5]] + tech_5_3*TblTech[[#This Row],[5-3]] + tech_5_5*TblTech[[#This Row],[5-5]]))*spec_op_ore,0)</f>
        <v>25</v>
      </c>
      <c r="BH6" s="97">
        <f ca="1">ROUNDUP((1-MIN(TblMili[[#This Row],[Smithies]]*smithy_bonus,smithy_bonus_cap) + tech_3_5*TblTech[[#This Row],[3-5]] + tech_5_3*TblTech[[#This Row],[5-3]] + tech_5_5*TblTech[[#This Row],[5-5]])*spec_dp_plat,0)</f>
        <v>275</v>
      </c>
      <c r="BI6" s="97">
        <f ca="1">ROUNDUP(IF(race="Gnome",1,(1-MIN(TblMili[[#This Row],[Smithies]]*smithy_bonus,smithy_bonus_cap) + tech_3_5*TblTech[[#This Row],[3-5]] + tech_5_3*TblTech[[#This Row],[5-3]] + tech_5_5*TblTech[[#This Row],[5-5]]))*spec_dp_ore,0)</f>
        <v>15</v>
      </c>
      <c r="BJ6" s="97">
        <f ca="1">ROUNDUP((1-MIN(TblMili[[#This Row],[Smithies]]*smithy_bonus,smithy_bonus_cap) + tech_3_5*TblTech[[#This Row],[3-5]] + tech_5_3*TblTech[[#This Row],[5-3]] + tech_5_5*TblTech[[#This Row],[5-5]])*elite1_plat,0)</f>
        <v>1000</v>
      </c>
      <c r="BK6" s="97">
        <f ca="1">ROUNDUP(IF(race="Gnome",1,(1-MIN(TblMili[[#This Row],[Smithies]]*smithy_bonus,smithy_bonus_cap) + tech_3_5*TblTech[[#This Row],[3-5]] + tech_5_3*TblTech[[#This Row],[5-3]] + tech_5_5*TblTech[[#This Row],[5-5]]))*elite1_ore,0)</f>
        <v>75</v>
      </c>
      <c r="BL6" s="97">
        <f ca="1">ROUNDUP((1-MIN(TblMili[[#This Row],[Smithies]]*smithy_bonus,smithy_bonus_cap) + tech_3_5*TblTech[[#This Row],[3-5]] + tech_5_3*TblTech[[#This Row],[5-3]] + tech_5_5*TblTech[[#This Row],[5-5]])*elite2_plat,0)</f>
        <v>1200</v>
      </c>
      <c r="BM6" s="97">
        <f ca="1">ROUNDUP(IF(race="Gnome",1,(1-MIN(TblMili[[#This Row],[Smithies]]*smithy_bonus,smithy_bonus_cap) + tech_3_5*TblTech[[#This Row],[3-5]] + tech_5_3*TblTech[[#This Row],[5-3]] + tech_5_5*TblTech[[#This Row],[5-5]]))*elite2_ore,0)</f>
        <v>100</v>
      </c>
      <c r="BN6" s="97">
        <f ca="1">ROUNDUP((1-MIN(ROUND(fh_spy_cost_red*TblMili[[#This Row],[FH''s]],4),fh_spy_cost_cap)+ tech_1_9*TblTech[[#This Row],[1-9]] + tech_9_1*TblTech[[#This Row],[9-1]])*spy_plat,0)</f>
        <v>500</v>
      </c>
      <c r="BO6" s="97">
        <f ca="1">ROUNDUP((1-MIN(ROUND(wg_wiz_cost_bonus*TblMili[[#This Row],[WG''s]],4),wg_wiz_cost_cap) + tech_1_9_2*TblTech[[#This Row],[1-9]] + tech_9_1_2*TblTech[[#This Row],[9-1]])*wizard_plat,0)</f>
        <v>500</v>
      </c>
      <c r="BP6" s="97">
        <f ca="1">ROUNDUP((1-MIN(ROUND(wg_wiz_cost_bonus*TblMili[[#This Row],[WG''s]],4),wg_wiz_cost_cap) + tech_1_9_2*TblTech[[#This Row],[1-9]] + tech_9_1_2*TblTech[[#This Row],[9-1]])*archmage_plat,0)</f>
        <v>1000</v>
      </c>
      <c r="BQ6" s="150"/>
      <c r="BR6" s="165">
        <f ca="1">TblConstr[[#This Row],[Homeland]]/TblConstr[[#This Row],[Land]]</f>
        <v>0.44</v>
      </c>
      <c r="BS6" s="165">
        <f ca="1">TblMili[[#This Row],[WG''s]]</f>
        <v>0</v>
      </c>
      <c r="BT6" s="271">
        <f ca="1">IF(mystic_cap="none",TblMili[[#This Row],[Hill]]/mystic_bonus,MIN(mystic_cap,TblMili[[#This Row],[Hill]]/mystic_bonus))</f>
        <v>2.1999999999999997</v>
      </c>
      <c r="BU6" s="271">
        <f ca="1">IF(druid_op_cap="none",TblMili[[#This Row],[Hill]]/druid_op_bonus,MIN(druid_op_cap,TblMili[[#This Row],[Hill]]/druid_op_bonus))</f>
        <v>2.1999999999999997</v>
      </c>
      <c r="BV6" s="271">
        <f ca="1">IF(druid_dp_cap="none",TblMili[[#This Row],[Hill]]/druid_dp_bonus,MIN(druid_dp_cap,TblMili[[#This Row],[Hill]]/druid_dp_bonus))</f>
        <v>2.1999999999999997</v>
      </c>
      <c r="BW6" s="271">
        <f ca="1">MIN(dryad_cap,TblMili[[#This Row],[Hill]]/dryad_bonus)</f>
        <v>2.1999999999999997</v>
      </c>
      <c r="BX6" s="271">
        <f ca="1">MIN(rocka_cap,TblMili[[#This Row],[Hill]]/rocka_bonus)</f>
        <v>2</v>
      </c>
      <c r="BY6" s="271">
        <f ca="1">MIN(adept_op_cap,TblMili[[#This Row],[WG]]/adept_op_bonus)</f>
        <v>0</v>
      </c>
      <c r="BZ6" s="271">
        <f ca="1">MIN(adept_dp_cap,TblMili[[#This Row],[WG]]/adept_dp_bonus)</f>
        <v>0</v>
      </c>
      <c r="CA6" s="97">
        <f ca="1">MIN(TblMili[[#This Row],[Unit 3]],TblMili[[#This Row],[Unit 4]])*2</f>
        <v>0</v>
      </c>
      <c r="CB6" s="97">
        <f ca="1">MIN(TblMili[[#This Row],[Unit 1]],TblMili[[#This Row],[Unit 4]])*2</f>
        <v>0</v>
      </c>
      <c r="CC6" s="271">
        <f ca="1">MIN(frost_mage_cap,TblMili[[#This Row],[Hill]]/frost_mage_bonus)</f>
        <v>2.1999999999999997</v>
      </c>
      <c r="CD6" s="45">
        <f ca="1">MIN(ice_elem_cap,TblMili[[#This Row],[Raw (2)]]*ice_elem_bonus)</f>
        <v>0.1</v>
      </c>
      <c r="CE6" s="271">
        <f t="shared" si="0"/>
        <v>1</v>
      </c>
      <c r="CF6" s="271">
        <f ca="1">MIN(nox_nightshade_cap,TblConstr[[#This Row],[Homeland]]/TblConstr[[#This Row],[Land]]/nox_nightshade_swamp_bonus)</f>
        <v>3</v>
      </c>
      <c r="CG6" s="272" t="s">
        <v>96</v>
      </c>
      <c r="CH6" s="272" t="b">
        <f t="shared" si="1"/>
        <v>0</v>
      </c>
      <c r="CI6" s="272"/>
      <c r="CJ6" s="271">
        <f ca="1">MIN(6,TblMili[[#This Row],[Mystic]]+Races!$F$19)*1.8 +  IF(TblMili[[#This Row],[Mystic]]+Races!$F$19&gt;6,(TblMili[[#This Row],[Mystic]]+Races!$F$19-6)*0.2,0) - Races!$I$19</f>
        <v>3.6399999999999997</v>
      </c>
      <c r="CK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6" s="97">
        <f ca="1">TblMili[[#This Row],[Mystic bonus]]*TblMili[[#This Row],[Unit 3]]+TblMili[[#This Row],[Druid bonus]]*TblMili[[#This Row],[Unit 4]]</f>
        <v>0</v>
      </c>
      <c r="CM6" s="163">
        <f ca="1">MIN(6,TblMili[[#This Row],[Dryad]]+Races!$F$35)*1.8 +  IF(TblMili[[#This Row],[Dryad]]+Races!$F$35&gt;6,(TblMili[[#This Row],[Dryad]]+Races!$F$35-6)*0.2,0) - Races!$I$19</f>
        <v>2.1599999999999993</v>
      </c>
      <c r="CN6" s="97">
        <f ca="1">sylvan*(TblMili[[#This Row],[Mystic bonus]]*TblMili[[#This Row],[Unit 3]])</f>
        <v>0</v>
      </c>
      <c r="CO6" s="163">
        <f ca="1">1.8 * MIN(MAX(Races!$E$27,TblMili[[#This Row],[Rockapult]]+Races!$F$27),6)  +  0.45 * MIN(MIN(Races!$E$27,TblMili[[#This Row],[Rockapult]]+Races!$F$27),6)  +  0.2 * ( MAX(Races!$E$27-6,0) + MAX(TblMili[[#This Row],[Rockapult]]+Races!$F$27-6,0) )  -  Races!$I$20</f>
        <v>5.8500000000000005</v>
      </c>
      <c r="CP6" s="97">
        <f ca="1">gnome*(TblMili[[#This Row],[Rockapult bonus]]*TblMili[[#This Row],[Unit 3]])</f>
        <v>0</v>
      </c>
      <c r="CQ6" s="163">
        <f ca="1">1.8 * MIN(MAX(TblMili[[#This Row],[Spellblade]]+Races!$E$47,TblMili[[#This Row],[Adept-DP]]+Races!$F$47),6)  +  0.45 * MIN(MIN(TblMili[[#This Row],[Spellblade]]+Races!$E$47,TblMili[[#This Row],[Adept-DP]]+Races!$F$47),6)  +  0.2 * ( MAX(TblMili[[#This Row],[Spellblade]]+Races!$E$47-6,0) + MAX(TblMili[[#This Row],[Adept-DP]]+Races!$F$47-6,0) )  -  Races!$I$47</f>
        <v>0</v>
      </c>
      <c r="CR6" s="97">
        <f ca="1">dark_elf*(TblMili[[#This Row],[Adept bonus]]*TblMili[[#This Row],[Unit 3]])</f>
        <v>0</v>
      </c>
      <c r="CS6" s="163">
        <f ca="1">1.8 * MIN(MAX(TblMili[[#This Row],[Frost Mage]]+Races!$F$71,Races!$E$71),6)  +  0.45 * MIN(MIN(TblMili[[#This Row],[Frost Mage]]+Races!$F$71,Races!$E$71),6)  +  0.2 * ( MAX(TblMili[[#This Row],[Frost Mage]]+Races!$F$71-6,0) + MAX(Races!$E$71-6,0) )  -  Races!$I$71</f>
        <v>3.9599999999999991</v>
      </c>
      <c r="CT6" s="163">
        <f ca="1">1.8 * MIN(MAX(TblMili[[#This Row],[Ice Elemental]]+Races!$E$71,Races!$F$71),6)  +  0.45 * MIN(MIN(TblMili[[#This Row],[Ice Elemental]]+Races!$E$71,Races!$F$71),6)  +  0.2 * ( MAX(TblMili[[#This Row],[Ice Elemental]]+Races!$E$71-6,0) + MAX(Races!$F$71-6,0) )  -  Races!$I$71</f>
        <v>0.17999999999999972</v>
      </c>
      <c r="CU6" s="97">
        <f ca="1">TblMili[[#This Row],[Frost Mage bonus]]*TblMili[[#This Row],[Unit 3]]+TblMili[[#This Row],[Ice Elemental bonus]]*TblMili[[#This Row],[Unit 4]]</f>
        <v>0</v>
      </c>
      <c r="CV6" s="273"/>
      <c r="CW6" s="151">
        <f ca="1">MIN(SUM(TblConstr[[#This Row],[Plain]:[Water]])/TblMili[[#This Row],[Land]]/favorable_terrain_bonus/100,favorable_terrain_max)</f>
        <v>0.1</v>
      </c>
      <c r="CX6" s="273"/>
      <c r="CY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50"/>
      <c r="DA6" s="274">
        <f ca="1">(TblMili[[#This Row],[Wizards]]+2*TblMili[[#This Row],[Archmages]])/TblConstr[[#This Row],[Land]]</f>
        <v>0.1</v>
      </c>
      <c r="DB6" s="274">
        <f ca="1">TblMili[[#This Row],[Raw (2)]]*(1+race_wizard_strength+IF(TblMili[[#This Row],[Hour]]&gt;72,tech_magical_weaponry_wiz*TblTech[[#This Row],[3-5]],0))</f>
        <v>0.1</v>
      </c>
    </row>
    <row r="7" spans="1:106" x14ac:dyDescent="0.2">
      <c r="A7" s="145">
        <f>TblRezone[[#This Row],[Hour]]</f>
        <v>4</v>
      </c>
      <c r="B7" s="266">
        <f ca="1">SUM(TblMili[[#This Row],[Unit 1]:[Archmages]])+SUM(OFFSET(TblMili[[#This Row],[Train Unit 1]],-3,0):TblMili[[#This Row],[Train Unit 4]])+TblMili[[#This Row],[Draftees]]</f>
        <v>340</v>
      </c>
      <c r="C7" s="165">
        <f ca="1">TblPop[[#This Row],[Military%]]</f>
        <v>0.1979045401629802</v>
      </c>
      <c r="D7" s="150"/>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f>
        <v>25</v>
      </c>
      <c r="J7" s="45">
        <f ca="1">OFFSET(TblMili[[#This Row],[Wizards]],-1,0)-TblMili[[#This Row],[Release Wizards]]-TblMili[[#This Row],[Train Arch]]</f>
        <v>25</v>
      </c>
      <c r="K7" s="45">
        <f ca="1">OFFSET(TblMili[[#This Row],[Archmages]],-1,0)-TblMili[[#This Row],[Release Arch]]</f>
        <v>0</v>
      </c>
      <c r="L7" s="150"/>
      <c r="M7" s="97">
        <f ca="1">TblProd[[#This Row],[Networth]]</f>
        <v>6450</v>
      </c>
      <c r="N7" s="150"/>
      <c r="O7" s="267">
        <f ca="1">TblMili[[#This Row],[Unit 1]]*spec_op+TblMili[[#This Row],[Unit 3]]*(elite1_base_op)+TblMili[[#This Row],[Unit 4]]*(elite2_base_op+dark_elf*TblMili[[#This Row],[Spellblade]]+icekin*TblMili[[#This Row],[Ice Elemental]]+woodie*TblMili[[#This Row],[Druid (op)]]+orc*TblMili[[#This Row],[Orc]])+kobold*TblMili[[#This Row],[Overlords]]</f>
        <v>0</v>
      </c>
      <c r="P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 s="267">
        <f ca="1">TblMili[[#This Row],[Raw]]*(1+TblMili[[#This Row],[Mods_Off]])</f>
        <v>0</v>
      </c>
      <c r="R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 s="267">
        <f ca="1">TblMili[[#This Row],[Non Draft]]+TblMili[[#This Row],[Draftees]]</f>
        <v>590</v>
      </c>
      <c r="T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269">
        <f ca="1">TblMili[[#This Row],[Non Draft]] * (1 + TblMili[[#This Row],[Mods_Def]])</f>
        <v>450</v>
      </c>
      <c r="V7" s="267">
        <f ca="1">TblMili[[#This Row],[Draft]] * (1 + TblMili[[#This Row],[Mods_Def]])</f>
        <v>590</v>
      </c>
      <c r="W7" s="267">
        <f ca="1">TblConstr[[#This Row],[Land]]</f>
        <v>250</v>
      </c>
      <c r="X7" s="270"/>
      <c r="Y7" s="275">
        <f ca="1">IF(TblMili[[#This Row],[Set]]&lt;&gt;"",TblMili[[#This Row],[Set]],OFFSET(TblMili[[#This Row],[Draftrate]],-1,0))</f>
        <v>0.35</v>
      </c>
      <c r="Z7" s="97">
        <f ca="1">OFFSET(TblMili[[#This Row],[Draftees]],-1,0)+OFFSET(TblPop[[#This Row],[Draft Growth]],-1,0) - SUM(TblMili[[#This Row],[Train Unit 1]:[Train Wiz]]) - TblMili[[#This Row],[Release Draft]] + SUM(TblMili[[#This Row],[Release Unit 1]:[Release Arch]]) -TblExplore[[#This Row],[Draftees (2)]]</f>
        <v>140</v>
      </c>
      <c r="AA7" s="162"/>
      <c r="AB7" s="188">
        <f ca="1">(TblConstr[[#This Row],[Tot Smi]]+TblConstr[[#This Row],[Dest Smi]])/(TblConstr[[#This Row],[Land]]-TblExplore[[#This Row],[Land Bonus]]*20)</f>
        <v>0</v>
      </c>
      <c r="AC7" s="145"/>
      <c r="AD7" s="266">
        <f>TblMili[[#This Row],[Hour]]</f>
        <v>4</v>
      </c>
      <c r="AE7" s="146">
        <f ca="1">TblExplore[[#This Row],[Time]]</f>
        <v>44810.874999999993</v>
      </c>
      <c r="AF7" s="187"/>
      <c r="AG7" s="187"/>
      <c r="AH7" s="187"/>
      <c r="AI7" s="187"/>
      <c r="AJ7" s="187"/>
      <c r="AK7" s="187"/>
      <c r="AL7" s="187"/>
      <c r="AM7" s="150"/>
      <c r="AN7" s="97">
        <f ca="1">TblProd[[#This Row],[Platinum]]</f>
        <v>114790</v>
      </c>
      <c r="AO7" s="97">
        <f ca="1">INDEX(TblProd[[#Headers],[Lumber]]:TblProd[[#This Row],[Ore]],COUNTA(TblProd[[#Headers],[Lumber]]:TblProd[[#This Row],[Lumber]]),MATCH(Military!$AO$2,TblProd[[#Headers],[Lumber]:[Ore]],0))</f>
        <v>0</v>
      </c>
      <c r="AP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97">
        <f ca="1">TblMili[[#This Row],[Train Unit 1]]*TblMili[[#This Row],[OP Ore]]+TblMili[[#This Row],[Train Unit 2]]*TblMili[[#This Row],[DP Ore]]+TblMili[[#This Row],[Train Unit 3]]*TblMili[[#This Row],[E1 Ore]]+TblMili[[#This Row],[Train Unit 4]]*TblMili[[#This Row],[E2 Ore]]</f>
        <v>0</v>
      </c>
      <c r="AR7" s="150">
        <f>TblMili[[#This Row],[Hour]]</f>
        <v>4</v>
      </c>
      <c r="AS7" s="160">
        <f ca="1">TblMili[[#This Row],[Time]]</f>
        <v>44810.874999999993</v>
      </c>
      <c r="AT7" s="97">
        <f ca="1">TblMili[[#This Row],[Draftees]]</f>
        <v>140</v>
      </c>
      <c r="AU7" s="187"/>
      <c r="AV7" s="187"/>
      <c r="AW7" s="187"/>
      <c r="AX7" s="187"/>
      <c r="AY7" s="187"/>
      <c r="AZ7" s="187"/>
      <c r="BA7" s="187"/>
      <c r="BB7" s="187"/>
      <c r="BC7" s="150"/>
      <c r="BD7" s="165">
        <f ca="1">TblConstr[[#This Row],[Tot WG]]/TblConstr[[#This Row],[Land]]</f>
        <v>0</v>
      </c>
      <c r="BE7" s="165">
        <f ca="1">TblConstr[[#This Row],[Tot Hav]]/TblConstr[[#This Row],[Land]]</f>
        <v>0</v>
      </c>
      <c r="BF7" s="97">
        <f ca="1">ROUNDUP((1-MIN(TblMili[[#This Row],[Smithies]]*smithy_bonus,smithy_bonus_cap) + tech_3_5*TblTech[[#This Row],[3-5]] + tech_5_3*TblTech[[#This Row],[5-3]] + tech_5_5*TblTech[[#This Row],[5-5]])*spec_op_plat,0)</f>
        <v>275</v>
      </c>
      <c r="BG7" s="97">
        <f ca="1">ROUNDUP(IF(race="Gnome",1,(1-MIN(TblMili[[#This Row],[Smithies]]*smithy_bonus,smithy_bonus_cap) + tech_3_5*TblTech[[#This Row],[3-5]] + tech_5_3*TblTech[[#This Row],[5-3]] + tech_5_5*TblTech[[#This Row],[5-5]]))*spec_op_ore,0)</f>
        <v>25</v>
      </c>
      <c r="BH7" s="97">
        <f ca="1">ROUNDUP((1-MIN(TblMili[[#This Row],[Smithies]]*smithy_bonus,smithy_bonus_cap) + tech_3_5*TblTech[[#This Row],[3-5]] + tech_5_3*TblTech[[#This Row],[5-3]] + tech_5_5*TblTech[[#This Row],[5-5]])*spec_dp_plat,0)</f>
        <v>275</v>
      </c>
      <c r="BI7" s="97">
        <f ca="1">ROUNDUP(IF(race="Gnome",1,(1-MIN(TblMili[[#This Row],[Smithies]]*smithy_bonus,smithy_bonus_cap) + tech_3_5*TblTech[[#This Row],[3-5]] + tech_5_3*TblTech[[#This Row],[5-3]] + tech_5_5*TblTech[[#This Row],[5-5]]))*spec_dp_ore,0)</f>
        <v>15</v>
      </c>
      <c r="BJ7" s="97">
        <f ca="1">ROUNDUP((1-MIN(TblMili[[#This Row],[Smithies]]*smithy_bonus,smithy_bonus_cap) + tech_3_5*TblTech[[#This Row],[3-5]] + tech_5_3*TblTech[[#This Row],[5-3]] + tech_5_5*TblTech[[#This Row],[5-5]])*elite1_plat,0)</f>
        <v>1000</v>
      </c>
      <c r="BK7" s="97">
        <f ca="1">ROUNDUP(IF(race="Gnome",1,(1-MIN(TblMili[[#This Row],[Smithies]]*smithy_bonus,smithy_bonus_cap) + tech_3_5*TblTech[[#This Row],[3-5]] + tech_5_3*TblTech[[#This Row],[5-3]] + tech_5_5*TblTech[[#This Row],[5-5]]))*elite1_ore,0)</f>
        <v>75</v>
      </c>
      <c r="BL7" s="97">
        <f ca="1">ROUNDUP((1-MIN(TblMili[[#This Row],[Smithies]]*smithy_bonus,smithy_bonus_cap) + tech_3_5*TblTech[[#This Row],[3-5]] + tech_5_3*TblTech[[#This Row],[5-3]] + tech_5_5*TblTech[[#This Row],[5-5]])*elite2_plat,0)</f>
        <v>1200</v>
      </c>
      <c r="BM7" s="97">
        <f ca="1">ROUNDUP(IF(race="Gnome",1,(1-MIN(TblMili[[#This Row],[Smithies]]*smithy_bonus,smithy_bonus_cap) + tech_3_5*TblTech[[#This Row],[3-5]] + tech_5_3*TblTech[[#This Row],[5-3]] + tech_5_5*TblTech[[#This Row],[5-5]]))*elite2_ore,0)</f>
        <v>100</v>
      </c>
      <c r="BN7" s="97">
        <f ca="1">ROUNDUP((1-MIN(ROUND(fh_spy_cost_red*TblMili[[#This Row],[FH''s]],4),fh_spy_cost_cap)+ tech_1_9*TblTech[[#This Row],[1-9]] + tech_9_1*TblTech[[#This Row],[9-1]])*spy_plat,0)</f>
        <v>500</v>
      </c>
      <c r="BO7" s="97">
        <f ca="1">ROUNDUP((1-MIN(ROUND(wg_wiz_cost_bonus*TblMili[[#This Row],[WG''s]],4),wg_wiz_cost_cap) + tech_1_9_2*TblTech[[#This Row],[1-9]] + tech_9_1_2*TblTech[[#This Row],[9-1]])*wizard_plat,0)</f>
        <v>500</v>
      </c>
      <c r="BP7" s="97">
        <f ca="1">ROUNDUP((1-MIN(ROUND(wg_wiz_cost_bonus*TblMili[[#This Row],[WG''s]],4),wg_wiz_cost_cap) + tech_1_9_2*TblTech[[#This Row],[1-9]] + tech_9_1_2*TblTech[[#This Row],[9-1]])*archmage_plat,0)</f>
        <v>1000</v>
      </c>
      <c r="BQ7" s="150"/>
      <c r="BR7" s="165">
        <f ca="1">TblConstr[[#This Row],[Homeland]]/TblConstr[[#This Row],[Land]]</f>
        <v>0.44</v>
      </c>
      <c r="BS7" s="165">
        <f ca="1">TblMili[[#This Row],[WG''s]]</f>
        <v>0</v>
      </c>
      <c r="BT7" s="271">
        <f ca="1">IF(mystic_cap="none",TblMili[[#This Row],[Hill]]/mystic_bonus,MIN(mystic_cap,TblMili[[#This Row],[Hill]]/mystic_bonus))</f>
        <v>2.1999999999999997</v>
      </c>
      <c r="BU7" s="271">
        <f ca="1">IF(druid_op_cap="none",TblMili[[#This Row],[Hill]]/druid_op_bonus,MIN(druid_op_cap,TblMili[[#This Row],[Hill]]/druid_op_bonus))</f>
        <v>2.1999999999999997</v>
      </c>
      <c r="BV7" s="271">
        <f ca="1">IF(druid_dp_cap="none",TblMili[[#This Row],[Hill]]/druid_dp_bonus,MIN(druid_dp_cap,TblMili[[#This Row],[Hill]]/druid_dp_bonus))</f>
        <v>2.1999999999999997</v>
      </c>
      <c r="BW7" s="271">
        <f ca="1">MIN(dryad_cap,TblMili[[#This Row],[Hill]]/dryad_bonus)</f>
        <v>2.1999999999999997</v>
      </c>
      <c r="BX7" s="271">
        <f ca="1">MIN(rocka_cap,TblMili[[#This Row],[Hill]]/rocka_bonus)</f>
        <v>2</v>
      </c>
      <c r="BY7" s="271">
        <f ca="1">MIN(adept_op_cap,TblMili[[#This Row],[WG]]/adept_op_bonus)</f>
        <v>0</v>
      </c>
      <c r="BZ7" s="271">
        <f ca="1">MIN(adept_dp_cap,TblMili[[#This Row],[WG]]/adept_dp_bonus)</f>
        <v>0</v>
      </c>
      <c r="CA7" s="97">
        <f ca="1">MIN(TblMili[[#This Row],[Unit 3]],TblMili[[#This Row],[Unit 4]])*2</f>
        <v>0</v>
      </c>
      <c r="CB7" s="97">
        <f ca="1">MIN(TblMili[[#This Row],[Unit 1]],TblMili[[#This Row],[Unit 4]])*2</f>
        <v>0</v>
      </c>
      <c r="CC7" s="271">
        <f ca="1">MIN(frost_mage_cap,TblMili[[#This Row],[Hill]]/frost_mage_bonus)</f>
        <v>2.1999999999999997</v>
      </c>
      <c r="CD7" s="45">
        <f ca="1">MIN(ice_elem_cap,TblMili[[#This Row],[Raw (2)]]*ice_elem_bonus)</f>
        <v>0.1</v>
      </c>
      <c r="CE7" s="271">
        <f t="shared" si="0"/>
        <v>1</v>
      </c>
      <c r="CF7" s="271">
        <f ca="1">MIN(nox_nightshade_cap,TblConstr[[#This Row],[Homeland]]/TblConstr[[#This Row],[Land]]/nox_nightshade_swamp_bonus)</f>
        <v>3</v>
      </c>
      <c r="CG7" s="272" t="s">
        <v>94</v>
      </c>
      <c r="CH7" s="272" t="b">
        <f t="shared" si="1"/>
        <v>0</v>
      </c>
      <c r="CI7" s="272"/>
      <c r="CJ7" s="271">
        <f ca="1">MIN(6,TblMili[[#This Row],[Mystic]]+Races!$F$19)*1.8 +  IF(TblMili[[#This Row],[Mystic]]+Races!$F$19&gt;6,(TblMili[[#This Row],[Mystic]]+Races!$F$19-6)*0.2,0) - Races!$I$19</f>
        <v>3.6399999999999997</v>
      </c>
      <c r="CK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7" s="97">
        <f ca="1">TblMili[[#This Row],[Mystic bonus]]*TblMili[[#This Row],[Unit 3]]+TblMili[[#This Row],[Druid bonus]]*TblMili[[#This Row],[Unit 4]]</f>
        <v>0</v>
      </c>
      <c r="CM7" s="163">
        <f ca="1">MIN(6,TblMili[[#This Row],[Dryad]]+Races!$F$35)*1.8 +  IF(TblMili[[#This Row],[Dryad]]+Races!$F$35&gt;6,(TblMili[[#This Row],[Dryad]]+Races!$F$35-6)*0.2,0) - Races!$I$19</f>
        <v>2.1599999999999993</v>
      </c>
      <c r="CN7" s="97">
        <f ca="1">sylvan*(TblMili[[#This Row],[Mystic bonus]]*TblMili[[#This Row],[Unit 3]])</f>
        <v>0</v>
      </c>
      <c r="CO7" s="163">
        <f ca="1">1.8 * MIN(MAX(Races!$E$27,TblMili[[#This Row],[Rockapult]]+Races!$F$27),6)  +  0.45 * MIN(MIN(Races!$E$27,TblMili[[#This Row],[Rockapult]]+Races!$F$27),6)  +  0.2 * ( MAX(Races!$E$27-6,0) + MAX(TblMili[[#This Row],[Rockapult]]+Races!$F$27-6,0) )  -  Races!$I$20</f>
        <v>5.8500000000000005</v>
      </c>
      <c r="CP7" s="97">
        <f ca="1">gnome*(TblMili[[#This Row],[Rockapult bonus]]*TblMili[[#This Row],[Unit 3]])</f>
        <v>0</v>
      </c>
      <c r="CQ7" s="163">
        <f ca="1">1.8 * MIN(MAX(TblMili[[#This Row],[Spellblade]]+Races!$E$47,TblMili[[#This Row],[Adept-DP]]+Races!$F$47),6)  +  0.45 * MIN(MIN(TblMili[[#This Row],[Spellblade]]+Races!$E$47,TblMili[[#This Row],[Adept-DP]]+Races!$F$47),6)  +  0.2 * ( MAX(TblMili[[#This Row],[Spellblade]]+Races!$E$47-6,0) + MAX(TblMili[[#This Row],[Adept-DP]]+Races!$F$47-6,0) )  -  Races!$I$47</f>
        <v>0</v>
      </c>
      <c r="CR7" s="97">
        <f ca="1">dark_elf*(TblMili[[#This Row],[Adept bonus]]*TblMili[[#This Row],[Unit 3]])</f>
        <v>0</v>
      </c>
      <c r="CS7" s="163">
        <f ca="1">1.8 * MIN(MAX(TblMili[[#This Row],[Frost Mage]]+Races!$F$71,Races!$E$71),6)  +  0.45 * MIN(MIN(TblMili[[#This Row],[Frost Mage]]+Races!$F$71,Races!$E$71),6)  +  0.2 * ( MAX(TblMili[[#This Row],[Frost Mage]]+Races!$F$71-6,0) + MAX(Races!$E$71-6,0) )  -  Races!$I$71</f>
        <v>3.9599999999999991</v>
      </c>
      <c r="CT7" s="163">
        <f ca="1">1.8 * MIN(MAX(TblMili[[#This Row],[Ice Elemental]]+Races!$E$71,Races!$F$71),6)  +  0.45 * MIN(MIN(TblMili[[#This Row],[Ice Elemental]]+Races!$E$71,Races!$F$71),6)  +  0.2 * ( MAX(TblMili[[#This Row],[Ice Elemental]]+Races!$E$71-6,0) + MAX(Races!$F$71-6,0) )  -  Races!$I$71</f>
        <v>0.17999999999999972</v>
      </c>
      <c r="CU7" s="97">
        <f ca="1">TblMili[[#This Row],[Frost Mage bonus]]*TblMili[[#This Row],[Unit 3]]+TblMili[[#This Row],[Ice Elemental bonus]]*TblMili[[#This Row],[Unit 4]]</f>
        <v>0</v>
      </c>
      <c r="CV7" s="273"/>
      <c r="CW7" s="151">
        <f ca="1">MIN(SUM(TblConstr[[#This Row],[Plain]:[Water]])/TblMili[[#This Row],[Land]]/favorable_terrain_bonus/100,favorable_terrain_max)</f>
        <v>0.1</v>
      </c>
      <c r="CX7" s="273"/>
      <c r="CY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50"/>
      <c r="DA7" s="274">
        <f ca="1">(TblMili[[#This Row],[Wizards]]+2*TblMili[[#This Row],[Archmages]])/TblConstr[[#This Row],[Land]]</f>
        <v>0.1</v>
      </c>
      <c r="DB7" s="274">
        <f ca="1">TblMili[[#This Row],[Raw (2)]]*(1+race_wizard_strength+IF(TblMili[[#This Row],[Hour]]&gt;72,tech_magical_weaponry_wiz*TblTech[[#This Row],[3-5]],0))</f>
        <v>0.1</v>
      </c>
    </row>
    <row r="8" spans="1:106" x14ac:dyDescent="0.2">
      <c r="A8" s="145">
        <f>TblRezone[[#This Row],[Hour]]</f>
        <v>5</v>
      </c>
      <c r="B8" s="266">
        <f ca="1">SUM(TblMili[[#This Row],[Unit 1]:[Archmages]])+SUM(OFFSET(TblMili[[#This Row],[Train Unit 1]],-4,0):TblMili[[#This Row],[Train Unit 4]])+TblMili[[#This Row],[Draftees]]</f>
        <v>354</v>
      </c>
      <c r="C8" s="165">
        <f ca="1">TblPop[[#This Row],[Military%]]</f>
        <v>0.20125071063104036</v>
      </c>
      <c r="D8" s="150"/>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f>
        <v>25</v>
      </c>
      <c r="J8" s="45">
        <f ca="1">OFFSET(TblMili[[#This Row],[Wizards]],-1,0)-TblMili[[#This Row],[Release Wizards]]-TblMili[[#This Row],[Train Arch]]</f>
        <v>25</v>
      </c>
      <c r="K8" s="45">
        <f ca="1">OFFSET(TblMili[[#This Row],[Archmages]],-1,0)-TblMili[[#This Row],[Release Arch]]</f>
        <v>0</v>
      </c>
      <c r="L8" s="150"/>
      <c r="M8" s="97">
        <f ca="1">TblProd[[#This Row],[Networth]]</f>
        <v>6450</v>
      </c>
      <c r="N8" s="150"/>
      <c r="O8" s="267">
        <f ca="1">TblMili[[#This Row],[Unit 1]]*spec_op+TblMili[[#This Row],[Unit 3]]*(elite1_base_op)+TblMili[[#This Row],[Unit 4]]*(elite2_base_op+dark_elf*TblMili[[#This Row],[Spellblade]]+icekin*TblMili[[#This Row],[Ice Elemental]]+woodie*TblMili[[#This Row],[Druid (op)]]+orc*TblMili[[#This Row],[Orc]])+kobold*TblMili[[#This Row],[Overlords]]</f>
        <v>0</v>
      </c>
      <c r="P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 s="267">
        <f ca="1">TblMili[[#This Row],[Raw]]*(1+TblMili[[#This Row],[Mods_Off]])</f>
        <v>0</v>
      </c>
      <c r="R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 s="267">
        <f ca="1">TblMili[[#This Row],[Non Draft]]+TblMili[[#This Row],[Draftees]]</f>
        <v>604</v>
      </c>
      <c r="T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269">
        <f ca="1">TblMili[[#This Row],[Non Draft]] * (1 + TblMili[[#This Row],[Mods_Def]])</f>
        <v>450</v>
      </c>
      <c r="V8" s="267">
        <f ca="1">TblMili[[#This Row],[Draft]] * (1 + TblMili[[#This Row],[Mods_Def]])</f>
        <v>604</v>
      </c>
      <c r="W8" s="267">
        <f ca="1">TblConstr[[#This Row],[Land]]</f>
        <v>250</v>
      </c>
      <c r="X8" s="270"/>
      <c r="Y8" s="275">
        <f ca="1">IF(TblMili[[#This Row],[Set]]&lt;&gt;"",TblMili[[#This Row],[Set]],OFFSET(TblMili[[#This Row],[Draftrate]],-1,0))</f>
        <v>0.35</v>
      </c>
      <c r="Z8" s="97">
        <f ca="1">OFFSET(TblMili[[#This Row],[Draftees]],-1,0)+OFFSET(TblPop[[#This Row],[Draft Growth]],-1,0) - SUM(TblMili[[#This Row],[Train Unit 1]:[Train Wiz]]) - TblMili[[#This Row],[Release Draft]] + SUM(TblMili[[#This Row],[Release Unit 1]:[Release Arch]]) -TblExplore[[#This Row],[Draftees (2)]]</f>
        <v>154</v>
      </c>
      <c r="AA8" s="162"/>
      <c r="AB8" s="188">
        <f ca="1">(TblConstr[[#This Row],[Tot Smi]]+TblConstr[[#This Row],[Dest Smi]])/(TblConstr[[#This Row],[Land]]-TblExplore[[#This Row],[Land Bonus]]*20)</f>
        <v>0</v>
      </c>
      <c r="AC8" s="145"/>
      <c r="AD8" s="266">
        <f>TblMili[[#This Row],[Hour]]</f>
        <v>5</v>
      </c>
      <c r="AE8" s="146">
        <f ca="1">TblExplore[[#This Row],[Time]]</f>
        <v>44810.916666666657</v>
      </c>
      <c r="AF8" s="187"/>
      <c r="AG8" s="187"/>
      <c r="AH8" s="187"/>
      <c r="AI8" s="187"/>
      <c r="AJ8" s="187"/>
      <c r="AK8" s="187"/>
      <c r="AL8" s="187"/>
      <c r="AM8" s="150"/>
      <c r="AN8" s="97">
        <f ca="1">TblProd[[#This Row],[Platinum]]</f>
        <v>119860</v>
      </c>
      <c r="AO8" s="97">
        <f ca="1">INDEX(TblProd[[#Headers],[Lumber]]:TblProd[[#This Row],[Ore]],COUNTA(TblProd[[#Headers],[Lumber]]:TblProd[[#This Row],[Lumber]]),MATCH(Military!$AO$2,TblProd[[#Headers],[Lumber]:[Ore]],0))</f>
        <v>0</v>
      </c>
      <c r="AP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97">
        <f ca="1">TblMili[[#This Row],[Train Unit 1]]*TblMili[[#This Row],[OP Ore]]+TblMili[[#This Row],[Train Unit 2]]*TblMili[[#This Row],[DP Ore]]+TblMili[[#This Row],[Train Unit 3]]*TblMili[[#This Row],[E1 Ore]]+TblMili[[#This Row],[Train Unit 4]]*TblMili[[#This Row],[E2 Ore]]</f>
        <v>0</v>
      </c>
      <c r="AR8" s="150">
        <f>TblMili[[#This Row],[Hour]]</f>
        <v>5</v>
      </c>
      <c r="AS8" s="160">
        <f ca="1">TblMili[[#This Row],[Time]]</f>
        <v>44810.916666666657</v>
      </c>
      <c r="AT8" s="97">
        <f ca="1">TblMili[[#This Row],[Draftees]]</f>
        <v>154</v>
      </c>
      <c r="AU8" s="187"/>
      <c r="AV8" s="187"/>
      <c r="AW8" s="187"/>
      <c r="AX8" s="187"/>
      <c r="AY8" s="187"/>
      <c r="AZ8" s="187"/>
      <c r="BA8" s="187"/>
      <c r="BB8" s="187"/>
      <c r="BC8" s="150"/>
      <c r="BD8" s="165">
        <f ca="1">TblConstr[[#This Row],[Tot WG]]/TblConstr[[#This Row],[Land]]</f>
        <v>0</v>
      </c>
      <c r="BE8" s="165">
        <f ca="1">TblConstr[[#This Row],[Tot Hav]]/TblConstr[[#This Row],[Land]]</f>
        <v>0</v>
      </c>
      <c r="BF8" s="97">
        <f ca="1">ROUNDUP((1-MIN(TblMili[[#This Row],[Smithies]]*smithy_bonus,smithy_bonus_cap) + tech_3_5*TblTech[[#This Row],[3-5]] + tech_5_3*TblTech[[#This Row],[5-3]] + tech_5_5*TblTech[[#This Row],[5-5]])*spec_op_plat,0)</f>
        <v>275</v>
      </c>
      <c r="BG8" s="97">
        <f ca="1">ROUNDUP(IF(race="Gnome",1,(1-MIN(TblMili[[#This Row],[Smithies]]*smithy_bonus,smithy_bonus_cap) + tech_3_5*TblTech[[#This Row],[3-5]] + tech_5_3*TblTech[[#This Row],[5-3]] + tech_5_5*TblTech[[#This Row],[5-5]]))*spec_op_ore,0)</f>
        <v>25</v>
      </c>
      <c r="BH8" s="97">
        <f ca="1">ROUNDUP((1-MIN(TblMili[[#This Row],[Smithies]]*smithy_bonus,smithy_bonus_cap) + tech_3_5*TblTech[[#This Row],[3-5]] + tech_5_3*TblTech[[#This Row],[5-3]] + tech_5_5*TblTech[[#This Row],[5-5]])*spec_dp_plat,0)</f>
        <v>275</v>
      </c>
      <c r="BI8" s="97">
        <f ca="1">ROUNDUP(IF(race="Gnome",1,(1-MIN(TblMili[[#This Row],[Smithies]]*smithy_bonus,smithy_bonus_cap) + tech_3_5*TblTech[[#This Row],[3-5]] + tech_5_3*TblTech[[#This Row],[5-3]] + tech_5_5*TblTech[[#This Row],[5-5]]))*spec_dp_ore,0)</f>
        <v>15</v>
      </c>
      <c r="BJ8" s="97">
        <f ca="1">ROUNDUP((1-MIN(TblMili[[#This Row],[Smithies]]*smithy_bonus,smithy_bonus_cap) + tech_3_5*TblTech[[#This Row],[3-5]] + tech_5_3*TblTech[[#This Row],[5-3]] + tech_5_5*TblTech[[#This Row],[5-5]])*elite1_plat,0)</f>
        <v>1000</v>
      </c>
      <c r="BK8" s="97">
        <f ca="1">ROUNDUP(IF(race="Gnome",1,(1-MIN(TblMili[[#This Row],[Smithies]]*smithy_bonus,smithy_bonus_cap) + tech_3_5*TblTech[[#This Row],[3-5]] + tech_5_3*TblTech[[#This Row],[5-3]] + tech_5_5*TblTech[[#This Row],[5-5]]))*elite1_ore,0)</f>
        <v>75</v>
      </c>
      <c r="BL8" s="97">
        <f ca="1">ROUNDUP((1-MIN(TblMili[[#This Row],[Smithies]]*smithy_bonus,smithy_bonus_cap) + tech_3_5*TblTech[[#This Row],[3-5]] + tech_5_3*TblTech[[#This Row],[5-3]] + tech_5_5*TblTech[[#This Row],[5-5]])*elite2_plat,0)</f>
        <v>1200</v>
      </c>
      <c r="BM8" s="97">
        <f ca="1">ROUNDUP(IF(race="Gnome",1,(1-MIN(TblMili[[#This Row],[Smithies]]*smithy_bonus,smithy_bonus_cap) + tech_3_5*TblTech[[#This Row],[3-5]] + tech_5_3*TblTech[[#This Row],[5-3]] + tech_5_5*TblTech[[#This Row],[5-5]]))*elite2_ore,0)</f>
        <v>100</v>
      </c>
      <c r="BN8" s="97">
        <f ca="1">ROUNDUP((1-MIN(ROUND(fh_spy_cost_red*TblMili[[#This Row],[FH''s]],4),fh_spy_cost_cap)+ tech_1_9*TblTech[[#This Row],[1-9]] + tech_9_1*TblTech[[#This Row],[9-1]])*spy_plat,0)</f>
        <v>500</v>
      </c>
      <c r="BO8" s="97">
        <f ca="1">ROUNDUP((1-MIN(ROUND(wg_wiz_cost_bonus*TblMili[[#This Row],[WG''s]],4),wg_wiz_cost_cap) + tech_1_9_2*TblTech[[#This Row],[1-9]] + tech_9_1_2*TblTech[[#This Row],[9-1]])*wizard_plat,0)</f>
        <v>500</v>
      </c>
      <c r="BP8" s="97">
        <f ca="1">ROUNDUP((1-MIN(ROUND(wg_wiz_cost_bonus*TblMili[[#This Row],[WG''s]],4),wg_wiz_cost_cap) + tech_1_9_2*TblTech[[#This Row],[1-9]] + tech_9_1_2*TblTech[[#This Row],[9-1]])*archmage_plat,0)</f>
        <v>1000</v>
      </c>
      <c r="BQ8" s="150"/>
      <c r="BR8" s="165">
        <f ca="1">TblConstr[[#This Row],[Homeland]]/TblConstr[[#This Row],[Land]]</f>
        <v>0.44</v>
      </c>
      <c r="BS8" s="165">
        <f ca="1">TblMili[[#This Row],[WG''s]]</f>
        <v>0</v>
      </c>
      <c r="BT8" s="271">
        <f ca="1">IF(mystic_cap="none",TblMili[[#This Row],[Hill]]/mystic_bonus,MIN(mystic_cap,TblMili[[#This Row],[Hill]]/mystic_bonus))</f>
        <v>2.1999999999999997</v>
      </c>
      <c r="BU8" s="271">
        <f ca="1">IF(druid_op_cap="none",TblMili[[#This Row],[Hill]]/druid_op_bonus,MIN(druid_op_cap,TblMili[[#This Row],[Hill]]/druid_op_bonus))</f>
        <v>2.1999999999999997</v>
      </c>
      <c r="BV8" s="271">
        <f ca="1">IF(druid_dp_cap="none",TblMili[[#This Row],[Hill]]/druid_dp_bonus,MIN(druid_dp_cap,TblMili[[#This Row],[Hill]]/druid_dp_bonus))</f>
        <v>2.1999999999999997</v>
      </c>
      <c r="BW8" s="271">
        <f ca="1">MIN(dryad_cap,TblMili[[#This Row],[Hill]]/dryad_bonus)</f>
        <v>2.1999999999999997</v>
      </c>
      <c r="BX8" s="271">
        <f ca="1">MIN(rocka_cap,TblMili[[#This Row],[Hill]]/rocka_bonus)</f>
        <v>2</v>
      </c>
      <c r="BY8" s="271">
        <f ca="1">MIN(adept_op_cap,TblMili[[#This Row],[WG]]/adept_op_bonus)</f>
        <v>0</v>
      </c>
      <c r="BZ8" s="271">
        <f ca="1">MIN(adept_dp_cap,TblMili[[#This Row],[WG]]/adept_dp_bonus)</f>
        <v>0</v>
      </c>
      <c r="CA8" s="97">
        <f ca="1">MIN(TblMili[[#This Row],[Unit 3]],TblMili[[#This Row],[Unit 4]])*2</f>
        <v>0</v>
      </c>
      <c r="CB8" s="97">
        <f ca="1">MIN(TblMili[[#This Row],[Unit 1]],TblMili[[#This Row],[Unit 4]])*2</f>
        <v>0</v>
      </c>
      <c r="CC8" s="271">
        <f ca="1">MIN(frost_mage_cap,TblMili[[#This Row],[Hill]]/frost_mage_bonus)</f>
        <v>2.1999999999999997</v>
      </c>
      <c r="CD8" s="45">
        <f ca="1">MIN(ice_elem_cap,TblMili[[#This Row],[Raw (2)]]*ice_elem_bonus)</f>
        <v>0.1</v>
      </c>
      <c r="CE8" s="271">
        <f t="shared" si="0"/>
        <v>1</v>
      </c>
      <c r="CF8" s="271">
        <f ca="1">MIN(nox_nightshade_cap,TblConstr[[#This Row],[Homeland]]/TblConstr[[#This Row],[Land]]/nox_nightshade_swamp_bonus)</f>
        <v>3</v>
      </c>
      <c r="CG8" s="272" t="s">
        <v>99</v>
      </c>
      <c r="CH8" s="272" t="b">
        <f t="shared" si="1"/>
        <v>0</v>
      </c>
      <c r="CI8" s="272"/>
      <c r="CJ8" s="271">
        <f ca="1">MIN(6,TblMili[[#This Row],[Mystic]]+Races!$F$19)*1.8 +  IF(TblMili[[#This Row],[Mystic]]+Races!$F$19&gt;6,(TblMili[[#This Row],[Mystic]]+Races!$F$19-6)*0.2,0) - Races!$I$19</f>
        <v>3.6399999999999997</v>
      </c>
      <c r="CK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8" s="97">
        <f ca="1">TblMili[[#This Row],[Mystic bonus]]*TblMili[[#This Row],[Unit 3]]+TblMili[[#This Row],[Druid bonus]]*TblMili[[#This Row],[Unit 4]]</f>
        <v>0</v>
      </c>
      <c r="CM8" s="163">
        <f ca="1">MIN(6,TblMili[[#This Row],[Dryad]]+Races!$F$35)*1.8 +  IF(TblMili[[#This Row],[Dryad]]+Races!$F$35&gt;6,(TblMili[[#This Row],[Dryad]]+Races!$F$35-6)*0.2,0) - Races!$I$19</f>
        <v>2.1599999999999993</v>
      </c>
      <c r="CN8" s="97">
        <f ca="1">sylvan*(TblMili[[#This Row],[Mystic bonus]]*TblMili[[#This Row],[Unit 3]])</f>
        <v>0</v>
      </c>
      <c r="CO8" s="163">
        <f ca="1">1.8 * MIN(MAX(Races!$E$27,TblMili[[#This Row],[Rockapult]]+Races!$F$27),6)  +  0.45 * MIN(MIN(Races!$E$27,TblMili[[#This Row],[Rockapult]]+Races!$F$27),6)  +  0.2 * ( MAX(Races!$E$27-6,0) + MAX(TblMili[[#This Row],[Rockapult]]+Races!$F$27-6,0) )  -  Races!$I$20</f>
        <v>5.8500000000000005</v>
      </c>
      <c r="CP8" s="97">
        <f ca="1">gnome*(TblMili[[#This Row],[Rockapult bonus]]*TblMili[[#This Row],[Unit 3]])</f>
        <v>0</v>
      </c>
      <c r="CQ8" s="163">
        <f ca="1">1.8 * MIN(MAX(TblMili[[#This Row],[Spellblade]]+Races!$E$47,TblMili[[#This Row],[Adept-DP]]+Races!$F$47),6)  +  0.45 * MIN(MIN(TblMili[[#This Row],[Spellblade]]+Races!$E$47,TblMili[[#This Row],[Adept-DP]]+Races!$F$47),6)  +  0.2 * ( MAX(TblMili[[#This Row],[Spellblade]]+Races!$E$47-6,0) + MAX(TblMili[[#This Row],[Adept-DP]]+Races!$F$47-6,0) )  -  Races!$I$47</f>
        <v>0</v>
      </c>
      <c r="CR8" s="97">
        <f ca="1">dark_elf*(TblMili[[#This Row],[Adept bonus]]*TblMili[[#This Row],[Unit 3]])</f>
        <v>0</v>
      </c>
      <c r="CS8" s="163">
        <f ca="1">1.8 * MIN(MAX(TblMili[[#This Row],[Frost Mage]]+Races!$F$71,Races!$E$71),6)  +  0.45 * MIN(MIN(TblMili[[#This Row],[Frost Mage]]+Races!$F$71,Races!$E$71),6)  +  0.2 * ( MAX(TblMili[[#This Row],[Frost Mage]]+Races!$F$71-6,0) + MAX(Races!$E$71-6,0) )  -  Races!$I$71</f>
        <v>3.9599999999999991</v>
      </c>
      <c r="CT8" s="163">
        <f ca="1">1.8 * MIN(MAX(TblMili[[#This Row],[Ice Elemental]]+Races!$E$71,Races!$F$71),6)  +  0.45 * MIN(MIN(TblMili[[#This Row],[Ice Elemental]]+Races!$E$71,Races!$F$71),6)  +  0.2 * ( MAX(TblMili[[#This Row],[Ice Elemental]]+Races!$E$71-6,0) + MAX(Races!$F$71-6,0) )  -  Races!$I$71</f>
        <v>0.17999999999999972</v>
      </c>
      <c r="CU8" s="97">
        <f ca="1">TblMili[[#This Row],[Frost Mage bonus]]*TblMili[[#This Row],[Unit 3]]+TblMili[[#This Row],[Ice Elemental bonus]]*TblMili[[#This Row],[Unit 4]]</f>
        <v>0</v>
      </c>
      <c r="CV8" s="273"/>
      <c r="CW8" s="151">
        <f ca="1">MIN(SUM(TblConstr[[#This Row],[Plain]:[Water]])/TblMili[[#This Row],[Land]]/favorable_terrain_bonus/100,favorable_terrain_max)</f>
        <v>0.1</v>
      </c>
      <c r="CX8" s="273"/>
      <c r="CY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50"/>
      <c r="DA8" s="274">
        <f ca="1">(TblMili[[#This Row],[Wizards]]+2*TblMili[[#This Row],[Archmages]])/TblConstr[[#This Row],[Land]]</f>
        <v>0.1</v>
      </c>
      <c r="DB8" s="274">
        <f ca="1">TblMili[[#This Row],[Raw (2)]]*(1+race_wizard_strength+IF(TblMili[[#This Row],[Hour]]&gt;72,tech_magical_weaponry_wiz*TblTech[[#This Row],[3-5]],0))</f>
        <v>0.1</v>
      </c>
    </row>
    <row r="9" spans="1:106" x14ac:dyDescent="0.2">
      <c r="A9" s="145">
        <f>TblRezone[[#This Row],[Hour]]</f>
        <v>6</v>
      </c>
      <c r="B9" s="266">
        <f ca="1">SUM(TblMili[[#This Row],[Unit 1]:[Archmages]])+SUM(OFFSET(TblMili[[#This Row],[Train Unit 1]],-5,0):TblMili[[#This Row],[Train Unit 4]])+TblMili[[#This Row],[Draftees]]</f>
        <v>368</v>
      </c>
      <c r="C9" s="165">
        <f ca="1">TblPop[[#This Row],[Military%]]</f>
        <v>0.20433092726263188</v>
      </c>
      <c r="D9" s="150"/>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f>
        <v>25</v>
      </c>
      <c r="J9" s="45">
        <f ca="1">OFFSET(TblMili[[#This Row],[Wizards]],-1,0)-TblMili[[#This Row],[Release Wizards]]-TblMili[[#This Row],[Train Arch]]</f>
        <v>25</v>
      </c>
      <c r="K9" s="45">
        <f ca="1">OFFSET(TblMili[[#This Row],[Archmages]],-1,0)-TblMili[[#This Row],[Release Arch]]</f>
        <v>0</v>
      </c>
      <c r="L9" s="150"/>
      <c r="M9" s="97">
        <f ca="1">TblProd[[#This Row],[Networth]]</f>
        <v>6450</v>
      </c>
      <c r="N9" s="150"/>
      <c r="O9" s="267">
        <f ca="1">TblMili[[#This Row],[Unit 1]]*spec_op+TblMili[[#This Row],[Unit 3]]*(elite1_base_op)+TblMili[[#This Row],[Unit 4]]*(elite2_base_op+dark_elf*TblMili[[#This Row],[Spellblade]]+icekin*TblMili[[#This Row],[Ice Elemental]]+woodie*TblMili[[#This Row],[Druid (op)]]+orc*TblMili[[#This Row],[Orc]])+kobold*TblMili[[#This Row],[Overlords]]</f>
        <v>0</v>
      </c>
      <c r="P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 s="267">
        <f ca="1">TblMili[[#This Row],[Raw]]*(1+TblMili[[#This Row],[Mods_Off]])</f>
        <v>0</v>
      </c>
      <c r="R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 s="267">
        <f ca="1">TblMili[[#This Row],[Non Draft]]+TblMili[[#This Row],[Draftees]]</f>
        <v>618</v>
      </c>
      <c r="T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269">
        <f ca="1">TblMili[[#This Row],[Non Draft]] * (1 + TblMili[[#This Row],[Mods_Def]])</f>
        <v>450</v>
      </c>
      <c r="V9" s="267">
        <f ca="1">TblMili[[#This Row],[Draft]] * (1 + TblMili[[#This Row],[Mods_Def]])</f>
        <v>618</v>
      </c>
      <c r="W9" s="267">
        <f ca="1">TblConstr[[#This Row],[Land]]</f>
        <v>250</v>
      </c>
      <c r="X9" s="270"/>
      <c r="Y9" s="275">
        <f ca="1">IF(TblMili[[#This Row],[Set]]&lt;&gt;"",TblMili[[#This Row],[Set]],OFFSET(TblMili[[#This Row],[Draftrate]],-1,0))</f>
        <v>0.35</v>
      </c>
      <c r="Z9" s="97">
        <f ca="1">OFFSET(TblMili[[#This Row],[Draftees]],-1,0)+OFFSET(TblPop[[#This Row],[Draft Growth]],-1,0) - SUM(TblMili[[#This Row],[Train Unit 1]:[Train Wiz]]) - TblMili[[#This Row],[Release Draft]] + SUM(TblMili[[#This Row],[Release Unit 1]:[Release Arch]]) -TblExplore[[#This Row],[Draftees (2)]]</f>
        <v>168</v>
      </c>
      <c r="AA9" s="162"/>
      <c r="AB9" s="188">
        <f ca="1">(TblConstr[[#This Row],[Tot Smi]]+TblConstr[[#This Row],[Dest Smi]])/(TblConstr[[#This Row],[Land]]-TblExplore[[#This Row],[Land Bonus]]*20)</f>
        <v>0</v>
      </c>
      <c r="AC9" s="145"/>
      <c r="AD9" s="266">
        <f>TblMili[[#This Row],[Hour]]</f>
        <v>6</v>
      </c>
      <c r="AE9" s="146">
        <f ca="1">TblExplore[[#This Row],[Time]]</f>
        <v>44810.958333333321</v>
      </c>
      <c r="AF9" s="187"/>
      <c r="AG9" s="187"/>
      <c r="AH9" s="187"/>
      <c r="AI9" s="187"/>
      <c r="AJ9" s="187"/>
      <c r="AK9" s="187"/>
      <c r="AL9" s="187"/>
      <c r="AM9" s="150"/>
      <c r="AN9" s="97">
        <f ca="1">TblProd[[#This Row],[Platinum]]</f>
        <v>125003</v>
      </c>
      <c r="AO9" s="97">
        <f ca="1">INDEX(TblProd[[#Headers],[Lumber]]:TblProd[[#This Row],[Ore]],COUNTA(TblProd[[#Headers],[Lumber]]:TblProd[[#This Row],[Lumber]]),MATCH(Military!$AO$2,TblProd[[#Headers],[Lumber]:[Ore]],0))</f>
        <v>0</v>
      </c>
      <c r="AP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97">
        <f ca="1">TblMili[[#This Row],[Train Unit 1]]*TblMili[[#This Row],[OP Ore]]+TblMili[[#This Row],[Train Unit 2]]*TblMili[[#This Row],[DP Ore]]+TblMili[[#This Row],[Train Unit 3]]*TblMili[[#This Row],[E1 Ore]]+TblMili[[#This Row],[Train Unit 4]]*TblMili[[#This Row],[E2 Ore]]</f>
        <v>0</v>
      </c>
      <c r="AR9" s="150">
        <f>TblMili[[#This Row],[Hour]]</f>
        <v>6</v>
      </c>
      <c r="AS9" s="160">
        <f ca="1">TblMili[[#This Row],[Time]]</f>
        <v>44810.958333333321</v>
      </c>
      <c r="AT9" s="97">
        <f ca="1">TblMili[[#This Row],[Draftees]]</f>
        <v>168</v>
      </c>
      <c r="AU9" s="187"/>
      <c r="AV9" s="187"/>
      <c r="AW9" s="187"/>
      <c r="AX9" s="187"/>
      <c r="AY9" s="187"/>
      <c r="AZ9" s="187"/>
      <c r="BA9" s="187"/>
      <c r="BB9" s="187"/>
      <c r="BC9" s="150"/>
      <c r="BD9" s="165">
        <f ca="1">TblConstr[[#This Row],[Tot WG]]/TblConstr[[#This Row],[Land]]</f>
        <v>0</v>
      </c>
      <c r="BE9" s="165">
        <f ca="1">TblConstr[[#This Row],[Tot Hav]]/TblConstr[[#This Row],[Land]]</f>
        <v>0</v>
      </c>
      <c r="BF9" s="97">
        <f ca="1">ROUNDUP((1-MIN(TblMili[[#This Row],[Smithies]]*smithy_bonus,smithy_bonus_cap) + tech_3_5*TblTech[[#This Row],[3-5]] + tech_5_3*TblTech[[#This Row],[5-3]] + tech_5_5*TblTech[[#This Row],[5-5]])*spec_op_plat,0)</f>
        <v>275</v>
      </c>
      <c r="BG9" s="97">
        <f ca="1">ROUNDUP(IF(race="Gnome",1,(1-MIN(TblMili[[#This Row],[Smithies]]*smithy_bonus,smithy_bonus_cap) + tech_3_5*TblTech[[#This Row],[3-5]] + tech_5_3*TblTech[[#This Row],[5-3]] + tech_5_5*TblTech[[#This Row],[5-5]]))*spec_op_ore,0)</f>
        <v>25</v>
      </c>
      <c r="BH9" s="97">
        <f ca="1">ROUNDUP((1-MIN(TblMili[[#This Row],[Smithies]]*smithy_bonus,smithy_bonus_cap) + tech_3_5*TblTech[[#This Row],[3-5]] + tech_5_3*TblTech[[#This Row],[5-3]] + tech_5_5*TblTech[[#This Row],[5-5]])*spec_dp_plat,0)</f>
        <v>275</v>
      </c>
      <c r="BI9" s="97">
        <f ca="1">ROUNDUP(IF(race="Gnome",1,(1-MIN(TblMili[[#This Row],[Smithies]]*smithy_bonus,smithy_bonus_cap) + tech_3_5*TblTech[[#This Row],[3-5]] + tech_5_3*TblTech[[#This Row],[5-3]] + tech_5_5*TblTech[[#This Row],[5-5]]))*spec_dp_ore,0)</f>
        <v>15</v>
      </c>
      <c r="BJ9" s="97">
        <f ca="1">ROUNDUP((1-MIN(TblMili[[#This Row],[Smithies]]*smithy_bonus,smithy_bonus_cap) + tech_3_5*TblTech[[#This Row],[3-5]] + tech_5_3*TblTech[[#This Row],[5-3]] + tech_5_5*TblTech[[#This Row],[5-5]])*elite1_plat,0)</f>
        <v>1000</v>
      </c>
      <c r="BK9" s="97">
        <f ca="1">ROUNDUP(IF(race="Gnome",1,(1-MIN(TblMili[[#This Row],[Smithies]]*smithy_bonus,smithy_bonus_cap) + tech_3_5*TblTech[[#This Row],[3-5]] + tech_5_3*TblTech[[#This Row],[5-3]] + tech_5_5*TblTech[[#This Row],[5-5]]))*elite1_ore,0)</f>
        <v>75</v>
      </c>
      <c r="BL9" s="97">
        <f ca="1">ROUNDUP((1-MIN(TblMili[[#This Row],[Smithies]]*smithy_bonus,smithy_bonus_cap) + tech_3_5*TblTech[[#This Row],[3-5]] + tech_5_3*TblTech[[#This Row],[5-3]] + tech_5_5*TblTech[[#This Row],[5-5]])*elite2_plat,0)</f>
        <v>1200</v>
      </c>
      <c r="BM9" s="97">
        <f ca="1">ROUNDUP(IF(race="Gnome",1,(1-MIN(TblMili[[#This Row],[Smithies]]*smithy_bonus,smithy_bonus_cap) + tech_3_5*TblTech[[#This Row],[3-5]] + tech_5_3*TblTech[[#This Row],[5-3]] + tech_5_5*TblTech[[#This Row],[5-5]]))*elite2_ore,0)</f>
        <v>100</v>
      </c>
      <c r="BN9" s="97">
        <f ca="1">ROUNDUP((1-MIN(ROUND(fh_spy_cost_red*TblMili[[#This Row],[FH''s]],4),fh_spy_cost_cap)+ tech_1_9*TblTech[[#This Row],[1-9]] + tech_9_1*TblTech[[#This Row],[9-1]])*spy_plat,0)</f>
        <v>500</v>
      </c>
      <c r="BO9" s="97">
        <f ca="1">ROUNDUP((1-MIN(ROUND(wg_wiz_cost_bonus*TblMili[[#This Row],[WG''s]],4),wg_wiz_cost_cap) + tech_1_9_2*TblTech[[#This Row],[1-9]] + tech_9_1_2*TblTech[[#This Row],[9-1]])*wizard_plat,0)</f>
        <v>500</v>
      </c>
      <c r="BP9" s="97">
        <f ca="1">ROUNDUP((1-MIN(ROUND(wg_wiz_cost_bonus*TblMili[[#This Row],[WG''s]],4),wg_wiz_cost_cap) + tech_1_9_2*TblTech[[#This Row],[1-9]] + tech_9_1_2*TblTech[[#This Row],[9-1]])*archmage_plat,0)</f>
        <v>1000</v>
      </c>
      <c r="BQ9" s="150"/>
      <c r="BR9" s="165">
        <f ca="1">TblConstr[[#This Row],[Homeland]]/TblConstr[[#This Row],[Land]]</f>
        <v>0.44</v>
      </c>
      <c r="BS9" s="165">
        <f ca="1">TblMili[[#This Row],[WG''s]]</f>
        <v>0</v>
      </c>
      <c r="BT9" s="271">
        <f ca="1">IF(mystic_cap="none",TblMili[[#This Row],[Hill]]/mystic_bonus,MIN(mystic_cap,TblMili[[#This Row],[Hill]]/mystic_bonus))</f>
        <v>2.1999999999999997</v>
      </c>
      <c r="BU9" s="271">
        <f ca="1">IF(druid_op_cap="none",TblMili[[#This Row],[Hill]]/druid_op_bonus,MIN(druid_op_cap,TblMili[[#This Row],[Hill]]/druid_op_bonus))</f>
        <v>2.1999999999999997</v>
      </c>
      <c r="BV9" s="271">
        <f ca="1">IF(druid_dp_cap="none",TblMili[[#This Row],[Hill]]/druid_dp_bonus,MIN(druid_dp_cap,TblMili[[#This Row],[Hill]]/druid_dp_bonus))</f>
        <v>2.1999999999999997</v>
      </c>
      <c r="BW9" s="271">
        <f ca="1">MIN(dryad_cap,TblMili[[#This Row],[Hill]]/dryad_bonus)</f>
        <v>2.1999999999999997</v>
      </c>
      <c r="BX9" s="271">
        <f ca="1">MIN(rocka_cap,TblMili[[#This Row],[Hill]]/rocka_bonus)</f>
        <v>2</v>
      </c>
      <c r="BY9" s="271">
        <f ca="1">MIN(adept_op_cap,TblMili[[#This Row],[WG]]/adept_op_bonus)</f>
        <v>0</v>
      </c>
      <c r="BZ9" s="271">
        <f ca="1">MIN(adept_dp_cap,TblMili[[#This Row],[WG]]/adept_dp_bonus)</f>
        <v>0</v>
      </c>
      <c r="CA9" s="97">
        <f ca="1">MIN(TblMili[[#This Row],[Unit 3]],TblMili[[#This Row],[Unit 4]])*2</f>
        <v>0</v>
      </c>
      <c r="CB9" s="97">
        <f ca="1">MIN(TblMili[[#This Row],[Unit 1]],TblMili[[#This Row],[Unit 4]])*2</f>
        <v>0</v>
      </c>
      <c r="CC9" s="271">
        <f ca="1">MIN(frost_mage_cap,TblMili[[#This Row],[Hill]]/frost_mage_bonus)</f>
        <v>2.1999999999999997</v>
      </c>
      <c r="CD9" s="45">
        <f ca="1">MIN(ice_elem_cap,TblMili[[#This Row],[Raw (2)]]*ice_elem_bonus)</f>
        <v>0.1</v>
      </c>
      <c r="CE9" s="271">
        <f t="shared" si="0"/>
        <v>1</v>
      </c>
      <c r="CF9" s="271">
        <f ca="1">MIN(nox_nightshade_cap,TblConstr[[#This Row],[Homeland]]/TblConstr[[#This Row],[Land]]/nox_nightshade_swamp_bonus)</f>
        <v>3</v>
      </c>
      <c r="CG9" s="272" t="s">
        <v>103</v>
      </c>
      <c r="CH9" s="272" t="b">
        <f t="shared" si="1"/>
        <v>0</v>
      </c>
      <c r="CI9" s="272"/>
      <c r="CJ9" s="271">
        <f ca="1">MIN(6,TblMili[[#This Row],[Mystic]]+Races!$F$19)*1.8 +  IF(TblMili[[#This Row],[Mystic]]+Races!$F$19&gt;6,(TblMili[[#This Row],[Mystic]]+Races!$F$19-6)*0.2,0) - Races!$I$19</f>
        <v>3.6399999999999997</v>
      </c>
      <c r="CK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9" s="97">
        <f ca="1">TblMili[[#This Row],[Mystic bonus]]*TblMili[[#This Row],[Unit 3]]+TblMili[[#This Row],[Druid bonus]]*TblMili[[#This Row],[Unit 4]]</f>
        <v>0</v>
      </c>
      <c r="CM9" s="163">
        <f ca="1">MIN(6,TblMili[[#This Row],[Dryad]]+Races!$F$35)*1.8 +  IF(TblMili[[#This Row],[Dryad]]+Races!$F$35&gt;6,(TblMili[[#This Row],[Dryad]]+Races!$F$35-6)*0.2,0) - Races!$I$19</f>
        <v>2.1599999999999993</v>
      </c>
      <c r="CN9" s="97">
        <f ca="1">sylvan*(TblMili[[#This Row],[Mystic bonus]]*TblMili[[#This Row],[Unit 3]])</f>
        <v>0</v>
      </c>
      <c r="CO9" s="163">
        <f ca="1">1.8 * MIN(MAX(Races!$E$27,TblMili[[#This Row],[Rockapult]]+Races!$F$27),6)  +  0.45 * MIN(MIN(Races!$E$27,TblMili[[#This Row],[Rockapult]]+Races!$F$27),6)  +  0.2 * ( MAX(Races!$E$27-6,0) + MAX(TblMili[[#This Row],[Rockapult]]+Races!$F$27-6,0) )  -  Races!$I$20</f>
        <v>5.8500000000000005</v>
      </c>
      <c r="CP9" s="97">
        <f ca="1">gnome*(TblMili[[#This Row],[Rockapult bonus]]*TblMili[[#This Row],[Unit 3]])</f>
        <v>0</v>
      </c>
      <c r="CQ9" s="163">
        <f ca="1">1.8 * MIN(MAX(TblMili[[#This Row],[Spellblade]]+Races!$E$47,TblMili[[#This Row],[Adept-DP]]+Races!$F$47),6)  +  0.45 * MIN(MIN(TblMili[[#This Row],[Spellblade]]+Races!$E$47,TblMili[[#This Row],[Adept-DP]]+Races!$F$47),6)  +  0.2 * ( MAX(TblMili[[#This Row],[Spellblade]]+Races!$E$47-6,0) + MAX(TblMili[[#This Row],[Adept-DP]]+Races!$F$47-6,0) )  -  Races!$I$47</f>
        <v>0</v>
      </c>
      <c r="CR9" s="97">
        <f ca="1">dark_elf*(TblMili[[#This Row],[Adept bonus]]*TblMili[[#This Row],[Unit 3]])</f>
        <v>0</v>
      </c>
      <c r="CS9" s="163">
        <f ca="1">1.8 * MIN(MAX(TblMili[[#This Row],[Frost Mage]]+Races!$F$71,Races!$E$71),6)  +  0.45 * MIN(MIN(TblMili[[#This Row],[Frost Mage]]+Races!$F$71,Races!$E$71),6)  +  0.2 * ( MAX(TblMili[[#This Row],[Frost Mage]]+Races!$F$71-6,0) + MAX(Races!$E$71-6,0) )  -  Races!$I$71</f>
        <v>3.9599999999999991</v>
      </c>
      <c r="CT9" s="163">
        <f ca="1">1.8 * MIN(MAX(TblMili[[#This Row],[Ice Elemental]]+Races!$E$71,Races!$F$71),6)  +  0.45 * MIN(MIN(TblMili[[#This Row],[Ice Elemental]]+Races!$E$71,Races!$F$71),6)  +  0.2 * ( MAX(TblMili[[#This Row],[Ice Elemental]]+Races!$E$71-6,0) + MAX(Races!$F$71-6,0) )  -  Races!$I$71</f>
        <v>0.17999999999999972</v>
      </c>
      <c r="CU9" s="97">
        <f ca="1">TblMili[[#This Row],[Frost Mage bonus]]*TblMili[[#This Row],[Unit 3]]+TblMili[[#This Row],[Ice Elemental bonus]]*TblMili[[#This Row],[Unit 4]]</f>
        <v>0</v>
      </c>
      <c r="CV9" s="273"/>
      <c r="CW9" s="151">
        <f ca="1">MIN(SUM(TblConstr[[#This Row],[Plain]:[Water]])/TblMili[[#This Row],[Land]]/favorable_terrain_bonus/100,favorable_terrain_max)</f>
        <v>0.1</v>
      </c>
      <c r="CX9" s="273"/>
      <c r="CY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50"/>
      <c r="DA9" s="274">
        <f ca="1">(TblMili[[#This Row],[Wizards]]+2*TblMili[[#This Row],[Archmages]])/TblConstr[[#This Row],[Land]]</f>
        <v>0.1</v>
      </c>
      <c r="DB9" s="274">
        <f ca="1">TblMili[[#This Row],[Raw (2)]]*(1+race_wizard_strength+IF(TblMili[[#This Row],[Hour]]&gt;72,tech_magical_weaponry_wiz*TblTech[[#This Row],[3-5]],0))</f>
        <v>0.1</v>
      </c>
    </row>
    <row r="10" spans="1:106" x14ac:dyDescent="0.2">
      <c r="A10" s="145">
        <f>TblRezone[[#This Row],[Hour]]</f>
        <v>7</v>
      </c>
      <c r="B10" s="266">
        <f ca="1">SUM(TblMili[[#This Row],[Unit 1]:[Archmages]])+SUM(OFFSET(TblMili[[#This Row],[Train Unit 1]],-6,0):TblMili[[#This Row],[Train Unit 4]])+TblMili[[#This Row],[Draftees]]</f>
        <v>382</v>
      </c>
      <c r="C10" s="165">
        <f ca="1">TblPop[[#This Row],[Military%]]</f>
        <v>0.20715835140997832</v>
      </c>
      <c r="D10" s="150"/>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f>
        <v>25</v>
      </c>
      <c r="J10" s="45">
        <f ca="1">OFFSET(TblMili[[#This Row],[Wizards]],-1,0)-TblMili[[#This Row],[Release Wizards]]-TblMili[[#This Row],[Train Arch]]</f>
        <v>25</v>
      </c>
      <c r="K10" s="45">
        <f ca="1">OFFSET(TblMili[[#This Row],[Archmages]],-1,0)-TblMili[[#This Row],[Release Arch]]</f>
        <v>0</v>
      </c>
      <c r="L10" s="150"/>
      <c r="M10" s="97">
        <f ca="1">TblProd[[#This Row],[Networth]]</f>
        <v>6450</v>
      </c>
      <c r="N10" s="150"/>
      <c r="O10" s="267">
        <f ca="1">TblMili[[#This Row],[Unit 1]]*spec_op+TblMili[[#This Row],[Unit 3]]*(elite1_base_op)+TblMili[[#This Row],[Unit 4]]*(elite2_base_op+dark_elf*TblMili[[#This Row],[Spellblade]]+icekin*TblMili[[#This Row],[Ice Elemental]]+woodie*TblMili[[#This Row],[Druid (op)]]+orc*TblMili[[#This Row],[Orc]])+kobold*TblMili[[#This Row],[Overlords]]</f>
        <v>0</v>
      </c>
      <c r="P1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 s="267">
        <f ca="1">TblMili[[#This Row],[Raw]]*(1+TblMili[[#This Row],[Mods_Off]])</f>
        <v>0</v>
      </c>
      <c r="R1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 s="267">
        <f ca="1">TblMili[[#This Row],[Non Draft]]+TblMili[[#This Row],[Draftees]]</f>
        <v>632</v>
      </c>
      <c r="T1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269">
        <f ca="1">TblMili[[#This Row],[Non Draft]] * (1 + TblMili[[#This Row],[Mods_Def]])</f>
        <v>450</v>
      </c>
      <c r="V10" s="267">
        <f ca="1">TblMili[[#This Row],[Draft]] * (1 + TblMili[[#This Row],[Mods_Def]])</f>
        <v>632</v>
      </c>
      <c r="W10" s="267">
        <f ca="1">TblConstr[[#This Row],[Land]]</f>
        <v>250</v>
      </c>
      <c r="X10" s="270"/>
      <c r="Y10" s="275">
        <f ca="1">IF(TblMili[[#This Row],[Set]]&lt;&gt;"",TblMili[[#This Row],[Set]],OFFSET(TblMili[[#This Row],[Draftrate]],-1,0))</f>
        <v>0.35</v>
      </c>
      <c r="Z10" s="97">
        <f ca="1">OFFSET(TblMili[[#This Row],[Draftees]],-1,0)+OFFSET(TblPop[[#This Row],[Draft Growth]],-1,0) - SUM(TblMili[[#This Row],[Train Unit 1]:[Train Wiz]]) - TblMili[[#This Row],[Release Draft]] + SUM(TblMili[[#This Row],[Release Unit 1]:[Release Arch]]) -TblExplore[[#This Row],[Draftees (2)]]</f>
        <v>182</v>
      </c>
      <c r="AA10" s="162"/>
      <c r="AB10" s="188">
        <f ca="1">(TblConstr[[#This Row],[Tot Smi]]+TblConstr[[#This Row],[Dest Smi]])/(TblConstr[[#This Row],[Land]]-TblExplore[[#This Row],[Land Bonus]]*20)</f>
        <v>0</v>
      </c>
      <c r="AC10" s="145"/>
      <c r="AD10" s="266">
        <f>TblMili[[#This Row],[Hour]]</f>
        <v>7</v>
      </c>
      <c r="AE10" s="146">
        <f ca="1">TblExplore[[#This Row],[Time]]</f>
        <v>44810.999999999985</v>
      </c>
      <c r="AF10" s="187"/>
      <c r="AG10" s="187"/>
      <c r="AH10" s="187"/>
      <c r="AI10" s="187"/>
      <c r="AJ10" s="187"/>
      <c r="AK10" s="187"/>
      <c r="AL10" s="187"/>
      <c r="AM10" s="150"/>
      <c r="AN10" s="97">
        <f ca="1">TblProd[[#This Row],[Platinum]]</f>
        <v>130222</v>
      </c>
      <c r="AO10" s="97">
        <f ca="1">INDEX(TblProd[[#Headers],[Lumber]]:TblProd[[#This Row],[Ore]],COUNTA(TblProd[[#Headers],[Lumber]]:TblProd[[#This Row],[Lumber]]),MATCH(Military!$AO$2,TblProd[[#Headers],[Lumber]:[Ore]],0))</f>
        <v>0</v>
      </c>
      <c r="AP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97">
        <f ca="1">TblMili[[#This Row],[Train Unit 1]]*TblMili[[#This Row],[OP Ore]]+TblMili[[#This Row],[Train Unit 2]]*TblMili[[#This Row],[DP Ore]]+TblMili[[#This Row],[Train Unit 3]]*TblMili[[#This Row],[E1 Ore]]+TblMili[[#This Row],[Train Unit 4]]*TblMili[[#This Row],[E2 Ore]]</f>
        <v>0</v>
      </c>
      <c r="AR10" s="150">
        <f>TblMili[[#This Row],[Hour]]</f>
        <v>7</v>
      </c>
      <c r="AS10" s="160">
        <f ca="1">TblMili[[#This Row],[Time]]</f>
        <v>44810.999999999985</v>
      </c>
      <c r="AT10" s="97">
        <f ca="1">TblMili[[#This Row],[Draftees]]</f>
        <v>182</v>
      </c>
      <c r="AU10" s="187"/>
      <c r="AV10" s="187"/>
      <c r="AW10" s="187"/>
      <c r="AX10" s="187"/>
      <c r="AY10" s="187"/>
      <c r="AZ10" s="187"/>
      <c r="BA10" s="187"/>
      <c r="BB10" s="187"/>
      <c r="BC10" s="150"/>
      <c r="BD10" s="165">
        <f ca="1">TblConstr[[#This Row],[Tot WG]]/TblConstr[[#This Row],[Land]]</f>
        <v>0</v>
      </c>
      <c r="BE10" s="165">
        <f ca="1">TblConstr[[#This Row],[Tot Hav]]/TblConstr[[#This Row],[Land]]</f>
        <v>0</v>
      </c>
      <c r="BF10" s="97">
        <f ca="1">ROUNDUP((1-MIN(TblMili[[#This Row],[Smithies]]*smithy_bonus,smithy_bonus_cap) + tech_3_5*TblTech[[#This Row],[3-5]] + tech_5_3*TblTech[[#This Row],[5-3]] + tech_5_5*TblTech[[#This Row],[5-5]])*spec_op_plat,0)</f>
        <v>275</v>
      </c>
      <c r="BG10" s="97">
        <f ca="1">ROUNDUP(IF(race="Gnome",1,(1-MIN(TblMili[[#This Row],[Smithies]]*smithy_bonus,smithy_bonus_cap) + tech_3_5*TblTech[[#This Row],[3-5]] + tech_5_3*TblTech[[#This Row],[5-3]] + tech_5_5*TblTech[[#This Row],[5-5]]))*spec_op_ore,0)</f>
        <v>25</v>
      </c>
      <c r="BH10" s="97">
        <f ca="1">ROUNDUP((1-MIN(TblMili[[#This Row],[Smithies]]*smithy_bonus,smithy_bonus_cap) + tech_3_5*TblTech[[#This Row],[3-5]] + tech_5_3*TblTech[[#This Row],[5-3]] + tech_5_5*TblTech[[#This Row],[5-5]])*spec_dp_plat,0)</f>
        <v>275</v>
      </c>
      <c r="BI10" s="97">
        <f ca="1">ROUNDUP(IF(race="Gnome",1,(1-MIN(TblMili[[#This Row],[Smithies]]*smithy_bonus,smithy_bonus_cap) + tech_3_5*TblTech[[#This Row],[3-5]] + tech_5_3*TblTech[[#This Row],[5-3]] + tech_5_5*TblTech[[#This Row],[5-5]]))*spec_dp_ore,0)</f>
        <v>15</v>
      </c>
      <c r="BJ10" s="97">
        <f ca="1">ROUNDUP((1-MIN(TblMili[[#This Row],[Smithies]]*smithy_bonus,smithy_bonus_cap) + tech_3_5*TblTech[[#This Row],[3-5]] + tech_5_3*TblTech[[#This Row],[5-3]] + tech_5_5*TblTech[[#This Row],[5-5]])*elite1_plat,0)</f>
        <v>1000</v>
      </c>
      <c r="BK10" s="97">
        <f ca="1">ROUNDUP(IF(race="Gnome",1,(1-MIN(TblMili[[#This Row],[Smithies]]*smithy_bonus,smithy_bonus_cap) + tech_3_5*TblTech[[#This Row],[3-5]] + tech_5_3*TblTech[[#This Row],[5-3]] + tech_5_5*TblTech[[#This Row],[5-5]]))*elite1_ore,0)</f>
        <v>75</v>
      </c>
      <c r="BL10" s="97">
        <f ca="1">ROUNDUP((1-MIN(TblMili[[#This Row],[Smithies]]*smithy_bonus,smithy_bonus_cap) + tech_3_5*TblTech[[#This Row],[3-5]] + tech_5_3*TblTech[[#This Row],[5-3]] + tech_5_5*TblTech[[#This Row],[5-5]])*elite2_plat,0)</f>
        <v>1200</v>
      </c>
      <c r="BM10" s="97">
        <f ca="1">ROUNDUP(IF(race="Gnome",1,(1-MIN(TblMili[[#This Row],[Smithies]]*smithy_bonus,smithy_bonus_cap) + tech_3_5*TblTech[[#This Row],[3-5]] + tech_5_3*TblTech[[#This Row],[5-3]] + tech_5_5*TblTech[[#This Row],[5-5]]))*elite2_ore,0)</f>
        <v>100</v>
      </c>
      <c r="BN10" s="97">
        <f ca="1">ROUNDUP((1-MIN(ROUND(fh_spy_cost_red*TblMili[[#This Row],[FH''s]],4),fh_spy_cost_cap)+ tech_1_9*TblTech[[#This Row],[1-9]] + tech_9_1*TblTech[[#This Row],[9-1]])*spy_plat,0)</f>
        <v>500</v>
      </c>
      <c r="BO10" s="97">
        <f ca="1">ROUNDUP((1-MIN(ROUND(wg_wiz_cost_bonus*TblMili[[#This Row],[WG''s]],4),wg_wiz_cost_cap) + tech_1_9_2*TblTech[[#This Row],[1-9]] + tech_9_1_2*TblTech[[#This Row],[9-1]])*wizard_plat,0)</f>
        <v>500</v>
      </c>
      <c r="BP10" s="97">
        <f ca="1">ROUNDUP((1-MIN(ROUND(wg_wiz_cost_bonus*TblMili[[#This Row],[WG''s]],4),wg_wiz_cost_cap) + tech_1_9_2*TblTech[[#This Row],[1-9]] + tech_9_1_2*TblTech[[#This Row],[9-1]])*archmage_plat,0)</f>
        <v>1000</v>
      </c>
      <c r="BQ10" s="150"/>
      <c r="BR10" s="165">
        <f ca="1">TblConstr[[#This Row],[Homeland]]/TblConstr[[#This Row],[Land]]</f>
        <v>0.44</v>
      </c>
      <c r="BS10" s="165">
        <f ca="1">TblMili[[#This Row],[WG''s]]</f>
        <v>0</v>
      </c>
      <c r="BT10" s="271">
        <f ca="1">IF(mystic_cap="none",TblMili[[#This Row],[Hill]]/mystic_bonus,MIN(mystic_cap,TblMili[[#This Row],[Hill]]/mystic_bonus))</f>
        <v>2.1999999999999997</v>
      </c>
      <c r="BU10" s="271">
        <f ca="1">IF(druid_op_cap="none",TblMili[[#This Row],[Hill]]/druid_op_bonus,MIN(druid_op_cap,TblMili[[#This Row],[Hill]]/druid_op_bonus))</f>
        <v>2.1999999999999997</v>
      </c>
      <c r="BV10" s="271">
        <f ca="1">IF(druid_dp_cap="none",TblMili[[#This Row],[Hill]]/druid_dp_bonus,MIN(druid_dp_cap,TblMili[[#This Row],[Hill]]/druid_dp_bonus))</f>
        <v>2.1999999999999997</v>
      </c>
      <c r="BW10" s="271">
        <f ca="1">MIN(dryad_cap,TblMili[[#This Row],[Hill]]/dryad_bonus)</f>
        <v>2.1999999999999997</v>
      </c>
      <c r="BX10" s="271">
        <f ca="1">MIN(rocka_cap,TblMili[[#This Row],[Hill]]/rocka_bonus)</f>
        <v>2</v>
      </c>
      <c r="BY10" s="271">
        <f ca="1">MIN(adept_op_cap,TblMili[[#This Row],[WG]]/adept_op_bonus)</f>
        <v>0</v>
      </c>
      <c r="BZ10" s="271">
        <f ca="1">MIN(adept_dp_cap,TblMili[[#This Row],[WG]]/adept_dp_bonus)</f>
        <v>0</v>
      </c>
      <c r="CA10" s="97">
        <f ca="1">MIN(TblMili[[#This Row],[Unit 3]],TblMili[[#This Row],[Unit 4]])*2</f>
        <v>0</v>
      </c>
      <c r="CB10" s="97">
        <f ca="1">MIN(TblMili[[#This Row],[Unit 1]],TblMili[[#This Row],[Unit 4]])*2</f>
        <v>0</v>
      </c>
      <c r="CC10" s="271">
        <f ca="1">MIN(frost_mage_cap,TblMili[[#This Row],[Hill]]/frost_mage_bonus)</f>
        <v>2.1999999999999997</v>
      </c>
      <c r="CD10" s="45">
        <f ca="1">MIN(ice_elem_cap,TblMili[[#This Row],[Raw (2)]]*ice_elem_bonus)</f>
        <v>0.1</v>
      </c>
      <c r="CE10" s="271">
        <f t="shared" si="0"/>
        <v>1</v>
      </c>
      <c r="CF10" s="271">
        <f ca="1">MIN(nox_nightshade_cap,TblConstr[[#This Row],[Homeland]]/TblConstr[[#This Row],[Land]]/nox_nightshade_swamp_bonus)</f>
        <v>3</v>
      </c>
      <c r="CG10" s="272" t="s">
        <v>335</v>
      </c>
      <c r="CH10" s="272" t="b">
        <f t="shared" si="1"/>
        <v>0</v>
      </c>
      <c r="CI10" s="272"/>
      <c r="CJ10" s="271">
        <f ca="1">MIN(6,TblMili[[#This Row],[Mystic]]+Races!$F$19)*1.8 +  IF(TblMili[[#This Row],[Mystic]]+Races!$F$19&gt;6,(TblMili[[#This Row],[Mystic]]+Races!$F$19-6)*0.2,0) - Races!$I$19</f>
        <v>3.6399999999999997</v>
      </c>
      <c r="CK1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97">
        <f ca="1">TblMili[[#This Row],[Mystic bonus]]*TblMili[[#This Row],[Unit 3]]+TblMili[[#This Row],[Druid bonus]]*TblMili[[#This Row],[Unit 4]]</f>
        <v>0</v>
      </c>
      <c r="CM10" s="163">
        <f ca="1">MIN(6,TblMili[[#This Row],[Dryad]]+Races!$F$35)*1.8 +  IF(TblMili[[#This Row],[Dryad]]+Races!$F$35&gt;6,(TblMili[[#This Row],[Dryad]]+Races!$F$35-6)*0.2,0) - Races!$I$19</f>
        <v>2.1599999999999993</v>
      </c>
      <c r="CN10" s="97">
        <f ca="1">sylvan*(TblMili[[#This Row],[Mystic bonus]]*TblMili[[#This Row],[Unit 3]])</f>
        <v>0</v>
      </c>
      <c r="CO10" s="163">
        <f ca="1">1.8 * MIN(MAX(Races!$E$27,TblMili[[#This Row],[Rockapult]]+Races!$F$27),6)  +  0.45 * MIN(MIN(Races!$E$27,TblMili[[#This Row],[Rockapult]]+Races!$F$27),6)  +  0.2 * ( MAX(Races!$E$27-6,0) + MAX(TblMili[[#This Row],[Rockapult]]+Races!$F$27-6,0) )  -  Races!$I$20</f>
        <v>5.8500000000000005</v>
      </c>
      <c r="CP10" s="97">
        <f ca="1">gnome*(TblMili[[#This Row],[Rockapult bonus]]*TblMili[[#This Row],[Unit 3]])</f>
        <v>0</v>
      </c>
      <c r="CQ10" s="163">
        <f ca="1">1.8 * MIN(MAX(TblMili[[#This Row],[Spellblade]]+Races!$E$47,TblMili[[#This Row],[Adept-DP]]+Races!$F$47),6)  +  0.45 * MIN(MIN(TblMili[[#This Row],[Spellblade]]+Races!$E$47,TblMili[[#This Row],[Adept-DP]]+Races!$F$47),6)  +  0.2 * ( MAX(TblMili[[#This Row],[Spellblade]]+Races!$E$47-6,0) + MAX(TblMili[[#This Row],[Adept-DP]]+Races!$F$47-6,0) )  -  Races!$I$47</f>
        <v>0</v>
      </c>
      <c r="CR10" s="97">
        <f ca="1">dark_elf*(TblMili[[#This Row],[Adept bonus]]*TblMili[[#This Row],[Unit 3]])</f>
        <v>0</v>
      </c>
      <c r="CS10" s="163">
        <f ca="1">1.8 * MIN(MAX(TblMili[[#This Row],[Frost Mage]]+Races!$F$71,Races!$E$71),6)  +  0.45 * MIN(MIN(TblMili[[#This Row],[Frost Mage]]+Races!$F$71,Races!$E$71),6)  +  0.2 * ( MAX(TblMili[[#This Row],[Frost Mage]]+Races!$F$71-6,0) + MAX(Races!$E$71-6,0) )  -  Races!$I$71</f>
        <v>3.9599999999999991</v>
      </c>
      <c r="CT10" s="163">
        <f ca="1">1.8 * MIN(MAX(TblMili[[#This Row],[Ice Elemental]]+Races!$E$71,Races!$F$71),6)  +  0.45 * MIN(MIN(TblMili[[#This Row],[Ice Elemental]]+Races!$E$71,Races!$F$71),6)  +  0.2 * ( MAX(TblMili[[#This Row],[Ice Elemental]]+Races!$E$71-6,0) + MAX(Races!$F$71-6,0) )  -  Races!$I$71</f>
        <v>0.17999999999999972</v>
      </c>
      <c r="CU10" s="97">
        <f ca="1">TblMili[[#This Row],[Frost Mage bonus]]*TblMili[[#This Row],[Unit 3]]+TblMili[[#This Row],[Ice Elemental bonus]]*TblMili[[#This Row],[Unit 4]]</f>
        <v>0</v>
      </c>
      <c r="CV10" s="273"/>
      <c r="CW10" s="151">
        <f ca="1">MIN(SUM(TblConstr[[#This Row],[Plain]:[Water]])/TblMili[[#This Row],[Land]]/favorable_terrain_bonus/100,favorable_terrain_max)</f>
        <v>0.1</v>
      </c>
      <c r="CX10" s="273"/>
      <c r="CY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50"/>
      <c r="DA10" s="274">
        <f ca="1">(TblMili[[#This Row],[Wizards]]+2*TblMili[[#This Row],[Archmages]])/TblConstr[[#This Row],[Land]]</f>
        <v>0.1</v>
      </c>
      <c r="DB10" s="274">
        <f ca="1">TblMili[[#This Row],[Raw (2)]]*(1+race_wizard_strength+IF(TblMili[[#This Row],[Hour]]&gt;72,tech_magical_weaponry_wiz*TblTech[[#This Row],[3-5]],0))</f>
        <v>0.1</v>
      </c>
    </row>
    <row r="11" spans="1:106" x14ac:dyDescent="0.2">
      <c r="A11" s="145">
        <f>TblRezone[[#This Row],[Hour]]</f>
        <v>8</v>
      </c>
      <c r="B11" s="266">
        <f ca="1">SUM(TblMili[[#This Row],[Unit 1]:[Archmages]])+SUM(OFFSET(TblMili[[#This Row],[Train Unit 1]],-7,0):TblMili[[#This Row],[Train Unit 4]])+TblMili[[#This Row],[Draftees]]</f>
        <v>397</v>
      </c>
      <c r="C11" s="165">
        <f ca="1">TblPop[[#This Row],[Military%]]</f>
        <v>0.21038685744568097</v>
      </c>
      <c r="D11" s="150"/>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f>
        <v>25</v>
      </c>
      <c r="J11" s="45">
        <f ca="1">OFFSET(TblMili[[#This Row],[Wizards]],-1,0)-TblMili[[#This Row],[Release Wizards]]-TblMili[[#This Row],[Train Arch]]</f>
        <v>25</v>
      </c>
      <c r="K11" s="45">
        <f ca="1">OFFSET(TblMili[[#This Row],[Archmages]],-1,0)-TblMili[[#This Row],[Release Arch]]</f>
        <v>0</v>
      </c>
      <c r="L11" s="150"/>
      <c r="M11" s="97">
        <f ca="1">TblProd[[#This Row],[Networth]]</f>
        <v>6450</v>
      </c>
      <c r="N11" s="150"/>
      <c r="O11" s="267">
        <f ca="1">TblMili[[#This Row],[Unit 1]]*spec_op+TblMili[[#This Row],[Unit 3]]*(elite1_base_op)+TblMili[[#This Row],[Unit 4]]*(elite2_base_op+dark_elf*TblMili[[#This Row],[Spellblade]]+icekin*TblMili[[#This Row],[Ice Elemental]]+woodie*TblMili[[#This Row],[Druid (op)]]+orc*TblMili[[#This Row],[Orc]])+kobold*TblMili[[#This Row],[Overlords]]</f>
        <v>0</v>
      </c>
      <c r="P1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 s="267">
        <f ca="1">TblMili[[#This Row],[Raw]]*(1+TblMili[[#This Row],[Mods_Off]])</f>
        <v>0</v>
      </c>
      <c r="R1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 s="267">
        <f ca="1">TblMili[[#This Row],[Non Draft]]+TblMili[[#This Row],[Draftees]]</f>
        <v>647</v>
      </c>
      <c r="T1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269">
        <f ca="1">TblMili[[#This Row],[Non Draft]] * (1 + TblMili[[#This Row],[Mods_Def]])</f>
        <v>450</v>
      </c>
      <c r="V11" s="267">
        <f ca="1">TblMili[[#This Row],[Draft]] * (1 + TblMili[[#This Row],[Mods_Def]])</f>
        <v>647</v>
      </c>
      <c r="W11" s="267">
        <f ca="1">TblConstr[[#This Row],[Land]]</f>
        <v>250</v>
      </c>
      <c r="X11" s="270"/>
      <c r="Y11" s="275">
        <f ca="1">IF(TblMili[[#This Row],[Set]]&lt;&gt;"",TblMili[[#This Row],[Set]],OFFSET(TblMili[[#This Row],[Draftrate]],-1,0))</f>
        <v>0.35</v>
      </c>
      <c r="Z11" s="97">
        <f ca="1">OFFSET(TblMili[[#This Row],[Draftees]],-1,0)+OFFSET(TblPop[[#This Row],[Draft Growth]],-1,0) - SUM(TblMili[[#This Row],[Train Unit 1]:[Train Wiz]]) - TblMili[[#This Row],[Release Draft]] + SUM(TblMili[[#This Row],[Release Unit 1]:[Release Arch]]) -TblExplore[[#This Row],[Draftees (2)]]</f>
        <v>197</v>
      </c>
      <c r="AA11" s="162"/>
      <c r="AB11" s="188">
        <f ca="1">(TblConstr[[#This Row],[Tot Smi]]+TblConstr[[#This Row],[Dest Smi]])/(TblConstr[[#This Row],[Land]]-TblExplore[[#This Row],[Land Bonus]]*20)</f>
        <v>0</v>
      </c>
      <c r="AC11" s="145"/>
      <c r="AD11" s="266">
        <f>TblMili[[#This Row],[Hour]]</f>
        <v>8</v>
      </c>
      <c r="AE11" s="146">
        <f ca="1">TblExplore[[#This Row],[Time]]</f>
        <v>44811.04166666665</v>
      </c>
      <c r="AF11" s="187"/>
      <c r="AG11" s="187"/>
      <c r="AH11" s="187"/>
      <c r="AI11" s="187"/>
      <c r="AJ11" s="187"/>
      <c r="AK11" s="187"/>
      <c r="AL11" s="187"/>
      <c r="AM11" s="150"/>
      <c r="AN11" s="97">
        <f ca="1">TblProd[[#This Row],[Platinum]]</f>
        <v>135519</v>
      </c>
      <c r="AO11" s="97">
        <f ca="1">INDEX(TblProd[[#Headers],[Lumber]]:TblProd[[#This Row],[Ore]],COUNTA(TblProd[[#Headers],[Lumber]]:TblProd[[#This Row],[Lumber]]),MATCH(Military!$AO$2,TblProd[[#Headers],[Lumber]:[Ore]],0))</f>
        <v>0</v>
      </c>
      <c r="AP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97">
        <f ca="1">TblMili[[#This Row],[Train Unit 1]]*TblMili[[#This Row],[OP Ore]]+TblMili[[#This Row],[Train Unit 2]]*TblMili[[#This Row],[DP Ore]]+TblMili[[#This Row],[Train Unit 3]]*TblMili[[#This Row],[E1 Ore]]+TblMili[[#This Row],[Train Unit 4]]*TblMili[[#This Row],[E2 Ore]]</f>
        <v>0</v>
      </c>
      <c r="AR11" s="150">
        <f>TblMili[[#This Row],[Hour]]</f>
        <v>8</v>
      </c>
      <c r="AS11" s="160">
        <f ca="1">TblMili[[#This Row],[Time]]</f>
        <v>44811.04166666665</v>
      </c>
      <c r="AT11" s="97">
        <f ca="1">TblMili[[#This Row],[Draftees]]</f>
        <v>197</v>
      </c>
      <c r="AU11" s="187"/>
      <c r="AV11" s="187"/>
      <c r="AW11" s="187"/>
      <c r="AX11" s="187"/>
      <c r="AY11" s="187"/>
      <c r="AZ11" s="187"/>
      <c r="BA11" s="187"/>
      <c r="BB11" s="187"/>
      <c r="BC11" s="150"/>
      <c r="BD11" s="165">
        <f ca="1">TblConstr[[#This Row],[Tot WG]]/TblConstr[[#This Row],[Land]]</f>
        <v>0</v>
      </c>
      <c r="BE11" s="165">
        <f ca="1">TblConstr[[#This Row],[Tot Hav]]/TblConstr[[#This Row],[Land]]</f>
        <v>0</v>
      </c>
      <c r="BF11" s="97">
        <f ca="1">ROUNDUP((1-MIN(TblMili[[#This Row],[Smithies]]*smithy_bonus,smithy_bonus_cap) + tech_3_5*TblTech[[#This Row],[3-5]] + tech_5_3*TblTech[[#This Row],[5-3]] + tech_5_5*TblTech[[#This Row],[5-5]])*spec_op_plat,0)</f>
        <v>275</v>
      </c>
      <c r="BG11" s="97">
        <f ca="1">ROUNDUP(IF(race="Gnome",1,(1-MIN(TblMili[[#This Row],[Smithies]]*smithy_bonus,smithy_bonus_cap) + tech_3_5*TblTech[[#This Row],[3-5]] + tech_5_3*TblTech[[#This Row],[5-3]] + tech_5_5*TblTech[[#This Row],[5-5]]))*spec_op_ore,0)</f>
        <v>25</v>
      </c>
      <c r="BH11" s="97">
        <f ca="1">ROUNDUP((1-MIN(TblMili[[#This Row],[Smithies]]*smithy_bonus,smithy_bonus_cap) + tech_3_5*TblTech[[#This Row],[3-5]] + tech_5_3*TblTech[[#This Row],[5-3]] + tech_5_5*TblTech[[#This Row],[5-5]])*spec_dp_plat,0)</f>
        <v>275</v>
      </c>
      <c r="BI11" s="97">
        <f ca="1">ROUNDUP(IF(race="Gnome",1,(1-MIN(TblMili[[#This Row],[Smithies]]*smithy_bonus,smithy_bonus_cap) + tech_3_5*TblTech[[#This Row],[3-5]] + tech_5_3*TblTech[[#This Row],[5-3]] + tech_5_5*TblTech[[#This Row],[5-5]]))*spec_dp_ore,0)</f>
        <v>15</v>
      </c>
      <c r="BJ11" s="97">
        <f ca="1">ROUNDUP((1-MIN(TblMili[[#This Row],[Smithies]]*smithy_bonus,smithy_bonus_cap) + tech_3_5*TblTech[[#This Row],[3-5]] + tech_5_3*TblTech[[#This Row],[5-3]] + tech_5_5*TblTech[[#This Row],[5-5]])*elite1_plat,0)</f>
        <v>1000</v>
      </c>
      <c r="BK11" s="97">
        <f ca="1">ROUNDUP(IF(race="Gnome",1,(1-MIN(TblMili[[#This Row],[Smithies]]*smithy_bonus,smithy_bonus_cap) + tech_3_5*TblTech[[#This Row],[3-5]] + tech_5_3*TblTech[[#This Row],[5-3]] + tech_5_5*TblTech[[#This Row],[5-5]]))*elite1_ore,0)</f>
        <v>75</v>
      </c>
      <c r="BL11" s="97">
        <f ca="1">ROUNDUP((1-MIN(TblMili[[#This Row],[Smithies]]*smithy_bonus,smithy_bonus_cap) + tech_3_5*TblTech[[#This Row],[3-5]] + tech_5_3*TblTech[[#This Row],[5-3]] + tech_5_5*TblTech[[#This Row],[5-5]])*elite2_plat,0)</f>
        <v>1200</v>
      </c>
      <c r="BM11" s="97">
        <f ca="1">ROUNDUP(IF(race="Gnome",1,(1-MIN(TblMili[[#This Row],[Smithies]]*smithy_bonus,smithy_bonus_cap) + tech_3_5*TblTech[[#This Row],[3-5]] + tech_5_3*TblTech[[#This Row],[5-3]] + tech_5_5*TblTech[[#This Row],[5-5]]))*elite2_ore,0)</f>
        <v>100</v>
      </c>
      <c r="BN11" s="97">
        <f ca="1">ROUNDUP((1-MIN(ROUND(fh_spy_cost_red*TblMili[[#This Row],[FH''s]],4),fh_spy_cost_cap)+ tech_1_9*TblTech[[#This Row],[1-9]] + tech_9_1*TblTech[[#This Row],[9-1]])*spy_plat,0)</f>
        <v>500</v>
      </c>
      <c r="BO11" s="97">
        <f ca="1">ROUNDUP((1-MIN(ROUND(wg_wiz_cost_bonus*TblMili[[#This Row],[WG''s]],4),wg_wiz_cost_cap) + tech_1_9_2*TblTech[[#This Row],[1-9]] + tech_9_1_2*TblTech[[#This Row],[9-1]])*wizard_plat,0)</f>
        <v>500</v>
      </c>
      <c r="BP11" s="97">
        <f ca="1">ROUNDUP((1-MIN(ROUND(wg_wiz_cost_bonus*TblMili[[#This Row],[WG''s]],4),wg_wiz_cost_cap) + tech_1_9_2*TblTech[[#This Row],[1-9]] + tech_9_1_2*TblTech[[#This Row],[9-1]])*archmage_plat,0)</f>
        <v>1000</v>
      </c>
      <c r="BQ11" s="150"/>
      <c r="BR11" s="165">
        <f ca="1">TblConstr[[#This Row],[Homeland]]/TblConstr[[#This Row],[Land]]</f>
        <v>0.44</v>
      </c>
      <c r="BS11" s="165">
        <f ca="1">TblMili[[#This Row],[WG''s]]</f>
        <v>0</v>
      </c>
      <c r="BT11" s="271">
        <f ca="1">IF(mystic_cap="none",TblMili[[#This Row],[Hill]]/mystic_bonus,MIN(mystic_cap,TblMili[[#This Row],[Hill]]/mystic_bonus))</f>
        <v>2.1999999999999997</v>
      </c>
      <c r="BU11" s="271">
        <f ca="1">IF(druid_op_cap="none",TblMili[[#This Row],[Hill]]/druid_op_bonus,MIN(druid_op_cap,TblMili[[#This Row],[Hill]]/druid_op_bonus))</f>
        <v>2.1999999999999997</v>
      </c>
      <c r="BV11" s="271">
        <f ca="1">IF(druid_dp_cap="none",TblMili[[#This Row],[Hill]]/druid_dp_bonus,MIN(druid_dp_cap,TblMili[[#This Row],[Hill]]/druid_dp_bonus))</f>
        <v>2.1999999999999997</v>
      </c>
      <c r="BW11" s="271">
        <f ca="1">MIN(dryad_cap,TblMili[[#This Row],[Hill]]/dryad_bonus)</f>
        <v>2.1999999999999997</v>
      </c>
      <c r="BX11" s="271">
        <f ca="1">MIN(rocka_cap,TblMili[[#This Row],[Hill]]/rocka_bonus)</f>
        <v>2</v>
      </c>
      <c r="BY11" s="271">
        <f ca="1">MIN(adept_op_cap,TblMili[[#This Row],[WG]]/adept_op_bonus)</f>
        <v>0</v>
      </c>
      <c r="BZ11" s="271">
        <f ca="1">MIN(adept_dp_cap,TblMili[[#This Row],[WG]]/adept_dp_bonus)</f>
        <v>0</v>
      </c>
      <c r="CA11" s="97">
        <f ca="1">MIN(TblMili[[#This Row],[Unit 3]],TblMili[[#This Row],[Unit 4]])*2</f>
        <v>0</v>
      </c>
      <c r="CB11" s="97">
        <f ca="1">MIN(TblMili[[#This Row],[Unit 1]],TblMili[[#This Row],[Unit 4]])*2</f>
        <v>0</v>
      </c>
      <c r="CC11" s="271">
        <f ca="1">MIN(frost_mage_cap,TblMili[[#This Row],[Hill]]/frost_mage_bonus)</f>
        <v>2.1999999999999997</v>
      </c>
      <c r="CD11" s="45">
        <f ca="1">MIN(ice_elem_cap,TblMili[[#This Row],[Raw (2)]]*ice_elem_bonus)</f>
        <v>0.1</v>
      </c>
      <c r="CE11" s="271">
        <f t="shared" si="0"/>
        <v>1</v>
      </c>
      <c r="CF11" s="271">
        <f ca="1">MIN(nox_nightshade_cap,TblConstr[[#This Row],[Homeland]]/TblConstr[[#This Row],[Land]]/nox_nightshade_swamp_bonus)</f>
        <v>3</v>
      </c>
      <c r="CG11" s="272" t="s">
        <v>145</v>
      </c>
      <c r="CH11" s="272" t="b">
        <f t="shared" si="1"/>
        <v>0</v>
      </c>
      <c r="CI11" s="272"/>
      <c r="CJ11" s="271">
        <f ca="1">MIN(6,TblMili[[#This Row],[Mystic]]+Races!$F$19)*1.8 +  IF(TblMili[[#This Row],[Mystic]]+Races!$F$19&gt;6,(TblMili[[#This Row],[Mystic]]+Races!$F$19-6)*0.2,0) - Races!$I$19</f>
        <v>3.6399999999999997</v>
      </c>
      <c r="CK1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97">
        <f ca="1">TblMili[[#This Row],[Mystic bonus]]*TblMili[[#This Row],[Unit 3]]+TblMili[[#This Row],[Druid bonus]]*TblMili[[#This Row],[Unit 4]]</f>
        <v>0</v>
      </c>
      <c r="CM11" s="163">
        <f ca="1">MIN(6,TblMili[[#This Row],[Dryad]]+Races!$F$35)*1.8 +  IF(TblMili[[#This Row],[Dryad]]+Races!$F$35&gt;6,(TblMili[[#This Row],[Dryad]]+Races!$F$35-6)*0.2,0) - Races!$I$19</f>
        <v>2.1599999999999993</v>
      </c>
      <c r="CN11" s="97">
        <f ca="1">sylvan*(TblMili[[#This Row],[Mystic bonus]]*TblMili[[#This Row],[Unit 3]])</f>
        <v>0</v>
      </c>
      <c r="CO11" s="163">
        <f ca="1">1.8 * MIN(MAX(Races!$E$27,TblMili[[#This Row],[Rockapult]]+Races!$F$27),6)  +  0.45 * MIN(MIN(Races!$E$27,TblMili[[#This Row],[Rockapult]]+Races!$F$27),6)  +  0.2 * ( MAX(Races!$E$27-6,0) + MAX(TblMili[[#This Row],[Rockapult]]+Races!$F$27-6,0) )  -  Races!$I$20</f>
        <v>5.8500000000000005</v>
      </c>
      <c r="CP11" s="97">
        <f ca="1">gnome*(TblMili[[#This Row],[Rockapult bonus]]*TblMili[[#This Row],[Unit 3]])</f>
        <v>0</v>
      </c>
      <c r="CQ11" s="163">
        <f ca="1">1.8 * MIN(MAX(TblMili[[#This Row],[Spellblade]]+Races!$E$47,TblMili[[#This Row],[Adept-DP]]+Races!$F$47),6)  +  0.45 * MIN(MIN(TblMili[[#This Row],[Spellblade]]+Races!$E$47,TblMili[[#This Row],[Adept-DP]]+Races!$F$47),6)  +  0.2 * ( MAX(TblMili[[#This Row],[Spellblade]]+Races!$E$47-6,0) + MAX(TblMili[[#This Row],[Adept-DP]]+Races!$F$47-6,0) )  -  Races!$I$47</f>
        <v>0</v>
      </c>
      <c r="CR11" s="97">
        <f ca="1">dark_elf*(TblMili[[#This Row],[Adept bonus]]*TblMili[[#This Row],[Unit 3]])</f>
        <v>0</v>
      </c>
      <c r="CS11" s="163">
        <f ca="1">1.8 * MIN(MAX(TblMili[[#This Row],[Frost Mage]]+Races!$F$71,Races!$E$71),6)  +  0.45 * MIN(MIN(TblMili[[#This Row],[Frost Mage]]+Races!$F$71,Races!$E$71),6)  +  0.2 * ( MAX(TblMili[[#This Row],[Frost Mage]]+Races!$F$71-6,0) + MAX(Races!$E$71-6,0) )  -  Races!$I$71</f>
        <v>3.9599999999999991</v>
      </c>
      <c r="CT11" s="163">
        <f ca="1">1.8 * MIN(MAX(TblMili[[#This Row],[Ice Elemental]]+Races!$E$71,Races!$F$71),6)  +  0.45 * MIN(MIN(TblMili[[#This Row],[Ice Elemental]]+Races!$E$71,Races!$F$71),6)  +  0.2 * ( MAX(TblMili[[#This Row],[Ice Elemental]]+Races!$E$71-6,0) + MAX(Races!$F$71-6,0) )  -  Races!$I$71</f>
        <v>0.17999999999999972</v>
      </c>
      <c r="CU11" s="97">
        <f ca="1">TblMili[[#This Row],[Frost Mage bonus]]*TblMili[[#This Row],[Unit 3]]+TblMili[[#This Row],[Ice Elemental bonus]]*TblMili[[#This Row],[Unit 4]]</f>
        <v>0</v>
      </c>
      <c r="CV11" s="273"/>
      <c r="CW11" s="151">
        <f ca="1">MIN(SUM(TblConstr[[#This Row],[Plain]:[Water]])/TblMili[[#This Row],[Land]]/favorable_terrain_bonus/100,favorable_terrain_max)</f>
        <v>0.1</v>
      </c>
      <c r="CX11" s="273"/>
      <c r="CY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50"/>
      <c r="DA11" s="274">
        <f ca="1">(TblMili[[#This Row],[Wizards]]+2*TblMili[[#This Row],[Archmages]])/TblConstr[[#This Row],[Land]]</f>
        <v>0.1</v>
      </c>
      <c r="DB11" s="274">
        <f ca="1">TblMili[[#This Row],[Raw (2)]]*(1+race_wizard_strength+IF(TblMili[[#This Row],[Hour]]&gt;72,tech_magical_weaponry_wiz*TblTech[[#This Row],[3-5]],0))</f>
        <v>0.1</v>
      </c>
    </row>
    <row r="12" spans="1:106" x14ac:dyDescent="0.2">
      <c r="A12" s="145">
        <f>TblRezone[[#This Row],[Hour]]</f>
        <v>9</v>
      </c>
      <c r="B12" s="266">
        <f ca="1">SUM(TblMili[[#This Row],[Unit 1]:[Archmages]])+SUM(OFFSET(TblMili[[#This Row],[Train Unit 1]],-8,0):TblMili[[#This Row],[Train Unit 4]])+TblMili[[#This Row],[Draftees]]</f>
        <v>412</v>
      </c>
      <c r="C12" s="165">
        <f ca="1">TblPop[[#This Row],[Military%]]</f>
        <v>0.21336095287415846</v>
      </c>
      <c r="D12" s="150"/>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f>
        <v>25</v>
      </c>
      <c r="J12" s="45">
        <f ca="1">OFFSET(TblMili[[#This Row],[Wizards]],-1,0)-TblMili[[#This Row],[Release Wizards]]-TblMili[[#This Row],[Train Arch]]</f>
        <v>25</v>
      </c>
      <c r="K12" s="45">
        <f ca="1">OFFSET(TblMili[[#This Row],[Archmages]],-1,0)-TblMili[[#This Row],[Release Arch]]</f>
        <v>0</v>
      </c>
      <c r="L12" s="150"/>
      <c r="M12" s="97">
        <f ca="1">TblProd[[#This Row],[Networth]]</f>
        <v>6450</v>
      </c>
      <c r="N12" s="150"/>
      <c r="O12" s="267">
        <f ca="1">TblMili[[#This Row],[Unit 1]]*spec_op+TblMili[[#This Row],[Unit 3]]*(elite1_base_op)+TblMili[[#This Row],[Unit 4]]*(elite2_base_op+dark_elf*TblMili[[#This Row],[Spellblade]]+icekin*TblMili[[#This Row],[Ice Elemental]]+woodie*TblMili[[#This Row],[Druid (op)]]+orc*TblMili[[#This Row],[Orc]])+kobold*TblMili[[#This Row],[Overlords]]</f>
        <v>0</v>
      </c>
      <c r="P1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 s="267">
        <f ca="1">TblMili[[#This Row],[Raw]]*(1+TblMili[[#This Row],[Mods_Off]])</f>
        <v>0</v>
      </c>
      <c r="R1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 s="267">
        <f ca="1">TblMili[[#This Row],[Non Draft]]+TblMili[[#This Row],[Draftees]]</f>
        <v>662</v>
      </c>
      <c r="T1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269">
        <f ca="1">TblMili[[#This Row],[Non Draft]] * (1 + TblMili[[#This Row],[Mods_Def]])</f>
        <v>450</v>
      </c>
      <c r="V12" s="267">
        <f ca="1">TblMili[[#This Row],[Draft]] * (1 + TblMili[[#This Row],[Mods_Def]])</f>
        <v>662</v>
      </c>
      <c r="W12" s="267">
        <f ca="1">TblConstr[[#This Row],[Land]]</f>
        <v>250</v>
      </c>
      <c r="X12" s="270"/>
      <c r="Y12" s="275">
        <f ca="1">IF(TblMili[[#This Row],[Set]]&lt;&gt;"",TblMili[[#This Row],[Set]],OFFSET(TblMili[[#This Row],[Draftrate]],-1,0))</f>
        <v>0.35</v>
      </c>
      <c r="Z12" s="97">
        <f ca="1">OFFSET(TblMili[[#This Row],[Draftees]],-1,0)+OFFSET(TblPop[[#This Row],[Draft Growth]],-1,0) - SUM(TblMili[[#This Row],[Train Unit 1]:[Train Wiz]]) - TblMili[[#This Row],[Release Draft]] + SUM(TblMili[[#This Row],[Release Unit 1]:[Release Arch]]) -TblExplore[[#This Row],[Draftees (2)]]</f>
        <v>212</v>
      </c>
      <c r="AA12" s="162"/>
      <c r="AB12" s="188">
        <f ca="1">(TblConstr[[#This Row],[Tot Smi]]+TblConstr[[#This Row],[Dest Smi]])/(TblConstr[[#This Row],[Land]]-TblExplore[[#This Row],[Land Bonus]]*20)</f>
        <v>0</v>
      </c>
      <c r="AC12" s="145"/>
      <c r="AD12" s="266">
        <f>TblMili[[#This Row],[Hour]]</f>
        <v>9</v>
      </c>
      <c r="AE12" s="146">
        <f ca="1">TblExplore[[#This Row],[Time]]</f>
        <v>44811.083333333314</v>
      </c>
      <c r="AF12" s="187"/>
      <c r="AG12" s="187"/>
      <c r="AH12" s="187"/>
      <c r="AI12" s="187"/>
      <c r="AJ12" s="187"/>
      <c r="AK12" s="187"/>
      <c r="AL12" s="187"/>
      <c r="AM12" s="150"/>
      <c r="AN12" s="97">
        <f ca="1">TblProd[[#This Row],[Platinum]]</f>
        <v>140892</v>
      </c>
      <c r="AO12" s="97">
        <f ca="1">INDEX(TblProd[[#Headers],[Lumber]]:TblProd[[#This Row],[Ore]],COUNTA(TblProd[[#Headers],[Lumber]]:TblProd[[#This Row],[Lumber]]),MATCH(Military!$AO$2,TblProd[[#Headers],[Lumber]:[Ore]],0))</f>
        <v>0</v>
      </c>
      <c r="AP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97">
        <f ca="1">TblMili[[#This Row],[Train Unit 1]]*TblMili[[#This Row],[OP Ore]]+TblMili[[#This Row],[Train Unit 2]]*TblMili[[#This Row],[DP Ore]]+TblMili[[#This Row],[Train Unit 3]]*TblMili[[#This Row],[E1 Ore]]+TblMili[[#This Row],[Train Unit 4]]*TblMili[[#This Row],[E2 Ore]]</f>
        <v>0</v>
      </c>
      <c r="AR12" s="150">
        <f>TblMili[[#This Row],[Hour]]</f>
        <v>9</v>
      </c>
      <c r="AS12" s="160">
        <f ca="1">TblMili[[#This Row],[Time]]</f>
        <v>44811.083333333314</v>
      </c>
      <c r="AT12" s="97">
        <f ca="1">TblMili[[#This Row],[Draftees]]</f>
        <v>212</v>
      </c>
      <c r="AU12" s="187"/>
      <c r="AV12" s="187"/>
      <c r="AW12" s="187"/>
      <c r="AX12" s="187"/>
      <c r="AY12" s="187"/>
      <c r="AZ12" s="187"/>
      <c r="BA12" s="187"/>
      <c r="BB12" s="187"/>
      <c r="BC12" s="150"/>
      <c r="BD12" s="165">
        <f ca="1">TblConstr[[#This Row],[Tot WG]]/TblConstr[[#This Row],[Land]]</f>
        <v>0</v>
      </c>
      <c r="BE12" s="165">
        <f ca="1">TblConstr[[#This Row],[Tot Hav]]/TblConstr[[#This Row],[Land]]</f>
        <v>0</v>
      </c>
      <c r="BF12" s="97">
        <f ca="1">ROUNDUP((1-MIN(TblMili[[#This Row],[Smithies]]*smithy_bonus,smithy_bonus_cap) + tech_3_5*TblTech[[#This Row],[3-5]] + tech_5_3*TblTech[[#This Row],[5-3]] + tech_5_5*TblTech[[#This Row],[5-5]])*spec_op_plat,0)</f>
        <v>275</v>
      </c>
      <c r="BG12" s="97">
        <f ca="1">ROUNDUP(IF(race="Gnome",1,(1-MIN(TblMili[[#This Row],[Smithies]]*smithy_bonus,smithy_bonus_cap) + tech_3_5*TblTech[[#This Row],[3-5]] + tech_5_3*TblTech[[#This Row],[5-3]] + tech_5_5*TblTech[[#This Row],[5-5]]))*spec_op_ore,0)</f>
        <v>25</v>
      </c>
      <c r="BH12" s="97">
        <f ca="1">ROUNDUP((1-MIN(TblMili[[#This Row],[Smithies]]*smithy_bonus,smithy_bonus_cap) + tech_3_5*TblTech[[#This Row],[3-5]] + tech_5_3*TblTech[[#This Row],[5-3]] + tech_5_5*TblTech[[#This Row],[5-5]])*spec_dp_plat,0)</f>
        <v>275</v>
      </c>
      <c r="BI12" s="97">
        <f ca="1">ROUNDUP(IF(race="Gnome",1,(1-MIN(TblMili[[#This Row],[Smithies]]*smithy_bonus,smithy_bonus_cap) + tech_3_5*TblTech[[#This Row],[3-5]] + tech_5_3*TblTech[[#This Row],[5-3]] + tech_5_5*TblTech[[#This Row],[5-5]]))*spec_dp_ore,0)</f>
        <v>15</v>
      </c>
      <c r="BJ12" s="97">
        <f ca="1">ROUNDUP((1-MIN(TblMili[[#This Row],[Smithies]]*smithy_bonus,smithy_bonus_cap) + tech_3_5*TblTech[[#This Row],[3-5]] + tech_5_3*TblTech[[#This Row],[5-3]] + tech_5_5*TblTech[[#This Row],[5-5]])*elite1_plat,0)</f>
        <v>1000</v>
      </c>
      <c r="BK12" s="97">
        <f ca="1">ROUNDUP(IF(race="Gnome",1,(1-MIN(TblMili[[#This Row],[Smithies]]*smithy_bonus,smithy_bonus_cap) + tech_3_5*TblTech[[#This Row],[3-5]] + tech_5_3*TblTech[[#This Row],[5-3]] + tech_5_5*TblTech[[#This Row],[5-5]]))*elite1_ore,0)</f>
        <v>75</v>
      </c>
      <c r="BL12" s="97">
        <f ca="1">ROUNDUP((1-MIN(TblMili[[#This Row],[Smithies]]*smithy_bonus,smithy_bonus_cap) + tech_3_5*TblTech[[#This Row],[3-5]] + tech_5_3*TblTech[[#This Row],[5-3]] + tech_5_5*TblTech[[#This Row],[5-5]])*elite2_plat,0)</f>
        <v>1200</v>
      </c>
      <c r="BM12" s="97">
        <f ca="1">ROUNDUP(IF(race="Gnome",1,(1-MIN(TblMili[[#This Row],[Smithies]]*smithy_bonus,smithy_bonus_cap) + tech_3_5*TblTech[[#This Row],[3-5]] + tech_5_3*TblTech[[#This Row],[5-3]] + tech_5_5*TblTech[[#This Row],[5-5]]))*elite2_ore,0)</f>
        <v>100</v>
      </c>
      <c r="BN12" s="97">
        <f ca="1">ROUNDUP((1-MIN(ROUND(fh_spy_cost_red*TblMili[[#This Row],[FH''s]],4),fh_spy_cost_cap)+ tech_1_9*TblTech[[#This Row],[1-9]] + tech_9_1*TblTech[[#This Row],[9-1]])*spy_plat,0)</f>
        <v>500</v>
      </c>
      <c r="BO12" s="97">
        <f ca="1">ROUNDUP((1-MIN(ROUND(wg_wiz_cost_bonus*TblMili[[#This Row],[WG''s]],4),wg_wiz_cost_cap) + tech_1_9_2*TblTech[[#This Row],[1-9]] + tech_9_1_2*TblTech[[#This Row],[9-1]])*wizard_plat,0)</f>
        <v>500</v>
      </c>
      <c r="BP12" s="97">
        <f ca="1">ROUNDUP((1-MIN(ROUND(wg_wiz_cost_bonus*TblMili[[#This Row],[WG''s]],4),wg_wiz_cost_cap) + tech_1_9_2*TblTech[[#This Row],[1-9]] + tech_9_1_2*TblTech[[#This Row],[9-1]])*archmage_plat,0)</f>
        <v>1000</v>
      </c>
      <c r="BQ12" s="150"/>
      <c r="BR12" s="165">
        <f ca="1">TblConstr[[#This Row],[Homeland]]/TblConstr[[#This Row],[Land]]</f>
        <v>0.44</v>
      </c>
      <c r="BS12" s="165">
        <f ca="1">TblMili[[#This Row],[WG''s]]</f>
        <v>0</v>
      </c>
      <c r="BT12" s="271">
        <f ca="1">IF(mystic_cap="none",TblMili[[#This Row],[Hill]]/mystic_bonus,MIN(mystic_cap,TblMili[[#This Row],[Hill]]/mystic_bonus))</f>
        <v>2.1999999999999997</v>
      </c>
      <c r="BU12" s="271">
        <f ca="1">IF(druid_op_cap="none",TblMili[[#This Row],[Hill]]/druid_op_bonus,MIN(druid_op_cap,TblMili[[#This Row],[Hill]]/druid_op_bonus))</f>
        <v>2.1999999999999997</v>
      </c>
      <c r="BV12" s="271">
        <f ca="1">IF(druid_dp_cap="none",TblMili[[#This Row],[Hill]]/druid_dp_bonus,MIN(druid_dp_cap,TblMili[[#This Row],[Hill]]/druid_dp_bonus))</f>
        <v>2.1999999999999997</v>
      </c>
      <c r="BW12" s="271">
        <f ca="1">MIN(dryad_cap,TblMili[[#This Row],[Hill]]/dryad_bonus)</f>
        <v>2.1999999999999997</v>
      </c>
      <c r="BX12" s="271">
        <f ca="1">MIN(rocka_cap,TblMili[[#This Row],[Hill]]/rocka_bonus)</f>
        <v>2</v>
      </c>
      <c r="BY12" s="271">
        <f ca="1">MIN(adept_op_cap,TblMili[[#This Row],[WG]]/adept_op_bonus)</f>
        <v>0</v>
      </c>
      <c r="BZ12" s="271">
        <f ca="1">MIN(adept_dp_cap,TblMili[[#This Row],[WG]]/adept_dp_bonus)</f>
        <v>0</v>
      </c>
      <c r="CA12" s="97">
        <f ca="1">MIN(TblMili[[#This Row],[Unit 3]],TblMili[[#This Row],[Unit 4]])*2</f>
        <v>0</v>
      </c>
      <c r="CB12" s="97">
        <f ca="1">MIN(TblMili[[#This Row],[Unit 1]],TblMili[[#This Row],[Unit 4]])*2</f>
        <v>0</v>
      </c>
      <c r="CC12" s="271">
        <f ca="1">MIN(frost_mage_cap,TblMili[[#This Row],[Hill]]/frost_mage_bonus)</f>
        <v>2.1999999999999997</v>
      </c>
      <c r="CD12" s="45">
        <f ca="1">MIN(ice_elem_cap,TblMili[[#This Row],[Raw (2)]]*ice_elem_bonus)</f>
        <v>0.1</v>
      </c>
      <c r="CE12" s="271">
        <f t="shared" si="0"/>
        <v>1</v>
      </c>
      <c r="CF12" s="271">
        <f ca="1">MIN(nox_nightshade_cap,TblConstr[[#This Row],[Homeland]]/TblConstr[[#This Row],[Land]]/nox_nightshade_swamp_bonus)</f>
        <v>3</v>
      </c>
      <c r="CG12" s="272" t="s">
        <v>507</v>
      </c>
      <c r="CH12" s="272" t="b">
        <f t="shared" si="1"/>
        <v>0</v>
      </c>
      <c r="CI12" s="272"/>
      <c r="CJ12" s="271">
        <f ca="1">MIN(6,TblMili[[#This Row],[Mystic]]+Races!$F$19)*1.8 +  IF(TblMili[[#This Row],[Mystic]]+Races!$F$19&gt;6,(TblMili[[#This Row],[Mystic]]+Races!$F$19-6)*0.2,0) - Races!$I$19</f>
        <v>3.6399999999999997</v>
      </c>
      <c r="CK1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97">
        <f ca="1">TblMili[[#This Row],[Mystic bonus]]*TblMili[[#This Row],[Unit 3]]+TblMili[[#This Row],[Druid bonus]]*TblMili[[#This Row],[Unit 4]]</f>
        <v>0</v>
      </c>
      <c r="CM12" s="163">
        <f ca="1">MIN(6,TblMili[[#This Row],[Dryad]]+Races!$F$35)*1.8 +  IF(TblMili[[#This Row],[Dryad]]+Races!$F$35&gt;6,(TblMili[[#This Row],[Dryad]]+Races!$F$35-6)*0.2,0) - Races!$I$19</f>
        <v>2.1599999999999993</v>
      </c>
      <c r="CN12" s="97">
        <f ca="1">sylvan*(TblMili[[#This Row],[Mystic bonus]]*TblMili[[#This Row],[Unit 3]])</f>
        <v>0</v>
      </c>
      <c r="CO12" s="163">
        <f ca="1">1.8 * MIN(MAX(Races!$E$27,TblMili[[#This Row],[Rockapult]]+Races!$F$27),6)  +  0.45 * MIN(MIN(Races!$E$27,TblMili[[#This Row],[Rockapult]]+Races!$F$27),6)  +  0.2 * ( MAX(Races!$E$27-6,0) + MAX(TblMili[[#This Row],[Rockapult]]+Races!$F$27-6,0) )  -  Races!$I$20</f>
        <v>5.8500000000000005</v>
      </c>
      <c r="CP12" s="97">
        <f ca="1">gnome*(TblMili[[#This Row],[Rockapult bonus]]*TblMili[[#This Row],[Unit 3]])</f>
        <v>0</v>
      </c>
      <c r="CQ12" s="163">
        <f ca="1">1.8 * MIN(MAX(TblMili[[#This Row],[Spellblade]]+Races!$E$47,TblMili[[#This Row],[Adept-DP]]+Races!$F$47),6)  +  0.45 * MIN(MIN(TblMili[[#This Row],[Spellblade]]+Races!$E$47,TblMili[[#This Row],[Adept-DP]]+Races!$F$47),6)  +  0.2 * ( MAX(TblMili[[#This Row],[Spellblade]]+Races!$E$47-6,0) + MAX(TblMili[[#This Row],[Adept-DP]]+Races!$F$47-6,0) )  -  Races!$I$47</f>
        <v>0</v>
      </c>
      <c r="CR12" s="97">
        <f ca="1">dark_elf*(TblMili[[#This Row],[Adept bonus]]*TblMili[[#This Row],[Unit 3]])</f>
        <v>0</v>
      </c>
      <c r="CS12" s="163">
        <f ca="1">1.8 * MIN(MAX(TblMili[[#This Row],[Frost Mage]]+Races!$F$71,Races!$E$71),6)  +  0.45 * MIN(MIN(TblMili[[#This Row],[Frost Mage]]+Races!$F$71,Races!$E$71),6)  +  0.2 * ( MAX(TblMili[[#This Row],[Frost Mage]]+Races!$F$71-6,0) + MAX(Races!$E$71-6,0) )  -  Races!$I$71</f>
        <v>3.9599999999999991</v>
      </c>
      <c r="CT12" s="163">
        <f ca="1">1.8 * MIN(MAX(TblMili[[#This Row],[Ice Elemental]]+Races!$E$71,Races!$F$71),6)  +  0.45 * MIN(MIN(TblMili[[#This Row],[Ice Elemental]]+Races!$E$71,Races!$F$71),6)  +  0.2 * ( MAX(TblMili[[#This Row],[Ice Elemental]]+Races!$E$71-6,0) + MAX(Races!$F$71-6,0) )  -  Races!$I$71</f>
        <v>0.17999999999999972</v>
      </c>
      <c r="CU12" s="97">
        <f ca="1">TblMili[[#This Row],[Frost Mage bonus]]*TblMili[[#This Row],[Unit 3]]+TblMili[[#This Row],[Ice Elemental bonus]]*TblMili[[#This Row],[Unit 4]]</f>
        <v>0</v>
      </c>
      <c r="CV12" s="273"/>
      <c r="CW12" s="151">
        <f ca="1">MIN(SUM(TblConstr[[#This Row],[Plain]:[Water]])/TblMili[[#This Row],[Land]]/favorable_terrain_bonus/100,favorable_terrain_max)</f>
        <v>0.1</v>
      </c>
      <c r="CX12" s="273"/>
      <c r="CY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50"/>
      <c r="DA12" s="274">
        <f ca="1">(TblMili[[#This Row],[Wizards]]+2*TblMili[[#This Row],[Archmages]])/TblConstr[[#This Row],[Land]]</f>
        <v>0.1</v>
      </c>
      <c r="DB12" s="274">
        <f ca="1">TblMili[[#This Row],[Raw (2)]]*(1+race_wizard_strength+IF(TblMili[[#This Row],[Hour]]&gt;72,tech_magical_weaponry_wiz*TblTech[[#This Row],[3-5]],0))</f>
        <v>0.1</v>
      </c>
    </row>
    <row r="13" spans="1:106" x14ac:dyDescent="0.2">
      <c r="A13" s="145">
        <f>TblRezone[[#This Row],[Hour]]</f>
        <v>10</v>
      </c>
      <c r="B13" s="266">
        <f ca="1">SUM(TblMili[[#This Row],[Unit 1]:[Archmages]])+SUM(OFFSET(TblMili[[#This Row],[Train Unit 1]],-8,0):TblMili[[#This Row],[Train Unit 2]]) + SUM(OFFSET(TblMili[[#This Row],[Train Unit 3]],-9,0):TblMili[[#This Row],[Train Unit 4]]) + TblMili[[#This Row],[Draftees]]</f>
        <v>427</v>
      </c>
      <c r="C13" s="165">
        <f ca="1">TblPop[[#This Row],[Military%]]</f>
        <v>0.21609311740890688</v>
      </c>
      <c r="D13" s="150"/>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f>
        <v>25</v>
      </c>
      <c r="J13" s="45">
        <f ca="1">OFFSET(TblMili[[#This Row],[Wizards]],-1,0)-TblMili[[#This Row],[Release Wizards]]-TblMili[[#This Row],[Train Arch]]</f>
        <v>25</v>
      </c>
      <c r="K13" s="45">
        <f ca="1">OFFSET(TblMili[[#This Row],[Archmages]],-1,0)-TblMili[[#This Row],[Release Arch]]</f>
        <v>0</v>
      </c>
      <c r="L13" s="150"/>
      <c r="M13" s="97">
        <f ca="1">TblProd[[#This Row],[Networth]]</f>
        <v>6450</v>
      </c>
      <c r="N13" s="150"/>
      <c r="O13" s="267">
        <f ca="1">TblMili[[#This Row],[Unit 1]]*spec_op+TblMili[[#This Row],[Unit 3]]*(elite1_base_op)+TblMili[[#This Row],[Unit 4]]*(elite2_base_op+dark_elf*TblMili[[#This Row],[Spellblade]]+icekin*TblMili[[#This Row],[Ice Elemental]]+woodie*TblMili[[#This Row],[Druid (op)]]+orc*TblMili[[#This Row],[Orc]])+kobold*TblMili[[#This Row],[Overlords]]</f>
        <v>0</v>
      </c>
      <c r="P1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 s="267">
        <f ca="1">TblMili[[#This Row],[Raw]]*(1+TblMili[[#This Row],[Mods_Off]])</f>
        <v>0</v>
      </c>
      <c r="R1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 s="267">
        <f ca="1">TblMili[[#This Row],[Non Draft]]+TblMili[[#This Row],[Draftees]]</f>
        <v>677</v>
      </c>
      <c r="T1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269">
        <f ca="1">TblMili[[#This Row],[Non Draft]] * (1 + TblMili[[#This Row],[Mods_Def]])</f>
        <v>450</v>
      </c>
      <c r="V13" s="267">
        <f ca="1">TblMili[[#This Row],[Draft]] * (1 + TblMili[[#This Row],[Mods_Def]])</f>
        <v>677</v>
      </c>
      <c r="W13" s="267">
        <f ca="1">TblConstr[[#This Row],[Land]]</f>
        <v>250</v>
      </c>
      <c r="X13" s="270"/>
      <c r="Y13" s="275">
        <f ca="1">IF(TblMili[[#This Row],[Set]]&lt;&gt;"",TblMili[[#This Row],[Set]],OFFSET(TblMili[[#This Row],[Draftrate]],-1,0))</f>
        <v>0.35</v>
      </c>
      <c r="Z13" s="97">
        <f ca="1">OFFSET(TblMili[[#This Row],[Draftees]],-1,0)+OFFSET(TblPop[[#This Row],[Draft Growth]],-1,0) - SUM(TblMili[[#This Row],[Train Unit 1]:[Train Wiz]]) - TblMili[[#This Row],[Release Draft]] + SUM(TblMili[[#This Row],[Release Unit 1]:[Release Arch]]) -TblExplore[[#This Row],[Draftees (2)]]</f>
        <v>227</v>
      </c>
      <c r="AA13" s="162"/>
      <c r="AB13" s="188">
        <f ca="1">(TblConstr[[#This Row],[Tot Smi]]+TblConstr[[#This Row],[Dest Smi]])/(TblConstr[[#This Row],[Land]]-TblExplore[[#This Row],[Land Bonus]]*20)</f>
        <v>0</v>
      </c>
      <c r="AC13" s="145"/>
      <c r="AD13" s="266">
        <f>TblMili[[#This Row],[Hour]]</f>
        <v>10</v>
      </c>
      <c r="AE13" s="146">
        <f ca="1">TblExplore[[#This Row],[Time]]</f>
        <v>44811.124999999978</v>
      </c>
      <c r="AF13" s="187"/>
      <c r="AG13" s="187"/>
      <c r="AH13" s="187"/>
      <c r="AI13" s="187"/>
      <c r="AJ13" s="187"/>
      <c r="AK13" s="187"/>
      <c r="AL13" s="187"/>
      <c r="AM13" s="150"/>
      <c r="AN13" s="97">
        <f ca="1">TblProd[[#This Row],[Platinum]]</f>
        <v>146343</v>
      </c>
      <c r="AO13" s="97">
        <f ca="1">INDEX(TblProd[[#Headers],[Lumber]]:TblProd[[#This Row],[Ore]],COUNTA(TblProd[[#Headers],[Lumber]]:TblProd[[#This Row],[Lumber]]),MATCH(Military!$AO$2,TblProd[[#Headers],[Lumber]:[Ore]],0))</f>
        <v>0</v>
      </c>
      <c r="AP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97">
        <f ca="1">TblMili[[#This Row],[Train Unit 1]]*TblMili[[#This Row],[OP Ore]]+TblMili[[#This Row],[Train Unit 2]]*TblMili[[#This Row],[DP Ore]]+TblMili[[#This Row],[Train Unit 3]]*TblMili[[#This Row],[E1 Ore]]+TblMili[[#This Row],[Train Unit 4]]*TblMili[[#This Row],[E2 Ore]]</f>
        <v>0</v>
      </c>
      <c r="AR13" s="150">
        <f>TblMili[[#This Row],[Hour]]</f>
        <v>10</v>
      </c>
      <c r="AS13" s="160">
        <f ca="1">TblMili[[#This Row],[Time]]</f>
        <v>44811.124999999978</v>
      </c>
      <c r="AT13" s="97">
        <f ca="1">TblMili[[#This Row],[Draftees]]</f>
        <v>227</v>
      </c>
      <c r="AU13" s="187"/>
      <c r="AV13" s="187"/>
      <c r="AW13" s="187"/>
      <c r="AX13" s="187"/>
      <c r="AY13" s="187"/>
      <c r="AZ13" s="187"/>
      <c r="BA13" s="187"/>
      <c r="BB13" s="187"/>
      <c r="BC13" s="150"/>
      <c r="BD13" s="165">
        <f ca="1">TblConstr[[#This Row],[Tot WG]]/TblConstr[[#This Row],[Land]]</f>
        <v>0</v>
      </c>
      <c r="BE13" s="165">
        <f ca="1">TblConstr[[#This Row],[Tot Hav]]/TblConstr[[#This Row],[Land]]</f>
        <v>0</v>
      </c>
      <c r="BF13" s="97">
        <f ca="1">ROUNDUP((1-MIN(TblMili[[#This Row],[Smithies]]*smithy_bonus,smithy_bonus_cap) + tech_3_5*TblTech[[#This Row],[3-5]] + tech_5_3*TblTech[[#This Row],[5-3]] + tech_5_5*TblTech[[#This Row],[5-5]])*spec_op_plat,0)</f>
        <v>275</v>
      </c>
      <c r="BG13" s="97">
        <f ca="1">ROUNDUP(IF(race="Gnome",1,(1-MIN(TblMili[[#This Row],[Smithies]]*smithy_bonus,smithy_bonus_cap) + tech_3_5*TblTech[[#This Row],[3-5]] + tech_5_3*TblTech[[#This Row],[5-3]] + tech_5_5*TblTech[[#This Row],[5-5]]))*spec_op_ore,0)</f>
        <v>25</v>
      </c>
      <c r="BH13" s="97">
        <f ca="1">ROUNDUP((1-MIN(TblMili[[#This Row],[Smithies]]*smithy_bonus,smithy_bonus_cap) + tech_3_5*TblTech[[#This Row],[3-5]] + tech_5_3*TblTech[[#This Row],[5-3]] + tech_5_5*TblTech[[#This Row],[5-5]])*spec_dp_plat,0)</f>
        <v>275</v>
      </c>
      <c r="BI13" s="97">
        <f ca="1">ROUNDUP(IF(race="Gnome",1,(1-MIN(TblMili[[#This Row],[Smithies]]*smithy_bonus,smithy_bonus_cap) + tech_3_5*TblTech[[#This Row],[3-5]] + tech_5_3*TblTech[[#This Row],[5-3]] + tech_5_5*TblTech[[#This Row],[5-5]]))*spec_dp_ore,0)</f>
        <v>15</v>
      </c>
      <c r="BJ13" s="97">
        <f ca="1">ROUNDUP((1-MIN(TblMili[[#This Row],[Smithies]]*smithy_bonus,smithy_bonus_cap) + tech_3_5*TblTech[[#This Row],[3-5]] + tech_5_3*TblTech[[#This Row],[5-3]] + tech_5_5*TblTech[[#This Row],[5-5]])*elite1_plat,0)</f>
        <v>1000</v>
      </c>
      <c r="BK13" s="97">
        <f ca="1">ROUNDUP(IF(race="Gnome",1,(1-MIN(TblMili[[#This Row],[Smithies]]*smithy_bonus,smithy_bonus_cap) + tech_3_5*TblTech[[#This Row],[3-5]] + tech_5_3*TblTech[[#This Row],[5-3]] + tech_5_5*TblTech[[#This Row],[5-5]]))*elite1_ore,0)</f>
        <v>75</v>
      </c>
      <c r="BL13" s="97">
        <f ca="1">ROUNDUP((1-MIN(TblMili[[#This Row],[Smithies]]*smithy_bonus,smithy_bonus_cap) + tech_3_5*TblTech[[#This Row],[3-5]] + tech_5_3*TblTech[[#This Row],[5-3]] + tech_5_5*TblTech[[#This Row],[5-5]])*elite2_plat,0)</f>
        <v>1200</v>
      </c>
      <c r="BM13" s="97">
        <f ca="1">ROUNDUP(IF(race="Gnome",1,(1-MIN(TblMili[[#This Row],[Smithies]]*smithy_bonus,smithy_bonus_cap) + tech_3_5*TblTech[[#This Row],[3-5]] + tech_5_3*TblTech[[#This Row],[5-3]] + tech_5_5*TblTech[[#This Row],[5-5]]))*elite2_ore,0)</f>
        <v>100</v>
      </c>
      <c r="BN13" s="97">
        <f ca="1">ROUNDUP((1-MIN(ROUND(fh_spy_cost_red*TblMili[[#This Row],[FH''s]],4),fh_spy_cost_cap)+ tech_1_9*TblTech[[#This Row],[1-9]] + tech_9_1*TblTech[[#This Row],[9-1]])*spy_plat,0)</f>
        <v>500</v>
      </c>
      <c r="BO13" s="97">
        <f ca="1">ROUNDUP((1-MIN(ROUND(wg_wiz_cost_bonus*TblMili[[#This Row],[WG''s]],4),wg_wiz_cost_cap) + tech_1_9_2*TblTech[[#This Row],[1-9]] + tech_9_1_2*TblTech[[#This Row],[9-1]])*wizard_plat,0)</f>
        <v>500</v>
      </c>
      <c r="BP13" s="97">
        <f ca="1">ROUNDUP((1-MIN(ROUND(wg_wiz_cost_bonus*TblMili[[#This Row],[WG''s]],4),wg_wiz_cost_cap) + tech_1_9_2*TblTech[[#This Row],[1-9]] + tech_9_1_2*TblTech[[#This Row],[9-1]])*archmage_plat,0)</f>
        <v>1000</v>
      </c>
      <c r="BQ13" s="150"/>
      <c r="BR13" s="165">
        <f ca="1">TblConstr[[#This Row],[Homeland]]/TblConstr[[#This Row],[Land]]</f>
        <v>0.44</v>
      </c>
      <c r="BS13" s="165">
        <f ca="1">TblMili[[#This Row],[WG''s]]</f>
        <v>0</v>
      </c>
      <c r="BT13" s="271">
        <f ca="1">IF(mystic_cap="none",TblMili[[#This Row],[Hill]]/mystic_bonus,MIN(mystic_cap,TblMili[[#This Row],[Hill]]/mystic_bonus))</f>
        <v>2.1999999999999997</v>
      </c>
      <c r="BU13" s="271">
        <f ca="1">IF(druid_op_cap="none",TblMili[[#This Row],[Hill]]/druid_op_bonus,MIN(druid_op_cap,TblMili[[#This Row],[Hill]]/druid_op_bonus))</f>
        <v>2.1999999999999997</v>
      </c>
      <c r="BV13" s="271">
        <f ca="1">IF(druid_dp_cap="none",TblMili[[#This Row],[Hill]]/druid_dp_bonus,MIN(druid_dp_cap,TblMili[[#This Row],[Hill]]/druid_dp_bonus))</f>
        <v>2.1999999999999997</v>
      </c>
      <c r="BW13" s="271">
        <f ca="1">MIN(dryad_cap,TblMili[[#This Row],[Hill]]/dryad_bonus)</f>
        <v>2.1999999999999997</v>
      </c>
      <c r="BX13" s="271">
        <f ca="1">MIN(rocka_cap,TblMili[[#This Row],[Hill]]/rocka_bonus)</f>
        <v>2</v>
      </c>
      <c r="BY13" s="271">
        <f ca="1">MIN(adept_op_cap,TblMili[[#This Row],[WG]]/adept_op_bonus)</f>
        <v>0</v>
      </c>
      <c r="BZ13" s="271">
        <f ca="1">MIN(adept_dp_cap,TblMili[[#This Row],[WG]]/adept_dp_bonus)</f>
        <v>0</v>
      </c>
      <c r="CA13" s="97">
        <f ca="1">MIN(TblMili[[#This Row],[Unit 3]],TblMili[[#This Row],[Unit 4]])*2</f>
        <v>0</v>
      </c>
      <c r="CB13" s="97">
        <f ca="1">MIN(TblMili[[#This Row],[Unit 1]],TblMili[[#This Row],[Unit 4]])*2</f>
        <v>0</v>
      </c>
      <c r="CC13" s="271">
        <f ca="1">MIN(frost_mage_cap,TblMili[[#This Row],[Hill]]/frost_mage_bonus)</f>
        <v>2.1999999999999997</v>
      </c>
      <c r="CD13" s="45">
        <f ca="1">MIN(ice_elem_cap,TblMili[[#This Row],[Raw (2)]]*ice_elem_bonus)</f>
        <v>0.1</v>
      </c>
      <c r="CE13" s="271">
        <f t="shared" si="0"/>
        <v>1</v>
      </c>
      <c r="CF13" s="271">
        <f ca="1">MIN(nox_nightshade_cap,TblConstr[[#This Row],[Homeland]]/TblConstr[[#This Row],[Land]]/nox_nightshade_swamp_bonus)</f>
        <v>3</v>
      </c>
      <c r="CG13" s="272"/>
      <c r="CH13" s="272"/>
      <c r="CI13" s="272"/>
      <c r="CJ13" s="271">
        <f ca="1">MIN(6,TblMili[[#This Row],[Mystic]]+Races!$F$19)*1.8 +  IF(TblMili[[#This Row],[Mystic]]+Races!$F$19&gt;6,(TblMili[[#This Row],[Mystic]]+Races!$F$19-6)*0.2,0) - Races!$I$19</f>
        <v>3.6399999999999997</v>
      </c>
      <c r="CK1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97">
        <f ca="1">TblMili[[#This Row],[Mystic bonus]]*TblMili[[#This Row],[Unit 3]]+TblMili[[#This Row],[Druid bonus]]*TblMili[[#This Row],[Unit 4]]</f>
        <v>0</v>
      </c>
      <c r="CM13" s="163">
        <f ca="1">MIN(6,TblMili[[#This Row],[Dryad]]+Races!$F$35)*1.8 +  IF(TblMili[[#This Row],[Dryad]]+Races!$F$35&gt;6,(TblMili[[#This Row],[Dryad]]+Races!$F$35-6)*0.2,0) - Races!$I$19</f>
        <v>2.1599999999999993</v>
      </c>
      <c r="CN13" s="97">
        <f ca="1">sylvan*(TblMili[[#This Row],[Mystic bonus]]*TblMili[[#This Row],[Unit 3]])</f>
        <v>0</v>
      </c>
      <c r="CO13" s="163">
        <f ca="1">1.8 * MIN(MAX(Races!$E$27,TblMili[[#This Row],[Rockapult]]+Races!$F$27),6)  +  0.45 * MIN(MIN(Races!$E$27,TblMili[[#This Row],[Rockapult]]+Races!$F$27),6)  +  0.2 * ( MAX(Races!$E$27-6,0) + MAX(TblMili[[#This Row],[Rockapult]]+Races!$F$27-6,0) )  -  Races!$I$20</f>
        <v>5.8500000000000005</v>
      </c>
      <c r="CP13" s="97">
        <f ca="1">gnome*(TblMili[[#This Row],[Rockapult bonus]]*TblMili[[#This Row],[Unit 3]])</f>
        <v>0</v>
      </c>
      <c r="CQ13" s="163">
        <f ca="1">1.8 * MIN(MAX(TblMili[[#This Row],[Spellblade]]+Races!$E$47,TblMili[[#This Row],[Adept-DP]]+Races!$F$47),6)  +  0.45 * MIN(MIN(TblMili[[#This Row],[Spellblade]]+Races!$E$47,TblMili[[#This Row],[Adept-DP]]+Races!$F$47),6)  +  0.2 * ( MAX(TblMili[[#This Row],[Spellblade]]+Races!$E$47-6,0) + MAX(TblMili[[#This Row],[Adept-DP]]+Races!$F$47-6,0) )  -  Races!$I$47</f>
        <v>0</v>
      </c>
      <c r="CR13" s="97">
        <f ca="1">dark_elf*(TblMili[[#This Row],[Adept bonus]]*TblMili[[#This Row],[Unit 3]])</f>
        <v>0</v>
      </c>
      <c r="CS13" s="163">
        <f ca="1">1.8 * MIN(MAX(TblMili[[#This Row],[Frost Mage]]+Races!$F$71,Races!$E$71),6)  +  0.45 * MIN(MIN(TblMili[[#This Row],[Frost Mage]]+Races!$F$71,Races!$E$71),6)  +  0.2 * ( MAX(TblMili[[#This Row],[Frost Mage]]+Races!$F$71-6,0) + MAX(Races!$E$71-6,0) )  -  Races!$I$71</f>
        <v>3.9599999999999991</v>
      </c>
      <c r="CT13" s="163">
        <f ca="1">1.8 * MIN(MAX(TblMili[[#This Row],[Ice Elemental]]+Races!$E$71,Races!$F$71),6)  +  0.45 * MIN(MIN(TblMili[[#This Row],[Ice Elemental]]+Races!$E$71,Races!$F$71),6)  +  0.2 * ( MAX(TblMili[[#This Row],[Ice Elemental]]+Races!$E$71-6,0) + MAX(Races!$F$71-6,0) )  -  Races!$I$71</f>
        <v>0.17999999999999972</v>
      </c>
      <c r="CU13" s="97">
        <f ca="1">TblMili[[#This Row],[Frost Mage bonus]]*TblMili[[#This Row],[Unit 3]]+TblMili[[#This Row],[Ice Elemental bonus]]*TblMili[[#This Row],[Unit 4]]</f>
        <v>0</v>
      </c>
      <c r="CV13" s="273"/>
      <c r="CW13" s="151">
        <f ca="1">MIN(SUM(TblConstr[[#This Row],[Plain]:[Water]])/TblMili[[#This Row],[Land]]/favorable_terrain_bonus/100,favorable_terrain_max)</f>
        <v>0.1</v>
      </c>
      <c r="CX13" s="273"/>
      <c r="CY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50"/>
      <c r="DA13" s="274">
        <f ca="1">(TblMili[[#This Row],[Wizards]]+2*TblMili[[#This Row],[Archmages]])/TblConstr[[#This Row],[Land]]</f>
        <v>0.1</v>
      </c>
      <c r="DB13" s="274">
        <f ca="1">TblMili[[#This Row],[Raw (2)]]*(1+race_wizard_strength+IF(TblMili[[#This Row],[Hour]]&gt;72,tech_magical_weaponry_wiz*TblTech[[#This Row],[3-5]],0))</f>
        <v>0.1</v>
      </c>
    </row>
    <row r="14" spans="1:106" x14ac:dyDescent="0.2">
      <c r="A14" s="145">
        <f>TblRezone[[#This Row],[Hour]]</f>
        <v>11</v>
      </c>
      <c r="B14" s="266">
        <f ca="1">SUM(TblMili[[#This Row],[Unit 1]:[Archmages]])+SUM(OFFSET(TblMili[[#This Row],[Train Unit 1]],-8,0):TblMili[[#This Row],[Train Unit 2]]) + SUM(OFFSET(TblMili[[#This Row],[Train Unit 3]],-10,0):TblMili[[#This Row],[Train Unit 4]]) + TblMili[[#This Row],[Draftees]]</f>
        <v>442</v>
      </c>
      <c r="C14" s="165">
        <f ca="1">TblPop[[#This Row],[Military%]]</f>
        <v>0.21859545004945599</v>
      </c>
      <c r="D14" s="150"/>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f>
        <v>25</v>
      </c>
      <c r="J14" s="45">
        <f ca="1">OFFSET(TblMili[[#This Row],[Wizards]],-1,0)-TblMili[[#This Row],[Release Wizards]]-TblMili[[#This Row],[Train Arch]]</f>
        <v>25</v>
      </c>
      <c r="K14" s="45">
        <f ca="1">OFFSET(TblMili[[#This Row],[Archmages]],-1,0)-TblMili[[#This Row],[Release Arch]]</f>
        <v>0</v>
      </c>
      <c r="L14" s="150"/>
      <c r="M14" s="97">
        <f ca="1">TblProd[[#This Row],[Networth]]</f>
        <v>6450</v>
      </c>
      <c r="N14" s="150"/>
      <c r="O14" s="267">
        <f ca="1">TblMili[[#This Row],[Unit 1]]*spec_op+TblMili[[#This Row],[Unit 3]]*(elite1_base_op)+TblMili[[#This Row],[Unit 4]]*(elite2_base_op+dark_elf*TblMili[[#This Row],[Spellblade]]+icekin*TblMili[[#This Row],[Ice Elemental]]+woodie*TblMili[[#This Row],[Druid (op)]]+orc*TblMili[[#This Row],[Orc]])+kobold*TblMili[[#This Row],[Overlords]]</f>
        <v>0</v>
      </c>
      <c r="P1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4" s="267">
        <f ca="1">TblMili[[#This Row],[Raw]]*(1+TblMili[[#This Row],[Mods_Off]])</f>
        <v>0</v>
      </c>
      <c r="R1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4" s="267">
        <f ca="1">TblMili[[#This Row],[Non Draft]]+TblMili[[#This Row],[Draftees]]</f>
        <v>692</v>
      </c>
      <c r="T1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269">
        <f ca="1">TblMili[[#This Row],[Non Draft]] * (1 + TblMili[[#This Row],[Mods_Def]])</f>
        <v>450</v>
      </c>
      <c r="V14" s="267">
        <f ca="1">TblMili[[#This Row],[Draft]] * (1 + TblMili[[#This Row],[Mods_Def]])</f>
        <v>692</v>
      </c>
      <c r="W14" s="267">
        <f ca="1">TblConstr[[#This Row],[Land]]</f>
        <v>250</v>
      </c>
      <c r="X14" s="270"/>
      <c r="Y14" s="275">
        <f ca="1">IF(TblMili[[#This Row],[Set]]&lt;&gt;"",TblMili[[#This Row],[Set]],OFFSET(TblMili[[#This Row],[Draftrate]],-1,0))</f>
        <v>0.35</v>
      </c>
      <c r="Z14" s="97">
        <f ca="1">OFFSET(TblMili[[#This Row],[Draftees]],-1,0)+OFFSET(TblPop[[#This Row],[Draft Growth]],-1,0) - SUM(TblMili[[#This Row],[Train Unit 1]:[Train Wiz]]) - TblMili[[#This Row],[Release Draft]] + SUM(TblMili[[#This Row],[Release Unit 1]:[Release Arch]]) -TblExplore[[#This Row],[Draftees (2)]]</f>
        <v>242</v>
      </c>
      <c r="AA14" s="162"/>
      <c r="AB14" s="188">
        <f ca="1">(TblConstr[[#This Row],[Tot Smi]]+TblConstr[[#This Row],[Dest Smi]])/(TblConstr[[#This Row],[Land]]-TblExplore[[#This Row],[Land Bonus]]*20)</f>
        <v>0</v>
      </c>
      <c r="AC14" s="145"/>
      <c r="AD14" s="266">
        <f>TblMili[[#This Row],[Hour]]</f>
        <v>11</v>
      </c>
      <c r="AE14" s="146">
        <f ca="1">TblExplore[[#This Row],[Time]]</f>
        <v>44811.166666666642</v>
      </c>
      <c r="AF14" s="187"/>
      <c r="AG14" s="187"/>
      <c r="AH14" s="187"/>
      <c r="AI14" s="187"/>
      <c r="AJ14" s="187"/>
      <c r="AK14" s="187"/>
      <c r="AL14" s="187"/>
      <c r="AM14" s="150"/>
      <c r="AN14" s="97">
        <f ca="1">TblProd[[#This Row],[Platinum]]</f>
        <v>151875</v>
      </c>
      <c r="AO14" s="97">
        <f ca="1">INDEX(TblProd[[#Headers],[Lumber]]:TblProd[[#This Row],[Ore]],COUNTA(TblProd[[#Headers],[Lumber]]:TblProd[[#This Row],[Lumber]]),MATCH(Military!$AO$2,TblProd[[#Headers],[Lumber]:[Ore]],0))</f>
        <v>0</v>
      </c>
      <c r="AP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97">
        <f ca="1">TblMili[[#This Row],[Train Unit 1]]*TblMili[[#This Row],[OP Ore]]+TblMili[[#This Row],[Train Unit 2]]*TblMili[[#This Row],[DP Ore]]+TblMili[[#This Row],[Train Unit 3]]*TblMili[[#This Row],[E1 Ore]]+TblMili[[#This Row],[Train Unit 4]]*TblMili[[#This Row],[E2 Ore]]</f>
        <v>0</v>
      </c>
      <c r="AR14" s="150">
        <f>TblMili[[#This Row],[Hour]]</f>
        <v>11</v>
      </c>
      <c r="AS14" s="160">
        <f ca="1">TblMili[[#This Row],[Time]]</f>
        <v>44811.166666666642</v>
      </c>
      <c r="AT14" s="97">
        <f ca="1">TblMili[[#This Row],[Draftees]]</f>
        <v>242</v>
      </c>
      <c r="AU14" s="187"/>
      <c r="AV14" s="187"/>
      <c r="AW14" s="187"/>
      <c r="AX14" s="187"/>
      <c r="AY14" s="187"/>
      <c r="AZ14" s="187"/>
      <c r="BA14" s="187"/>
      <c r="BB14" s="187"/>
      <c r="BC14" s="150"/>
      <c r="BD14" s="165">
        <f ca="1">TblConstr[[#This Row],[Tot WG]]/TblConstr[[#This Row],[Land]]</f>
        <v>0</v>
      </c>
      <c r="BE14" s="165">
        <f ca="1">TblConstr[[#This Row],[Tot Hav]]/TblConstr[[#This Row],[Land]]</f>
        <v>0</v>
      </c>
      <c r="BF14" s="97">
        <f ca="1">ROUNDUP((1-MIN(TblMili[[#This Row],[Smithies]]*smithy_bonus,smithy_bonus_cap) + tech_3_5*TblTech[[#This Row],[3-5]] + tech_5_3*TblTech[[#This Row],[5-3]] + tech_5_5*TblTech[[#This Row],[5-5]])*spec_op_plat,0)</f>
        <v>275</v>
      </c>
      <c r="BG14" s="97">
        <f ca="1">ROUNDUP(IF(race="Gnome",1,(1-MIN(TblMili[[#This Row],[Smithies]]*smithy_bonus,smithy_bonus_cap) + tech_3_5*TblTech[[#This Row],[3-5]] + tech_5_3*TblTech[[#This Row],[5-3]] + tech_5_5*TblTech[[#This Row],[5-5]]))*spec_op_ore,0)</f>
        <v>25</v>
      </c>
      <c r="BH14" s="97">
        <f ca="1">ROUNDUP((1-MIN(TblMili[[#This Row],[Smithies]]*smithy_bonus,smithy_bonus_cap) + tech_3_5*TblTech[[#This Row],[3-5]] + tech_5_3*TblTech[[#This Row],[5-3]] + tech_5_5*TblTech[[#This Row],[5-5]])*spec_dp_plat,0)</f>
        <v>275</v>
      </c>
      <c r="BI14" s="97">
        <f ca="1">ROUNDUP(IF(race="Gnome",1,(1-MIN(TblMili[[#This Row],[Smithies]]*smithy_bonus,smithy_bonus_cap) + tech_3_5*TblTech[[#This Row],[3-5]] + tech_5_3*TblTech[[#This Row],[5-3]] + tech_5_5*TblTech[[#This Row],[5-5]]))*spec_dp_ore,0)</f>
        <v>15</v>
      </c>
      <c r="BJ14" s="97">
        <f ca="1">ROUNDUP((1-MIN(TblMili[[#This Row],[Smithies]]*smithy_bonus,smithy_bonus_cap) + tech_3_5*TblTech[[#This Row],[3-5]] + tech_5_3*TblTech[[#This Row],[5-3]] + tech_5_5*TblTech[[#This Row],[5-5]])*elite1_plat,0)</f>
        <v>1000</v>
      </c>
      <c r="BK14" s="97">
        <f ca="1">ROUNDUP(IF(race="Gnome",1,(1-MIN(TblMili[[#This Row],[Smithies]]*smithy_bonus,smithy_bonus_cap) + tech_3_5*TblTech[[#This Row],[3-5]] + tech_5_3*TblTech[[#This Row],[5-3]] + tech_5_5*TblTech[[#This Row],[5-5]]))*elite1_ore,0)</f>
        <v>75</v>
      </c>
      <c r="BL14" s="97">
        <f ca="1">ROUNDUP((1-MIN(TblMili[[#This Row],[Smithies]]*smithy_bonus,smithy_bonus_cap) + tech_3_5*TblTech[[#This Row],[3-5]] + tech_5_3*TblTech[[#This Row],[5-3]] + tech_5_5*TblTech[[#This Row],[5-5]])*elite2_plat,0)</f>
        <v>1200</v>
      </c>
      <c r="BM14" s="97">
        <f ca="1">ROUNDUP(IF(race="Gnome",1,(1-MIN(TblMili[[#This Row],[Smithies]]*smithy_bonus,smithy_bonus_cap) + tech_3_5*TblTech[[#This Row],[3-5]] + tech_5_3*TblTech[[#This Row],[5-3]] + tech_5_5*TblTech[[#This Row],[5-5]]))*elite2_ore,0)</f>
        <v>100</v>
      </c>
      <c r="BN14" s="97">
        <f ca="1">ROUNDUP((1-MIN(ROUND(fh_spy_cost_red*TblMili[[#This Row],[FH''s]],4),fh_spy_cost_cap)+ tech_1_9*TblTech[[#This Row],[1-9]] + tech_9_1*TblTech[[#This Row],[9-1]])*spy_plat,0)</f>
        <v>500</v>
      </c>
      <c r="BO14" s="97">
        <f ca="1">ROUNDUP((1-MIN(ROUND(wg_wiz_cost_bonus*TblMili[[#This Row],[WG''s]],4),wg_wiz_cost_cap) + tech_1_9_2*TblTech[[#This Row],[1-9]] + tech_9_1_2*TblTech[[#This Row],[9-1]])*wizard_plat,0)</f>
        <v>500</v>
      </c>
      <c r="BP14" s="97">
        <f ca="1">ROUNDUP((1-MIN(ROUND(wg_wiz_cost_bonus*TblMili[[#This Row],[WG''s]],4),wg_wiz_cost_cap) + tech_1_9_2*TblTech[[#This Row],[1-9]] + tech_9_1_2*TblTech[[#This Row],[9-1]])*archmage_plat,0)</f>
        <v>1000</v>
      </c>
      <c r="BQ14" s="150"/>
      <c r="BR14" s="165">
        <f ca="1">TblConstr[[#This Row],[Homeland]]/TblConstr[[#This Row],[Land]]</f>
        <v>0.44</v>
      </c>
      <c r="BS14" s="165">
        <f ca="1">TblMili[[#This Row],[WG''s]]</f>
        <v>0</v>
      </c>
      <c r="BT14" s="271">
        <f ca="1">IF(mystic_cap="none",TblMili[[#This Row],[Hill]]/mystic_bonus,MIN(mystic_cap,TblMili[[#This Row],[Hill]]/mystic_bonus))</f>
        <v>2.1999999999999997</v>
      </c>
      <c r="BU14" s="271">
        <f ca="1">IF(druid_op_cap="none",TblMili[[#This Row],[Hill]]/druid_op_bonus,MIN(druid_op_cap,TblMili[[#This Row],[Hill]]/druid_op_bonus))</f>
        <v>2.1999999999999997</v>
      </c>
      <c r="BV14" s="271">
        <f ca="1">IF(druid_dp_cap="none",TblMili[[#This Row],[Hill]]/druid_dp_bonus,MIN(druid_dp_cap,TblMili[[#This Row],[Hill]]/druid_dp_bonus))</f>
        <v>2.1999999999999997</v>
      </c>
      <c r="BW14" s="271">
        <f ca="1">MIN(dryad_cap,TblMili[[#This Row],[Hill]]/dryad_bonus)</f>
        <v>2.1999999999999997</v>
      </c>
      <c r="BX14" s="271">
        <f ca="1">MIN(rocka_cap,TblMili[[#This Row],[Hill]]/rocka_bonus)</f>
        <v>2</v>
      </c>
      <c r="BY14" s="271">
        <f ca="1">MIN(adept_op_cap,TblMili[[#This Row],[WG]]/adept_op_bonus)</f>
        <v>0</v>
      </c>
      <c r="BZ14" s="271">
        <f ca="1">MIN(adept_dp_cap,TblMili[[#This Row],[WG]]/adept_dp_bonus)</f>
        <v>0</v>
      </c>
      <c r="CA14" s="97">
        <f ca="1">MIN(TblMili[[#This Row],[Unit 3]],TblMili[[#This Row],[Unit 4]])*2</f>
        <v>0</v>
      </c>
      <c r="CB14" s="97">
        <f ca="1">MIN(TblMili[[#This Row],[Unit 1]],TblMili[[#This Row],[Unit 4]])*2</f>
        <v>0</v>
      </c>
      <c r="CC14" s="271">
        <f ca="1">MIN(frost_mage_cap,TblMili[[#This Row],[Hill]]/frost_mage_bonus)</f>
        <v>2.1999999999999997</v>
      </c>
      <c r="CD14" s="45">
        <f ca="1">MIN(ice_elem_cap,TblMili[[#This Row],[Raw (2)]]*ice_elem_bonus)</f>
        <v>0.1</v>
      </c>
      <c r="CE14" s="271">
        <f t="shared" si="0"/>
        <v>1</v>
      </c>
      <c r="CF14" s="271">
        <f ca="1">MIN(nox_nightshade_cap,TblConstr[[#This Row],[Homeland]]/TblConstr[[#This Row],[Land]]/nox_nightshade_swamp_bonus)</f>
        <v>3</v>
      </c>
      <c r="CG14" s="272"/>
      <c r="CH14" s="272"/>
      <c r="CI14" s="272"/>
      <c r="CJ14" s="271">
        <f ca="1">MIN(6,TblMili[[#This Row],[Mystic]]+Races!$F$19)*1.8 +  IF(TblMili[[#This Row],[Mystic]]+Races!$F$19&gt;6,(TblMili[[#This Row],[Mystic]]+Races!$F$19-6)*0.2,0) - Races!$I$19</f>
        <v>3.6399999999999997</v>
      </c>
      <c r="CK1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97">
        <f ca="1">TblMili[[#This Row],[Mystic bonus]]*TblMili[[#This Row],[Unit 3]]+TblMili[[#This Row],[Druid bonus]]*TblMili[[#This Row],[Unit 4]]</f>
        <v>0</v>
      </c>
      <c r="CM14" s="163">
        <f ca="1">MIN(6,TblMili[[#This Row],[Dryad]]+Races!$F$35)*1.8 +  IF(TblMili[[#This Row],[Dryad]]+Races!$F$35&gt;6,(TblMili[[#This Row],[Dryad]]+Races!$F$35-6)*0.2,0) - Races!$I$19</f>
        <v>2.1599999999999993</v>
      </c>
      <c r="CN14" s="97">
        <f ca="1">sylvan*(TblMili[[#This Row],[Mystic bonus]]*TblMili[[#This Row],[Unit 3]])</f>
        <v>0</v>
      </c>
      <c r="CO14" s="163">
        <f ca="1">1.8 * MIN(MAX(Races!$E$27,TblMili[[#This Row],[Rockapult]]+Races!$F$27),6)  +  0.45 * MIN(MIN(Races!$E$27,TblMili[[#This Row],[Rockapult]]+Races!$F$27),6)  +  0.2 * ( MAX(Races!$E$27-6,0) + MAX(TblMili[[#This Row],[Rockapult]]+Races!$F$27-6,0) )  -  Races!$I$20</f>
        <v>5.8500000000000005</v>
      </c>
      <c r="CP14" s="97">
        <f ca="1">gnome*(TblMili[[#This Row],[Rockapult bonus]]*TblMili[[#This Row],[Unit 3]])</f>
        <v>0</v>
      </c>
      <c r="CQ14" s="163">
        <f ca="1">1.8 * MIN(MAX(TblMili[[#This Row],[Spellblade]]+Races!$E$47,TblMili[[#This Row],[Adept-DP]]+Races!$F$47),6)  +  0.45 * MIN(MIN(TblMili[[#This Row],[Spellblade]]+Races!$E$47,TblMili[[#This Row],[Adept-DP]]+Races!$F$47),6)  +  0.2 * ( MAX(TblMili[[#This Row],[Spellblade]]+Races!$E$47-6,0) + MAX(TblMili[[#This Row],[Adept-DP]]+Races!$F$47-6,0) )  -  Races!$I$47</f>
        <v>0</v>
      </c>
      <c r="CR14" s="97">
        <f ca="1">dark_elf*(TblMili[[#This Row],[Adept bonus]]*TblMili[[#This Row],[Unit 3]])</f>
        <v>0</v>
      </c>
      <c r="CS14" s="163">
        <f ca="1">1.8 * MIN(MAX(TblMili[[#This Row],[Frost Mage]]+Races!$F$71,Races!$E$71),6)  +  0.45 * MIN(MIN(TblMili[[#This Row],[Frost Mage]]+Races!$F$71,Races!$E$71),6)  +  0.2 * ( MAX(TblMili[[#This Row],[Frost Mage]]+Races!$F$71-6,0) + MAX(Races!$E$71-6,0) )  -  Races!$I$71</f>
        <v>3.9599999999999991</v>
      </c>
      <c r="CT14" s="163">
        <f ca="1">1.8 * MIN(MAX(TblMili[[#This Row],[Ice Elemental]]+Races!$E$71,Races!$F$71),6)  +  0.45 * MIN(MIN(TblMili[[#This Row],[Ice Elemental]]+Races!$E$71,Races!$F$71),6)  +  0.2 * ( MAX(TblMili[[#This Row],[Ice Elemental]]+Races!$E$71-6,0) + MAX(Races!$F$71-6,0) )  -  Races!$I$71</f>
        <v>0.17999999999999972</v>
      </c>
      <c r="CU14" s="97">
        <f ca="1">TblMili[[#This Row],[Frost Mage bonus]]*TblMili[[#This Row],[Unit 3]]+TblMili[[#This Row],[Ice Elemental bonus]]*TblMili[[#This Row],[Unit 4]]</f>
        <v>0</v>
      </c>
      <c r="CV14" s="273"/>
      <c r="CW14" s="151">
        <f ca="1">MIN(SUM(TblConstr[[#This Row],[Plain]:[Water]])/TblMili[[#This Row],[Land]]/favorable_terrain_bonus/100,favorable_terrain_max)</f>
        <v>0.1</v>
      </c>
      <c r="CX14" s="273"/>
      <c r="CY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50"/>
      <c r="DA14" s="274">
        <f ca="1">(TblMili[[#This Row],[Wizards]]+2*TblMili[[#This Row],[Archmages]])/TblConstr[[#This Row],[Land]]</f>
        <v>0.1</v>
      </c>
      <c r="DB14" s="274">
        <f ca="1">TblMili[[#This Row],[Raw (2)]]*(1+race_wizard_strength+IF(TblMili[[#This Row],[Hour]]&gt;72,tech_magical_weaponry_wiz*TblTech[[#This Row],[3-5]],0))</f>
        <v>0.1</v>
      </c>
    </row>
    <row r="15" spans="1:106" x14ac:dyDescent="0.2">
      <c r="A15" s="145">
        <f>TblRezone[[#This Row],[Hour]]</f>
        <v>12</v>
      </c>
      <c r="B15" s="266">
        <f ca="1">SUM(TblMili[[#This Row],[Unit 1]:[Archmages]])+SUM(OFFSET(TblMili[[#This Row],[Train Unit 1]],-8,0):TblMili[[#This Row],[Train Unit 2]]) + SUM(OFFSET(TblMili[[#This Row],[Train Unit 3]],-11,0):TblMili[[#This Row],[Train Unit 4]]) + TblMili[[#This Row],[Draftees]]</f>
        <v>458</v>
      </c>
      <c r="C15" s="165">
        <f ca="1">TblPop[[#This Row],[Military%]]</f>
        <v>0.22136297728371193</v>
      </c>
      <c r="D15" s="150"/>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f>
        <v>25</v>
      </c>
      <c r="J15" s="45">
        <f ca="1">OFFSET(TblMili[[#This Row],[Wizards]],-1,0)-TblMili[[#This Row],[Release Wizards]]-TblMili[[#This Row],[Train Arch]]</f>
        <v>25</v>
      </c>
      <c r="K15" s="45">
        <f ca="1">OFFSET(TblMili[[#This Row],[Archmages]],-1,0)-TblMili[[#This Row],[Release Arch]]</f>
        <v>0</v>
      </c>
      <c r="L15" s="150"/>
      <c r="M15" s="97">
        <f ca="1">TblProd[[#This Row],[Networth]]</f>
        <v>6450</v>
      </c>
      <c r="N15" s="150"/>
      <c r="O15" s="267">
        <f ca="1">TblMili[[#This Row],[Unit 1]]*spec_op+TblMili[[#This Row],[Unit 3]]*(elite1_base_op)+TblMili[[#This Row],[Unit 4]]*(elite2_base_op+dark_elf*TblMili[[#This Row],[Spellblade]]+icekin*TblMili[[#This Row],[Ice Elemental]]+woodie*TblMili[[#This Row],[Druid (op)]]+orc*TblMili[[#This Row],[Orc]])+kobold*TblMili[[#This Row],[Overlords]]</f>
        <v>0</v>
      </c>
      <c r="P1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5" s="267">
        <f ca="1">TblMili[[#This Row],[Raw]]*(1+TblMili[[#This Row],[Mods_Off]])</f>
        <v>0</v>
      </c>
      <c r="R1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5" s="267">
        <f ca="1">TblMili[[#This Row],[Non Draft]]+TblMili[[#This Row],[Draftees]]</f>
        <v>708</v>
      </c>
      <c r="T1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269">
        <f ca="1">TblMili[[#This Row],[Non Draft]] * (1 + TblMili[[#This Row],[Mods_Def]])</f>
        <v>450</v>
      </c>
      <c r="V15" s="267">
        <f ca="1">TblMili[[#This Row],[Draft]] * (1 + TblMili[[#This Row],[Mods_Def]])</f>
        <v>708</v>
      </c>
      <c r="W15" s="267">
        <f ca="1">TblConstr[[#This Row],[Land]]</f>
        <v>250</v>
      </c>
      <c r="X15" s="270"/>
      <c r="Y15" s="275">
        <f ca="1">IF(TblMili[[#This Row],[Set]]&lt;&gt;"",TblMili[[#This Row],[Set]],OFFSET(TblMili[[#This Row],[Draftrate]],-1,0))</f>
        <v>0.35</v>
      </c>
      <c r="Z15" s="97">
        <f ca="1">OFFSET(TblMili[[#This Row],[Draftees]],-1,0)+OFFSET(TblPop[[#This Row],[Draft Growth]],-1,0) - SUM(TblMili[[#This Row],[Train Unit 1]:[Train Wiz]]) - TblMili[[#This Row],[Release Draft]] + SUM(TblMili[[#This Row],[Release Unit 1]:[Release Arch]]) -TblExplore[[#This Row],[Draftees (2)]]</f>
        <v>258</v>
      </c>
      <c r="AA15" s="162"/>
      <c r="AB15" s="188">
        <f ca="1">(TblConstr[[#This Row],[Tot Smi]]+TblConstr[[#This Row],[Dest Smi]])/(TblConstr[[#This Row],[Land]]-TblExplore[[#This Row],[Land Bonus]]*20)</f>
        <v>0</v>
      </c>
      <c r="AC15" s="145"/>
      <c r="AD15" s="266">
        <f>TblMili[[#This Row],[Hour]]</f>
        <v>12</v>
      </c>
      <c r="AE15" s="146">
        <f ca="1">TblExplore[[#This Row],[Time]]</f>
        <v>44811.208333333307</v>
      </c>
      <c r="AF15" s="187"/>
      <c r="AG15" s="187"/>
      <c r="AH15" s="187"/>
      <c r="AI15" s="187"/>
      <c r="AJ15" s="187"/>
      <c r="AK15" s="187"/>
      <c r="AL15" s="187"/>
      <c r="AM15" s="150"/>
      <c r="AN15" s="97">
        <f ca="1">TblProd[[#This Row],[Platinum]]</f>
        <v>157491</v>
      </c>
      <c r="AO15" s="97">
        <f ca="1">INDEX(TblProd[[#Headers],[Lumber]]:TblProd[[#This Row],[Ore]],COUNTA(TblProd[[#Headers],[Lumber]]:TblProd[[#This Row],[Lumber]]),MATCH(Military!$AO$2,TblProd[[#Headers],[Lumber]:[Ore]],0))</f>
        <v>0</v>
      </c>
      <c r="AP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97">
        <f ca="1">TblMili[[#This Row],[Train Unit 1]]*TblMili[[#This Row],[OP Ore]]+TblMili[[#This Row],[Train Unit 2]]*TblMili[[#This Row],[DP Ore]]+TblMili[[#This Row],[Train Unit 3]]*TblMili[[#This Row],[E1 Ore]]+TblMili[[#This Row],[Train Unit 4]]*TblMili[[#This Row],[E2 Ore]]</f>
        <v>0</v>
      </c>
      <c r="AR15" s="150">
        <f>TblMili[[#This Row],[Hour]]</f>
        <v>12</v>
      </c>
      <c r="AS15" s="160">
        <f ca="1">TblMili[[#This Row],[Time]]</f>
        <v>44811.208333333307</v>
      </c>
      <c r="AT15" s="97">
        <f ca="1">TblMili[[#This Row],[Draftees]]</f>
        <v>258</v>
      </c>
      <c r="AU15" s="187"/>
      <c r="AV15" s="187"/>
      <c r="AW15" s="187"/>
      <c r="AX15" s="187"/>
      <c r="AY15" s="187"/>
      <c r="AZ15" s="187"/>
      <c r="BA15" s="187"/>
      <c r="BB15" s="187"/>
      <c r="BC15" s="150"/>
      <c r="BD15" s="165">
        <f ca="1">TblConstr[[#This Row],[Tot WG]]/TblConstr[[#This Row],[Land]]</f>
        <v>0</v>
      </c>
      <c r="BE15" s="165">
        <f ca="1">TblConstr[[#This Row],[Tot Hav]]/TblConstr[[#This Row],[Land]]</f>
        <v>0</v>
      </c>
      <c r="BF15" s="97">
        <f ca="1">ROUNDUP((1-MIN(TblMili[[#This Row],[Smithies]]*smithy_bonus,smithy_bonus_cap) + tech_3_5*TblTech[[#This Row],[3-5]] + tech_5_3*TblTech[[#This Row],[5-3]] + tech_5_5*TblTech[[#This Row],[5-5]])*spec_op_plat,0)</f>
        <v>275</v>
      </c>
      <c r="BG15" s="97">
        <f ca="1">ROUNDUP(IF(race="Gnome",1,(1-MIN(TblMili[[#This Row],[Smithies]]*smithy_bonus,smithy_bonus_cap) + tech_3_5*TblTech[[#This Row],[3-5]] + tech_5_3*TblTech[[#This Row],[5-3]] + tech_5_5*TblTech[[#This Row],[5-5]]))*spec_op_ore,0)</f>
        <v>25</v>
      </c>
      <c r="BH15" s="97">
        <f ca="1">ROUNDUP((1-MIN(TblMili[[#This Row],[Smithies]]*smithy_bonus,smithy_bonus_cap) + tech_3_5*TblTech[[#This Row],[3-5]] + tech_5_3*TblTech[[#This Row],[5-3]] + tech_5_5*TblTech[[#This Row],[5-5]])*spec_dp_plat,0)</f>
        <v>275</v>
      </c>
      <c r="BI15" s="97">
        <f ca="1">ROUNDUP(IF(race="Gnome",1,(1-MIN(TblMili[[#This Row],[Smithies]]*smithy_bonus,smithy_bonus_cap) + tech_3_5*TblTech[[#This Row],[3-5]] + tech_5_3*TblTech[[#This Row],[5-3]] + tech_5_5*TblTech[[#This Row],[5-5]]))*spec_dp_ore,0)</f>
        <v>15</v>
      </c>
      <c r="BJ15" s="97">
        <f ca="1">ROUNDUP((1-MIN(TblMili[[#This Row],[Smithies]]*smithy_bonus,smithy_bonus_cap) + tech_3_5*TblTech[[#This Row],[3-5]] + tech_5_3*TblTech[[#This Row],[5-3]] + tech_5_5*TblTech[[#This Row],[5-5]])*elite1_plat,0)</f>
        <v>1000</v>
      </c>
      <c r="BK15" s="97">
        <f ca="1">ROUNDUP(IF(race="Gnome",1,(1-MIN(TblMili[[#This Row],[Smithies]]*smithy_bonus,smithy_bonus_cap) + tech_3_5*TblTech[[#This Row],[3-5]] + tech_5_3*TblTech[[#This Row],[5-3]] + tech_5_5*TblTech[[#This Row],[5-5]]))*elite1_ore,0)</f>
        <v>75</v>
      </c>
      <c r="BL15" s="97">
        <f ca="1">ROUNDUP((1-MIN(TblMili[[#This Row],[Smithies]]*smithy_bonus,smithy_bonus_cap) + tech_3_5*TblTech[[#This Row],[3-5]] + tech_5_3*TblTech[[#This Row],[5-3]] + tech_5_5*TblTech[[#This Row],[5-5]])*elite2_plat,0)</f>
        <v>1200</v>
      </c>
      <c r="BM15" s="97">
        <f ca="1">ROUNDUP(IF(race="Gnome",1,(1-MIN(TblMili[[#This Row],[Smithies]]*smithy_bonus,smithy_bonus_cap) + tech_3_5*TblTech[[#This Row],[3-5]] + tech_5_3*TblTech[[#This Row],[5-3]] + tech_5_5*TblTech[[#This Row],[5-5]]))*elite2_ore,0)</f>
        <v>100</v>
      </c>
      <c r="BN15" s="97">
        <f ca="1">ROUNDUP((1-MIN(ROUND(fh_spy_cost_red*TblMili[[#This Row],[FH''s]],4),fh_spy_cost_cap)+ tech_1_9*TblTech[[#This Row],[1-9]] + tech_9_1*TblTech[[#This Row],[9-1]])*spy_plat,0)</f>
        <v>500</v>
      </c>
      <c r="BO15" s="97">
        <f ca="1">ROUNDUP((1-MIN(ROUND(wg_wiz_cost_bonus*TblMili[[#This Row],[WG''s]],4),wg_wiz_cost_cap) + tech_1_9_2*TblTech[[#This Row],[1-9]] + tech_9_1_2*TblTech[[#This Row],[9-1]])*wizard_plat,0)</f>
        <v>500</v>
      </c>
      <c r="BP15" s="97">
        <f ca="1">ROUNDUP((1-MIN(ROUND(wg_wiz_cost_bonus*TblMili[[#This Row],[WG''s]],4),wg_wiz_cost_cap) + tech_1_9_2*TblTech[[#This Row],[1-9]] + tech_9_1_2*TblTech[[#This Row],[9-1]])*archmage_plat,0)</f>
        <v>1000</v>
      </c>
      <c r="BQ15" s="150"/>
      <c r="BR15" s="165">
        <f ca="1">TblConstr[[#This Row],[Homeland]]/TblConstr[[#This Row],[Land]]</f>
        <v>0.44</v>
      </c>
      <c r="BS15" s="165">
        <f ca="1">TblMili[[#This Row],[WG''s]]</f>
        <v>0</v>
      </c>
      <c r="BT15" s="271">
        <f ca="1">IF(mystic_cap="none",TblMili[[#This Row],[Hill]]/mystic_bonus,MIN(mystic_cap,TblMili[[#This Row],[Hill]]/mystic_bonus))</f>
        <v>2.1999999999999997</v>
      </c>
      <c r="BU15" s="271">
        <f ca="1">IF(druid_op_cap="none",TblMili[[#This Row],[Hill]]/druid_op_bonus,MIN(druid_op_cap,TblMili[[#This Row],[Hill]]/druid_op_bonus))</f>
        <v>2.1999999999999997</v>
      </c>
      <c r="BV15" s="271">
        <f ca="1">IF(druid_dp_cap="none",TblMili[[#This Row],[Hill]]/druid_dp_bonus,MIN(druid_dp_cap,TblMili[[#This Row],[Hill]]/druid_dp_bonus))</f>
        <v>2.1999999999999997</v>
      </c>
      <c r="BW15" s="271">
        <f ca="1">MIN(dryad_cap,TblMili[[#This Row],[Hill]]/dryad_bonus)</f>
        <v>2.1999999999999997</v>
      </c>
      <c r="BX15" s="271">
        <f ca="1">MIN(rocka_cap,TblMili[[#This Row],[Hill]]/rocka_bonus)</f>
        <v>2</v>
      </c>
      <c r="BY15" s="271">
        <f ca="1">MIN(adept_op_cap,TblMili[[#This Row],[WG]]/adept_op_bonus)</f>
        <v>0</v>
      </c>
      <c r="BZ15" s="271">
        <f ca="1">MIN(adept_dp_cap,TblMili[[#This Row],[WG]]/adept_dp_bonus)</f>
        <v>0</v>
      </c>
      <c r="CA15" s="97">
        <f ca="1">MIN(TblMili[[#This Row],[Unit 3]],TblMili[[#This Row],[Unit 4]])*2</f>
        <v>0</v>
      </c>
      <c r="CB15" s="97">
        <f ca="1">MIN(TblMili[[#This Row],[Unit 1]],TblMili[[#This Row],[Unit 4]])*2</f>
        <v>0</v>
      </c>
      <c r="CC15" s="271">
        <f ca="1">MIN(frost_mage_cap,TblMili[[#This Row],[Hill]]/frost_mage_bonus)</f>
        <v>2.1999999999999997</v>
      </c>
      <c r="CD15" s="45">
        <f ca="1">MIN(ice_elem_cap,TblMili[[#This Row],[Raw (2)]]*ice_elem_bonus)</f>
        <v>0.1</v>
      </c>
      <c r="CE15" s="271">
        <f t="shared" si="0"/>
        <v>1</v>
      </c>
      <c r="CF15" s="271">
        <f ca="1">MIN(nox_nightshade_cap,TblConstr[[#This Row],[Homeland]]/TblConstr[[#This Row],[Land]]/nox_nightshade_swamp_bonus)</f>
        <v>3</v>
      </c>
      <c r="CG15" s="272"/>
      <c r="CH15" s="272"/>
      <c r="CI15" s="272"/>
      <c r="CJ15" s="271">
        <f ca="1">MIN(6,TblMili[[#This Row],[Mystic]]+Races!$F$19)*1.8 +  IF(TblMili[[#This Row],[Mystic]]+Races!$F$19&gt;6,(TblMili[[#This Row],[Mystic]]+Races!$F$19-6)*0.2,0) - Races!$I$19</f>
        <v>3.6399999999999997</v>
      </c>
      <c r="CK1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97">
        <f ca="1">TblMili[[#This Row],[Mystic bonus]]*TblMili[[#This Row],[Unit 3]]+TblMili[[#This Row],[Druid bonus]]*TblMili[[#This Row],[Unit 4]]</f>
        <v>0</v>
      </c>
      <c r="CM15" s="163">
        <f ca="1">MIN(6,TblMili[[#This Row],[Dryad]]+Races!$F$35)*1.8 +  IF(TblMili[[#This Row],[Dryad]]+Races!$F$35&gt;6,(TblMili[[#This Row],[Dryad]]+Races!$F$35-6)*0.2,0) - Races!$I$19</f>
        <v>2.1599999999999993</v>
      </c>
      <c r="CN15" s="97">
        <f ca="1">sylvan*(TblMili[[#This Row],[Mystic bonus]]*TblMili[[#This Row],[Unit 3]])</f>
        <v>0</v>
      </c>
      <c r="CO15" s="163">
        <f ca="1">1.8 * MIN(MAX(Races!$E$27,TblMili[[#This Row],[Rockapult]]+Races!$F$27),6)  +  0.45 * MIN(MIN(Races!$E$27,TblMili[[#This Row],[Rockapult]]+Races!$F$27),6)  +  0.2 * ( MAX(Races!$E$27-6,0) + MAX(TblMili[[#This Row],[Rockapult]]+Races!$F$27-6,0) )  -  Races!$I$20</f>
        <v>5.8500000000000005</v>
      </c>
      <c r="CP15" s="97">
        <f ca="1">gnome*(TblMili[[#This Row],[Rockapult bonus]]*TblMili[[#This Row],[Unit 3]])</f>
        <v>0</v>
      </c>
      <c r="CQ15" s="163">
        <f ca="1">1.8 * MIN(MAX(TblMili[[#This Row],[Spellblade]]+Races!$E$47,TblMili[[#This Row],[Adept-DP]]+Races!$F$47),6)  +  0.45 * MIN(MIN(TblMili[[#This Row],[Spellblade]]+Races!$E$47,TblMili[[#This Row],[Adept-DP]]+Races!$F$47),6)  +  0.2 * ( MAX(TblMili[[#This Row],[Spellblade]]+Races!$E$47-6,0) + MAX(TblMili[[#This Row],[Adept-DP]]+Races!$F$47-6,0) )  -  Races!$I$47</f>
        <v>0</v>
      </c>
      <c r="CR15" s="97">
        <f ca="1">dark_elf*(TblMili[[#This Row],[Adept bonus]]*TblMili[[#This Row],[Unit 3]])</f>
        <v>0</v>
      </c>
      <c r="CS15" s="163">
        <f ca="1">1.8 * MIN(MAX(TblMili[[#This Row],[Frost Mage]]+Races!$F$71,Races!$E$71),6)  +  0.45 * MIN(MIN(TblMili[[#This Row],[Frost Mage]]+Races!$F$71,Races!$E$71),6)  +  0.2 * ( MAX(TblMili[[#This Row],[Frost Mage]]+Races!$F$71-6,0) + MAX(Races!$E$71-6,0) )  -  Races!$I$71</f>
        <v>3.9599999999999991</v>
      </c>
      <c r="CT15" s="163">
        <f ca="1">1.8 * MIN(MAX(TblMili[[#This Row],[Ice Elemental]]+Races!$E$71,Races!$F$71),6)  +  0.45 * MIN(MIN(TblMili[[#This Row],[Ice Elemental]]+Races!$E$71,Races!$F$71),6)  +  0.2 * ( MAX(TblMili[[#This Row],[Ice Elemental]]+Races!$E$71-6,0) + MAX(Races!$F$71-6,0) )  -  Races!$I$71</f>
        <v>0.17999999999999972</v>
      </c>
      <c r="CU15" s="97">
        <f ca="1">TblMili[[#This Row],[Frost Mage bonus]]*TblMili[[#This Row],[Unit 3]]+TblMili[[#This Row],[Ice Elemental bonus]]*TblMili[[#This Row],[Unit 4]]</f>
        <v>0</v>
      </c>
      <c r="CV15" s="273"/>
      <c r="CW15" s="151">
        <f ca="1">MIN(SUM(TblConstr[[#This Row],[Plain]:[Water]])/TblMili[[#This Row],[Land]]/favorable_terrain_bonus/100,favorable_terrain_max)</f>
        <v>0.1</v>
      </c>
      <c r="CX15" s="273"/>
      <c r="CY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50"/>
      <c r="DA15" s="274">
        <f ca="1">(TblMili[[#This Row],[Wizards]]+2*TblMili[[#This Row],[Archmages]])/TblConstr[[#This Row],[Land]]</f>
        <v>0.1</v>
      </c>
      <c r="DB15" s="274">
        <f ca="1">TblMili[[#This Row],[Raw (2)]]*(1+race_wizard_strength+IF(TblMili[[#This Row],[Hour]]&gt;72,tech_magical_weaponry_wiz*TblTech[[#This Row],[3-5]],0))</f>
        <v>0.1</v>
      </c>
    </row>
    <row r="16" spans="1:106" x14ac:dyDescent="0.2">
      <c r="A16" s="145">
        <f>TblRezone[[#This Row],[Hour]]</f>
        <v>13</v>
      </c>
      <c r="B16" s="266">
        <f ca="1">SUM(TblMili[[#This Row],[Unit 1]:[Archmages]])+SUM(OFFSET(TblMili[[#This Row],[Train Unit 1]],-8,0):TblMili[[#This Row],[Train Unit 2]]) + SUM(OFFSET(TblMili[[#This Row],[Train Unit 3]],-11,0):TblMili[[#This Row],[Train Arch]]) + TblMili[[#This Row],[Draftees]]</f>
        <v>474</v>
      </c>
      <c r="C16" s="165">
        <f ca="1">TblPop[[#This Row],[Military%]]</f>
        <v>0.22390174775625885</v>
      </c>
      <c r="D16" s="150"/>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f>
        <v>25</v>
      </c>
      <c r="J16" s="45">
        <f ca="1">OFFSET(TblMili[[#This Row],[Wizards]],-1,0) + OFFSET(TblMili[[#This Row],[Train Wiz]],-12,0) - TblMili[[#This Row],[Release Wizards]]-TblMili[[#This Row],[Train Arch]]</f>
        <v>25</v>
      </c>
      <c r="K16" s="45">
        <f ca="1">OFFSET(TblMili[[#This Row],[Archmages]],-1,0) + OFFSET(TblMili[[#This Row],[Train Arch]],-12,0) - TblMili[[#This Row],[Release Arch]]</f>
        <v>0</v>
      </c>
      <c r="L16" s="150"/>
      <c r="M16" s="97">
        <f ca="1">TblProd[[#This Row],[Networth]]</f>
        <v>6450</v>
      </c>
      <c r="N16" s="150"/>
      <c r="O16" s="267">
        <f ca="1">TblMili[[#This Row],[Unit 1]]*spec_op+TblMili[[#This Row],[Unit 3]]*(elite1_base_op)+TblMili[[#This Row],[Unit 4]]*(elite2_base_op+dark_elf*TblMili[[#This Row],[Spellblade]]+icekin*TblMili[[#This Row],[Ice Elemental]]+woodie*TblMili[[#This Row],[Druid (op)]]+orc*TblMili[[#This Row],[Orc]])+kobold*TblMili[[#This Row],[Overlords]]</f>
        <v>0</v>
      </c>
      <c r="P1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6" s="267">
        <f ca="1">TblMili[[#This Row],[Raw]]*(1+TblMili[[#This Row],[Mods_Off]])</f>
        <v>0</v>
      </c>
      <c r="R1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6" s="267">
        <f ca="1">TblMili[[#This Row],[Non Draft]]+TblMili[[#This Row],[Draftees]]</f>
        <v>724</v>
      </c>
      <c r="T1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269">
        <f ca="1">TblMili[[#This Row],[Non Draft]] * (1 + TblMili[[#This Row],[Mods_Def]])</f>
        <v>450</v>
      </c>
      <c r="V16" s="267">
        <f ca="1">TblMili[[#This Row],[Draft]] * (1 + TblMili[[#This Row],[Mods_Def]])</f>
        <v>724</v>
      </c>
      <c r="W16" s="267">
        <f ca="1">TblConstr[[#This Row],[Land]]</f>
        <v>250</v>
      </c>
      <c r="X16" s="270"/>
      <c r="Y16" s="275">
        <f ca="1">IF(TblMili[[#This Row],[Set]]&lt;&gt;"",TblMili[[#This Row],[Set]],OFFSET(TblMili[[#This Row],[Draftrate]],-1,0))</f>
        <v>0.35</v>
      </c>
      <c r="Z16" s="97">
        <f ca="1">OFFSET(TblMili[[#This Row],[Draftees]],-1,0)+OFFSET(TblPop[[#This Row],[Draft Growth]],-1,0) - SUM(TblMili[[#This Row],[Train Unit 1]:[Train Wiz]]) - TblMili[[#This Row],[Release Draft]] + SUM(TblMili[[#This Row],[Release Unit 1]:[Release Arch]]) -TblExplore[[#This Row],[Draftees (2)]]</f>
        <v>274</v>
      </c>
      <c r="AA16" s="162"/>
      <c r="AB16" s="188">
        <f ca="1">(TblConstr[[#This Row],[Tot Smi]]+TblConstr[[#This Row],[Dest Smi]])/(TblConstr[[#This Row],[Land]]-TblExplore[[#This Row],[Land Bonus]]*20)</f>
        <v>0</v>
      </c>
      <c r="AC16" s="266"/>
      <c r="AD16" s="266">
        <f>TblMili[[#This Row],[Hour]]</f>
        <v>13</v>
      </c>
      <c r="AE16" s="146">
        <f ca="1">TblExplore[[#This Row],[Time]]</f>
        <v>44811.249999999971</v>
      </c>
      <c r="AF16" s="187"/>
      <c r="AG16" s="187"/>
      <c r="AH16" s="187"/>
      <c r="AI16" s="187"/>
      <c r="AJ16" s="187"/>
      <c r="AK16" s="187"/>
      <c r="AL16" s="187"/>
      <c r="AM16" s="150"/>
      <c r="AN16" s="97">
        <f ca="1">TblProd[[#This Row],[Platinum]]</f>
        <v>163161</v>
      </c>
      <c r="AO16" s="97">
        <f ca="1">INDEX(TblProd[[#Headers],[Lumber]]:TblProd[[#This Row],[Ore]],COUNTA(TblProd[[#Headers],[Lumber]]:TblProd[[#This Row],[Lumber]]),MATCH(Military!$AO$2,TblProd[[#Headers],[Lumber]:[Ore]],0))</f>
        <v>0</v>
      </c>
      <c r="AP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97">
        <f ca="1">TblMili[[#This Row],[Train Unit 1]]*TblMili[[#This Row],[OP Ore]]+TblMili[[#This Row],[Train Unit 2]]*TblMili[[#This Row],[DP Ore]]+TblMili[[#This Row],[Train Unit 3]]*TblMili[[#This Row],[E1 Ore]]+TblMili[[#This Row],[Train Unit 4]]*TblMili[[#This Row],[E2 Ore]]</f>
        <v>0</v>
      </c>
      <c r="AR16" s="150">
        <f>TblMili[[#This Row],[Hour]]</f>
        <v>13</v>
      </c>
      <c r="AS16" s="160">
        <f ca="1">TblMili[[#This Row],[Time]]</f>
        <v>44811.249999999971</v>
      </c>
      <c r="AT16" s="97">
        <f ca="1">TblMili[[#This Row],[Draftees]]</f>
        <v>274</v>
      </c>
      <c r="AU16" s="187"/>
      <c r="AV16" s="187"/>
      <c r="AW16" s="187"/>
      <c r="AX16" s="187"/>
      <c r="AY16" s="187"/>
      <c r="AZ16" s="187"/>
      <c r="BA16" s="187"/>
      <c r="BB16" s="187"/>
      <c r="BC16" s="150"/>
      <c r="BD16" s="165">
        <f ca="1">TblConstr[[#This Row],[Tot WG]]/TblConstr[[#This Row],[Land]]</f>
        <v>0</v>
      </c>
      <c r="BE16" s="165">
        <f ca="1">TblConstr[[#This Row],[Tot Hav]]/TblConstr[[#This Row],[Land]]</f>
        <v>0</v>
      </c>
      <c r="BF16" s="97">
        <f ca="1">ROUNDUP((1-MIN(TblMili[[#This Row],[Smithies]]*smithy_bonus,smithy_bonus_cap) + tech_3_5*TblTech[[#This Row],[3-5]] + tech_5_3*TblTech[[#This Row],[5-3]] + tech_5_5*TblTech[[#This Row],[5-5]])*spec_op_plat,0)</f>
        <v>275</v>
      </c>
      <c r="BG16" s="97">
        <f ca="1">ROUNDUP(IF(race="Gnome",1,(1-MIN(TblMili[[#This Row],[Smithies]]*smithy_bonus,smithy_bonus_cap) + tech_3_5*TblTech[[#This Row],[3-5]] + tech_5_3*TblTech[[#This Row],[5-3]] + tech_5_5*TblTech[[#This Row],[5-5]]))*spec_op_ore,0)</f>
        <v>25</v>
      </c>
      <c r="BH16" s="97">
        <f ca="1">ROUNDUP((1-MIN(TblMili[[#This Row],[Smithies]]*smithy_bonus,smithy_bonus_cap) + tech_3_5*TblTech[[#This Row],[3-5]] + tech_5_3*TblTech[[#This Row],[5-3]] + tech_5_5*TblTech[[#This Row],[5-5]])*spec_dp_plat,0)</f>
        <v>275</v>
      </c>
      <c r="BI16" s="97">
        <f ca="1">ROUNDUP(IF(race="Gnome",1,(1-MIN(TblMili[[#This Row],[Smithies]]*smithy_bonus,smithy_bonus_cap) + tech_3_5*TblTech[[#This Row],[3-5]] + tech_5_3*TblTech[[#This Row],[5-3]] + tech_5_5*TblTech[[#This Row],[5-5]]))*spec_dp_ore,0)</f>
        <v>15</v>
      </c>
      <c r="BJ16" s="97">
        <f ca="1">ROUNDUP((1-MIN(TblMili[[#This Row],[Smithies]]*smithy_bonus,smithy_bonus_cap) + tech_3_5*TblTech[[#This Row],[3-5]] + tech_5_3*TblTech[[#This Row],[5-3]] + tech_5_5*TblTech[[#This Row],[5-5]])*elite1_plat,0)</f>
        <v>1000</v>
      </c>
      <c r="BK16" s="97">
        <f ca="1">ROUNDUP(IF(race="Gnome",1,(1-MIN(TblMili[[#This Row],[Smithies]]*smithy_bonus,smithy_bonus_cap) + tech_3_5*TblTech[[#This Row],[3-5]] + tech_5_3*TblTech[[#This Row],[5-3]] + tech_5_5*TblTech[[#This Row],[5-5]]))*elite1_ore,0)</f>
        <v>75</v>
      </c>
      <c r="BL16" s="97">
        <f ca="1">ROUNDUP((1-MIN(TblMili[[#This Row],[Smithies]]*smithy_bonus,smithy_bonus_cap) + tech_3_5*TblTech[[#This Row],[3-5]] + tech_5_3*TblTech[[#This Row],[5-3]] + tech_5_5*TblTech[[#This Row],[5-5]])*elite2_plat,0)</f>
        <v>1200</v>
      </c>
      <c r="BM16" s="97">
        <f ca="1">ROUNDUP(IF(race="Gnome",1,(1-MIN(TblMili[[#This Row],[Smithies]]*smithy_bonus,smithy_bonus_cap) + tech_3_5*TblTech[[#This Row],[3-5]] + tech_5_3*TblTech[[#This Row],[5-3]] + tech_5_5*TblTech[[#This Row],[5-5]]))*elite2_ore,0)</f>
        <v>100</v>
      </c>
      <c r="BN16" s="97">
        <f ca="1">ROUNDUP((1-MIN(ROUND(fh_spy_cost_red*TblMili[[#This Row],[FH''s]],4),fh_spy_cost_cap)+ tech_1_9*TblTech[[#This Row],[1-9]] + tech_9_1*TblTech[[#This Row],[9-1]])*spy_plat,0)</f>
        <v>500</v>
      </c>
      <c r="BO16" s="97">
        <f ca="1">ROUNDUP((1-MIN(ROUND(wg_wiz_cost_bonus*TblMili[[#This Row],[WG''s]],4),wg_wiz_cost_cap) + tech_1_9_2*TblTech[[#This Row],[1-9]] + tech_9_1_2*TblTech[[#This Row],[9-1]])*wizard_plat,0)</f>
        <v>500</v>
      </c>
      <c r="BP16" s="97">
        <f ca="1">ROUNDUP((1-MIN(ROUND(wg_wiz_cost_bonus*TblMili[[#This Row],[WG''s]],4),wg_wiz_cost_cap) + tech_1_9_2*TblTech[[#This Row],[1-9]] + tech_9_1_2*TblTech[[#This Row],[9-1]])*archmage_plat,0)</f>
        <v>1000</v>
      </c>
      <c r="BQ16" s="150"/>
      <c r="BR16" s="165">
        <f ca="1">TblConstr[[#This Row],[Homeland]]/TblConstr[[#This Row],[Land]]</f>
        <v>0.44</v>
      </c>
      <c r="BS16" s="165">
        <f ca="1">TblMili[[#This Row],[WG''s]]</f>
        <v>0</v>
      </c>
      <c r="BT16" s="271">
        <f ca="1">IF(mystic_cap="none",TblMili[[#This Row],[Hill]]/mystic_bonus,MIN(mystic_cap,TblMili[[#This Row],[Hill]]/mystic_bonus))</f>
        <v>2.1999999999999997</v>
      </c>
      <c r="BU16" s="271">
        <f ca="1">IF(druid_op_cap="none",TblMili[[#This Row],[Hill]]/druid_op_bonus,MIN(druid_op_cap,TblMili[[#This Row],[Hill]]/druid_op_bonus))</f>
        <v>2.1999999999999997</v>
      </c>
      <c r="BV16" s="271">
        <f ca="1">IF(druid_dp_cap="none",TblMili[[#This Row],[Hill]]/druid_dp_bonus,MIN(druid_dp_cap,TblMili[[#This Row],[Hill]]/druid_dp_bonus))</f>
        <v>2.1999999999999997</v>
      </c>
      <c r="BW16" s="271">
        <f ca="1">MIN(dryad_cap,TblMili[[#This Row],[Hill]]/dryad_bonus)</f>
        <v>2.1999999999999997</v>
      </c>
      <c r="BX16" s="271">
        <f ca="1">MIN(rocka_cap,TblMili[[#This Row],[Hill]]/rocka_bonus)</f>
        <v>2</v>
      </c>
      <c r="BY16" s="271">
        <f ca="1">MIN(adept_op_cap,TblMili[[#This Row],[WG]]/adept_op_bonus)</f>
        <v>0</v>
      </c>
      <c r="BZ16" s="271">
        <f ca="1">MIN(adept_dp_cap,TblMili[[#This Row],[WG]]/adept_dp_bonus)</f>
        <v>0</v>
      </c>
      <c r="CA16" s="97">
        <f ca="1">MIN(TblMili[[#This Row],[Unit 3]],TblMili[[#This Row],[Unit 4]])*2</f>
        <v>0</v>
      </c>
      <c r="CB16" s="97">
        <f ca="1">MIN(TblMili[[#This Row],[Unit 1]],TblMili[[#This Row],[Unit 4]])*2</f>
        <v>0</v>
      </c>
      <c r="CC16" s="271">
        <f ca="1">MIN(frost_mage_cap,TblMili[[#This Row],[Hill]]/frost_mage_bonus)</f>
        <v>2.1999999999999997</v>
      </c>
      <c r="CD16" s="45">
        <f ca="1">MIN(ice_elem_cap,TblMili[[#This Row],[Raw (2)]]*ice_elem_bonus)</f>
        <v>0.1</v>
      </c>
      <c r="CE16" s="271">
        <f t="shared" si="0"/>
        <v>1</v>
      </c>
      <c r="CF16" s="271">
        <f ca="1">MIN(nox_nightshade_cap,TblConstr[[#This Row],[Homeland]]/TblConstr[[#This Row],[Land]]/nox_nightshade_swamp_bonus)</f>
        <v>3</v>
      </c>
      <c r="CG16" s="272"/>
      <c r="CH16" s="272"/>
      <c r="CI16" s="272"/>
      <c r="CJ16" s="271">
        <f ca="1">MIN(6,TblMili[[#This Row],[Mystic]]+Races!$F$19)*1.8 +  IF(TblMili[[#This Row],[Mystic]]+Races!$F$19&gt;6,(TblMili[[#This Row],[Mystic]]+Races!$F$19-6)*0.2,0) - Races!$I$19</f>
        <v>3.6399999999999997</v>
      </c>
      <c r="CK1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97">
        <f ca="1">TblMili[[#This Row],[Mystic bonus]]*TblMili[[#This Row],[Unit 3]]+TblMili[[#This Row],[Druid bonus]]*TblMili[[#This Row],[Unit 4]]</f>
        <v>0</v>
      </c>
      <c r="CM16" s="163">
        <f ca="1">MIN(6,TblMili[[#This Row],[Dryad]]+Races!$F$35)*1.8 +  IF(TblMili[[#This Row],[Dryad]]+Races!$F$35&gt;6,(TblMili[[#This Row],[Dryad]]+Races!$F$35-6)*0.2,0) - Races!$I$19</f>
        <v>2.1599999999999993</v>
      </c>
      <c r="CN16" s="97">
        <f ca="1">sylvan*(TblMili[[#This Row],[Mystic bonus]]*TblMili[[#This Row],[Unit 3]])</f>
        <v>0</v>
      </c>
      <c r="CO16" s="163">
        <f ca="1">1.8 * MIN(MAX(Races!$E$27,TblMili[[#This Row],[Rockapult]]+Races!$F$27),6)  +  0.45 * MIN(MIN(Races!$E$27,TblMili[[#This Row],[Rockapult]]+Races!$F$27),6)  +  0.2 * ( MAX(Races!$E$27-6,0) + MAX(TblMili[[#This Row],[Rockapult]]+Races!$F$27-6,0) )  -  Races!$I$20</f>
        <v>5.8500000000000005</v>
      </c>
      <c r="CP16" s="97">
        <f ca="1">gnome*(TblMili[[#This Row],[Rockapult bonus]]*TblMili[[#This Row],[Unit 3]])</f>
        <v>0</v>
      </c>
      <c r="CQ16" s="163">
        <f ca="1">1.8 * MIN(MAX(TblMili[[#This Row],[Spellblade]]+Races!$E$47,TblMili[[#This Row],[Adept-DP]]+Races!$F$47),6)  +  0.45 * MIN(MIN(TblMili[[#This Row],[Spellblade]]+Races!$E$47,TblMili[[#This Row],[Adept-DP]]+Races!$F$47),6)  +  0.2 * ( MAX(TblMili[[#This Row],[Spellblade]]+Races!$E$47-6,0) + MAX(TblMili[[#This Row],[Adept-DP]]+Races!$F$47-6,0) )  -  Races!$I$47</f>
        <v>0</v>
      </c>
      <c r="CR16" s="97">
        <f ca="1">dark_elf*(TblMili[[#This Row],[Adept bonus]]*TblMili[[#This Row],[Unit 3]])</f>
        <v>0</v>
      </c>
      <c r="CS16" s="163">
        <f ca="1">1.8 * MIN(MAX(TblMili[[#This Row],[Frost Mage]]+Races!$F$71,Races!$E$71),6)  +  0.45 * MIN(MIN(TblMili[[#This Row],[Frost Mage]]+Races!$F$71,Races!$E$71),6)  +  0.2 * ( MAX(TblMili[[#This Row],[Frost Mage]]+Races!$F$71-6,0) + MAX(Races!$E$71-6,0) )  -  Races!$I$71</f>
        <v>3.9599999999999991</v>
      </c>
      <c r="CT16" s="163">
        <f ca="1">1.8 * MIN(MAX(TblMili[[#This Row],[Ice Elemental]]+Races!$E$71,Races!$F$71),6)  +  0.45 * MIN(MIN(TblMili[[#This Row],[Ice Elemental]]+Races!$E$71,Races!$F$71),6)  +  0.2 * ( MAX(TblMili[[#This Row],[Ice Elemental]]+Races!$E$71-6,0) + MAX(Races!$F$71-6,0) )  -  Races!$I$71</f>
        <v>0.17999999999999972</v>
      </c>
      <c r="CU16" s="97">
        <f ca="1">TblMili[[#This Row],[Frost Mage bonus]]*TblMili[[#This Row],[Unit 3]]+TblMili[[#This Row],[Ice Elemental bonus]]*TblMili[[#This Row],[Unit 4]]</f>
        <v>0</v>
      </c>
      <c r="CV16" s="273"/>
      <c r="CW16" s="151">
        <f ca="1">MIN(SUM(TblConstr[[#This Row],[Plain]:[Water]])/TblMili[[#This Row],[Land]]/favorable_terrain_bonus/100,favorable_terrain_max)</f>
        <v>0.1</v>
      </c>
      <c r="CX16" s="273"/>
      <c r="CY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50"/>
      <c r="DA16" s="274">
        <f ca="1">(TblMili[[#This Row],[Wizards]]+2*TblMili[[#This Row],[Archmages]])/TblConstr[[#This Row],[Land]]</f>
        <v>0.1</v>
      </c>
      <c r="DB16" s="274">
        <f ca="1">TblMili[[#This Row],[Raw (2)]]*(1+race_wizard_strength+IF(TblMili[[#This Row],[Hour]]&gt;72,tech_magical_weaponry_wiz*TblTech[[#This Row],[3-5]],0))</f>
        <v>0.1</v>
      </c>
    </row>
    <row r="17" spans="1:106" x14ac:dyDescent="0.2">
      <c r="A17" s="145">
        <f>TblRezone[[#This Row],[Hour]]</f>
        <v>14</v>
      </c>
      <c r="B17" s="266">
        <f ca="1">SUM(TblMili[[#This Row],[Unit 1]:[Archmages]])+SUM(OFFSET(TblMili[[#This Row],[Train Unit 1]],-8,0):TblMili[[#This Row],[Train Unit 2]]) + SUM(OFFSET(TblMili[[#This Row],[Train Unit 3]],-11,0):TblMili[[#This Row],[Train Arch]]) + TblMili[[#This Row],[Draftees]]</f>
        <v>490</v>
      </c>
      <c r="C17" s="165">
        <f ca="1">TblPop[[#This Row],[Military%]]</f>
        <v>0.22622345337026778</v>
      </c>
      <c r="D17" s="150"/>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f>
        <v>25</v>
      </c>
      <c r="J17" s="45">
        <f ca="1">OFFSET(TblMili[[#This Row],[Wizards]],-1,0) + OFFSET(TblMili[[#This Row],[Train Wiz]],-12,0) - TblMili[[#This Row],[Release Wizards]]-TblMili[[#This Row],[Train Arch]]</f>
        <v>25</v>
      </c>
      <c r="K17" s="45">
        <f ca="1">OFFSET(TblMili[[#This Row],[Archmages]],-1,0) + OFFSET(TblMili[[#This Row],[Train Arch]],-12,0) - TblMili[[#This Row],[Release Arch]]</f>
        <v>0</v>
      </c>
      <c r="L17" s="150"/>
      <c r="M17" s="97">
        <f ca="1">TblProd[[#This Row],[Networth]]</f>
        <v>6450</v>
      </c>
      <c r="N17" s="150"/>
      <c r="O17" s="267">
        <f ca="1">TblMili[[#This Row],[Unit 1]]*spec_op+TblMili[[#This Row],[Unit 3]]*(elite1_base_op)+TblMili[[#This Row],[Unit 4]]*(elite2_base_op+dark_elf*TblMili[[#This Row],[Spellblade]]+icekin*TblMili[[#This Row],[Ice Elemental]]+woodie*TblMili[[#This Row],[Druid (op)]]+orc*TblMili[[#This Row],[Orc]])+kobold*TblMili[[#This Row],[Overlords]]</f>
        <v>0</v>
      </c>
      <c r="P1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7" s="267">
        <f ca="1">TblMili[[#This Row],[Raw]]*(1+TblMili[[#This Row],[Mods_Off]])</f>
        <v>0</v>
      </c>
      <c r="R1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7" s="267">
        <f ca="1">TblMili[[#This Row],[Non Draft]]+TblMili[[#This Row],[Draftees]]</f>
        <v>740</v>
      </c>
      <c r="T1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269">
        <f ca="1">TblMili[[#This Row],[Non Draft]] * (1 + TblMili[[#This Row],[Mods_Def]])</f>
        <v>450</v>
      </c>
      <c r="V17" s="267">
        <f ca="1">TblMili[[#This Row],[Draft]] * (1 + TblMili[[#This Row],[Mods_Def]])</f>
        <v>740</v>
      </c>
      <c r="W17" s="267">
        <f ca="1">TblConstr[[#This Row],[Land]]</f>
        <v>250</v>
      </c>
      <c r="X17" s="270"/>
      <c r="Y17" s="275">
        <f ca="1">IF(TblMili[[#This Row],[Set]]&lt;&gt;"",TblMili[[#This Row],[Set]],OFFSET(TblMili[[#This Row],[Draftrate]],-1,0))</f>
        <v>0.35</v>
      </c>
      <c r="Z17" s="97">
        <f ca="1">OFFSET(TblMili[[#This Row],[Draftees]],-1,0)+OFFSET(TblPop[[#This Row],[Draft Growth]],-1,0) - SUM(TblMili[[#This Row],[Train Unit 1]:[Train Wiz]]) - TblMili[[#This Row],[Release Draft]] + SUM(TblMili[[#This Row],[Release Unit 1]:[Release Arch]]) -TblExplore[[#This Row],[Draftees (2)]]</f>
        <v>290</v>
      </c>
      <c r="AA17" s="162"/>
      <c r="AB17" s="188">
        <f ca="1">(TblConstr[[#This Row],[Tot Smi]]+TblConstr[[#This Row],[Dest Smi]])/(TblConstr[[#This Row],[Land]]-TblExplore[[#This Row],[Land Bonus]]*20)</f>
        <v>0</v>
      </c>
      <c r="AC17" s="145"/>
      <c r="AD17" s="266">
        <f>TblMili[[#This Row],[Hour]]</f>
        <v>14</v>
      </c>
      <c r="AE17" s="146">
        <f ca="1">TblExplore[[#This Row],[Time]]</f>
        <v>44811.291666666635</v>
      </c>
      <c r="AF17" s="187"/>
      <c r="AG17" s="187"/>
      <c r="AH17" s="187"/>
      <c r="AI17" s="187"/>
      <c r="AJ17" s="187"/>
      <c r="AK17" s="187"/>
      <c r="AL17" s="187"/>
      <c r="AM17" s="150"/>
      <c r="AN17" s="97">
        <f ca="1">TblProd[[#This Row],[Platinum]]</f>
        <v>168831</v>
      </c>
      <c r="AO17" s="97">
        <f ca="1">INDEX(TblProd[[#Headers],[Lumber]]:TblProd[[#This Row],[Ore]],COUNTA(TblProd[[#Headers],[Lumber]]:TblProd[[#This Row],[Lumber]]),MATCH(Military!$AO$2,TblProd[[#Headers],[Lumber]:[Ore]],0))</f>
        <v>0</v>
      </c>
      <c r="AP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97">
        <f ca="1">TblMili[[#This Row],[Train Unit 1]]*TblMili[[#This Row],[OP Ore]]+TblMili[[#This Row],[Train Unit 2]]*TblMili[[#This Row],[DP Ore]]+TblMili[[#This Row],[Train Unit 3]]*TblMili[[#This Row],[E1 Ore]]+TblMili[[#This Row],[Train Unit 4]]*TblMili[[#This Row],[E2 Ore]]</f>
        <v>0</v>
      </c>
      <c r="AR17" s="150">
        <f>TblMili[[#This Row],[Hour]]</f>
        <v>14</v>
      </c>
      <c r="AS17" s="160">
        <f ca="1">TblMili[[#This Row],[Time]]</f>
        <v>44811.291666666635</v>
      </c>
      <c r="AT17" s="97">
        <f ca="1">TblMili[[#This Row],[Draftees]]</f>
        <v>290</v>
      </c>
      <c r="AU17" s="187"/>
      <c r="AV17" s="187"/>
      <c r="AW17" s="187"/>
      <c r="AX17" s="187"/>
      <c r="AY17" s="187"/>
      <c r="AZ17" s="187"/>
      <c r="BA17" s="187"/>
      <c r="BB17" s="187"/>
      <c r="BC17" s="150"/>
      <c r="BD17" s="165">
        <f ca="1">TblConstr[[#This Row],[Tot WG]]/TblConstr[[#This Row],[Land]]</f>
        <v>0</v>
      </c>
      <c r="BE17" s="165">
        <f ca="1">TblConstr[[#This Row],[Tot Hav]]/TblConstr[[#This Row],[Land]]</f>
        <v>0</v>
      </c>
      <c r="BF17" s="97">
        <f ca="1">ROUNDUP((1-MIN(TblMili[[#This Row],[Smithies]]*smithy_bonus,smithy_bonus_cap) + tech_3_5*TblTech[[#This Row],[3-5]] + tech_5_3*TblTech[[#This Row],[5-3]] + tech_5_5*TblTech[[#This Row],[5-5]])*spec_op_plat,0)</f>
        <v>275</v>
      </c>
      <c r="BG17" s="97">
        <f ca="1">ROUNDUP(IF(race="Gnome",1,(1-MIN(TblMili[[#This Row],[Smithies]]*smithy_bonus,smithy_bonus_cap) + tech_3_5*TblTech[[#This Row],[3-5]] + tech_5_3*TblTech[[#This Row],[5-3]] + tech_5_5*TblTech[[#This Row],[5-5]]))*spec_op_ore,0)</f>
        <v>25</v>
      </c>
      <c r="BH17" s="97">
        <f ca="1">ROUNDUP((1-MIN(TblMili[[#This Row],[Smithies]]*smithy_bonus,smithy_bonus_cap) + tech_3_5*TblTech[[#This Row],[3-5]] + tech_5_3*TblTech[[#This Row],[5-3]] + tech_5_5*TblTech[[#This Row],[5-5]])*spec_dp_plat,0)</f>
        <v>275</v>
      </c>
      <c r="BI17" s="97">
        <f ca="1">ROUNDUP(IF(race="Gnome",1,(1-MIN(TblMili[[#This Row],[Smithies]]*smithy_bonus,smithy_bonus_cap) + tech_3_5*TblTech[[#This Row],[3-5]] + tech_5_3*TblTech[[#This Row],[5-3]] + tech_5_5*TblTech[[#This Row],[5-5]]))*spec_dp_ore,0)</f>
        <v>15</v>
      </c>
      <c r="BJ17" s="97">
        <f ca="1">ROUNDUP((1-MIN(TblMili[[#This Row],[Smithies]]*smithy_bonus,smithy_bonus_cap) + tech_3_5*TblTech[[#This Row],[3-5]] + tech_5_3*TblTech[[#This Row],[5-3]] + tech_5_5*TblTech[[#This Row],[5-5]])*elite1_plat,0)</f>
        <v>1000</v>
      </c>
      <c r="BK17" s="97">
        <f ca="1">ROUNDUP(IF(race="Gnome",1,(1-MIN(TblMili[[#This Row],[Smithies]]*smithy_bonus,smithy_bonus_cap) + tech_3_5*TblTech[[#This Row],[3-5]] + tech_5_3*TblTech[[#This Row],[5-3]] + tech_5_5*TblTech[[#This Row],[5-5]]))*elite1_ore,0)</f>
        <v>75</v>
      </c>
      <c r="BL17" s="97">
        <f ca="1">ROUNDUP((1-MIN(TblMili[[#This Row],[Smithies]]*smithy_bonus,smithy_bonus_cap) + tech_3_5*TblTech[[#This Row],[3-5]] + tech_5_3*TblTech[[#This Row],[5-3]] + tech_5_5*TblTech[[#This Row],[5-5]])*elite2_plat,0)</f>
        <v>1200</v>
      </c>
      <c r="BM17" s="97">
        <f ca="1">ROUNDUP(IF(race="Gnome",1,(1-MIN(TblMili[[#This Row],[Smithies]]*smithy_bonus,smithy_bonus_cap) + tech_3_5*TblTech[[#This Row],[3-5]] + tech_5_3*TblTech[[#This Row],[5-3]] + tech_5_5*TblTech[[#This Row],[5-5]]))*elite2_ore,0)</f>
        <v>100</v>
      </c>
      <c r="BN17" s="97">
        <f ca="1">ROUNDUP((1-MIN(ROUND(fh_spy_cost_red*TblMili[[#This Row],[FH''s]],4),fh_spy_cost_cap)+ tech_1_9*TblTech[[#This Row],[1-9]] + tech_9_1*TblTech[[#This Row],[9-1]])*spy_plat,0)</f>
        <v>500</v>
      </c>
      <c r="BO17" s="97">
        <f ca="1">ROUNDUP((1-MIN(ROUND(wg_wiz_cost_bonus*TblMili[[#This Row],[WG''s]],4),wg_wiz_cost_cap) + tech_1_9_2*TblTech[[#This Row],[1-9]] + tech_9_1_2*TblTech[[#This Row],[9-1]])*wizard_plat,0)</f>
        <v>500</v>
      </c>
      <c r="BP17" s="97">
        <f ca="1">ROUNDUP((1-MIN(ROUND(wg_wiz_cost_bonus*TblMili[[#This Row],[WG''s]],4),wg_wiz_cost_cap) + tech_1_9_2*TblTech[[#This Row],[1-9]] + tech_9_1_2*TblTech[[#This Row],[9-1]])*archmage_plat,0)</f>
        <v>1000</v>
      </c>
      <c r="BQ17" s="150"/>
      <c r="BR17" s="165">
        <f ca="1">TblConstr[[#This Row],[Homeland]]/TblConstr[[#This Row],[Land]]</f>
        <v>0.44</v>
      </c>
      <c r="BS17" s="165">
        <f ca="1">TblMili[[#This Row],[WG''s]]</f>
        <v>0</v>
      </c>
      <c r="BT17" s="271">
        <f ca="1">IF(mystic_cap="none",TblMili[[#This Row],[Hill]]/mystic_bonus,MIN(mystic_cap,TblMili[[#This Row],[Hill]]/mystic_bonus))</f>
        <v>2.1999999999999997</v>
      </c>
      <c r="BU17" s="271">
        <f ca="1">IF(druid_op_cap="none",TblMili[[#This Row],[Hill]]/druid_op_bonus,MIN(druid_op_cap,TblMili[[#This Row],[Hill]]/druid_op_bonus))</f>
        <v>2.1999999999999997</v>
      </c>
      <c r="BV17" s="271">
        <f ca="1">IF(druid_dp_cap="none",TblMili[[#This Row],[Hill]]/druid_dp_bonus,MIN(druid_dp_cap,TblMili[[#This Row],[Hill]]/druid_dp_bonus))</f>
        <v>2.1999999999999997</v>
      </c>
      <c r="BW17" s="271">
        <f ca="1">MIN(dryad_cap,TblMili[[#This Row],[Hill]]/dryad_bonus)</f>
        <v>2.1999999999999997</v>
      </c>
      <c r="BX17" s="271">
        <f ca="1">MIN(rocka_cap,TblMili[[#This Row],[Hill]]/rocka_bonus)</f>
        <v>2</v>
      </c>
      <c r="BY17" s="271">
        <f ca="1">MIN(adept_op_cap,TblMili[[#This Row],[WG]]/adept_op_bonus)</f>
        <v>0</v>
      </c>
      <c r="BZ17" s="271">
        <f ca="1">MIN(adept_dp_cap,TblMili[[#This Row],[WG]]/adept_dp_bonus)</f>
        <v>0</v>
      </c>
      <c r="CA17" s="97">
        <f ca="1">MIN(TblMili[[#This Row],[Unit 3]],TblMili[[#This Row],[Unit 4]])*2</f>
        <v>0</v>
      </c>
      <c r="CB17" s="97">
        <f ca="1">MIN(TblMili[[#This Row],[Unit 1]],TblMili[[#This Row],[Unit 4]])*2</f>
        <v>0</v>
      </c>
      <c r="CC17" s="271">
        <f ca="1">MIN(frost_mage_cap,TblMili[[#This Row],[Hill]]/frost_mage_bonus)</f>
        <v>2.1999999999999997</v>
      </c>
      <c r="CD17" s="45">
        <f ca="1">MIN(ice_elem_cap,TblMili[[#This Row],[Raw (2)]]*ice_elem_bonus)</f>
        <v>0.1</v>
      </c>
      <c r="CE17" s="271">
        <f t="shared" si="0"/>
        <v>1</v>
      </c>
      <c r="CF17" s="271">
        <f ca="1">MIN(nox_nightshade_cap,TblConstr[[#This Row],[Homeland]]/TblConstr[[#This Row],[Land]]/nox_nightshade_swamp_bonus)</f>
        <v>3</v>
      </c>
      <c r="CG17" s="272" t="s">
        <v>528</v>
      </c>
      <c r="CH17" s="272"/>
      <c r="CI17" s="272"/>
      <c r="CJ17" s="271">
        <f ca="1">MIN(6,TblMili[[#This Row],[Mystic]]+Races!$F$19)*1.8 +  IF(TblMili[[#This Row],[Mystic]]+Races!$F$19&gt;6,(TblMili[[#This Row],[Mystic]]+Races!$F$19-6)*0.2,0) - Races!$I$19</f>
        <v>3.6399999999999997</v>
      </c>
      <c r="CK1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97">
        <f ca="1">TblMili[[#This Row],[Mystic bonus]]*TblMili[[#This Row],[Unit 3]]+TblMili[[#This Row],[Druid bonus]]*TblMili[[#This Row],[Unit 4]]</f>
        <v>0</v>
      </c>
      <c r="CM17" s="163">
        <f ca="1">MIN(6,TblMili[[#This Row],[Dryad]]+Races!$F$35)*1.8 +  IF(TblMili[[#This Row],[Dryad]]+Races!$F$35&gt;6,(TblMili[[#This Row],[Dryad]]+Races!$F$35-6)*0.2,0) - Races!$I$19</f>
        <v>2.1599999999999993</v>
      </c>
      <c r="CN17" s="97">
        <f ca="1">sylvan*(TblMili[[#This Row],[Mystic bonus]]*TblMili[[#This Row],[Unit 3]])</f>
        <v>0</v>
      </c>
      <c r="CO17" s="163">
        <f ca="1">1.8 * MIN(MAX(Races!$E$27,TblMili[[#This Row],[Rockapult]]+Races!$F$27),6)  +  0.45 * MIN(MIN(Races!$E$27,TblMili[[#This Row],[Rockapult]]+Races!$F$27),6)  +  0.2 * ( MAX(Races!$E$27-6,0) + MAX(TblMili[[#This Row],[Rockapult]]+Races!$F$27-6,0) )  -  Races!$I$20</f>
        <v>5.8500000000000005</v>
      </c>
      <c r="CP17" s="97">
        <f ca="1">gnome*(TblMili[[#This Row],[Rockapult bonus]]*TblMili[[#This Row],[Unit 3]])</f>
        <v>0</v>
      </c>
      <c r="CQ17" s="163">
        <f ca="1">1.8 * MIN(MAX(TblMili[[#This Row],[Spellblade]]+Races!$E$47,TblMili[[#This Row],[Adept-DP]]+Races!$F$47),6)  +  0.45 * MIN(MIN(TblMili[[#This Row],[Spellblade]]+Races!$E$47,TblMili[[#This Row],[Adept-DP]]+Races!$F$47),6)  +  0.2 * ( MAX(TblMili[[#This Row],[Spellblade]]+Races!$E$47-6,0) + MAX(TblMili[[#This Row],[Adept-DP]]+Races!$F$47-6,0) )  -  Races!$I$47</f>
        <v>0</v>
      </c>
      <c r="CR17" s="97">
        <f ca="1">dark_elf*(TblMili[[#This Row],[Adept bonus]]*TblMili[[#This Row],[Unit 3]])</f>
        <v>0</v>
      </c>
      <c r="CS17" s="163">
        <f ca="1">1.8 * MIN(MAX(TblMili[[#This Row],[Frost Mage]]+Races!$F$71,Races!$E$71),6)  +  0.45 * MIN(MIN(TblMili[[#This Row],[Frost Mage]]+Races!$F$71,Races!$E$71),6)  +  0.2 * ( MAX(TblMili[[#This Row],[Frost Mage]]+Races!$F$71-6,0) + MAX(Races!$E$71-6,0) )  -  Races!$I$71</f>
        <v>3.9599999999999991</v>
      </c>
      <c r="CT17" s="163">
        <f ca="1">1.8 * MIN(MAX(TblMili[[#This Row],[Ice Elemental]]+Races!$E$71,Races!$F$71),6)  +  0.45 * MIN(MIN(TblMili[[#This Row],[Ice Elemental]]+Races!$E$71,Races!$F$71),6)  +  0.2 * ( MAX(TblMili[[#This Row],[Ice Elemental]]+Races!$E$71-6,0) + MAX(Races!$F$71-6,0) )  -  Races!$I$71</f>
        <v>0.17999999999999972</v>
      </c>
      <c r="CU17" s="97">
        <f ca="1">TblMili[[#This Row],[Frost Mage bonus]]*TblMili[[#This Row],[Unit 3]]+TblMili[[#This Row],[Ice Elemental bonus]]*TblMili[[#This Row],[Unit 4]]</f>
        <v>0</v>
      </c>
      <c r="CV17" s="273"/>
      <c r="CW17" s="151">
        <f ca="1">MIN(SUM(TblConstr[[#This Row],[Plain]:[Water]])/TblMili[[#This Row],[Land]]/favorable_terrain_bonus/100,favorable_terrain_max)</f>
        <v>0.1</v>
      </c>
      <c r="CX17" s="273"/>
      <c r="CY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50"/>
      <c r="DA17" s="274">
        <f ca="1">(TblMili[[#This Row],[Wizards]]+2*TblMili[[#This Row],[Archmages]])/TblConstr[[#This Row],[Land]]</f>
        <v>0.1</v>
      </c>
      <c r="DB17" s="274">
        <f ca="1">TblMili[[#This Row],[Raw (2)]]*(1+race_wizard_strength+IF(TblMili[[#This Row],[Hour]]&gt;72,tech_magical_weaponry_wiz*TblTech[[#This Row],[3-5]],0))</f>
        <v>0.1</v>
      </c>
    </row>
    <row r="18" spans="1:106" x14ac:dyDescent="0.2">
      <c r="A18" s="145">
        <f>TblRezone[[#This Row],[Hour]]</f>
        <v>15</v>
      </c>
      <c r="B18" s="266">
        <f ca="1">SUM(TblMili[[#This Row],[Unit 1]:[Archmages]])+SUM(OFFSET(TblMili[[#This Row],[Train Unit 1]],-8,0):TblMili[[#This Row],[Train Unit 2]]) + SUM(OFFSET(TblMili[[#This Row],[Train Unit 3]],-11,0):TblMili[[#This Row],[Train Arch]]) + TblMili[[#This Row],[Draftees]]</f>
        <v>507</v>
      </c>
      <c r="C18" s="165">
        <f ca="1">TblPop[[#This Row],[Military%]]</f>
        <v>0.22879061371841156</v>
      </c>
      <c r="D18" s="150"/>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f>
        <v>25</v>
      </c>
      <c r="J18" s="45">
        <f ca="1">OFFSET(TblMili[[#This Row],[Wizards]],-1,0) + OFFSET(TblMili[[#This Row],[Train Wiz]],-12,0) - TblMili[[#This Row],[Release Wizards]]-TblMili[[#This Row],[Train Arch]]</f>
        <v>25</v>
      </c>
      <c r="K18" s="45">
        <f ca="1">OFFSET(TblMili[[#This Row],[Archmages]],-1,0) + OFFSET(TblMili[[#This Row],[Train Arch]],-12,0) - TblMili[[#This Row],[Release Arch]]</f>
        <v>0</v>
      </c>
      <c r="L18" s="150"/>
      <c r="M18" s="97">
        <f ca="1">TblProd[[#This Row],[Networth]]</f>
        <v>6450</v>
      </c>
      <c r="N18" s="150"/>
      <c r="O18" s="267">
        <f ca="1">TblMili[[#This Row],[Unit 1]]*spec_op+TblMili[[#This Row],[Unit 3]]*(elite1_base_op)+TblMili[[#This Row],[Unit 4]]*(elite2_base_op+dark_elf*TblMili[[#This Row],[Spellblade]]+icekin*TblMili[[#This Row],[Ice Elemental]]+woodie*TblMili[[#This Row],[Druid (op)]]+orc*TblMili[[#This Row],[Orc]])+kobold*TblMili[[#This Row],[Overlords]]</f>
        <v>0</v>
      </c>
      <c r="P1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8" s="267">
        <f ca="1">TblMili[[#This Row],[Raw]]*(1+TblMili[[#This Row],[Mods_Off]])</f>
        <v>0</v>
      </c>
      <c r="R1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8" s="267">
        <f ca="1">TblMili[[#This Row],[Non Draft]]+TblMili[[#This Row],[Draftees]]</f>
        <v>757</v>
      </c>
      <c r="T1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269">
        <f ca="1">TblMili[[#This Row],[Non Draft]] * (1 + TblMili[[#This Row],[Mods_Def]])</f>
        <v>450</v>
      </c>
      <c r="V18" s="267">
        <f ca="1">TblMili[[#This Row],[Draft]] * (1 + TblMili[[#This Row],[Mods_Def]])</f>
        <v>757</v>
      </c>
      <c r="W18" s="267">
        <f ca="1">TblConstr[[#This Row],[Land]]</f>
        <v>250</v>
      </c>
      <c r="X18" s="270"/>
      <c r="Y18" s="275">
        <f ca="1">IF(TblMili[[#This Row],[Set]]&lt;&gt;"",TblMili[[#This Row],[Set]],OFFSET(TblMili[[#This Row],[Draftrate]],-1,0))</f>
        <v>0.35</v>
      </c>
      <c r="Z18" s="97">
        <f ca="1">OFFSET(TblMili[[#This Row],[Draftees]],-1,0)+OFFSET(TblPop[[#This Row],[Draft Growth]],-1,0) - SUM(TblMili[[#This Row],[Train Unit 1]:[Train Wiz]]) - TblMili[[#This Row],[Release Draft]] + SUM(TblMili[[#This Row],[Release Unit 1]:[Release Arch]]) -TblExplore[[#This Row],[Draftees (2)]]</f>
        <v>307</v>
      </c>
      <c r="AA18" s="162"/>
      <c r="AB18" s="188">
        <f ca="1">(TblConstr[[#This Row],[Tot Smi]]+TblConstr[[#This Row],[Dest Smi]])/(TblConstr[[#This Row],[Land]]-TblExplore[[#This Row],[Land Bonus]]*20)</f>
        <v>0</v>
      </c>
      <c r="AC18" s="145"/>
      <c r="AD18" s="266">
        <f>TblMili[[#This Row],[Hour]]</f>
        <v>15</v>
      </c>
      <c r="AE18" s="146">
        <f ca="1">TblExplore[[#This Row],[Time]]</f>
        <v>44811.333333333299</v>
      </c>
      <c r="AF18" s="187"/>
      <c r="AG18" s="187"/>
      <c r="AH18" s="187"/>
      <c r="AI18" s="187"/>
      <c r="AJ18" s="187"/>
      <c r="AK18" s="187"/>
      <c r="AL18" s="187"/>
      <c r="AM18" s="150"/>
      <c r="AN18" s="97">
        <f ca="1">TblProd[[#This Row],[Platinum]]</f>
        <v>174501</v>
      </c>
      <c r="AO18" s="97">
        <f ca="1">INDEX(TblProd[[#Headers],[Lumber]]:TblProd[[#This Row],[Ore]],COUNTA(TblProd[[#Headers],[Lumber]]:TblProd[[#This Row],[Lumber]]),MATCH(Military!$AO$2,TblProd[[#Headers],[Lumber]:[Ore]],0))</f>
        <v>0</v>
      </c>
      <c r="AP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97">
        <f ca="1">TblMili[[#This Row],[Train Unit 1]]*TblMili[[#This Row],[OP Ore]]+TblMili[[#This Row],[Train Unit 2]]*TblMili[[#This Row],[DP Ore]]+TblMili[[#This Row],[Train Unit 3]]*TblMili[[#This Row],[E1 Ore]]+TblMili[[#This Row],[Train Unit 4]]*TblMili[[#This Row],[E2 Ore]]</f>
        <v>0</v>
      </c>
      <c r="AR18" s="150">
        <f>TblMili[[#This Row],[Hour]]</f>
        <v>15</v>
      </c>
      <c r="AS18" s="160">
        <f ca="1">TblMili[[#This Row],[Time]]</f>
        <v>44811.333333333299</v>
      </c>
      <c r="AT18" s="97">
        <f ca="1">TblMili[[#This Row],[Draftees]]</f>
        <v>307</v>
      </c>
      <c r="AU18" s="187"/>
      <c r="AV18" s="187"/>
      <c r="AW18" s="187"/>
      <c r="AX18" s="187"/>
      <c r="AY18" s="187"/>
      <c r="AZ18" s="187"/>
      <c r="BA18" s="187"/>
      <c r="BB18" s="187"/>
      <c r="BC18" s="150"/>
      <c r="BD18" s="165">
        <f ca="1">TblConstr[[#This Row],[Tot WG]]/TblConstr[[#This Row],[Land]]</f>
        <v>0</v>
      </c>
      <c r="BE18" s="165">
        <f ca="1">TblConstr[[#This Row],[Tot Hav]]/TblConstr[[#This Row],[Land]]</f>
        <v>0</v>
      </c>
      <c r="BF18" s="97">
        <f ca="1">ROUNDUP((1-MIN(TblMili[[#This Row],[Smithies]]*smithy_bonus,smithy_bonus_cap) + tech_3_5*TblTech[[#This Row],[3-5]] + tech_5_3*TblTech[[#This Row],[5-3]] + tech_5_5*TblTech[[#This Row],[5-5]])*spec_op_plat,0)</f>
        <v>275</v>
      </c>
      <c r="BG18" s="97">
        <f ca="1">ROUNDUP(IF(race="Gnome",1,(1-MIN(TblMili[[#This Row],[Smithies]]*smithy_bonus,smithy_bonus_cap) + tech_3_5*TblTech[[#This Row],[3-5]] + tech_5_3*TblTech[[#This Row],[5-3]] + tech_5_5*TblTech[[#This Row],[5-5]]))*spec_op_ore,0)</f>
        <v>25</v>
      </c>
      <c r="BH18" s="97">
        <f ca="1">ROUNDUP((1-MIN(TblMili[[#This Row],[Smithies]]*smithy_bonus,smithy_bonus_cap) + tech_3_5*TblTech[[#This Row],[3-5]] + tech_5_3*TblTech[[#This Row],[5-3]] + tech_5_5*TblTech[[#This Row],[5-5]])*spec_dp_plat,0)</f>
        <v>275</v>
      </c>
      <c r="BI18" s="97">
        <f ca="1">ROUNDUP(IF(race="Gnome",1,(1-MIN(TblMili[[#This Row],[Smithies]]*smithy_bonus,smithy_bonus_cap) + tech_3_5*TblTech[[#This Row],[3-5]] + tech_5_3*TblTech[[#This Row],[5-3]] + tech_5_5*TblTech[[#This Row],[5-5]]))*spec_dp_ore,0)</f>
        <v>15</v>
      </c>
      <c r="BJ18" s="97">
        <f ca="1">ROUNDUP((1-MIN(TblMili[[#This Row],[Smithies]]*smithy_bonus,smithy_bonus_cap) + tech_3_5*TblTech[[#This Row],[3-5]] + tech_5_3*TblTech[[#This Row],[5-3]] + tech_5_5*TblTech[[#This Row],[5-5]])*elite1_plat,0)</f>
        <v>1000</v>
      </c>
      <c r="BK18" s="97">
        <f ca="1">ROUNDUP(IF(race="Gnome",1,(1-MIN(TblMili[[#This Row],[Smithies]]*smithy_bonus,smithy_bonus_cap) + tech_3_5*TblTech[[#This Row],[3-5]] + tech_5_3*TblTech[[#This Row],[5-3]] + tech_5_5*TblTech[[#This Row],[5-5]]))*elite1_ore,0)</f>
        <v>75</v>
      </c>
      <c r="BL18" s="97">
        <f ca="1">ROUNDUP((1-MIN(TblMili[[#This Row],[Smithies]]*smithy_bonus,smithy_bonus_cap) + tech_3_5*TblTech[[#This Row],[3-5]] + tech_5_3*TblTech[[#This Row],[5-3]] + tech_5_5*TblTech[[#This Row],[5-5]])*elite2_plat,0)</f>
        <v>1200</v>
      </c>
      <c r="BM18" s="97">
        <f ca="1">ROUNDUP(IF(race="Gnome",1,(1-MIN(TblMili[[#This Row],[Smithies]]*smithy_bonus,smithy_bonus_cap) + tech_3_5*TblTech[[#This Row],[3-5]] + tech_5_3*TblTech[[#This Row],[5-3]] + tech_5_5*TblTech[[#This Row],[5-5]]))*elite2_ore,0)</f>
        <v>100</v>
      </c>
      <c r="BN18" s="97">
        <f ca="1">ROUNDUP((1-MIN(ROUND(fh_spy_cost_red*TblMili[[#This Row],[FH''s]],4),fh_spy_cost_cap)+ tech_1_9*TblTech[[#This Row],[1-9]] + tech_9_1*TblTech[[#This Row],[9-1]])*spy_plat,0)</f>
        <v>500</v>
      </c>
      <c r="BO18" s="97">
        <f ca="1">ROUNDUP((1-MIN(ROUND(wg_wiz_cost_bonus*TblMili[[#This Row],[WG''s]],4),wg_wiz_cost_cap) + tech_1_9_2*TblTech[[#This Row],[1-9]] + tech_9_1_2*TblTech[[#This Row],[9-1]])*wizard_plat,0)</f>
        <v>500</v>
      </c>
      <c r="BP18" s="97">
        <f ca="1">ROUNDUP((1-MIN(ROUND(wg_wiz_cost_bonus*TblMili[[#This Row],[WG''s]],4),wg_wiz_cost_cap) + tech_1_9_2*TblTech[[#This Row],[1-9]] + tech_9_1_2*TblTech[[#This Row],[9-1]])*archmage_plat,0)</f>
        <v>1000</v>
      </c>
      <c r="BQ18" s="150"/>
      <c r="BR18" s="165">
        <f ca="1">TblConstr[[#This Row],[Homeland]]/TblConstr[[#This Row],[Land]]</f>
        <v>0.44</v>
      </c>
      <c r="BS18" s="165">
        <f ca="1">TblMili[[#This Row],[WG''s]]</f>
        <v>0</v>
      </c>
      <c r="BT18" s="271">
        <f ca="1">IF(mystic_cap="none",TblMili[[#This Row],[Hill]]/mystic_bonus,MIN(mystic_cap,TblMili[[#This Row],[Hill]]/mystic_bonus))</f>
        <v>2.1999999999999997</v>
      </c>
      <c r="BU18" s="271">
        <f ca="1">IF(druid_op_cap="none",TblMili[[#This Row],[Hill]]/druid_op_bonus,MIN(druid_op_cap,TblMili[[#This Row],[Hill]]/druid_op_bonus))</f>
        <v>2.1999999999999997</v>
      </c>
      <c r="BV18" s="271">
        <f ca="1">IF(druid_dp_cap="none",TblMili[[#This Row],[Hill]]/druid_dp_bonus,MIN(druid_dp_cap,TblMili[[#This Row],[Hill]]/druid_dp_bonus))</f>
        <v>2.1999999999999997</v>
      </c>
      <c r="BW18" s="271">
        <f ca="1">MIN(dryad_cap,TblMili[[#This Row],[Hill]]/dryad_bonus)</f>
        <v>2.1999999999999997</v>
      </c>
      <c r="BX18" s="271">
        <f ca="1">MIN(rocka_cap,TblMili[[#This Row],[Hill]]/rocka_bonus)</f>
        <v>2</v>
      </c>
      <c r="BY18" s="271">
        <f ca="1">MIN(adept_op_cap,TblMili[[#This Row],[WG]]/adept_op_bonus)</f>
        <v>0</v>
      </c>
      <c r="BZ18" s="271">
        <f ca="1">MIN(adept_dp_cap,TblMili[[#This Row],[WG]]/adept_dp_bonus)</f>
        <v>0</v>
      </c>
      <c r="CA18" s="97">
        <f ca="1">MIN(TblMili[[#This Row],[Unit 3]],TblMili[[#This Row],[Unit 4]])*2</f>
        <v>0</v>
      </c>
      <c r="CB18" s="97">
        <f ca="1">MIN(TblMili[[#This Row],[Unit 1]],TblMili[[#This Row],[Unit 4]])*2</f>
        <v>0</v>
      </c>
      <c r="CC18" s="271">
        <f ca="1">MIN(frost_mage_cap,TblMili[[#This Row],[Hill]]/frost_mage_bonus)</f>
        <v>2.1999999999999997</v>
      </c>
      <c r="CD18" s="45">
        <f ca="1">MIN(ice_elem_cap,TblMili[[#This Row],[Raw (2)]]*ice_elem_bonus)</f>
        <v>0.1</v>
      </c>
      <c r="CE18" s="271">
        <f t="shared" si="0"/>
        <v>1</v>
      </c>
      <c r="CF18" s="271">
        <f ca="1">MIN(nox_nightshade_cap,TblConstr[[#This Row],[Homeland]]/TblConstr[[#This Row],[Land]]/nox_nightshade_swamp_bonus)</f>
        <v>3</v>
      </c>
      <c r="CG18" s="272" t="s">
        <v>529</v>
      </c>
      <c r="CH18" s="272">
        <f>VLOOKUP(Overview!$A24,Races!$D$4:$H$111,2,FALSE)</f>
        <v>2</v>
      </c>
      <c r="CI18" s="272"/>
      <c r="CJ18" s="271">
        <f ca="1">MIN(6,TblMili[[#This Row],[Mystic]]+Races!$F$19)*1.8 +  IF(TblMili[[#This Row],[Mystic]]+Races!$F$19&gt;6,(TblMili[[#This Row],[Mystic]]+Races!$F$19-6)*0.2,0) - Races!$I$19</f>
        <v>3.6399999999999997</v>
      </c>
      <c r="CK1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97">
        <f ca="1">TblMili[[#This Row],[Mystic bonus]]*TblMili[[#This Row],[Unit 3]]+TblMili[[#This Row],[Druid bonus]]*TblMili[[#This Row],[Unit 4]]</f>
        <v>0</v>
      </c>
      <c r="CM18" s="163">
        <f ca="1">MIN(6,TblMili[[#This Row],[Dryad]]+Races!$F$35)*1.8 +  IF(TblMili[[#This Row],[Dryad]]+Races!$F$35&gt;6,(TblMili[[#This Row],[Dryad]]+Races!$F$35-6)*0.2,0) - Races!$I$19</f>
        <v>2.1599999999999993</v>
      </c>
      <c r="CN18" s="97">
        <f ca="1">sylvan*(TblMili[[#This Row],[Mystic bonus]]*TblMili[[#This Row],[Unit 3]])</f>
        <v>0</v>
      </c>
      <c r="CO18" s="163">
        <f ca="1">1.8 * MIN(MAX(Races!$E$27,TblMili[[#This Row],[Rockapult]]+Races!$F$27),6)  +  0.45 * MIN(MIN(Races!$E$27,TblMili[[#This Row],[Rockapult]]+Races!$F$27),6)  +  0.2 * ( MAX(Races!$E$27-6,0) + MAX(TblMili[[#This Row],[Rockapult]]+Races!$F$27-6,0) )  -  Races!$I$20</f>
        <v>5.8500000000000005</v>
      </c>
      <c r="CP18" s="97">
        <f ca="1">gnome*(TblMili[[#This Row],[Rockapult bonus]]*TblMili[[#This Row],[Unit 3]])</f>
        <v>0</v>
      </c>
      <c r="CQ18" s="163">
        <f ca="1">1.8 * MIN(MAX(TblMili[[#This Row],[Spellblade]]+Races!$E$47,TblMili[[#This Row],[Adept-DP]]+Races!$F$47),6)  +  0.45 * MIN(MIN(TblMili[[#This Row],[Spellblade]]+Races!$E$47,TblMili[[#This Row],[Adept-DP]]+Races!$F$47),6)  +  0.2 * ( MAX(TblMili[[#This Row],[Spellblade]]+Races!$E$47-6,0) + MAX(TblMili[[#This Row],[Adept-DP]]+Races!$F$47-6,0) )  -  Races!$I$47</f>
        <v>0</v>
      </c>
      <c r="CR18" s="97">
        <f ca="1">dark_elf*(TblMili[[#This Row],[Adept bonus]]*TblMili[[#This Row],[Unit 3]])</f>
        <v>0</v>
      </c>
      <c r="CS18" s="163">
        <f ca="1">1.8 * MIN(MAX(TblMili[[#This Row],[Frost Mage]]+Races!$F$71,Races!$E$71),6)  +  0.45 * MIN(MIN(TblMili[[#This Row],[Frost Mage]]+Races!$F$71,Races!$E$71),6)  +  0.2 * ( MAX(TblMili[[#This Row],[Frost Mage]]+Races!$F$71-6,0) + MAX(Races!$E$71-6,0) )  -  Races!$I$71</f>
        <v>3.9599999999999991</v>
      </c>
      <c r="CT18" s="163">
        <f ca="1">1.8 * MIN(MAX(TblMili[[#This Row],[Ice Elemental]]+Races!$E$71,Races!$F$71),6)  +  0.45 * MIN(MIN(TblMili[[#This Row],[Ice Elemental]]+Races!$E$71,Races!$F$71),6)  +  0.2 * ( MAX(TblMili[[#This Row],[Ice Elemental]]+Races!$E$71-6,0) + MAX(Races!$F$71-6,0) )  -  Races!$I$71</f>
        <v>0.17999999999999972</v>
      </c>
      <c r="CU18" s="97">
        <f ca="1">TblMili[[#This Row],[Frost Mage bonus]]*TblMili[[#This Row],[Unit 3]]+TblMili[[#This Row],[Ice Elemental bonus]]*TblMili[[#This Row],[Unit 4]]</f>
        <v>0</v>
      </c>
      <c r="CV18" s="273"/>
      <c r="CW18" s="151">
        <f ca="1">MIN(SUM(TblConstr[[#This Row],[Plain]:[Water]])/TblMili[[#This Row],[Land]]/favorable_terrain_bonus/100,favorable_terrain_max)</f>
        <v>0.1</v>
      </c>
      <c r="CX18" s="273"/>
      <c r="CY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50"/>
      <c r="DA18" s="274">
        <f ca="1">(TblMili[[#This Row],[Wizards]]+2*TblMili[[#This Row],[Archmages]])/TblConstr[[#This Row],[Land]]</f>
        <v>0.1</v>
      </c>
      <c r="DB18" s="274">
        <f ca="1">TblMili[[#This Row],[Raw (2)]]*(1+race_wizard_strength+IF(TblMili[[#This Row],[Hour]]&gt;72,tech_magical_weaponry_wiz*TblTech[[#This Row],[3-5]],0))</f>
        <v>0.1</v>
      </c>
    </row>
    <row r="19" spans="1:106" x14ac:dyDescent="0.2">
      <c r="A19" s="145">
        <f>TblRezone[[#This Row],[Hour]]</f>
        <v>16</v>
      </c>
      <c r="B19" s="266">
        <f ca="1">SUM(TblMili[[#This Row],[Unit 1]:[Archmages]])+SUM(OFFSET(TblMili[[#This Row],[Train Unit 1]],-8,0):TblMili[[#This Row],[Train Unit 2]]) + SUM(OFFSET(TblMili[[#This Row],[Train Unit 3]],-11,0):TblMili[[#This Row],[Train Arch]]) + TblMili[[#This Row],[Draftees]]</f>
        <v>524</v>
      </c>
      <c r="C19" s="165">
        <f ca="1">TblPop[[#This Row],[Military%]]</f>
        <v>0.23114247904719895</v>
      </c>
      <c r="D19" s="150"/>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f>
        <v>25</v>
      </c>
      <c r="J19" s="45">
        <f ca="1">OFFSET(TblMili[[#This Row],[Wizards]],-1,0) + OFFSET(TblMili[[#This Row],[Train Wiz]],-12,0) - TblMili[[#This Row],[Release Wizards]]-TblMili[[#This Row],[Train Arch]]</f>
        <v>25</v>
      </c>
      <c r="K19" s="45">
        <f ca="1">OFFSET(TblMili[[#This Row],[Archmages]],-1,0) + OFFSET(TblMili[[#This Row],[Train Arch]],-12,0) - TblMili[[#This Row],[Release Arch]]</f>
        <v>0</v>
      </c>
      <c r="L19" s="150"/>
      <c r="M19" s="97">
        <f ca="1">TblProd[[#This Row],[Networth]]</f>
        <v>6450</v>
      </c>
      <c r="N19" s="150"/>
      <c r="O19" s="267">
        <f ca="1">TblMili[[#This Row],[Unit 1]]*spec_op+TblMili[[#This Row],[Unit 3]]*(elite1_base_op)+TblMili[[#This Row],[Unit 4]]*(elite2_base_op+dark_elf*TblMili[[#This Row],[Spellblade]]+icekin*TblMili[[#This Row],[Ice Elemental]]+woodie*TblMili[[#This Row],[Druid (op)]]+orc*TblMili[[#This Row],[Orc]])+kobold*TblMili[[#This Row],[Overlords]]</f>
        <v>0</v>
      </c>
      <c r="P1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9" s="267">
        <f ca="1">TblMili[[#This Row],[Raw]]*(1+TblMili[[#This Row],[Mods_Off]])</f>
        <v>0</v>
      </c>
      <c r="R1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9" s="267">
        <f ca="1">TblMili[[#This Row],[Non Draft]]+TblMili[[#This Row],[Draftees]]</f>
        <v>774</v>
      </c>
      <c r="T1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269">
        <f ca="1">TblMili[[#This Row],[Non Draft]] * (1 + TblMili[[#This Row],[Mods_Def]])</f>
        <v>450</v>
      </c>
      <c r="V19" s="267">
        <f ca="1">TblMili[[#This Row],[Draft]] * (1 + TblMili[[#This Row],[Mods_Def]])</f>
        <v>774</v>
      </c>
      <c r="W19" s="267">
        <f ca="1">TblConstr[[#This Row],[Land]]</f>
        <v>250</v>
      </c>
      <c r="X19" s="270"/>
      <c r="Y19" s="275">
        <f ca="1">IF(TblMili[[#This Row],[Set]]&lt;&gt;"",TblMili[[#This Row],[Set]],OFFSET(TblMili[[#This Row],[Draftrate]],-1,0))</f>
        <v>0.35</v>
      </c>
      <c r="Z19" s="97">
        <f ca="1">OFFSET(TblMili[[#This Row],[Draftees]],-1,0)+OFFSET(TblPop[[#This Row],[Draft Growth]],-1,0) - SUM(TblMili[[#This Row],[Train Unit 1]:[Train Wiz]]) - TblMili[[#This Row],[Release Draft]] + SUM(TblMili[[#This Row],[Release Unit 1]:[Release Arch]]) -TblExplore[[#This Row],[Draftees (2)]]</f>
        <v>324</v>
      </c>
      <c r="AA19" s="162"/>
      <c r="AB19" s="188">
        <f ca="1">(TblConstr[[#This Row],[Tot Smi]]+TblConstr[[#This Row],[Dest Smi]])/(TblConstr[[#This Row],[Land]]-TblExplore[[#This Row],[Land Bonus]]*20)</f>
        <v>0</v>
      </c>
      <c r="AC19" s="145"/>
      <c r="AD19" s="266">
        <f>TblMili[[#This Row],[Hour]]</f>
        <v>16</v>
      </c>
      <c r="AE19" s="146">
        <f ca="1">TblExplore[[#This Row],[Time]]</f>
        <v>44811.374999999964</v>
      </c>
      <c r="AF19" s="187"/>
      <c r="AG19" s="187"/>
      <c r="AH19" s="187"/>
      <c r="AI19" s="187"/>
      <c r="AJ19" s="187"/>
      <c r="AK19" s="187"/>
      <c r="AL19" s="187"/>
      <c r="AM19" s="150"/>
      <c r="AN19" s="97">
        <f ca="1">TblProd[[#This Row],[Platinum]]</f>
        <v>180171</v>
      </c>
      <c r="AO19" s="97">
        <f ca="1">INDEX(TblProd[[#Headers],[Lumber]]:TblProd[[#This Row],[Ore]],COUNTA(TblProd[[#Headers],[Lumber]]:TblProd[[#This Row],[Lumber]]),MATCH(Military!$AO$2,TblProd[[#Headers],[Lumber]:[Ore]],0))</f>
        <v>0</v>
      </c>
      <c r="AP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97">
        <f ca="1">TblMili[[#This Row],[Train Unit 1]]*TblMili[[#This Row],[OP Ore]]+TblMili[[#This Row],[Train Unit 2]]*TblMili[[#This Row],[DP Ore]]+TblMili[[#This Row],[Train Unit 3]]*TblMili[[#This Row],[E1 Ore]]+TblMili[[#This Row],[Train Unit 4]]*TblMili[[#This Row],[E2 Ore]]</f>
        <v>0</v>
      </c>
      <c r="AR19" s="150">
        <f>TblMili[[#This Row],[Hour]]</f>
        <v>16</v>
      </c>
      <c r="AS19" s="160">
        <f ca="1">TblMili[[#This Row],[Time]]</f>
        <v>44811.374999999964</v>
      </c>
      <c r="AT19" s="97">
        <f ca="1">TblMili[[#This Row],[Draftees]]</f>
        <v>324</v>
      </c>
      <c r="AU19" s="187"/>
      <c r="AV19" s="187"/>
      <c r="AW19" s="187"/>
      <c r="AX19" s="187"/>
      <c r="AY19" s="187"/>
      <c r="AZ19" s="187"/>
      <c r="BA19" s="187"/>
      <c r="BB19" s="187"/>
      <c r="BC19" s="150"/>
      <c r="BD19" s="165">
        <f ca="1">TblConstr[[#This Row],[Tot WG]]/TblConstr[[#This Row],[Land]]</f>
        <v>0</v>
      </c>
      <c r="BE19" s="165">
        <f ca="1">TblConstr[[#This Row],[Tot Hav]]/TblConstr[[#This Row],[Land]]</f>
        <v>0</v>
      </c>
      <c r="BF19" s="97">
        <f ca="1">ROUNDUP((1-MIN(TblMili[[#This Row],[Smithies]]*smithy_bonus,smithy_bonus_cap) + tech_3_5*TblTech[[#This Row],[3-5]] + tech_5_3*TblTech[[#This Row],[5-3]] + tech_5_5*TblTech[[#This Row],[5-5]])*spec_op_plat,0)</f>
        <v>275</v>
      </c>
      <c r="BG19" s="97">
        <f ca="1">ROUNDUP(IF(race="Gnome",1,(1-MIN(TblMili[[#This Row],[Smithies]]*smithy_bonus,smithy_bonus_cap) + tech_3_5*TblTech[[#This Row],[3-5]] + tech_5_3*TblTech[[#This Row],[5-3]] + tech_5_5*TblTech[[#This Row],[5-5]]))*spec_op_ore,0)</f>
        <v>25</v>
      </c>
      <c r="BH19" s="97">
        <f ca="1">ROUNDUP((1-MIN(TblMili[[#This Row],[Smithies]]*smithy_bonus,smithy_bonus_cap) + tech_3_5*TblTech[[#This Row],[3-5]] + tech_5_3*TblTech[[#This Row],[5-3]] + tech_5_5*TblTech[[#This Row],[5-5]])*spec_dp_plat,0)</f>
        <v>275</v>
      </c>
      <c r="BI19" s="97">
        <f ca="1">ROUNDUP(IF(race="Gnome",1,(1-MIN(TblMili[[#This Row],[Smithies]]*smithy_bonus,smithy_bonus_cap) + tech_3_5*TblTech[[#This Row],[3-5]] + tech_5_3*TblTech[[#This Row],[5-3]] + tech_5_5*TblTech[[#This Row],[5-5]]))*spec_dp_ore,0)</f>
        <v>15</v>
      </c>
      <c r="BJ19" s="97">
        <f ca="1">ROUNDUP((1-MIN(TblMili[[#This Row],[Smithies]]*smithy_bonus,smithy_bonus_cap) + tech_3_5*TblTech[[#This Row],[3-5]] + tech_5_3*TblTech[[#This Row],[5-3]] + tech_5_5*TblTech[[#This Row],[5-5]])*elite1_plat,0)</f>
        <v>1000</v>
      </c>
      <c r="BK19" s="97">
        <f ca="1">ROUNDUP(IF(race="Gnome",1,(1-MIN(TblMili[[#This Row],[Smithies]]*smithy_bonus,smithy_bonus_cap) + tech_3_5*TblTech[[#This Row],[3-5]] + tech_5_3*TblTech[[#This Row],[5-3]] + tech_5_5*TblTech[[#This Row],[5-5]]))*elite1_ore,0)</f>
        <v>75</v>
      </c>
      <c r="BL19" s="97">
        <f ca="1">ROUNDUP((1-MIN(TblMili[[#This Row],[Smithies]]*smithy_bonus,smithy_bonus_cap) + tech_3_5*TblTech[[#This Row],[3-5]] + tech_5_3*TblTech[[#This Row],[5-3]] + tech_5_5*TblTech[[#This Row],[5-5]])*elite2_plat,0)</f>
        <v>1200</v>
      </c>
      <c r="BM19" s="97">
        <f ca="1">ROUNDUP(IF(race="Gnome",1,(1-MIN(TblMili[[#This Row],[Smithies]]*smithy_bonus,smithy_bonus_cap) + tech_3_5*TblTech[[#This Row],[3-5]] + tech_5_3*TblTech[[#This Row],[5-3]] + tech_5_5*TblTech[[#This Row],[5-5]]))*elite2_ore,0)</f>
        <v>100</v>
      </c>
      <c r="BN19" s="97">
        <f ca="1">ROUNDUP((1-MIN(ROUND(fh_spy_cost_red*TblMili[[#This Row],[FH''s]],4),fh_spy_cost_cap)+ tech_1_9*TblTech[[#This Row],[1-9]] + tech_9_1*TblTech[[#This Row],[9-1]])*spy_plat,0)</f>
        <v>500</v>
      </c>
      <c r="BO19" s="97">
        <f ca="1">ROUNDUP((1-MIN(ROUND(wg_wiz_cost_bonus*TblMili[[#This Row],[WG''s]],4),wg_wiz_cost_cap) + tech_1_9_2*TblTech[[#This Row],[1-9]] + tech_9_1_2*TblTech[[#This Row],[9-1]])*wizard_plat,0)</f>
        <v>500</v>
      </c>
      <c r="BP19" s="97">
        <f ca="1">ROUNDUP((1-MIN(ROUND(wg_wiz_cost_bonus*TblMili[[#This Row],[WG''s]],4),wg_wiz_cost_cap) + tech_1_9_2*TblTech[[#This Row],[1-9]] + tech_9_1_2*TblTech[[#This Row],[9-1]])*archmage_plat,0)</f>
        <v>1000</v>
      </c>
      <c r="BQ19" s="150"/>
      <c r="BR19" s="165">
        <f ca="1">TblConstr[[#This Row],[Homeland]]/TblConstr[[#This Row],[Land]]</f>
        <v>0.44</v>
      </c>
      <c r="BS19" s="165">
        <f ca="1">TblMili[[#This Row],[WG''s]]</f>
        <v>0</v>
      </c>
      <c r="BT19" s="271">
        <f ca="1">IF(mystic_cap="none",TblMili[[#This Row],[Hill]]/mystic_bonus,MIN(mystic_cap,TblMili[[#This Row],[Hill]]/mystic_bonus))</f>
        <v>2.1999999999999997</v>
      </c>
      <c r="BU19" s="271">
        <f ca="1">IF(druid_op_cap="none",TblMili[[#This Row],[Hill]]/druid_op_bonus,MIN(druid_op_cap,TblMili[[#This Row],[Hill]]/druid_op_bonus))</f>
        <v>2.1999999999999997</v>
      </c>
      <c r="BV19" s="271">
        <f ca="1">IF(druid_dp_cap="none",TblMili[[#This Row],[Hill]]/druid_dp_bonus,MIN(druid_dp_cap,TblMili[[#This Row],[Hill]]/druid_dp_bonus))</f>
        <v>2.1999999999999997</v>
      </c>
      <c r="BW19" s="271">
        <f ca="1">MIN(dryad_cap,TblMili[[#This Row],[Hill]]/dryad_bonus)</f>
        <v>2.1999999999999997</v>
      </c>
      <c r="BX19" s="271">
        <f ca="1">MIN(rocka_cap,TblMili[[#This Row],[Hill]]/rocka_bonus)</f>
        <v>2</v>
      </c>
      <c r="BY19" s="271">
        <f ca="1">MIN(adept_op_cap,TblMili[[#This Row],[WG]]/adept_op_bonus)</f>
        <v>0</v>
      </c>
      <c r="BZ19" s="271">
        <f ca="1">MIN(adept_dp_cap,TblMili[[#This Row],[WG]]/adept_dp_bonus)</f>
        <v>0</v>
      </c>
      <c r="CA19" s="97">
        <f ca="1">MIN(TblMili[[#This Row],[Unit 3]],TblMili[[#This Row],[Unit 4]])*2</f>
        <v>0</v>
      </c>
      <c r="CB19" s="97">
        <f ca="1">MIN(TblMili[[#This Row],[Unit 1]],TblMili[[#This Row],[Unit 4]])*2</f>
        <v>0</v>
      </c>
      <c r="CC19" s="271">
        <f ca="1">MIN(frost_mage_cap,TblMili[[#This Row],[Hill]]/frost_mage_bonus)</f>
        <v>2.1999999999999997</v>
      </c>
      <c r="CD19" s="45">
        <f ca="1">MIN(ice_elem_cap,TblMili[[#This Row],[Raw (2)]]*ice_elem_bonus)</f>
        <v>0.1</v>
      </c>
      <c r="CE19" s="271">
        <f t="shared" si="0"/>
        <v>1</v>
      </c>
      <c r="CF19" s="271">
        <f ca="1">MIN(nox_nightshade_cap,TblConstr[[#This Row],[Homeland]]/TblConstr[[#This Row],[Land]]/nox_nightshade_swamp_bonus)</f>
        <v>3</v>
      </c>
      <c r="CG19" s="272" t="s">
        <v>530</v>
      </c>
      <c r="CH19" s="272">
        <f>VLOOKUP(Overview!$A24,Races!$D$4:$H$111,3,FALSE)</f>
        <v>6</v>
      </c>
      <c r="CI19" s="272"/>
      <c r="CJ19" s="271">
        <f ca="1">MIN(6,TblMili[[#This Row],[Mystic]]+Races!$F$19)*1.8 +  IF(TblMili[[#This Row],[Mystic]]+Races!$F$19&gt;6,(TblMili[[#This Row],[Mystic]]+Races!$F$19-6)*0.2,0) - Races!$I$19</f>
        <v>3.6399999999999997</v>
      </c>
      <c r="CK1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97">
        <f ca="1">TblMili[[#This Row],[Mystic bonus]]*TblMili[[#This Row],[Unit 3]]+TblMili[[#This Row],[Druid bonus]]*TblMili[[#This Row],[Unit 4]]</f>
        <v>0</v>
      </c>
      <c r="CM19" s="163">
        <f ca="1">MIN(6,TblMili[[#This Row],[Dryad]]+Races!$F$35)*1.8 +  IF(TblMili[[#This Row],[Dryad]]+Races!$F$35&gt;6,(TblMili[[#This Row],[Dryad]]+Races!$F$35-6)*0.2,0) - Races!$I$19</f>
        <v>2.1599999999999993</v>
      </c>
      <c r="CN19" s="97">
        <f ca="1">sylvan*(TblMili[[#This Row],[Mystic bonus]]*TblMili[[#This Row],[Unit 3]])</f>
        <v>0</v>
      </c>
      <c r="CO19" s="163">
        <f ca="1">1.8 * MIN(MAX(Races!$E$27,TblMili[[#This Row],[Rockapult]]+Races!$F$27),6)  +  0.45 * MIN(MIN(Races!$E$27,TblMili[[#This Row],[Rockapult]]+Races!$F$27),6)  +  0.2 * ( MAX(Races!$E$27-6,0) + MAX(TblMili[[#This Row],[Rockapult]]+Races!$F$27-6,0) )  -  Races!$I$20</f>
        <v>5.8500000000000005</v>
      </c>
      <c r="CP19" s="97">
        <f ca="1">gnome*(TblMili[[#This Row],[Rockapult bonus]]*TblMili[[#This Row],[Unit 3]])</f>
        <v>0</v>
      </c>
      <c r="CQ19" s="163">
        <f ca="1">1.8 * MIN(MAX(TblMili[[#This Row],[Spellblade]]+Races!$E$47,TblMili[[#This Row],[Adept-DP]]+Races!$F$47),6)  +  0.45 * MIN(MIN(TblMili[[#This Row],[Spellblade]]+Races!$E$47,TblMili[[#This Row],[Adept-DP]]+Races!$F$47),6)  +  0.2 * ( MAX(TblMili[[#This Row],[Spellblade]]+Races!$E$47-6,0) + MAX(TblMili[[#This Row],[Adept-DP]]+Races!$F$47-6,0) )  -  Races!$I$47</f>
        <v>0</v>
      </c>
      <c r="CR19" s="97">
        <f ca="1">dark_elf*(TblMili[[#This Row],[Adept bonus]]*TblMili[[#This Row],[Unit 3]])</f>
        <v>0</v>
      </c>
      <c r="CS19" s="163">
        <f ca="1">1.8 * MIN(MAX(TblMili[[#This Row],[Frost Mage]]+Races!$F$71,Races!$E$71),6)  +  0.45 * MIN(MIN(TblMili[[#This Row],[Frost Mage]]+Races!$F$71,Races!$E$71),6)  +  0.2 * ( MAX(TblMili[[#This Row],[Frost Mage]]+Races!$F$71-6,0) + MAX(Races!$E$71-6,0) )  -  Races!$I$71</f>
        <v>3.9599999999999991</v>
      </c>
      <c r="CT19" s="163">
        <f ca="1">1.8 * MIN(MAX(TblMili[[#This Row],[Ice Elemental]]+Races!$E$71,Races!$F$71),6)  +  0.45 * MIN(MIN(TblMili[[#This Row],[Ice Elemental]]+Races!$E$71,Races!$F$71),6)  +  0.2 * ( MAX(TblMili[[#This Row],[Ice Elemental]]+Races!$E$71-6,0) + MAX(Races!$F$71-6,0) )  -  Races!$I$71</f>
        <v>0.17999999999999972</v>
      </c>
      <c r="CU19" s="97">
        <f ca="1">TblMili[[#This Row],[Frost Mage bonus]]*TblMili[[#This Row],[Unit 3]]+TblMili[[#This Row],[Ice Elemental bonus]]*TblMili[[#This Row],[Unit 4]]</f>
        <v>0</v>
      </c>
      <c r="CV19" s="273"/>
      <c r="CW19" s="151">
        <f ca="1">MIN(SUM(TblConstr[[#This Row],[Plain]:[Water]])/TblMili[[#This Row],[Land]]/favorable_terrain_bonus/100,favorable_terrain_max)</f>
        <v>0.1</v>
      </c>
      <c r="CX19" s="273"/>
      <c r="CY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50"/>
      <c r="DA19" s="274">
        <f ca="1">(TblMili[[#This Row],[Wizards]]+2*TblMili[[#This Row],[Archmages]])/TblConstr[[#This Row],[Land]]</f>
        <v>0.1</v>
      </c>
      <c r="DB19" s="274">
        <f ca="1">TblMili[[#This Row],[Raw (2)]]*(1+race_wizard_strength+IF(TblMili[[#This Row],[Hour]]&gt;72,tech_magical_weaponry_wiz*TblTech[[#This Row],[3-5]],0))</f>
        <v>0.1</v>
      </c>
    </row>
    <row r="20" spans="1:106" x14ac:dyDescent="0.2">
      <c r="A20" s="145">
        <f>TblRezone[[#This Row],[Hour]]</f>
        <v>17</v>
      </c>
      <c r="B20" s="266">
        <f ca="1">SUM(TblMili[[#This Row],[Unit 1]:[Archmages]])+SUM(OFFSET(TblMili[[#This Row],[Train Unit 1]],-8,0):TblMili[[#This Row],[Train Unit 2]]) + SUM(OFFSET(TblMili[[#This Row],[Train Unit 3]],-11,0):TblMili[[#This Row],[Train Arch]]) + TblMili[[#This Row],[Draftees]]</f>
        <v>541</v>
      </c>
      <c r="C20" s="165">
        <f ca="1">TblPop[[#This Row],[Military%]]</f>
        <v>0.23329021129797325</v>
      </c>
      <c r="D20" s="150"/>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f>
        <v>25</v>
      </c>
      <c r="J20" s="45">
        <f ca="1">OFFSET(TblMili[[#This Row],[Wizards]],-1,0) + OFFSET(TblMili[[#This Row],[Train Wiz]],-12,0) - TblMili[[#This Row],[Release Wizards]]-TblMili[[#This Row],[Train Arch]]</f>
        <v>25</v>
      </c>
      <c r="K20" s="45">
        <f ca="1">OFFSET(TblMili[[#This Row],[Archmages]],-1,0) + OFFSET(TblMili[[#This Row],[Train Arch]],-12,0) - TblMili[[#This Row],[Release Arch]]</f>
        <v>0</v>
      </c>
      <c r="L20" s="150"/>
      <c r="M20" s="97">
        <f ca="1">TblProd[[#This Row],[Networth]]</f>
        <v>6450</v>
      </c>
      <c r="N20" s="150"/>
      <c r="O20" s="267">
        <f ca="1">TblMili[[#This Row],[Unit 1]]*spec_op+TblMili[[#This Row],[Unit 3]]*(elite1_base_op)+TblMili[[#This Row],[Unit 4]]*(elite2_base_op+dark_elf*TblMili[[#This Row],[Spellblade]]+icekin*TblMili[[#This Row],[Ice Elemental]]+woodie*TblMili[[#This Row],[Druid (op)]]+orc*TblMili[[#This Row],[Orc]])+kobold*TblMili[[#This Row],[Overlords]]</f>
        <v>0</v>
      </c>
      <c r="P2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0" s="267">
        <f ca="1">TblMili[[#This Row],[Raw]]*(1+TblMili[[#This Row],[Mods_Off]])</f>
        <v>0</v>
      </c>
      <c r="R2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0" s="267">
        <f ca="1">TblMili[[#This Row],[Non Draft]]+TblMili[[#This Row],[Draftees]]</f>
        <v>791</v>
      </c>
      <c r="T2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269">
        <f ca="1">TblMili[[#This Row],[Non Draft]] * (1 + TblMili[[#This Row],[Mods_Def]])</f>
        <v>450</v>
      </c>
      <c r="V20" s="267">
        <f ca="1">TblMili[[#This Row],[Draft]] * (1 + TblMili[[#This Row],[Mods_Def]])</f>
        <v>791</v>
      </c>
      <c r="W20" s="267">
        <f ca="1">TblConstr[[#This Row],[Land]]</f>
        <v>250</v>
      </c>
      <c r="X20" s="270"/>
      <c r="Y20" s="275">
        <f ca="1">IF(TblMili[[#This Row],[Set]]&lt;&gt;"",TblMili[[#This Row],[Set]],OFFSET(TblMili[[#This Row],[Draftrate]],-1,0))</f>
        <v>0.35</v>
      </c>
      <c r="Z20" s="97">
        <f ca="1">OFFSET(TblMili[[#This Row],[Draftees]],-1,0)+OFFSET(TblPop[[#This Row],[Draft Growth]],-1,0) - SUM(TblMili[[#This Row],[Train Unit 1]:[Train Wiz]]) - TblMili[[#This Row],[Release Draft]] + SUM(TblMili[[#This Row],[Release Unit 1]:[Release Arch]]) -TblExplore[[#This Row],[Draftees (2)]]</f>
        <v>341</v>
      </c>
      <c r="AA20" s="162"/>
      <c r="AB20" s="188">
        <f ca="1">(TblConstr[[#This Row],[Tot Smi]]+TblConstr[[#This Row],[Dest Smi]])/(TblConstr[[#This Row],[Land]]-TblExplore[[#This Row],[Land Bonus]]*20)</f>
        <v>0</v>
      </c>
      <c r="AC20" s="145"/>
      <c r="AD20" s="266">
        <f>TblMili[[#This Row],[Hour]]</f>
        <v>17</v>
      </c>
      <c r="AE20" s="146">
        <f ca="1">TblExplore[[#This Row],[Time]]</f>
        <v>44811.416666666628</v>
      </c>
      <c r="AF20" s="187"/>
      <c r="AG20" s="187"/>
      <c r="AH20" s="187"/>
      <c r="AI20" s="187"/>
      <c r="AJ20" s="187"/>
      <c r="AK20" s="187"/>
      <c r="AL20" s="187"/>
      <c r="AM20" s="150"/>
      <c r="AN20" s="97">
        <f ca="1">TblProd[[#This Row],[Platinum]]</f>
        <v>185841</v>
      </c>
      <c r="AO20" s="97">
        <f ca="1">INDEX(TblProd[[#Headers],[Lumber]]:TblProd[[#This Row],[Ore]],COUNTA(TblProd[[#Headers],[Lumber]]:TblProd[[#This Row],[Lumber]]),MATCH(Military!$AO$2,TblProd[[#Headers],[Lumber]:[Ore]],0))</f>
        <v>0</v>
      </c>
      <c r="AP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97">
        <f ca="1">TblMili[[#This Row],[Train Unit 1]]*TblMili[[#This Row],[OP Ore]]+TblMili[[#This Row],[Train Unit 2]]*TblMili[[#This Row],[DP Ore]]+TblMili[[#This Row],[Train Unit 3]]*TblMili[[#This Row],[E1 Ore]]+TblMili[[#This Row],[Train Unit 4]]*TblMili[[#This Row],[E2 Ore]]</f>
        <v>0</v>
      </c>
      <c r="AR20" s="150">
        <f>TblMili[[#This Row],[Hour]]</f>
        <v>17</v>
      </c>
      <c r="AS20" s="160">
        <f ca="1">TblMili[[#This Row],[Time]]</f>
        <v>44811.416666666628</v>
      </c>
      <c r="AT20" s="97">
        <f ca="1">TblMili[[#This Row],[Draftees]]</f>
        <v>341</v>
      </c>
      <c r="AU20" s="187"/>
      <c r="AV20" s="187"/>
      <c r="AW20" s="187"/>
      <c r="AX20" s="187"/>
      <c r="AY20" s="187"/>
      <c r="AZ20" s="187"/>
      <c r="BA20" s="187"/>
      <c r="BB20" s="187"/>
      <c r="BC20" s="150"/>
      <c r="BD20" s="165">
        <f ca="1">TblConstr[[#This Row],[Tot WG]]/TblConstr[[#This Row],[Land]]</f>
        <v>0</v>
      </c>
      <c r="BE20" s="165">
        <f ca="1">TblConstr[[#This Row],[Tot Hav]]/TblConstr[[#This Row],[Land]]</f>
        <v>0</v>
      </c>
      <c r="BF20" s="97">
        <f ca="1">ROUNDUP((1-MIN(TblMili[[#This Row],[Smithies]]*smithy_bonus,smithy_bonus_cap) + tech_3_5*TblTech[[#This Row],[3-5]] + tech_5_3*TblTech[[#This Row],[5-3]] + tech_5_5*TblTech[[#This Row],[5-5]])*spec_op_plat,0)</f>
        <v>275</v>
      </c>
      <c r="BG20" s="97">
        <f ca="1">ROUNDUP(IF(race="Gnome",1,(1-MIN(TblMili[[#This Row],[Smithies]]*smithy_bonus,smithy_bonus_cap) + tech_3_5*TblTech[[#This Row],[3-5]] + tech_5_3*TblTech[[#This Row],[5-3]] + tech_5_5*TblTech[[#This Row],[5-5]]))*spec_op_ore,0)</f>
        <v>25</v>
      </c>
      <c r="BH20" s="97">
        <f ca="1">ROUNDUP((1-MIN(TblMili[[#This Row],[Smithies]]*smithy_bonus,smithy_bonus_cap) + tech_3_5*TblTech[[#This Row],[3-5]] + tech_5_3*TblTech[[#This Row],[5-3]] + tech_5_5*TblTech[[#This Row],[5-5]])*spec_dp_plat,0)</f>
        <v>275</v>
      </c>
      <c r="BI20" s="97">
        <f ca="1">ROUNDUP(IF(race="Gnome",1,(1-MIN(TblMili[[#This Row],[Smithies]]*smithy_bonus,smithy_bonus_cap) + tech_3_5*TblTech[[#This Row],[3-5]] + tech_5_3*TblTech[[#This Row],[5-3]] + tech_5_5*TblTech[[#This Row],[5-5]]))*spec_dp_ore,0)</f>
        <v>15</v>
      </c>
      <c r="BJ20" s="97">
        <f ca="1">ROUNDUP((1-MIN(TblMili[[#This Row],[Smithies]]*smithy_bonus,smithy_bonus_cap) + tech_3_5*TblTech[[#This Row],[3-5]] + tech_5_3*TblTech[[#This Row],[5-3]] + tech_5_5*TblTech[[#This Row],[5-5]])*elite1_plat,0)</f>
        <v>1000</v>
      </c>
      <c r="BK20" s="97">
        <f ca="1">ROUNDUP(IF(race="Gnome",1,(1-MIN(TblMili[[#This Row],[Smithies]]*smithy_bonus,smithy_bonus_cap) + tech_3_5*TblTech[[#This Row],[3-5]] + tech_5_3*TblTech[[#This Row],[5-3]] + tech_5_5*TblTech[[#This Row],[5-5]]))*elite1_ore,0)</f>
        <v>75</v>
      </c>
      <c r="BL20" s="97">
        <f ca="1">ROUNDUP((1-MIN(TblMili[[#This Row],[Smithies]]*smithy_bonus,smithy_bonus_cap) + tech_3_5*TblTech[[#This Row],[3-5]] + tech_5_3*TblTech[[#This Row],[5-3]] + tech_5_5*TblTech[[#This Row],[5-5]])*elite2_plat,0)</f>
        <v>1200</v>
      </c>
      <c r="BM20" s="97">
        <f ca="1">ROUNDUP(IF(race="Gnome",1,(1-MIN(TblMili[[#This Row],[Smithies]]*smithy_bonus,smithy_bonus_cap) + tech_3_5*TblTech[[#This Row],[3-5]] + tech_5_3*TblTech[[#This Row],[5-3]] + tech_5_5*TblTech[[#This Row],[5-5]]))*elite2_ore,0)</f>
        <v>100</v>
      </c>
      <c r="BN20" s="97">
        <f ca="1">ROUNDUP((1-MIN(ROUND(fh_spy_cost_red*TblMili[[#This Row],[FH''s]],4),fh_spy_cost_cap)+ tech_1_9*TblTech[[#This Row],[1-9]] + tech_9_1*TblTech[[#This Row],[9-1]])*spy_plat,0)</f>
        <v>500</v>
      </c>
      <c r="BO20" s="97">
        <f ca="1">ROUNDUP((1-MIN(ROUND(wg_wiz_cost_bonus*TblMili[[#This Row],[WG''s]],4),wg_wiz_cost_cap) + tech_1_9_2*TblTech[[#This Row],[1-9]] + tech_9_1_2*TblTech[[#This Row],[9-1]])*wizard_plat,0)</f>
        <v>500</v>
      </c>
      <c r="BP20" s="97">
        <f ca="1">ROUNDUP((1-MIN(ROUND(wg_wiz_cost_bonus*TblMili[[#This Row],[WG''s]],4),wg_wiz_cost_cap) + tech_1_9_2*TblTech[[#This Row],[1-9]] + tech_9_1_2*TblTech[[#This Row],[9-1]])*archmage_plat,0)</f>
        <v>1000</v>
      </c>
      <c r="BQ20" s="150"/>
      <c r="BR20" s="165">
        <f ca="1">TblConstr[[#This Row],[Homeland]]/TblConstr[[#This Row],[Land]]</f>
        <v>0.44</v>
      </c>
      <c r="BS20" s="165">
        <f ca="1">TblMili[[#This Row],[WG''s]]</f>
        <v>0</v>
      </c>
      <c r="BT20" s="271">
        <f ca="1">IF(mystic_cap="none",TblMili[[#This Row],[Hill]]/mystic_bonus,MIN(mystic_cap,TblMili[[#This Row],[Hill]]/mystic_bonus))</f>
        <v>2.1999999999999997</v>
      </c>
      <c r="BU20" s="271">
        <f ca="1">IF(druid_op_cap="none",TblMili[[#This Row],[Hill]]/druid_op_bonus,MIN(druid_op_cap,TblMili[[#This Row],[Hill]]/druid_op_bonus))</f>
        <v>2.1999999999999997</v>
      </c>
      <c r="BV20" s="271">
        <f ca="1">IF(druid_dp_cap="none",TblMili[[#This Row],[Hill]]/druid_dp_bonus,MIN(druid_dp_cap,TblMili[[#This Row],[Hill]]/druid_dp_bonus))</f>
        <v>2.1999999999999997</v>
      </c>
      <c r="BW20" s="271">
        <f ca="1">MIN(dryad_cap,TblMili[[#This Row],[Hill]]/dryad_bonus)</f>
        <v>2.1999999999999997</v>
      </c>
      <c r="BX20" s="271">
        <f ca="1">MIN(rocka_cap,TblMili[[#This Row],[Hill]]/rocka_bonus)</f>
        <v>2</v>
      </c>
      <c r="BY20" s="271">
        <f ca="1">MIN(adept_op_cap,TblMili[[#This Row],[WG]]/adept_op_bonus)</f>
        <v>0</v>
      </c>
      <c r="BZ20" s="271">
        <f ca="1">MIN(adept_dp_cap,TblMili[[#This Row],[WG]]/adept_dp_bonus)</f>
        <v>0</v>
      </c>
      <c r="CA20" s="97">
        <f ca="1">MIN(TblMili[[#This Row],[Unit 3]],TblMili[[#This Row],[Unit 4]])*2</f>
        <v>0</v>
      </c>
      <c r="CB20" s="97">
        <f ca="1">MIN(TblMili[[#This Row],[Unit 1]],TblMili[[#This Row],[Unit 4]])*2</f>
        <v>0</v>
      </c>
      <c r="CC20" s="271">
        <f ca="1">MIN(frost_mage_cap,TblMili[[#This Row],[Hill]]/frost_mage_bonus)</f>
        <v>2.1999999999999997</v>
      </c>
      <c r="CD20" s="45">
        <f ca="1">MIN(ice_elem_cap,TblMili[[#This Row],[Raw (2)]]*ice_elem_bonus)</f>
        <v>0.1</v>
      </c>
      <c r="CE20" s="271">
        <f t="shared" si="0"/>
        <v>1</v>
      </c>
      <c r="CF20" s="271">
        <f ca="1">MIN(nox_nightshade_cap,TblConstr[[#This Row],[Homeland]]/TblConstr[[#This Row],[Land]]/nox_nightshade_swamp_bonus)</f>
        <v>3</v>
      </c>
      <c r="CG20" s="272" t="s">
        <v>532</v>
      </c>
      <c r="CH20" s="272">
        <f>VLOOKUP(Overview!$A25,Races!$D$4:$H$111,2,FALSE)</f>
        <v>6</v>
      </c>
      <c r="CI20" s="272"/>
      <c r="CJ20" s="271">
        <f ca="1">MIN(6,TblMili[[#This Row],[Mystic]]+Races!$F$19)*1.8 +  IF(TblMili[[#This Row],[Mystic]]+Races!$F$19&gt;6,(TblMili[[#This Row],[Mystic]]+Races!$F$19-6)*0.2,0) - Races!$I$19</f>
        <v>3.6399999999999997</v>
      </c>
      <c r="CK2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97">
        <f ca="1">TblMili[[#This Row],[Mystic bonus]]*TblMili[[#This Row],[Unit 3]]+TblMili[[#This Row],[Druid bonus]]*TblMili[[#This Row],[Unit 4]]</f>
        <v>0</v>
      </c>
      <c r="CM20" s="163">
        <f ca="1">MIN(6,TblMili[[#This Row],[Dryad]]+Races!$F$35)*1.8 +  IF(TblMili[[#This Row],[Dryad]]+Races!$F$35&gt;6,(TblMili[[#This Row],[Dryad]]+Races!$F$35-6)*0.2,0) - Races!$I$19</f>
        <v>2.1599999999999993</v>
      </c>
      <c r="CN20" s="97">
        <f ca="1">sylvan*(TblMili[[#This Row],[Mystic bonus]]*TblMili[[#This Row],[Unit 3]])</f>
        <v>0</v>
      </c>
      <c r="CO20" s="163">
        <f ca="1">1.8 * MIN(MAX(Races!$E$27,TblMili[[#This Row],[Rockapult]]+Races!$F$27),6)  +  0.45 * MIN(MIN(Races!$E$27,TblMili[[#This Row],[Rockapult]]+Races!$F$27),6)  +  0.2 * ( MAX(Races!$E$27-6,0) + MAX(TblMili[[#This Row],[Rockapult]]+Races!$F$27-6,0) )  -  Races!$I$20</f>
        <v>5.8500000000000005</v>
      </c>
      <c r="CP20" s="97">
        <f ca="1">gnome*(TblMili[[#This Row],[Rockapult bonus]]*TblMili[[#This Row],[Unit 3]])</f>
        <v>0</v>
      </c>
      <c r="CQ20" s="163">
        <f ca="1">1.8 * MIN(MAX(TblMili[[#This Row],[Spellblade]]+Races!$E$47,TblMili[[#This Row],[Adept-DP]]+Races!$F$47),6)  +  0.45 * MIN(MIN(TblMili[[#This Row],[Spellblade]]+Races!$E$47,TblMili[[#This Row],[Adept-DP]]+Races!$F$47),6)  +  0.2 * ( MAX(TblMili[[#This Row],[Spellblade]]+Races!$E$47-6,0) + MAX(TblMili[[#This Row],[Adept-DP]]+Races!$F$47-6,0) )  -  Races!$I$47</f>
        <v>0</v>
      </c>
      <c r="CR20" s="97">
        <f ca="1">dark_elf*(TblMili[[#This Row],[Adept bonus]]*TblMili[[#This Row],[Unit 3]])</f>
        <v>0</v>
      </c>
      <c r="CS20" s="163">
        <f ca="1">1.8 * MIN(MAX(TblMili[[#This Row],[Frost Mage]]+Races!$F$71,Races!$E$71),6)  +  0.45 * MIN(MIN(TblMili[[#This Row],[Frost Mage]]+Races!$F$71,Races!$E$71),6)  +  0.2 * ( MAX(TblMili[[#This Row],[Frost Mage]]+Races!$F$71-6,0) + MAX(Races!$E$71-6,0) )  -  Races!$I$71</f>
        <v>3.9599999999999991</v>
      </c>
      <c r="CT20" s="163">
        <f ca="1">1.8 * MIN(MAX(TblMili[[#This Row],[Ice Elemental]]+Races!$E$71,Races!$F$71),6)  +  0.45 * MIN(MIN(TblMili[[#This Row],[Ice Elemental]]+Races!$E$71,Races!$F$71),6)  +  0.2 * ( MAX(TblMili[[#This Row],[Ice Elemental]]+Races!$E$71-6,0) + MAX(Races!$F$71-6,0) )  -  Races!$I$71</f>
        <v>0.17999999999999972</v>
      </c>
      <c r="CU20" s="97">
        <f ca="1">TblMili[[#This Row],[Frost Mage bonus]]*TblMili[[#This Row],[Unit 3]]+TblMili[[#This Row],[Ice Elemental bonus]]*TblMili[[#This Row],[Unit 4]]</f>
        <v>0</v>
      </c>
      <c r="CV20" s="273"/>
      <c r="CW20" s="151">
        <f ca="1">MIN(SUM(TblConstr[[#This Row],[Plain]:[Water]])/TblMili[[#This Row],[Land]]/favorable_terrain_bonus/100,favorable_terrain_max)</f>
        <v>0.1</v>
      </c>
      <c r="CX20" s="273"/>
      <c r="CY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50"/>
      <c r="DA20" s="274">
        <f ca="1">(TblMili[[#This Row],[Wizards]]+2*TblMili[[#This Row],[Archmages]])/TblConstr[[#This Row],[Land]]</f>
        <v>0.1</v>
      </c>
      <c r="DB20" s="274">
        <f ca="1">TblMili[[#This Row],[Raw (2)]]*(1+race_wizard_strength+IF(TblMili[[#This Row],[Hour]]&gt;72,tech_magical_weaponry_wiz*TblTech[[#This Row],[3-5]],0))</f>
        <v>0.1</v>
      </c>
    </row>
    <row r="21" spans="1:106" x14ac:dyDescent="0.2">
      <c r="A21" s="145">
        <f>TblRezone[[#This Row],[Hour]]</f>
        <v>18</v>
      </c>
      <c r="B21" s="266">
        <f ca="1">SUM(TblMili[[#This Row],[Unit 1]:[Archmages]])+SUM(OFFSET(TblMili[[#This Row],[Train Unit 1]],-8,0):TblMili[[#This Row],[Train Unit 2]]) + SUM(OFFSET(TblMili[[#This Row],[Train Unit 3]],-11,0):TblMili[[#This Row],[Train Arch]]) + TblMili[[#This Row],[Draftees]]</f>
        <v>559</v>
      </c>
      <c r="C21" s="165">
        <f ca="1">TblPop[[#This Row],[Military%]]</f>
        <v>0.23706530958439356</v>
      </c>
      <c r="D21" s="150"/>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f>
        <v>25</v>
      </c>
      <c r="J21" s="45">
        <f ca="1">OFFSET(TblMili[[#This Row],[Wizards]],-1,0) + OFFSET(TblMili[[#This Row],[Train Wiz]],-12,0) - TblMili[[#This Row],[Release Wizards]]-TblMili[[#This Row],[Train Arch]]</f>
        <v>25</v>
      </c>
      <c r="K21" s="45">
        <f ca="1">OFFSET(TblMili[[#This Row],[Archmages]],-1,0) + OFFSET(TblMili[[#This Row],[Train Arch]],-12,0) - TblMili[[#This Row],[Release Arch]]</f>
        <v>0</v>
      </c>
      <c r="L21" s="150"/>
      <c r="M21" s="97">
        <f ca="1">TblProd[[#This Row],[Networth]]</f>
        <v>6450</v>
      </c>
      <c r="N21" s="150"/>
      <c r="O21" s="267">
        <f ca="1">TblMili[[#This Row],[Unit 1]]*spec_op+TblMili[[#This Row],[Unit 3]]*(elite1_base_op)+TblMili[[#This Row],[Unit 4]]*(elite2_base_op+dark_elf*TblMili[[#This Row],[Spellblade]]+icekin*TblMili[[#This Row],[Ice Elemental]]+woodie*TblMili[[#This Row],[Druid (op)]]+orc*TblMili[[#This Row],[Orc]])+kobold*TblMili[[#This Row],[Overlords]]</f>
        <v>0</v>
      </c>
      <c r="P2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1" s="267">
        <f ca="1">TblMili[[#This Row],[Raw]]*(1+TblMili[[#This Row],[Mods_Off]])</f>
        <v>0</v>
      </c>
      <c r="R2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1" s="267">
        <f ca="1">TblMili[[#This Row],[Non Draft]]+TblMili[[#This Row],[Draftees]]</f>
        <v>809</v>
      </c>
      <c r="T2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269">
        <f ca="1">TblMili[[#This Row],[Non Draft]] * (1 + TblMili[[#This Row],[Mods_Def]])</f>
        <v>450</v>
      </c>
      <c r="V21" s="267">
        <f ca="1">TblMili[[#This Row],[Draft]] * (1 + TblMili[[#This Row],[Mods_Def]])</f>
        <v>809</v>
      </c>
      <c r="W21" s="267">
        <f ca="1">TblConstr[[#This Row],[Land]]</f>
        <v>250</v>
      </c>
      <c r="X21" s="270"/>
      <c r="Y21" s="275">
        <f ca="1">IF(TblMili[[#This Row],[Set]]&lt;&gt;"",TblMili[[#This Row],[Set]],OFFSET(TblMili[[#This Row],[Draftrate]],-1,0))</f>
        <v>0.35</v>
      </c>
      <c r="Z21" s="97">
        <f ca="1">OFFSET(TblMili[[#This Row],[Draftees]],-1,0)+OFFSET(TblPop[[#This Row],[Draft Growth]],-1,0) - SUM(TblMili[[#This Row],[Train Unit 1]:[Train Wiz]]) - TblMili[[#This Row],[Release Draft]] + SUM(TblMili[[#This Row],[Release Unit 1]:[Release Arch]]) -TblExplore[[#This Row],[Draftees (2)]]</f>
        <v>359</v>
      </c>
      <c r="AA21" s="162"/>
      <c r="AB21" s="188">
        <f ca="1">(TblConstr[[#This Row],[Tot Smi]]+TblConstr[[#This Row],[Dest Smi]])/(TblConstr[[#This Row],[Land]]-TblExplore[[#This Row],[Land Bonus]]*20)</f>
        <v>0</v>
      </c>
      <c r="AC21" s="145"/>
      <c r="AD21" s="266">
        <f>TblMili[[#This Row],[Hour]]</f>
        <v>18</v>
      </c>
      <c r="AE21" s="146">
        <f ca="1">TblExplore[[#This Row],[Time]]</f>
        <v>44811.458333333292</v>
      </c>
      <c r="AF21" s="187"/>
      <c r="AG21" s="187"/>
      <c r="AH21" s="187"/>
      <c r="AI21" s="187"/>
      <c r="AJ21" s="187"/>
      <c r="AK21" s="187"/>
      <c r="AL21" s="187"/>
      <c r="AM21" s="150"/>
      <c r="AN21" s="97">
        <f ca="1">TblProd[[#This Row],[Platinum]]</f>
        <v>191511</v>
      </c>
      <c r="AO21" s="97">
        <f ca="1">INDEX(TblProd[[#Headers],[Lumber]]:TblProd[[#This Row],[Ore]],COUNTA(TblProd[[#Headers],[Lumber]]:TblProd[[#This Row],[Lumber]]),MATCH(Military!$AO$2,TblProd[[#Headers],[Lumber]:[Ore]],0))</f>
        <v>0</v>
      </c>
      <c r="AP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97">
        <f ca="1">TblMili[[#This Row],[Train Unit 1]]*TblMili[[#This Row],[OP Ore]]+TblMili[[#This Row],[Train Unit 2]]*TblMili[[#This Row],[DP Ore]]+TblMili[[#This Row],[Train Unit 3]]*TblMili[[#This Row],[E1 Ore]]+TblMili[[#This Row],[Train Unit 4]]*TblMili[[#This Row],[E2 Ore]]</f>
        <v>0</v>
      </c>
      <c r="AR21" s="150">
        <f>TblMili[[#This Row],[Hour]]</f>
        <v>18</v>
      </c>
      <c r="AS21" s="160">
        <f ca="1">TblMili[[#This Row],[Time]]</f>
        <v>44811.458333333292</v>
      </c>
      <c r="AT21" s="97">
        <f ca="1">TblMili[[#This Row],[Draftees]]</f>
        <v>359</v>
      </c>
      <c r="AU21" s="187"/>
      <c r="AV21" s="187"/>
      <c r="AW21" s="187"/>
      <c r="AX21" s="187"/>
      <c r="AY21" s="187"/>
      <c r="AZ21" s="187"/>
      <c r="BA21" s="187"/>
      <c r="BB21" s="187"/>
      <c r="BC21" s="150"/>
      <c r="BD21" s="165">
        <f ca="1">TblConstr[[#This Row],[Tot WG]]/TblConstr[[#This Row],[Land]]</f>
        <v>0</v>
      </c>
      <c r="BE21" s="165">
        <f ca="1">TblConstr[[#This Row],[Tot Hav]]/TblConstr[[#This Row],[Land]]</f>
        <v>0</v>
      </c>
      <c r="BF21" s="97">
        <f ca="1">ROUNDUP((1-MIN(TblMili[[#This Row],[Smithies]]*smithy_bonus,smithy_bonus_cap) + tech_3_5*TblTech[[#This Row],[3-5]] + tech_5_3*TblTech[[#This Row],[5-3]] + tech_5_5*TblTech[[#This Row],[5-5]])*spec_op_plat,0)</f>
        <v>275</v>
      </c>
      <c r="BG21" s="97">
        <f ca="1">ROUNDUP(IF(race="Gnome",1,(1-MIN(TblMili[[#This Row],[Smithies]]*smithy_bonus,smithy_bonus_cap) + tech_3_5*TblTech[[#This Row],[3-5]] + tech_5_3*TblTech[[#This Row],[5-3]] + tech_5_5*TblTech[[#This Row],[5-5]]))*spec_op_ore,0)</f>
        <v>25</v>
      </c>
      <c r="BH21" s="97">
        <f ca="1">ROUNDUP((1-MIN(TblMili[[#This Row],[Smithies]]*smithy_bonus,smithy_bonus_cap) + tech_3_5*TblTech[[#This Row],[3-5]] + tech_5_3*TblTech[[#This Row],[5-3]] + tech_5_5*TblTech[[#This Row],[5-5]])*spec_dp_plat,0)</f>
        <v>275</v>
      </c>
      <c r="BI21" s="97">
        <f ca="1">ROUNDUP(IF(race="Gnome",1,(1-MIN(TblMili[[#This Row],[Smithies]]*smithy_bonus,smithy_bonus_cap) + tech_3_5*TblTech[[#This Row],[3-5]] + tech_5_3*TblTech[[#This Row],[5-3]] + tech_5_5*TblTech[[#This Row],[5-5]]))*spec_dp_ore,0)</f>
        <v>15</v>
      </c>
      <c r="BJ21" s="97">
        <f ca="1">ROUNDUP((1-MIN(TblMili[[#This Row],[Smithies]]*smithy_bonus,smithy_bonus_cap) + tech_3_5*TblTech[[#This Row],[3-5]] + tech_5_3*TblTech[[#This Row],[5-3]] + tech_5_5*TblTech[[#This Row],[5-5]])*elite1_plat,0)</f>
        <v>1000</v>
      </c>
      <c r="BK21" s="97">
        <f ca="1">ROUNDUP(IF(race="Gnome",1,(1-MIN(TblMili[[#This Row],[Smithies]]*smithy_bonus,smithy_bonus_cap) + tech_3_5*TblTech[[#This Row],[3-5]] + tech_5_3*TblTech[[#This Row],[5-3]] + tech_5_5*TblTech[[#This Row],[5-5]]))*elite1_ore,0)</f>
        <v>75</v>
      </c>
      <c r="BL21" s="97">
        <f ca="1">ROUNDUP((1-MIN(TblMili[[#This Row],[Smithies]]*smithy_bonus,smithy_bonus_cap) + tech_3_5*TblTech[[#This Row],[3-5]] + tech_5_3*TblTech[[#This Row],[5-3]] + tech_5_5*TblTech[[#This Row],[5-5]])*elite2_plat,0)</f>
        <v>1200</v>
      </c>
      <c r="BM21" s="97">
        <f ca="1">ROUNDUP(IF(race="Gnome",1,(1-MIN(TblMili[[#This Row],[Smithies]]*smithy_bonus,smithy_bonus_cap) + tech_3_5*TblTech[[#This Row],[3-5]] + tech_5_3*TblTech[[#This Row],[5-3]] + tech_5_5*TblTech[[#This Row],[5-5]]))*elite2_ore,0)</f>
        <v>100</v>
      </c>
      <c r="BN21" s="97">
        <f ca="1">ROUNDUP((1-MIN(ROUND(fh_spy_cost_red*TblMili[[#This Row],[FH''s]],4),fh_spy_cost_cap)+ tech_1_9*TblTech[[#This Row],[1-9]] + tech_9_1*TblTech[[#This Row],[9-1]])*spy_plat,0)</f>
        <v>500</v>
      </c>
      <c r="BO21" s="97">
        <f ca="1">ROUNDUP((1-MIN(ROUND(wg_wiz_cost_bonus*TblMili[[#This Row],[WG''s]],4),wg_wiz_cost_cap) + tech_1_9_2*TblTech[[#This Row],[1-9]] + tech_9_1_2*TblTech[[#This Row],[9-1]])*wizard_plat,0)</f>
        <v>500</v>
      </c>
      <c r="BP21" s="97">
        <f ca="1">ROUNDUP((1-MIN(ROUND(wg_wiz_cost_bonus*TblMili[[#This Row],[WG''s]],4),wg_wiz_cost_cap) + tech_1_9_2*TblTech[[#This Row],[1-9]] + tech_9_1_2*TblTech[[#This Row],[9-1]])*archmage_plat,0)</f>
        <v>1000</v>
      </c>
      <c r="BQ21" s="150"/>
      <c r="BR21" s="165">
        <f ca="1">TblConstr[[#This Row],[Homeland]]/TblConstr[[#This Row],[Land]]</f>
        <v>0.44</v>
      </c>
      <c r="BS21" s="165">
        <f ca="1">TblMili[[#This Row],[WG''s]]</f>
        <v>0</v>
      </c>
      <c r="BT21" s="271">
        <f ca="1">IF(mystic_cap="none",TblMili[[#This Row],[Hill]]/mystic_bonus,MIN(mystic_cap,TblMili[[#This Row],[Hill]]/mystic_bonus))</f>
        <v>2.1999999999999997</v>
      </c>
      <c r="BU21" s="271">
        <f ca="1">IF(druid_op_cap="none",TblMili[[#This Row],[Hill]]/druid_op_bonus,MIN(druid_op_cap,TblMili[[#This Row],[Hill]]/druid_op_bonus))</f>
        <v>2.1999999999999997</v>
      </c>
      <c r="BV21" s="271">
        <f ca="1">IF(druid_dp_cap="none",TblMili[[#This Row],[Hill]]/druid_dp_bonus,MIN(druid_dp_cap,TblMili[[#This Row],[Hill]]/druid_dp_bonus))</f>
        <v>2.1999999999999997</v>
      </c>
      <c r="BW21" s="271">
        <f ca="1">MIN(dryad_cap,TblMili[[#This Row],[Hill]]/dryad_bonus)</f>
        <v>2.1999999999999997</v>
      </c>
      <c r="BX21" s="271">
        <f ca="1">MIN(rocka_cap,TblMili[[#This Row],[Hill]]/rocka_bonus)</f>
        <v>2</v>
      </c>
      <c r="BY21" s="271">
        <f ca="1">MIN(adept_op_cap,TblMili[[#This Row],[WG]]/adept_op_bonus)</f>
        <v>0</v>
      </c>
      <c r="BZ21" s="271">
        <f ca="1">MIN(adept_dp_cap,TblMili[[#This Row],[WG]]/adept_dp_bonus)</f>
        <v>0</v>
      </c>
      <c r="CA21" s="97">
        <f ca="1">MIN(TblMili[[#This Row],[Unit 3]],TblMili[[#This Row],[Unit 4]])*2</f>
        <v>0</v>
      </c>
      <c r="CB21" s="97">
        <f ca="1">MIN(TblMili[[#This Row],[Unit 1]],TblMili[[#This Row],[Unit 4]])*2</f>
        <v>0</v>
      </c>
      <c r="CC21" s="271">
        <f ca="1">MIN(frost_mage_cap,TblMili[[#This Row],[Hill]]/frost_mage_bonus)</f>
        <v>2.1999999999999997</v>
      </c>
      <c r="CD21" s="45">
        <f ca="1">MIN(ice_elem_cap,TblMili[[#This Row],[Raw (2)]]*ice_elem_bonus)</f>
        <v>0.1</v>
      </c>
      <c r="CE21" s="271">
        <f t="shared" si="0"/>
        <v>1</v>
      </c>
      <c r="CF21" s="271">
        <f ca="1">MIN(nox_nightshade_cap,TblConstr[[#This Row],[Homeland]]/TblConstr[[#This Row],[Land]]/nox_nightshade_swamp_bonus)</f>
        <v>3</v>
      </c>
      <c r="CG21" s="272" t="s">
        <v>531</v>
      </c>
      <c r="CH21" s="272">
        <f>VLOOKUP(Overview!$A25,Races!$D$4:$H$111,3,FALSE)</f>
        <v>3</v>
      </c>
      <c r="CI21" s="272"/>
      <c r="CJ21" s="271">
        <f ca="1">MIN(6,TblMili[[#This Row],[Mystic]]+Races!$F$19)*1.8 +  IF(TblMili[[#This Row],[Mystic]]+Races!$F$19&gt;6,(TblMili[[#This Row],[Mystic]]+Races!$F$19-6)*0.2,0) - Races!$I$19</f>
        <v>3.6399999999999997</v>
      </c>
      <c r="CK2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97">
        <f ca="1">TblMili[[#This Row],[Mystic bonus]]*TblMili[[#This Row],[Unit 3]]+TblMili[[#This Row],[Druid bonus]]*TblMili[[#This Row],[Unit 4]]</f>
        <v>0</v>
      </c>
      <c r="CM21" s="163">
        <f ca="1">MIN(6,TblMili[[#This Row],[Dryad]]+Races!$F$35)*1.8 +  IF(TblMili[[#This Row],[Dryad]]+Races!$F$35&gt;6,(TblMili[[#This Row],[Dryad]]+Races!$F$35-6)*0.2,0) - Races!$I$19</f>
        <v>2.1599999999999993</v>
      </c>
      <c r="CN21" s="97">
        <f ca="1">sylvan*(TblMili[[#This Row],[Mystic bonus]]*TblMili[[#This Row],[Unit 3]])</f>
        <v>0</v>
      </c>
      <c r="CO21" s="163">
        <f ca="1">1.8 * MIN(MAX(Races!$E$27,TblMili[[#This Row],[Rockapult]]+Races!$F$27),6)  +  0.45 * MIN(MIN(Races!$E$27,TblMili[[#This Row],[Rockapult]]+Races!$F$27),6)  +  0.2 * ( MAX(Races!$E$27-6,0) + MAX(TblMili[[#This Row],[Rockapult]]+Races!$F$27-6,0) )  -  Races!$I$20</f>
        <v>5.8500000000000005</v>
      </c>
      <c r="CP21" s="97">
        <f ca="1">gnome*(TblMili[[#This Row],[Rockapult bonus]]*TblMili[[#This Row],[Unit 3]])</f>
        <v>0</v>
      </c>
      <c r="CQ21" s="163">
        <f ca="1">1.8 * MIN(MAX(TblMili[[#This Row],[Spellblade]]+Races!$E$47,TblMili[[#This Row],[Adept-DP]]+Races!$F$47),6)  +  0.45 * MIN(MIN(TblMili[[#This Row],[Spellblade]]+Races!$E$47,TblMili[[#This Row],[Adept-DP]]+Races!$F$47),6)  +  0.2 * ( MAX(TblMili[[#This Row],[Spellblade]]+Races!$E$47-6,0) + MAX(TblMili[[#This Row],[Adept-DP]]+Races!$F$47-6,0) )  -  Races!$I$47</f>
        <v>0</v>
      </c>
      <c r="CR21" s="97">
        <f ca="1">dark_elf*(TblMili[[#This Row],[Adept bonus]]*TblMili[[#This Row],[Unit 3]])</f>
        <v>0</v>
      </c>
      <c r="CS21" s="163">
        <f ca="1">1.8 * MIN(MAX(TblMili[[#This Row],[Frost Mage]]+Races!$F$71,Races!$E$71),6)  +  0.45 * MIN(MIN(TblMili[[#This Row],[Frost Mage]]+Races!$F$71,Races!$E$71),6)  +  0.2 * ( MAX(TblMili[[#This Row],[Frost Mage]]+Races!$F$71-6,0) + MAX(Races!$E$71-6,0) )  -  Races!$I$71</f>
        <v>3.9599999999999991</v>
      </c>
      <c r="CT21" s="163">
        <f ca="1">1.8 * MIN(MAX(TblMili[[#This Row],[Ice Elemental]]+Races!$E$71,Races!$F$71),6)  +  0.45 * MIN(MIN(TblMili[[#This Row],[Ice Elemental]]+Races!$E$71,Races!$F$71),6)  +  0.2 * ( MAX(TblMili[[#This Row],[Ice Elemental]]+Races!$E$71-6,0) + MAX(Races!$F$71-6,0) )  -  Races!$I$71</f>
        <v>0.17999999999999972</v>
      </c>
      <c r="CU21" s="97">
        <f ca="1">TblMili[[#This Row],[Frost Mage bonus]]*TblMili[[#This Row],[Unit 3]]+TblMili[[#This Row],[Ice Elemental bonus]]*TblMili[[#This Row],[Unit 4]]</f>
        <v>0</v>
      </c>
      <c r="CV21" s="273"/>
      <c r="CW21" s="151">
        <f ca="1">MIN(SUM(TblConstr[[#This Row],[Plain]:[Water]])/TblMili[[#This Row],[Land]]/favorable_terrain_bonus/100,favorable_terrain_max)</f>
        <v>0.1</v>
      </c>
      <c r="CX21" s="273"/>
      <c r="CY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50"/>
      <c r="DA21" s="274">
        <f ca="1">(TblMili[[#This Row],[Wizards]]+2*TblMili[[#This Row],[Archmages]])/TblConstr[[#This Row],[Land]]</f>
        <v>0.1</v>
      </c>
      <c r="DB21" s="274">
        <f ca="1">TblMili[[#This Row],[Raw (2)]]*(1+race_wizard_strength+IF(TblMili[[#This Row],[Hour]]&gt;72,tech_magical_weaponry_wiz*TblTech[[#This Row],[3-5]],0))</f>
        <v>0.1</v>
      </c>
    </row>
    <row r="22" spans="1:106" x14ac:dyDescent="0.2">
      <c r="A22" s="145">
        <f>TblRezone[[#This Row],[Hour]]</f>
        <v>19</v>
      </c>
      <c r="B22" s="266">
        <f ca="1">SUM(TblMili[[#This Row],[Unit 1]:[Archmages]])+SUM(OFFSET(TblMili[[#This Row],[Train Unit 1]],-8,0):TblMili[[#This Row],[Train Unit 2]]) + SUM(OFFSET(TblMili[[#This Row],[Train Unit 3]],-11,0):TblMili[[#This Row],[Train Arch]]) + TblMili[[#This Row],[Draftees]]</f>
        <v>577</v>
      </c>
      <c r="C22" s="165">
        <f ca="1">TblPop[[#This Row],[Military%]]</f>
        <v>0.24469889737065309</v>
      </c>
      <c r="D22" s="150"/>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f>
        <v>25</v>
      </c>
      <c r="J22" s="45">
        <f ca="1">OFFSET(TblMili[[#This Row],[Wizards]],-1,0) + OFFSET(TblMili[[#This Row],[Train Wiz]],-12,0) - TblMili[[#This Row],[Release Wizards]]-TblMili[[#This Row],[Train Arch]]</f>
        <v>25</v>
      </c>
      <c r="K22" s="45">
        <f ca="1">OFFSET(TblMili[[#This Row],[Archmages]],-1,0) + OFFSET(TblMili[[#This Row],[Train Arch]],-12,0) - TblMili[[#This Row],[Release Arch]]</f>
        <v>0</v>
      </c>
      <c r="L22" s="150"/>
      <c r="M22" s="97">
        <f ca="1">TblProd[[#This Row],[Networth]]</f>
        <v>6450</v>
      </c>
      <c r="N22" s="150"/>
      <c r="O22" s="267">
        <f ca="1">TblMili[[#This Row],[Unit 1]]*spec_op+TblMili[[#This Row],[Unit 3]]*(elite1_base_op)+TblMili[[#This Row],[Unit 4]]*(elite2_base_op+dark_elf*TblMili[[#This Row],[Spellblade]]+icekin*TblMili[[#This Row],[Ice Elemental]]+woodie*TblMili[[#This Row],[Druid (op)]]+orc*TblMili[[#This Row],[Orc]])+kobold*TblMili[[#This Row],[Overlords]]</f>
        <v>0</v>
      </c>
      <c r="P2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2" s="267">
        <f ca="1">TblMili[[#This Row],[Raw]]*(1+TblMili[[#This Row],[Mods_Off]])</f>
        <v>0</v>
      </c>
      <c r="R2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2" s="267">
        <f ca="1">TblMili[[#This Row],[Non Draft]]+TblMili[[#This Row],[Draftees]]</f>
        <v>827</v>
      </c>
      <c r="T2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269">
        <f ca="1">TblMili[[#This Row],[Non Draft]] * (1 + TblMili[[#This Row],[Mods_Def]])</f>
        <v>450</v>
      </c>
      <c r="V22" s="267">
        <f ca="1">TblMili[[#This Row],[Draft]] * (1 + TblMili[[#This Row],[Mods_Def]])</f>
        <v>827</v>
      </c>
      <c r="W22" s="267">
        <f ca="1">TblConstr[[#This Row],[Land]]</f>
        <v>250</v>
      </c>
      <c r="X22" s="270"/>
      <c r="Y22" s="275">
        <f ca="1">IF(TblMili[[#This Row],[Set]]&lt;&gt;"",TblMili[[#This Row],[Set]],OFFSET(TblMili[[#This Row],[Draftrate]],-1,0))</f>
        <v>0.35</v>
      </c>
      <c r="Z22" s="97">
        <f ca="1">OFFSET(TblMili[[#This Row],[Draftees]],-1,0)+OFFSET(TblPop[[#This Row],[Draft Growth]],-1,0) - SUM(TblMili[[#This Row],[Train Unit 1]:[Train Wiz]]) - TblMili[[#This Row],[Release Draft]] + SUM(TblMili[[#This Row],[Release Unit 1]:[Release Arch]]) -TblExplore[[#This Row],[Draftees (2)]]</f>
        <v>377</v>
      </c>
      <c r="AA22" s="162"/>
      <c r="AB22" s="188">
        <f ca="1">(TblConstr[[#This Row],[Tot Smi]]+TblConstr[[#This Row],[Dest Smi]])/(TblConstr[[#This Row],[Land]]-TblExplore[[#This Row],[Land Bonus]]*20)</f>
        <v>0</v>
      </c>
      <c r="AC22" s="145"/>
      <c r="AD22" s="266">
        <f>TblMili[[#This Row],[Hour]]</f>
        <v>19</v>
      </c>
      <c r="AE22" s="146">
        <f ca="1">TblExplore[[#This Row],[Time]]</f>
        <v>44811.499999999956</v>
      </c>
      <c r="AF22" s="187"/>
      <c r="AG22" s="187"/>
      <c r="AH22" s="187"/>
      <c r="AI22" s="187"/>
      <c r="AJ22" s="187"/>
      <c r="AK22" s="187"/>
      <c r="AL22" s="187"/>
      <c r="AM22" s="150"/>
      <c r="AN22" s="97">
        <f ca="1">TblProd[[#This Row],[Platinum]]</f>
        <v>197181</v>
      </c>
      <c r="AO22" s="97">
        <f ca="1">INDEX(TblProd[[#Headers],[Lumber]]:TblProd[[#This Row],[Ore]],COUNTA(TblProd[[#Headers],[Lumber]]:TblProd[[#This Row],[Lumber]]),MATCH(Military!$AO$2,TblProd[[#Headers],[Lumber]:[Ore]],0))</f>
        <v>0</v>
      </c>
      <c r="AP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97">
        <f ca="1">TblMili[[#This Row],[Train Unit 1]]*TblMili[[#This Row],[OP Ore]]+TblMili[[#This Row],[Train Unit 2]]*TblMili[[#This Row],[DP Ore]]+TblMili[[#This Row],[Train Unit 3]]*TblMili[[#This Row],[E1 Ore]]+TblMili[[#This Row],[Train Unit 4]]*TblMili[[#This Row],[E2 Ore]]</f>
        <v>0</v>
      </c>
      <c r="AR22" s="150">
        <f>TblMili[[#This Row],[Hour]]</f>
        <v>19</v>
      </c>
      <c r="AS22" s="160">
        <f ca="1">TblMili[[#This Row],[Time]]</f>
        <v>44811.499999999956</v>
      </c>
      <c r="AT22" s="97">
        <f ca="1">TblMili[[#This Row],[Draftees]]</f>
        <v>377</v>
      </c>
      <c r="AU22" s="187"/>
      <c r="AV22" s="187"/>
      <c r="AW22" s="187"/>
      <c r="AX22" s="187"/>
      <c r="AY22" s="187"/>
      <c r="AZ22" s="187"/>
      <c r="BA22" s="187"/>
      <c r="BB22" s="187"/>
      <c r="BC22" s="150"/>
      <c r="BD22" s="165">
        <f ca="1">TblConstr[[#This Row],[Tot WG]]/TblConstr[[#This Row],[Land]]</f>
        <v>0</v>
      </c>
      <c r="BE22" s="165">
        <f ca="1">TblConstr[[#This Row],[Tot Hav]]/TblConstr[[#This Row],[Land]]</f>
        <v>0</v>
      </c>
      <c r="BF22" s="97">
        <f ca="1">ROUNDUP((1-MIN(TblMili[[#This Row],[Smithies]]*smithy_bonus,smithy_bonus_cap) + tech_3_5*TblTech[[#This Row],[3-5]] + tech_5_3*TblTech[[#This Row],[5-3]] + tech_5_5*TblTech[[#This Row],[5-5]])*spec_op_plat,0)</f>
        <v>275</v>
      </c>
      <c r="BG22" s="97">
        <f ca="1">ROUNDUP(IF(race="Gnome",1,(1-MIN(TblMili[[#This Row],[Smithies]]*smithy_bonus,smithy_bonus_cap) + tech_3_5*TblTech[[#This Row],[3-5]] + tech_5_3*TblTech[[#This Row],[5-3]] + tech_5_5*TblTech[[#This Row],[5-5]]))*spec_op_ore,0)</f>
        <v>25</v>
      </c>
      <c r="BH22" s="97">
        <f ca="1">ROUNDUP((1-MIN(TblMili[[#This Row],[Smithies]]*smithy_bonus,smithy_bonus_cap) + tech_3_5*TblTech[[#This Row],[3-5]] + tech_5_3*TblTech[[#This Row],[5-3]] + tech_5_5*TblTech[[#This Row],[5-5]])*spec_dp_plat,0)</f>
        <v>275</v>
      </c>
      <c r="BI22" s="97">
        <f ca="1">ROUNDUP(IF(race="Gnome",1,(1-MIN(TblMili[[#This Row],[Smithies]]*smithy_bonus,smithy_bonus_cap) + tech_3_5*TblTech[[#This Row],[3-5]] + tech_5_3*TblTech[[#This Row],[5-3]] + tech_5_5*TblTech[[#This Row],[5-5]]))*spec_dp_ore,0)</f>
        <v>15</v>
      </c>
      <c r="BJ22" s="97">
        <f ca="1">ROUNDUP((1-MIN(TblMili[[#This Row],[Smithies]]*smithy_bonus,smithy_bonus_cap) + tech_3_5*TblTech[[#This Row],[3-5]] + tech_5_3*TblTech[[#This Row],[5-3]] + tech_5_5*TblTech[[#This Row],[5-5]])*elite1_plat,0)</f>
        <v>1000</v>
      </c>
      <c r="BK22" s="97">
        <f ca="1">ROUNDUP(IF(race="Gnome",1,(1-MIN(TblMili[[#This Row],[Smithies]]*smithy_bonus,smithy_bonus_cap) + tech_3_5*TblTech[[#This Row],[3-5]] + tech_5_3*TblTech[[#This Row],[5-3]] + tech_5_5*TblTech[[#This Row],[5-5]]))*elite1_ore,0)</f>
        <v>75</v>
      </c>
      <c r="BL22" s="97">
        <f ca="1">ROUNDUP((1-MIN(TblMili[[#This Row],[Smithies]]*smithy_bonus,smithy_bonus_cap) + tech_3_5*TblTech[[#This Row],[3-5]] + tech_5_3*TblTech[[#This Row],[5-3]] + tech_5_5*TblTech[[#This Row],[5-5]])*elite2_plat,0)</f>
        <v>1200</v>
      </c>
      <c r="BM22" s="97">
        <f ca="1">ROUNDUP(IF(race="Gnome",1,(1-MIN(TblMili[[#This Row],[Smithies]]*smithy_bonus,smithy_bonus_cap) + tech_3_5*TblTech[[#This Row],[3-5]] + tech_5_3*TblTech[[#This Row],[5-3]] + tech_5_5*TblTech[[#This Row],[5-5]]))*elite2_ore,0)</f>
        <v>100</v>
      </c>
      <c r="BN22" s="97">
        <f ca="1">ROUNDUP((1-MIN(ROUND(fh_spy_cost_red*TblMili[[#This Row],[FH''s]],4),fh_spy_cost_cap)+ tech_1_9*TblTech[[#This Row],[1-9]] + tech_9_1*TblTech[[#This Row],[9-1]])*spy_plat,0)</f>
        <v>500</v>
      </c>
      <c r="BO22" s="97">
        <f ca="1">ROUNDUP((1-MIN(ROUND(wg_wiz_cost_bonus*TblMili[[#This Row],[WG''s]],4),wg_wiz_cost_cap) + tech_1_9_2*TblTech[[#This Row],[1-9]] + tech_9_1_2*TblTech[[#This Row],[9-1]])*wizard_plat,0)</f>
        <v>500</v>
      </c>
      <c r="BP22" s="97">
        <f ca="1">ROUNDUP((1-MIN(ROUND(wg_wiz_cost_bonus*TblMili[[#This Row],[WG''s]],4),wg_wiz_cost_cap) + tech_1_9_2*TblTech[[#This Row],[1-9]] + tech_9_1_2*TblTech[[#This Row],[9-1]])*archmage_plat,0)</f>
        <v>1000</v>
      </c>
      <c r="BQ22" s="150"/>
      <c r="BR22" s="165">
        <f ca="1">TblConstr[[#This Row],[Homeland]]/TblConstr[[#This Row],[Land]]</f>
        <v>0.44</v>
      </c>
      <c r="BS22" s="165">
        <f ca="1">TblMili[[#This Row],[WG''s]]</f>
        <v>0</v>
      </c>
      <c r="BT22" s="271">
        <f ca="1">IF(mystic_cap="none",TblMili[[#This Row],[Hill]]/mystic_bonus,MIN(mystic_cap,TblMili[[#This Row],[Hill]]/mystic_bonus))</f>
        <v>2.1999999999999997</v>
      </c>
      <c r="BU22" s="271">
        <f ca="1">IF(druid_op_cap="none",TblMili[[#This Row],[Hill]]/druid_op_bonus,MIN(druid_op_cap,TblMili[[#This Row],[Hill]]/druid_op_bonus))</f>
        <v>2.1999999999999997</v>
      </c>
      <c r="BV22" s="271">
        <f ca="1">IF(druid_dp_cap="none",TblMili[[#This Row],[Hill]]/druid_dp_bonus,MIN(druid_dp_cap,TblMili[[#This Row],[Hill]]/druid_dp_bonus))</f>
        <v>2.1999999999999997</v>
      </c>
      <c r="BW22" s="271">
        <f ca="1">MIN(dryad_cap,TblMili[[#This Row],[Hill]]/dryad_bonus)</f>
        <v>2.1999999999999997</v>
      </c>
      <c r="BX22" s="271">
        <f ca="1">MIN(rocka_cap,TblMili[[#This Row],[Hill]]/rocka_bonus)</f>
        <v>2</v>
      </c>
      <c r="BY22" s="271">
        <f ca="1">MIN(adept_op_cap,TblMili[[#This Row],[WG]]/adept_op_bonus)</f>
        <v>0</v>
      </c>
      <c r="BZ22" s="271">
        <f ca="1">MIN(adept_dp_cap,TblMili[[#This Row],[WG]]/adept_dp_bonus)</f>
        <v>0</v>
      </c>
      <c r="CA22" s="97">
        <f ca="1">MIN(TblMili[[#This Row],[Unit 3]],TblMili[[#This Row],[Unit 4]])*2</f>
        <v>0</v>
      </c>
      <c r="CB22" s="97">
        <f ca="1">MIN(TblMili[[#This Row],[Unit 1]],TblMili[[#This Row],[Unit 4]])*2</f>
        <v>0</v>
      </c>
      <c r="CC22" s="271">
        <f ca="1">MIN(frost_mage_cap,TblMili[[#This Row],[Hill]]/frost_mage_bonus)</f>
        <v>2.1999999999999997</v>
      </c>
      <c r="CD22" s="45">
        <f ca="1">MIN(ice_elem_cap,TblMili[[#This Row],[Raw (2)]]*ice_elem_bonus)</f>
        <v>0.1</v>
      </c>
      <c r="CE22" s="271">
        <f t="shared" si="0"/>
        <v>1</v>
      </c>
      <c r="CF22" s="271">
        <f ca="1">MIN(nox_nightshade_cap,TblConstr[[#This Row],[Homeland]]/TblConstr[[#This Row],[Land]]/nox_nightshade_swamp_bonus)</f>
        <v>3</v>
      </c>
      <c r="CG22" s="272"/>
      <c r="CH22" s="272"/>
      <c r="CI22" s="272"/>
      <c r="CJ22" s="271">
        <f ca="1">MIN(6,TblMili[[#This Row],[Mystic]]+Races!$F$19)*1.8 +  IF(TblMili[[#This Row],[Mystic]]+Races!$F$19&gt;6,(TblMili[[#This Row],[Mystic]]+Races!$F$19-6)*0.2,0) - Races!$I$19</f>
        <v>3.6399999999999997</v>
      </c>
      <c r="CK2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97">
        <f ca="1">TblMili[[#This Row],[Mystic bonus]]*TblMili[[#This Row],[Unit 3]]+TblMili[[#This Row],[Druid bonus]]*TblMili[[#This Row],[Unit 4]]</f>
        <v>0</v>
      </c>
      <c r="CM22" s="163">
        <f ca="1">MIN(6,TblMili[[#This Row],[Dryad]]+Races!$F$35)*1.8 +  IF(TblMili[[#This Row],[Dryad]]+Races!$F$35&gt;6,(TblMili[[#This Row],[Dryad]]+Races!$F$35-6)*0.2,0) - Races!$I$19</f>
        <v>2.1599999999999993</v>
      </c>
      <c r="CN22" s="97">
        <f ca="1">sylvan*(TblMili[[#This Row],[Mystic bonus]]*TblMili[[#This Row],[Unit 3]])</f>
        <v>0</v>
      </c>
      <c r="CO22" s="163">
        <f ca="1">1.8 * MIN(MAX(Races!$E$27,TblMili[[#This Row],[Rockapult]]+Races!$F$27),6)  +  0.45 * MIN(MIN(Races!$E$27,TblMili[[#This Row],[Rockapult]]+Races!$F$27),6)  +  0.2 * ( MAX(Races!$E$27-6,0) + MAX(TblMili[[#This Row],[Rockapult]]+Races!$F$27-6,0) )  -  Races!$I$20</f>
        <v>5.8500000000000005</v>
      </c>
      <c r="CP22" s="97">
        <f ca="1">gnome*(TblMili[[#This Row],[Rockapult bonus]]*TblMili[[#This Row],[Unit 3]])</f>
        <v>0</v>
      </c>
      <c r="CQ22" s="163">
        <f ca="1">1.8 * MIN(MAX(TblMili[[#This Row],[Spellblade]]+Races!$E$47,TblMili[[#This Row],[Adept-DP]]+Races!$F$47),6)  +  0.45 * MIN(MIN(TblMili[[#This Row],[Spellblade]]+Races!$E$47,TblMili[[#This Row],[Adept-DP]]+Races!$F$47),6)  +  0.2 * ( MAX(TblMili[[#This Row],[Spellblade]]+Races!$E$47-6,0) + MAX(TblMili[[#This Row],[Adept-DP]]+Races!$F$47-6,0) )  -  Races!$I$47</f>
        <v>0</v>
      </c>
      <c r="CR22" s="97">
        <f ca="1">dark_elf*(TblMili[[#This Row],[Adept bonus]]*TblMili[[#This Row],[Unit 3]])</f>
        <v>0</v>
      </c>
      <c r="CS22" s="163">
        <f ca="1">1.8 * MIN(MAX(TblMili[[#This Row],[Frost Mage]]+Races!$F$71,Races!$E$71),6)  +  0.45 * MIN(MIN(TblMili[[#This Row],[Frost Mage]]+Races!$F$71,Races!$E$71),6)  +  0.2 * ( MAX(TblMili[[#This Row],[Frost Mage]]+Races!$F$71-6,0) + MAX(Races!$E$71-6,0) )  -  Races!$I$71</f>
        <v>3.9599999999999991</v>
      </c>
      <c r="CT22" s="163">
        <f ca="1">1.8 * MIN(MAX(TblMili[[#This Row],[Ice Elemental]]+Races!$E$71,Races!$F$71),6)  +  0.45 * MIN(MIN(TblMili[[#This Row],[Ice Elemental]]+Races!$E$71,Races!$F$71),6)  +  0.2 * ( MAX(TblMili[[#This Row],[Ice Elemental]]+Races!$E$71-6,0) + MAX(Races!$F$71-6,0) )  -  Races!$I$71</f>
        <v>0.17999999999999972</v>
      </c>
      <c r="CU22" s="97">
        <f ca="1">TblMili[[#This Row],[Frost Mage bonus]]*TblMili[[#This Row],[Unit 3]]+TblMili[[#This Row],[Ice Elemental bonus]]*TblMili[[#This Row],[Unit 4]]</f>
        <v>0</v>
      </c>
      <c r="CV22" s="273"/>
      <c r="CW22" s="151">
        <f ca="1">MIN(SUM(TblConstr[[#This Row],[Plain]:[Water]])/TblMili[[#This Row],[Land]]/favorable_terrain_bonus/100,favorable_terrain_max)</f>
        <v>0.1</v>
      </c>
      <c r="CX22" s="273"/>
      <c r="CY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50"/>
      <c r="DA22" s="274">
        <f ca="1">(TblMili[[#This Row],[Wizards]]+2*TblMili[[#This Row],[Archmages]])/TblConstr[[#This Row],[Land]]</f>
        <v>0.1</v>
      </c>
      <c r="DB22" s="274">
        <f ca="1">TblMili[[#This Row],[Raw (2)]]*(1+race_wizard_strength+IF(TblMili[[#This Row],[Hour]]&gt;72,tech_magical_weaponry_wiz*TblTech[[#This Row],[3-5]],0))</f>
        <v>0.1</v>
      </c>
    </row>
    <row r="23" spans="1:106" x14ac:dyDescent="0.2">
      <c r="A23" s="145">
        <f>TblRezone[[#This Row],[Hour]]</f>
        <v>20</v>
      </c>
      <c r="B23" s="266">
        <f ca="1">SUM(TblMili[[#This Row],[Unit 1]:[Archmages]])+SUM(OFFSET(TblMili[[#This Row],[Train Unit 1]],-8,0):TblMili[[#This Row],[Train Unit 2]]) + SUM(OFFSET(TblMili[[#This Row],[Train Unit 3]],-11,0):TblMili[[#This Row],[Train Arch]]) + TblMili[[#This Row],[Draftees]]</f>
        <v>595</v>
      </c>
      <c r="C23" s="165">
        <f ca="1">TblPop[[#This Row],[Military%]]</f>
        <v>0.25233248515691264</v>
      </c>
      <c r="D23" s="150"/>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f>
        <v>25</v>
      </c>
      <c r="J23" s="45">
        <f ca="1">OFFSET(TblMili[[#This Row],[Wizards]],-1,0) + OFFSET(TblMili[[#This Row],[Train Wiz]],-12,0) - TblMili[[#This Row],[Release Wizards]]-TblMili[[#This Row],[Train Arch]]</f>
        <v>25</v>
      </c>
      <c r="K23" s="45">
        <f ca="1">OFFSET(TblMili[[#This Row],[Archmages]],-1,0) + OFFSET(TblMili[[#This Row],[Train Arch]],-12,0) - TblMili[[#This Row],[Release Arch]]</f>
        <v>0</v>
      </c>
      <c r="L23" s="150"/>
      <c r="M23" s="97">
        <f ca="1">TblProd[[#This Row],[Networth]]</f>
        <v>6450</v>
      </c>
      <c r="N23" s="150"/>
      <c r="O23" s="267">
        <f ca="1">TblMili[[#This Row],[Unit 1]]*spec_op+TblMili[[#This Row],[Unit 3]]*(elite1_base_op)+TblMili[[#This Row],[Unit 4]]*(elite2_base_op+dark_elf*TblMili[[#This Row],[Spellblade]]+icekin*TblMili[[#This Row],[Ice Elemental]]+woodie*TblMili[[#This Row],[Druid (op)]]+orc*TblMili[[#This Row],[Orc]])+kobold*TblMili[[#This Row],[Overlords]]</f>
        <v>0</v>
      </c>
      <c r="P2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3" s="267">
        <f ca="1">TblMili[[#This Row],[Raw]]*(1+TblMili[[#This Row],[Mods_Off]])</f>
        <v>0</v>
      </c>
      <c r="R2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3" s="267">
        <f ca="1">TblMili[[#This Row],[Non Draft]]+TblMili[[#This Row],[Draftees]]</f>
        <v>845</v>
      </c>
      <c r="T2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269">
        <f ca="1">TblMili[[#This Row],[Non Draft]] * (1 + TblMili[[#This Row],[Mods_Def]])</f>
        <v>450</v>
      </c>
      <c r="V23" s="267">
        <f ca="1">TblMili[[#This Row],[Draft]] * (1 + TblMili[[#This Row],[Mods_Def]])</f>
        <v>845</v>
      </c>
      <c r="W23" s="267">
        <f ca="1">TblConstr[[#This Row],[Land]]</f>
        <v>250</v>
      </c>
      <c r="X23" s="270"/>
      <c r="Y23" s="275">
        <f ca="1">IF(TblMili[[#This Row],[Set]]&lt;&gt;"",TblMili[[#This Row],[Set]],OFFSET(TblMili[[#This Row],[Draftrate]],-1,0))</f>
        <v>0.35</v>
      </c>
      <c r="Z23" s="97">
        <f ca="1">OFFSET(TblMili[[#This Row],[Draftees]],-1,0)+OFFSET(TblPop[[#This Row],[Draft Growth]],-1,0) - SUM(TblMili[[#This Row],[Train Unit 1]:[Train Wiz]]) - TblMili[[#This Row],[Release Draft]] + SUM(TblMili[[#This Row],[Release Unit 1]:[Release Arch]]) -TblExplore[[#This Row],[Draftees (2)]]</f>
        <v>395</v>
      </c>
      <c r="AA23" s="162"/>
      <c r="AB23" s="188">
        <f ca="1">(TblConstr[[#This Row],[Tot Smi]]+TblConstr[[#This Row],[Dest Smi]])/(TblConstr[[#This Row],[Land]]-TblExplore[[#This Row],[Land Bonus]]*20)</f>
        <v>0</v>
      </c>
      <c r="AC23" s="145"/>
      <c r="AD23" s="266">
        <f>TblMili[[#This Row],[Hour]]</f>
        <v>20</v>
      </c>
      <c r="AE23" s="146">
        <f ca="1">TblExplore[[#This Row],[Time]]</f>
        <v>44811.541666666621</v>
      </c>
      <c r="AF23" s="187"/>
      <c r="AG23" s="187"/>
      <c r="AH23" s="187"/>
      <c r="AI23" s="187"/>
      <c r="AJ23" s="187"/>
      <c r="AK23" s="187"/>
      <c r="AL23" s="187"/>
      <c r="AM23" s="150"/>
      <c r="AN23" s="97">
        <f ca="1">TblProd[[#This Row],[Platinum]]</f>
        <v>202851</v>
      </c>
      <c r="AO23" s="97">
        <f ca="1">INDEX(TblProd[[#Headers],[Lumber]]:TblProd[[#This Row],[Ore]],COUNTA(TblProd[[#Headers],[Lumber]]:TblProd[[#This Row],[Lumber]]),MATCH(Military!$AO$2,TblProd[[#Headers],[Lumber]:[Ore]],0))</f>
        <v>0</v>
      </c>
      <c r="AP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97">
        <f ca="1">TblMili[[#This Row],[Train Unit 1]]*TblMili[[#This Row],[OP Ore]]+TblMili[[#This Row],[Train Unit 2]]*TblMili[[#This Row],[DP Ore]]+TblMili[[#This Row],[Train Unit 3]]*TblMili[[#This Row],[E1 Ore]]+TblMili[[#This Row],[Train Unit 4]]*TblMili[[#This Row],[E2 Ore]]</f>
        <v>0</v>
      </c>
      <c r="AR23" s="150">
        <f>TblMili[[#This Row],[Hour]]</f>
        <v>20</v>
      </c>
      <c r="AS23" s="160">
        <f ca="1">TblMili[[#This Row],[Time]]</f>
        <v>44811.541666666621</v>
      </c>
      <c r="AT23" s="97">
        <f ca="1">TblMili[[#This Row],[Draftees]]</f>
        <v>395</v>
      </c>
      <c r="AU23" s="187"/>
      <c r="AV23" s="187"/>
      <c r="AW23" s="187"/>
      <c r="AX23" s="187"/>
      <c r="AY23" s="187"/>
      <c r="AZ23" s="187"/>
      <c r="BA23" s="187"/>
      <c r="BB23" s="187"/>
      <c r="BC23" s="150"/>
      <c r="BD23" s="165">
        <f ca="1">TblConstr[[#This Row],[Tot WG]]/TblConstr[[#This Row],[Land]]</f>
        <v>0</v>
      </c>
      <c r="BE23" s="165">
        <f ca="1">TblConstr[[#This Row],[Tot Hav]]/TblConstr[[#This Row],[Land]]</f>
        <v>0</v>
      </c>
      <c r="BF23" s="97">
        <f ca="1">ROUNDUP((1-MIN(TblMili[[#This Row],[Smithies]]*smithy_bonus,smithy_bonus_cap) + tech_3_5*TblTech[[#This Row],[3-5]] + tech_5_3*TblTech[[#This Row],[5-3]] + tech_5_5*TblTech[[#This Row],[5-5]])*spec_op_plat,0)</f>
        <v>275</v>
      </c>
      <c r="BG23" s="97">
        <f ca="1">ROUNDUP(IF(race="Gnome",1,(1-MIN(TblMili[[#This Row],[Smithies]]*smithy_bonus,smithy_bonus_cap) + tech_3_5*TblTech[[#This Row],[3-5]] + tech_5_3*TblTech[[#This Row],[5-3]] + tech_5_5*TblTech[[#This Row],[5-5]]))*spec_op_ore,0)</f>
        <v>25</v>
      </c>
      <c r="BH23" s="97">
        <f ca="1">ROUNDUP((1-MIN(TblMili[[#This Row],[Smithies]]*smithy_bonus,smithy_bonus_cap) + tech_3_5*TblTech[[#This Row],[3-5]] + tech_5_3*TblTech[[#This Row],[5-3]] + tech_5_5*TblTech[[#This Row],[5-5]])*spec_dp_plat,0)</f>
        <v>275</v>
      </c>
      <c r="BI23" s="97">
        <f ca="1">ROUNDUP(IF(race="Gnome",1,(1-MIN(TblMili[[#This Row],[Smithies]]*smithy_bonus,smithy_bonus_cap) + tech_3_5*TblTech[[#This Row],[3-5]] + tech_5_3*TblTech[[#This Row],[5-3]] + tech_5_5*TblTech[[#This Row],[5-5]]))*spec_dp_ore,0)</f>
        <v>15</v>
      </c>
      <c r="BJ23" s="97">
        <f ca="1">ROUNDUP((1-MIN(TblMili[[#This Row],[Smithies]]*smithy_bonus,smithy_bonus_cap) + tech_3_5*TblTech[[#This Row],[3-5]] + tech_5_3*TblTech[[#This Row],[5-3]] + tech_5_5*TblTech[[#This Row],[5-5]])*elite1_plat,0)</f>
        <v>1000</v>
      </c>
      <c r="BK23" s="97">
        <f ca="1">ROUNDUP(IF(race="Gnome",1,(1-MIN(TblMili[[#This Row],[Smithies]]*smithy_bonus,smithy_bonus_cap) + tech_3_5*TblTech[[#This Row],[3-5]] + tech_5_3*TblTech[[#This Row],[5-3]] + tech_5_5*TblTech[[#This Row],[5-5]]))*elite1_ore,0)</f>
        <v>75</v>
      </c>
      <c r="BL23" s="97">
        <f ca="1">ROUNDUP((1-MIN(TblMili[[#This Row],[Smithies]]*smithy_bonus,smithy_bonus_cap) + tech_3_5*TblTech[[#This Row],[3-5]] + tech_5_3*TblTech[[#This Row],[5-3]] + tech_5_5*TblTech[[#This Row],[5-5]])*elite2_plat,0)</f>
        <v>1200</v>
      </c>
      <c r="BM23" s="97">
        <f ca="1">ROUNDUP(IF(race="Gnome",1,(1-MIN(TblMili[[#This Row],[Smithies]]*smithy_bonus,smithy_bonus_cap) + tech_3_5*TblTech[[#This Row],[3-5]] + tech_5_3*TblTech[[#This Row],[5-3]] + tech_5_5*TblTech[[#This Row],[5-5]]))*elite2_ore,0)</f>
        <v>100</v>
      </c>
      <c r="BN23" s="97">
        <f ca="1">ROUNDUP((1-MIN(ROUND(fh_spy_cost_red*TblMili[[#This Row],[FH''s]],4),fh_spy_cost_cap)+ tech_1_9*TblTech[[#This Row],[1-9]] + tech_9_1*TblTech[[#This Row],[9-1]])*spy_plat,0)</f>
        <v>500</v>
      </c>
      <c r="BO23" s="97">
        <f ca="1">ROUNDUP((1-MIN(ROUND(wg_wiz_cost_bonus*TblMili[[#This Row],[WG''s]],4),wg_wiz_cost_cap) + tech_1_9_2*TblTech[[#This Row],[1-9]] + tech_9_1_2*TblTech[[#This Row],[9-1]])*wizard_plat,0)</f>
        <v>500</v>
      </c>
      <c r="BP23" s="97">
        <f ca="1">ROUNDUP((1-MIN(ROUND(wg_wiz_cost_bonus*TblMili[[#This Row],[WG''s]],4),wg_wiz_cost_cap) + tech_1_9_2*TblTech[[#This Row],[1-9]] + tech_9_1_2*TblTech[[#This Row],[9-1]])*archmage_plat,0)</f>
        <v>1000</v>
      </c>
      <c r="BQ23" s="150"/>
      <c r="BR23" s="165">
        <f ca="1">TblConstr[[#This Row],[Homeland]]/TblConstr[[#This Row],[Land]]</f>
        <v>0.44</v>
      </c>
      <c r="BS23" s="165">
        <f ca="1">TblMili[[#This Row],[WG''s]]</f>
        <v>0</v>
      </c>
      <c r="BT23" s="271">
        <f ca="1">IF(mystic_cap="none",TblMili[[#This Row],[Hill]]/mystic_bonus,MIN(mystic_cap,TblMili[[#This Row],[Hill]]/mystic_bonus))</f>
        <v>2.1999999999999997</v>
      </c>
      <c r="BU23" s="271">
        <f ca="1">IF(druid_op_cap="none",TblMili[[#This Row],[Hill]]/druid_op_bonus,MIN(druid_op_cap,TblMili[[#This Row],[Hill]]/druid_op_bonus))</f>
        <v>2.1999999999999997</v>
      </c>
      <c r="BV23" s="271">
        <f ca="1">IF(druid_dp_cap="none",TblMili[[#This Row],[Hill]]/druid_dp_bonus,MIN(druid_dp_cap,TblMili[[#This Row],[Hill]]/druid_dp_bonus))</f>
        <v>2.1999999999999997</v>
      </c>
      <c r="BW23" s="271">
        <f ca="1">MIN(dryad_cap,TblMili[[#This Row],[Hill]]/dryad_bonus)</f>
        <v>2.1999999999999997</v>
      </c>
      <c r="BX23" s="271">
        <f ca="1">MIN(rocka_cap,TblMili[[#This Row],[Hill]]/rocka_bonus)</f>
        <v>2</v>
      </c>
      <c r="BY23" s="271">
        <f ca="1">MIN(adept_op_cap,TblMili[[#This Row],[WG]]/adept_op_bonus)</f>
        <v>0</v>
      </c>
      <c r="BZ23" s="271">
        <f ca="1">MIN(adept_dp_cap,TblMili[[#This Row],[WG]]/adept_dp_bonus)</f>
        <v>0</v>
      </c>
      <c r="CA23" s="97">
        <f ca="1">MIN(TblMili[[#This Row],[Unit 3]],TblMili[[#This Row],[Unit 4]])*2</f>
        <v>0</v>
      </c>
      <c r="CB23" s="97">
        <f ca="1">MIN(TblMili[[#This Row],[Unit 1]],TblMili[[#This Row],[Unit 4]])*2</f>
        <v>0</v>
      </c>
      <c r="CC23" s="271">
        <f ca="1">MIN(frost_mage_cap,TblMili[[#This Row],[Hill]]/frost_mage_bonus)</f>
        <v>2.1999999999999997</v>
      </c>
      <c r="CD23" s="45">
        <f ca="1">MIN(ice_elem_cap,TblMili[[#This Row],[Raw (2)]]*ice_elem_bonus)</f>
        <v>0.1</v>
      </c>
      <c r="CE23" s="271">
        <f t="shared" si="0"/>
        <v>1</v>
      </c>
      <c r="CF23" s="271">
        <f ca="1">MIN(nox_nightshade_cap,TblConstr[[#This Row],[Homeland]]/TblConstr[[#This Row],[Land]]/nox_nightshade_swamp_bonus)</f>
        <v>3</v>
      </c>
      <c r="CG23" s="272"/>
      <c r="CH23" s="272"/>
      <c r="CI23" s="272"/>
      <c r="CJ23" s="271">
        <f ca="1">MIN(6,TblMili[[#This Row],[Mystic]]+Races!$F$19)*1.8 +  IF(TblMili[[#This Row],[Mystic]]+Races!$F$19&gt;6,(TblMili[[#This Row],[Mystic]]+Races!$F$19-6)*0.2,0) - Races!$I$19</f>
        <v>3.6399999999999997</v>
      </c>
      <c r="CK2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97">
        <f ca="1">TblMili[[#This Row],[Mystic bonus]]*TblMili[[#This Row],[Unit 3]]+TblMili[[#This Row],[Druid bonus]]*TblMili[[#This Row],[Unit 4]]</f>
        <v>0</v>
      </c>
      <c r="CM23" s="163">
        <f ca="1">MIN(6,TblMili[[#This Row],[Dryad]]+Races!$F$35)*1.8 +  IF(TblMili[[#This Row],[Dryad]]+Races!$F$35&gt;6,(TblMili[[#This Row],[Dryad]]+Races!$F$35-6)*0.2,0) - Races!$I$19</f>
        <v>2.1599999999999993</v>
      </c>
      <c r="CN23" s="97">
        <f ca="1">sylvan*(TblMili[[#This Row],[Mystic bonus]]*TblMili[[#This Row],[Unit 3]])</f>
        <v>0</v>
      </c>
      <c r="CO23" s="163">
        <f ca="1">1.8 * MIN(MAX(Races!$E$27,TblMili[[#This Row],[Rockapult]]+Races!$F$27),6)  +  0.45 * MIN(MIN(Races!$E$27,TblMili[[#This Row],[Rockapult]]+Races!$F$27),6)  +  0.2 * ( MAX(Races!$E$27-6,0) + MAX(TblMili[[#This Row],[Rockapult]]+Races!$F$27-6,0) )  -  Races!$I$20</f>
        <v>5.8500000000000005</v>
      </c>
      <c r="CP23" s="97">
        <f ca="1">gnome*(TblMili[[#This Row],[Rockapult bonus]]*TblMili[[#This Row],[Unit 3]])</f>
        <v>0</v>
      </c>
      <c r="CQ23" s="163">
        <f ca="1">1.8 * MIN(MAX(TblMili[[#This Row],[Spellblade]]+Races!$E$47,TblMili[[#This Row],[Adept-DP]]+Races!$F$47),6)  +  0.45 * MIN(MIN(TblMili[[#This Row],[Spellblade]]+Races!$E$47,TblMili[[#This Row],[Adept-DP]]+Races!$F$47),6)  +  0.2 * ( MAX(TblMili[[#This Row],[Spellblade]]+Races!$E$47-6,0) + MAX(TblMili[[#This Row],[Adept-DP]]+Races!$F$47-6,0) )  -  Races!$I$47</f>
        <v>0</v>
      </c>
      <c r="CR23" s="97">
        <f ca="1">dark_elf*(TblMili[[#This Row],[Adept bonus]]*TblMili[[#This Row],[Unit 3]])</f>
        <v>0</v>
      </c>
      <c r="CS23" s="163">
        <f ca="1">1.8 * MIN(MAX(TblMili[[#This Row],[Frost Mage]]+Races!$F$71,Races!$E$71),6)  +  0.45 * MIN(MIN(TblMili[[#This Row],[Frost Mage]]+Races!$F$71,Races!$E$71),6)  +  0.2 * ( MAX(TblMili[[#This Row],[Frost Mage]]+Races!$F$71-6,0) + MAX(Races!$E$71-6,0) )  -  Races!$I$71</f>
        <v>3.9599999999999991</v>
      </c>
      <c r="CT23" s="163">
        <f ca="1">1.8 * MIN(MAX(TblMili[[#This Row],[Ice Elemental]]+Races!$E$71,Races!$F$71),6)  +  0.45 * MIN(MIN(TblMili[[#This Row],[Ice Elemental]]+Races!$E$71,Races!$F$71),6)  +  0.2 * ( MAX(TblMili[[#This Row],[Ice Elemental]]+Races!$E$71-6,0) + MAX(Races!$F$71-6,0) )  -  Races!$I$71</f>
        <v>0.17999999999999972</v>
      </c>
      <c r="CU23" s="97">
        <f ca="1">TblMili[[#This Row],[Frost Mage bonus]]*TblMili[[#This Row],[Unit 3]]+TblMili[[#This Row],[Ice Elemental bonus]]*TblMili[[#This Row],[Unit 4]]</f>
        <v>0</v>
      </c>
      <c r="CV23" s="273"/>
      <c r="CW23" s="151">
        <f ca="1">MIN(SUM(TblConstr[[#This Row],[Plain]:[Water]])/TblMili[[#This Row],[Land]]/favorable_terrain_bonus/100,favorable_terrain_max)</f>
        <v>0.1</v>
      </c>
      <c r="CX23" s="273"/>
      <c r="CY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50"/>
      <c r="DA23" s="274">
        <f ca="1">(TblMili[[#This Row],[Wizards]]+2*TblMili[[#This Row],[Archmages]])/TblConstr[[#This Row],[Land]]</f>
        <v>0.1</v>
      </c>
      <c r="DB23" s="274">
        <f ca="1">TblMili[[#This Row],[Raw (2)]]*(1+race_wizard_strength+IF(TblMili[[#This Row],[Hour]]&gt;72,tech_magical_weaponry_wiz*TblTech[[#This Row],[3-5]],0))</f>
        <v>0.1</v>
      </c>
    </row>
    <row r="24" spans="1:106" x14ac:dyDescent="0.2">
      <c r="A24" s="145">
        <f>TblRezone[[#This Row],[Hour]]</f>
        <v>21</v>
      </c>
      <c r="B24" s="266">
        <f ca="1">SUM(TblMili[[#This Row],[Unit 1]:[Archmages]])+SUM(OFFSET(TblMili[[#This Row],[Train Unit 1]],-8,0):TblMili[[#This Row],[Train Unit 2]]) + SUM(OFFSET(TblMili[[#This Row],[Train Unit 3]],-11,0):TblMili[[#This Row],[Train Arch]]) + TblMili[[#This Row],[Draftees]]</f>
        <v>613</v>
      </c>
      <c r="C24" s="165">
        <f ca="1">TblPop[[#This Row],[Military%]]</f>
        <v>0.2599660729431722</v>
      </c>
      <c r="D24" s="150"/>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f>
        <v>25</v>
      </c>
      <c r="J24" s="45">
        <f ca="1">OFFSET(TblMili[[#This Row],[Wizards]],-1,0) + OFFSET(TblMili[[#This Row],[Train Wiz]],-12,0) - TblMili[[#This Row],[Release Wizards]]-TblMili[[#This Row],[Train Arch]]</f>
        <v>25</v>
      </c>
      <c r="K24" s="45">
        <f ca="1">OFFSET(TblMili[[#This Row],[Archmages]],-1,0) + OFFSET(TblMili[[#This Row],[Train Arch]],-12,0) - TblMili[[#This Row],[Release Arch]]</f>
        <v>0</v>
      </c>
      <c r="L24" s="150"/>
      <c r="M24" s="97">
        <f ca="1">TblProd[[#This Row],[Networth]]</f>
        <v>6450</v>
      </c>
      <c r="N24" s="150"/>
      <c r="O24" s="267">
        <f ca="1">TblMili[[#This Row],[Unit 1]]*spec_op+TblMili[[#This Row],[Unit 3]]*(elite1_base_op)+TblMili[[#This Row],[Unit 4]]*(elite2_base_op+dark_elf*TblMili[[#This Row],[Spellblade]]+icekin*TblMili[[#This Row],[Ice Elemental]]+woodie*TblMili[[#This Row],[Druid (op)]]+orc*TblMili[[#This Row],[Orc]])+kobold*TblMili[[#This Row],[Overlords]]</f>
        <v>0</v>
      </c>
      <c r="P2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4" s="267">
        <f ca="1">TblMili[[#This Row],[Raw]]*(1+TblMili[[#This Row],[Mods_Off]])</f>
        <v>0</v>
      </c>
      <c r="R2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4" s="267">
        <f ca="1">TblMili[[#This Row],[Non Draft]]+TblMili[[#This Row],[Draftees]]</f>
        <v>863</v>
      </c>
      <c r="T2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269">
        <f ca="1">TblMili[[#This Row],[Non Draft]] * (1 + TblMili[[#This Row],[Mods_Def]])</f>
        <v>450</v>
      </c>
      <c r="V24" s="267">
        <f ca="1">TblMili[[#This Row],[Draft]] * (1 + TblMili[[#This Row],[Mods_Def]])</f>
        <v>863</v>
      </c>
      <c r="W24" s="267">
        <f ca="1">TblConstr[[#This Row],[Land]]</f>
        <v>250</v>
      </c>
      <c r="X24" s="270"/>
      <c r="Y24" s="275">
        <f ca="1">IF(TblMili[[#This Row],[Set]]&lt;&gt;"",TblMili[[#This Row],[Set]],OFFSET(TblMili[[#This Row],[Draftrate]],-1,0))</f>
        <v>0.35</v>
      </c>
      <c r="Z24" s="97">
        <f ca="1">OFFSET(TblMili[[#This Row],[Draftees]],-1,0)+OFFSET(TblPop[[#This Row],[Draft Growth]],-1,0) - SUM(TblMili[[#This Row],[Train Unit 1]:[Train Wiz]]) - TblMili[[#This Row],[Release Draft]] + SUM(TblMili[[#This Row],[Release Unit 1]:[Release Arch]]) -TblExplore[[#This Row],[Draftees (2)]]</f>
        <v>413</v>
      </c>
      <c r="AA24" s="162"/>
      <c r="AB24" s="188">
        <f ca="1">(TblConstr[[#This Row],[Tot Smi]]+TblConstr[[#This Row],[Dest Smi]])/(TblConstr[[#This Row],[Land]]-TblExplore[[#This Row],[Land Bonus]]*20)</f>
        <v>0</v>
      </c>
      <c r="AC24" s="145"/>
      <c r="AD24" s="266">
        <f>TblMili[[#This Row],[Hour]]</f>
        <v>21</v>
      </c>
      <c r="AE24" s="146">
        <f ca="1">TblExplore[[#This Row],[Time]]</f>
        <v>44811.583333333285</v>
      </c>
      <c r="AF24" s="187"/>
      <c r="AG24" s="187"/>
      <c r="AH24" s="187"/>
      <c r="AI24" s="187"/>
      <c r="AJ24" s="187"/>
      <c r="AK24" s="187"/>
      <c r="AL24" s="187"/>
      <c r="AM24" s="150"/>
      <c r="AN24" s="97">
        <f ca="1">TblProd[[#This Row],[Platinum]]</f>
        <v>208521</v>
      </c>
      <c r="AO24" s="97">
        <f ca="1">INDEX(TblProd[[#Headers],[Lumber]]:TblProd[[#This Row],[Ore]],COUNTA(TblProd[[#Headers],[Lumber]]:TblProd[[#This Row],[Lumber]]),MATCH(Military!$AO$2,TblProd[[#Headers],[Lumber]:[Ore]],0))</f>
        <v>0</v>
      </c>
      <c r="AP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97">
        <f ca="1">TblMili[[#This Row],[Train Unit 1]]*TblMili[[#This Row],[OP Ore]]+TblMili[[#This Row],[Train Unit 2]]*TblMili[[#This Row],[DP Ore]]+TblMili[[#This Row],[Train Unit 3]]*TblMili[[#This Row],[E1 Ore]]+TblMili[[#This Row],[Train Unit 4]]*TblMili[[#This Row],[E2 Ore]]</f>
        <v>0</v>
      </c>
      <c r="AR24" s="150">
        <f>TblMili[[#This Row],[Hour]]</f>
        <v>21</v>
      </c>
      <c r="AS24" s="160">
        <f ca="1">TblMili[[#This Row],[Time]]</f>
        <v>44811.583333333285</v>
      </c>
      <c r="AT24" s="97">
        <f ca="1">TblMili[[#This Row],[Draftees]]</f>
        <v>413</v>
      </c>
      <c r="AU24" s="187"/>
      <c r="AV24" s="187"/>
      <c r="AW24" s="187"/>
      <c r="AX24" s="187"/>
      <c r="AY24" s="187"/>
      <c r="AZ24" s="187"/>
      <c r="BA24" s="187"/>
      <c r="BB24" s="187"/>
      <c r="BC24" s="150"/>
      <c r="BD24" s="165">
        <f ca="1">TblConstr[[#This Row],[Tot WG]]/TblConstr[[#This Row],[Land]]</f>
        <v>0</v>
      </c>
      <c r="BE24" s="165">
        <f ca="1">TblConstr[[#This Row],[Tot Hav]]/TblConstr[[#This Row],[Land]]</f>
        <v>0</v>
      </c>
      <c r="BF24" s="97">
        <f ca="1">ROUNDUP((1-MIN(TblMili[[#This Row],[Smithies]]*smithy_bonus,smithy_bonus_cap) + tech_3_5*TblTech[[#This Row],[3-5]] + tech_5_3*TblTech[[#This Row],[5-3]] + tech_5_5*TblTech[[#This Row],[5-5]])*spec_op_plat,0)</f>
        <v>275</v>
      </c>
      <c r="BG24" s="97">
        <f ca="1">ROUNDUP(IF(race="Gnome",1,(1-MIN(TblMili[[#This Row],[Smithies]]*smithy_bonus,smithy_bonus_cap) + tech_3_5*TblTech[[#This Row],[3-5]] + tech_5_3*TblTech[[#This Row],[5-3]] + tech_5_5*TblTech[[#This Row],[5-5]]))*spec_op_ore,0)</f>
        <v>25</v>
      </c>
      <c r="BH24" s="97">
        <f ca="1">ROUNDUP((1-MIN(TblMili[[#This Row],[Smithies]]*smithy_bonus,smithy_bonus_cap) + tech_3_5*TblTech[[#This Row],[3-5]] + tech_5_3*TblTech[[#This Row],[5-3]] + tech_5_5*TblTech[[#This Row],[5-5]])*spec_dp_plat,0)</f>
        <v>275</v>
      </c>
      <c r="BI24" s="97">
        <f ca="1">ROUNDUP(IF(race="Gnome",1,(1-MIN(TblMili[[#This Row],[Smithies]]*smithy_bonus,smithy_bonus_cap) + tech_3_5*TblTech[[#This Row],[3-5]] + tech_5_3*TblTech[[#This Row],[5-3]] + tech_5_5*TblTech[[#This Row],[5-5]]))*spec_dp_ore,0)</f>
        <v>15</v>
      </c>
      <c r="BJ24" s="97">
        <f ca="1">ROUNDUP((1-MIN(TblMili[[#This Row],[Smithies]]*smithy_bonus,smithy_bonus_cap) + tech_3_5*TblTech[[#This Row],[3-5]] + tech_5_3*TblTech[[#This Row],[5-3]] + tech_5_5*TblTech[[#This Row],[5-5]])*elite1_plat,0)</f>
        <v>1000</v>
      </c>
      <c r="BK24" s="97">
        <f ca="1">ROUNDUP(IF(race="Gnome",1,(1-MIN(TblMili[[#This Row],[Smithies]]*smithy_bonus,smithy_bonus_cap) + tech_3_5*TblTech[[#This Row],[3-5]] + tech_5_3*TblTech[[#This Row],[5-3]] + tech_5_5*TblTech[[#This Row],[5-5]]))*elite1_ore,0)</f>
        <v>75</v>
      </c>
      <c r="BL24" s="97">
        <f ca="1">ROUNDUP((1-MIN(TblMili[[#This Row],[Smithies]]*smithy_bonus,smithy_bonus_cap) + tech_3_5*TblTech[[#This Row],[3-5]] + tech_5_3*TblTech[[#This Row],[5-3]] + tech_5_5*TblTech[[#This Row],[5-5]])*elite2_plat,0)</f>
        <v>1200</v>
      </c>
      <c r="BM24" s="97">
        <f ca="1">ROUNDUP(IF(race="Gnome",1,(1-MIN(TblMili[[#This Row],[Smithies]]*smithy_bonus,smithy_bonus_cap) + tech_3_5*TblTech[[#This Row],[3-5]] + tech_5_3*TblTech[[#This Row],[5-3]] + tech_5_5*TblTech[[#This Row],[5-5]]))*elite2_ore,0)</f>
        <v>100</v>
      </c>
      <c r="BN24" s="97">
        <f ca="1">ROUNDUP((1-MIN(ROUND(fh_spy_cost_red*TblMili[[#This Row],[FH''s]],4),fh_spy_cost_cap)+ tech_1_9*TblTech[[#This Row],[1-9]] + tech_9_1*TblTech[[#This Row],[9-1]])*spy_plat,0)</f>
        <v>500</v>
      </c>
      <c r="BO24" s="97">
        <f ca="1">ROUNDUP((1-MIN(ROUND(wg_wiz_cost_bonus*TblMili[[#This Row],[WG''s]],4),wg_wiz_cost_cap) + tech_1_9_2*TblTech[[#This Row],[1-9]] + tech_9_1_2*TblTech[[#This Row],[9-1]])*wizard_plat,0)</f>
        <v>500</v>
      </c>
      <c r="BP24" s="97">
        <f ca="1">ROUNDUP((1-MIN(ROUND(wg_wiz_cost_bonus*TblMili[[#This Row],[WG''s]],4),wg_wiz_cost_cap) + tech_1_9_2*TblTech[[#This Row],[1-9]] + tech_9_1_2*TblTech[[#This Row],[9-1]])*archmage_plat,0)</f>
        <v>1000</v>
      </c>
      <c r="BQ24" s="150"/>
      <c r="BR24" s="165">
        <f ca="1">TblConstr[[#This Row],[Homeland]]/TblConstr[[#This Row],[Land]]</f>
        <v>0.44</v>
      </c>
      <c r="BS24" s="165">
        <f ca="1">TblMili[[#This Row],[WG''s]]</f>
        <v>0</v>
      </c>
      <c r="BT24" s="271">
        <f ca="1">IF(mystic_cap="none",TblMili[[#This Row],[Hill]]/mystic_bonus,MIN(mystic_cap,TblMili[[#This Row],[Hill]]/mystic_bonus))</f>
        <v>2.1999999999999997</v>
      </c>
      <c r="BU24" s="271">
        <f ca="1">IF(druid_op_cap="none",TblMili[[#This Row],[Hill]]/druid_op_bonus,MIN(druid_op_cap,TblMili[[#This Row],[Hill]]/druid_op_bonus))</f>
        <v>2.1999999999999997</v>
      </c>
      <c r="BV24" s="271">
        <f ca="1">IF(druid_dp_cap="none",TblMili[[#This Row],[Hill]]/druid_dp_bonus,MIN(druid_dp_cap,TblMili[[#This Row],[Hill]]/druid_dp_bonus))</f>
        <v>2.1999999999999997</v>
      </c>
      <c r="BW24" s="271">
        <f ca="1">MIN(dryad_cap,TblMili[[#This Row],[Hill]]/dryad_bonus)</f>
        <v>2.1999999999999997</v>
      </c>
      <c r="BX24" s="271">
        <f ca="1">MIN(rocka_cap,TblMili[[#This Row],[Hill]]/rocka_bonus)</f>
        <v>2</v>
      </c>
      <c r="BY24" s="271">
        <f ca="1">MIN(adept_op_cap,TblMili[[#This Row],[WG]]/adept_op_bonus)</f>
        <v>0</v>
      </c>
      <c r="BZ24" s="271">
        <f ca="1">MIN(adept_dp_cap,TblMili[[#This Row],[WG]]/adept_dp_bonus)</f>
        <v>0</v>
      </c>
      <c r="CA24" s="97">
        <f ca="1">MIN(TblMili[[#This Row],[Unit 3]],TblMili[[#This Row],[Unit 4]])*2</f>
        <v>0</v>
      </c>
      <c r="CB24" s="97">
        <f ca="1">MIN(TblMili[[#This Row],[Unit 1]],TblMili[[#This Row],[Unit 4]])*2</f>
        <v>0</v>
      </c>
      <c r="CC24" s="271">
        <f ca="1">MIN(frost_mage_cap,TblMili[[#This Row],[Hill]]/frost_mage_bonus)</f>
        <v>2.1999999999999997</v>
      </c>
      <c r="CD24" s="45">
        <f ca="1">MIN(ice_elem_cap,TblMili[[#This Row],[Raw (2)]]*ice_elem_bonus)</f>
        <v>0.1</v>
      </c>
      <c r="CE24" s="271">
        <f t="shared" si="0"/>
        <v>1</v>
      </c>
      <c r="CF24" s="271">
        <f ca="1">MIN(nox_nightshade_cap,TblConstr[[#This Row],[Homeland]]/TblConstr[[#This Row],[Land]]/nox_nightshade_swamp_bonus)</f>
        <v>3</v>
      </c>
      <c r="CG24" s="272" t="s">
        <v>3</v>
      </c>
      <c r="CH24" s="272" t="b">
        <f>CG24=secondary_resource</f>
        <v>1</v>
      </c>
      <c r="CI24" s="272"/>
      <c r="CJ24" s="271">
        <f ca="1">MIN(6,TblMili[[#This Row],[Mystic]]+Races!$F$19)*1.8 +  IF(TblMili[[#This Row],[Mystic]]+Races!$F$19&gt;6,(TblMili[[#This Row],[Mystic]]+Races!$F$19-6)*0.2,0) - Races!$I$19</f>
        <v>3.6399999999999997</v>
      </c>
      <c r="CK2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97">
        <f ca="1">TblMili[[#This Row],[Mystic bonus]]*TblMili[[#This Row],[Unit 3]]+TblMili[[#This Row],[Druid bonus]]*TblMili[[#This Row],[Unit 4]]</f>
        <v>0</v>
      </c>
      <c r="CM24" s="163">
        <f ca="1">MIN(6,TblMili[[#This Row],[Dryad]]+Races!$F$35)*1.8 +  IF(TblMili[[#This Row],[Dryad]]+Races!$F$35&gt;6,(TblMili[[#This Row],[Dryad]]+Races!$F$35-6)*0.2,0) - Races!$I$19</f>
        <v>2.1599999999999993</v>
      </c>
      <c r="CN24" s="97">
        <f ca="1">sylvan*(TblMili[[#This Row],[Mystic bonus]]*TblMili[[#This Row],[Unit 3]])</f>
        <v>0</v>
      </c>
      <c r="CO24" s="163">
        <f ca="1">1.8 * MIN(MAX(Races!$E$27,TblMili[[#This Row],[Rockapult]]+Races!$F$27),6)  +  0.45 * MIN(MIN(Races!$E$27,TblMili[[#This Row],[Rockapult]]+Races!$F$27),6)  +  0.2 * ( MAX(Races!$E$27-6,0) + MAX(TblMili[[#This Row],[Rockapult]]+Races!$F$27-6,0) )  -  Races!$I$20</f>
        <v>5.8500000000000005</v>
      </c>
      <c r="CP24" s="97">
        <f ca="1">gnome*(TblMili[[#This Row],[Rockapult bonus]]*TblMili[[#This Row],[Unit 3]])</f>
        <v>0</v>
      </c>
      <c r="CQ24" s="163">
        <f ca="1">1.8 * MIN(MAX(TblMili[[#This Row],[Spellblade]]+Races!$E$47,TblMili[[#This Row],[Adept-DP]]+Races!$F$47),6)  +  0.45 * MIN(MIN(TblMili[[#This Row],[Spellblade]]+Races!$E$47,TblMili[[#This Row],[Adept-DP]]+Races!$F$47),6)  +  0.2 * ( MAX(TblMili[[#This Row],[Spellblade]]+Races!$E$47-6,0) + MAX(TblMili[[#This Row],[Adept-DP]]+Races!$F$47-6,0) )  -  Races!$I$47</f>
        <v>0</v>
      </c>
      <c r="CR24" s="97">
        <f ca="1">dark_elf*(TblMili[[#This Row],[Adept bonus]]*TblMili[[#This Row],[Unit 3]])</f>
        <v>0</v>
      </c>
      <c r="CS24" s="163">
        <f ca="1">1.8 * MIN(MAX(TblMili[[#This Row],[Frost Mage]]+Races!$F$71,Races!$E$71),6)  +  0.45 * MIN(MIN(TblMili[[#This Row],[Frost Mage]]+Races!$F$71,Races!$E$71),6)  +  0.2 * ( MAX(TblMili[[#This Row],[Frost Mage]]+Races!$F$71-6,0) + MAX(Races!$E$71-6,0) )  -  Races!$I$71</f>
        <v>3.9599999999999991</v>
      </c>
      <c r="CT24" s="163">
        <f ca="1">1.8 * MIN(MAX(TblMili[[#This Row],[Ice Elemental]]+Races!$E$71,Races!$F$71),6)  +  0.45 * MIN(MIN(TblMili[[#This Row],[Ice Elemental]]+Races!$E$71,Races!$F$71),6)  +  0.2 * ( MAX(TblMili[[#This Row],[Ice Elemental]]+Races!$E$71-6,0) + MAX(Races!$F$71-6,0) )  -  Races!$I$71</f>
        <v>0.17999999999999972</v>
      </c>
      <c r="CU24" s="97">
        <f ca="1">TblMili[[#This Row],[Frost Mage bonus]]*TblMili[[#This Row],[Unit 3]]+TblMili[[#This Row],[Ice Elemental bonus]]*TblMili[[#This Row],[Unit 4]]</f>
        <v>0</v>
      </c>
      <c r="CV24" s="273"/>
      <c r="CW24" s="151">
        <f ca="1">MIN(SUM(TblConstr[[#This Row],[Plain]:[Water]])/TblMili[[#This Row],[Land]]/favorable_terrain_bonus/100,favorable_terrain_max)</f>
        <v>0.1</v>
      </c>
      <c r="CX24" s="273"/>
      <c r="CY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50"/>
      <c r="DA24" s="274">
        <f ca="1">(TblMili[[#This Row],[Wizards]]+2*TblMili[[#This Row],[Archmages]])/TblConstr[[#This Row],[Land]]</f>
        <v>0.1</v>
      </c>
      <c r="DB24" s="274">
        <f ca="1">TblMili[[#This Row],[Raw (2)]]*(1+race_wizard_strength+IF(TblMili[[#This Row],[Hour]]&gt;72,tech_magical_weaponry_wiz*TblTech[[#This Row],[3-5]],0))</f>
        <v>0.1</v>
      </c>
    </row>
    <row r="25" spans="1:106" x14ac:dyDescent="0.2">
      <c r="A25" s="145">
        <f>TblRezone[[#This Row],[Hour]]</f>
        <v>22</v>
      </c>
      <c r="B25" s="266">
        <f ca="1">SUM(TblMili[[#This Row],[Unit 1]:[Archmages]])+SUM(OFFSET(TblMili[[#This Row],[Train Unit 1]],-8,0):TblMili[[#This Row],[Train Unit 2]]) + SUM(OFFSET(TblMili[[#This Row],[Train Unit 3]],-11,0):TblMili[[#This Row],[Train Arch]]) + TblMili[[#This Row],[Draftees]]</f>
        <v>630</v>
      </c>
      <c r="C25" s="165">
        <f ca="1">TblPop[[#This Row],[Military%]]</f>
        <v>0.26717557251908397</v>
      </c>
      <c r="D25" s="150"/>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f>
        <v>25</v>
      </c>
      <c r="J25" s="45">
        <f ca="1">OFFSET(TblMili[[#This Row],[Wizards]],-1,0) + OFFSET(TblMili[[#This Row],[Train Wiz]],-12,0) - TblMili[[#This Row],[Release Wizards]]-TblMili[[#This Row],[Train Arch]]</f>
        <v>25</v>
      </c>
      <c r="K25" s="45">
        <f ca="1">OFFSET(TblMili[[#This Row],[Archmages]],-1,0) + OFFSET(TblMili[[#This Row],[Train Arch]],-12,0) - TblMili[[#This Row],[Release Arch]]</f>
        <v>0</v>
      </c>
      <c r="L25" s="150"/>
      <c r="M25" s="97">
        <f ca="1">TblProd[[#This Row],[Networth]]</f>
        <v>6450</v>
      </c>
      <c r="N25" s="150"/>
      <c r="O25" s="267">
        <f ca="1">TblMili[[#This Row],[Unit 1]]*spec_op+TblMili[[#This Row],[Unit 3]]*(elite1_base_op)+TblMili[[#This Row],[Unit 4]]*(elite2_base_op+dark_elf*TblMili[[#This Row],[Spellblade]]+icekin*TblMili[[#This Row],[Ice Elemental]]+woodie*TblMili[[#This Row],[Druid (op)]]+orc*TblMili[[#This Row],[Orc]])+kobold*TblMili[[#This Row],[Overlords]]</f>
        <v>0</v>
      </c>
      <c r="P2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5" s="267">
        <f ca="1">TblMili[[#This Row],[Raw]]*(1+TblMili[[#This Row],[Mods_Off]])</f>
        <v>0</v>
      </c>
      <c r="R2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5" s="267">
        <f ca="1">TblMili[[#This Row],[Non Draft]]+TblMili[[#This Row],[Draftees]]</f>
        <v>880</v>
      </c>
      <c r="T2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269">
        <f ca="1">TblMili[[#This Row],[Non Draft]] * (1 + TblMili[[#This Row],[Mods_Def]])</f>
        <v>450</v>
      </c>
      <c r="V25" s="267">
        <f ca="1">TblMili[[#This Row],[Draft]] * (1 + TblMili[[#This Row],[Mods_Def]])</f>
        <v>880</v>
      </c>
      <c r="W25" s="267">
        <f ca="1">TblConstr[[#This Row],[Land]]</f>
        <v>250</v>
      </c>
      <c r="X25" s="270"/>
      <c r="Y25" s="275">
        <f ca="1">IF(TblMili[[#This Row],[Set]]&lt;&gt;"",TblMili[[#This Row],[Set]],OFFSET(TblMili[[#This Row],[Draftrate]],-1,0))</f>
        <v>0.35</v>
      </c>
      <c r="Z25" s="97">
        <f ca="1">OFFSET(TblMili[[#This Row],[Draftees]],-1,0)+OFFSET(TblPop[[#This Row],[Draft Growth]],-1,0) - SUM(TblMili[[#This Row],[Train Unit 1]:[Train Wiz]]) - TblMili[[#This Row],[Release Draft]] + SUM(TblMili[[#This Row],[Release Unit 1]:[Release Arch]]) -TblExplore[[#This Row],[Draftees (2)]]</f>
        <v>430</v>
      </c>
      <c r="AA25" s="162"/>
      <c r="AB25" s="188">
        <f ca="1">(TblConstr[[#This Row],[Tot Smi]]+TblConstr[[#This Row],[Dest Smi]])/(TblConstr[[#This Row],[Land]]-TblExplore[[#This Row],[Land Bonus]]*20)</f>
        <v>0</v>
      </c>
      <c r="AC25" s="145"/>
      <c r="AD25" s="266">
        <f>TblMili[[#This Row],[Hour]]</f>
        <v>22</v>
      </c>
      <c r="AE25" s="146">
        <f ca="1">TblExplore[[#This Row],[Time]]</f>
        <v>44811.624999999949</v>
      </c>
      <c r="AF25" s="187"/>
      <c r="AG25" s="187"/>
      <c r="AH25" s="187"/>
      <c r="AI25" s="187"/>
      <c r="AJ25" s="187"/>
      <c r="AK25" s="187"/>
      <c r="AL25" s="187"/>
      <c r="AM25" s="150"/>
      <c r="AN25" s="97">
        <f ca="1">TblProd[[#This Row],[Platinum]]</f>
        <v>214191</v>
      </c>
      <c r="AO25" s="97">
        <f ca="1">INDEX(TblProd[[#Headers],[Lumber]]:TblProd[[#This Row],[Ore]],COUNTA(TblProd[[#Headers],[Lumber]]:TblProd[[#This Row],[Lumber]]),MATCH(Military!$AO$2,TblProd[[#Headers],[Lumber]:[Ore]],0))</f>
        <v>0</v>
      </c>
      <c r="AP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97">
        <f ca="1">TblMili[[#This Row],[Train Unit 1]]*TblMili[[#This Row],[OP Ore]]+TblMili[[#This Row],[Train Unit 2]]*TblMili[[#This Row],[DP Ore]]+TblMili[[#This Row],[Train Unit 3]]*TblMili[[#This Row],[E1 Ore]]+TblMili[[#This Row],[Train Unit 4]]*TblMili[[#This Row],[E2 Ore]]</f>
        <v>0</v>
      </c>
      <c r="AR25" s="150">
        <f>TblMili[[#This Row],[Hour]]</f>
        <v>22</v>
      </c>
      <c r="AS25" s="160">
        <f ca="1">TblMili[[#This Row],[Time]]</f>
        <v>44811.624999999949</v>
      </c>
      <c r="AT25" s="97">
        <f ca="1">TblMili[[#This Row],[Draftees]]</f>
        <v>430</v>
      </c>
      <c r="AU25" s="187"/>
      <c r="AV25" s="187"/>
      <c r="AW25" s="187"/>
      <c r="AX25" s="187"/>
      <c r="AY25" s="187"/>
      <c r="AZ25" s="187"/>
      <c r="BA25" s="187"/>
      <c r="BB25" s="187"/>
      <c r="BC25" s="150"/>
      <c r="BD25" s="165">
        <f ca="1">TblConstr[[#This Row],[Tot WG]]/TblConstr[[#This Row],[Land]]</f>
        <v>0</v>
      </c>
      <c r="BE25" s="165">
        <f ca="1">TblConstr[[#This Row],[Tot Hav]]/TblConstr[[#This Row],[Land]]</f>
        <v>0</v>
      </c>
      <c r="BF25" s="97">
        <f ca="1">ROUNDUP((1-MIN(TblMili[[#This Row],[Smithies]]*smithy_bonus,smithy_bonus_cap) + tech_3_5*TblTech[[#This Row],[3-5]] + tech_5_3*TblTech[[#This Row],[5-3]] + tech_5_5*TblTech[[#This Row],[5-5]])*spec_op_plat,0)</f>
        <v>275</v>
      </c>
      <c r="BG25" s="97">
        <f ca="1">ROUNDUP(IF(race="Gnome",1,(1-MIN(TblMili[[#This Row],[Smithies]]*smithy_bonus,smithy_bonus_cap) + tech_3_5*TblTech[[#This Row],[3-5]] + tech_5_3*TblTech[[#This Row],[5-3]] + tech_5_5*TblTech[[#This Row],[5-5]]))*spec_op_ore,0)</f>
        <v>25</v>
      </c>
      <c r="BH25" s="97">
        <f ca="1">ROUNDUP((1-MIN(TblMili[[#This Row],[Smithies]]*smithy_bonus,smithy_bonus_cap) + tech_3_5*TblTech[[#This Row],[3-5]] + tech_5_3*TblTech[[#This Row],[5-3]] + tech_5_5*TblTech[[#This Row],[5-5]])*spec_dp_plat,0)</f>
        <v>275</v>
      </c>
      <c r="BI25" s="97">
        <f ca="1">ROUNDUP(IF(race="Gnome",1,(1-MIN(TblMili[[#This Row],[Smithies]]*smithy_bonus,smithy_bonus_cap) + tech_3_5*TblTech[[#This Row],[3-5]] + tech_5_3*TblTech[[#This Row],[5-3]] + tech_5_5*TblTech[[#This Row],[5-5]]))*spec_dp_ore,0)</f>
        <v>15</v>
      </c>
      <c r="BJ25" s="97">
        <f ca="1">ROUNDUP((1-MIN(TblMili[[#This Row],[Smithies]]*smithy_bonus,smithy_bonus_cap) + tech_3_5*TblTech[[#This Row],[3-5]] + tech_5_3*TblTech[[#This Row],[5-3]] + tech_5_5*TblTech[[#This Row],[5-5]])*elite1_plat,0)</f>
        <v>1000</v>
      </c>
      <c r="BK25" s="97">
        <f ca="1">ROUNDUP(IF(race="Gnome",1,(1-MIN(TblMili[[#This Row],[Smithies]]*smithy_bonus,smithy_bonus_cap) + tech_3_5*TblTech[[#This Row],[3-5]] + tech_5_3*TblTech[[#This Row],[5-3]] + tech_5_5*TblTech[[#This Row],[5-5]]))*elite1_ore,0)</f>
        <v>75</v>
      </c>
      <c r="BL25" s="97">
        <f ca="1">ROUNDUP((1-MIN(TblMili[[#This Row],[Smithies]]*smithy_bonus,smithy_bonus_cap) + tech_3_5*TblTech[[#This Row],[3-5]] + tech_5_3*TblTech[[#This Row],[5-3]] + tech_5_5*TblTech[[#This Row],[5-5]])*elite2_plat,0)</f>
        <v>1200</v>
      </c>
      <c r="BM25" s="97">
        <f ca="1">ROUNDUP(IF(race="Gnome",1,(1-MIN(TblMili[[#This Row],[Smithies]]*smithy_bonus,smithy_bonus_cap) + tech_3_5*TblTech[[#This Row],[3-5]] + tech_5_3*TblTech[[#This Row],[5-3]] + tech_5_5*TblTech[[#This Row],[5-5]]))*elite2_ore,0)</f>
        <v>100</v>
      </c>
      <c r="BN25" s="97">
        <f ca="1">ROUNDUP((1-MIN(ROUND(fh_spy_cost_red*TblMili[[#This Row],[FH''s]],4),fh_spy_cost_cap)+ tech_1_9*TblTech[[#This Row],[1-9]] + tech_9_1*TblTech[[#This Row],[9-1]])*spy_plat,0)</f>
        <v>500</v>
      </c>
      <c r="BO25" s="97">
        <f ca="1">ROUNDUP((1-MIN(ROUND(wg_wiz_cost_bonus*TblMili[[#This Row],[WG''s]],4),wg_wiz_cost_cap) + tech_1_9_2*TblTech[[#This Row],[1-9]] + tech_9_1_2*TblTech[[#This Row],[9-1]])*wizard_plat,0)</f>
        <v>500</v>
      </c>
      <c r="BP25" s="97">
        <f ca="1">ROUNDUP((1-MIN(ROUND(wg_wiz_cost_bonus*TblMili[[#This Row],[WG''s]],4),wg_wiz_cost_cap) + tech_1_9_2*TblTech[[#This Row],[1-9]] + tech_9_1_2*TblTech[[#This Row],[9-1]])*archmage_plat,0)</f>
        <v>1000</v>
      </c>
      <c r="BQ25" s="150"/>
      <c r="BR25" s="165">
        <f ca="1">TblConstr[[#This Row],[Homeland]]/TblConstr[[#This Row],[Land]]</f>
        <v>0.44</v>
      </c>
      <c r="BS25" s="165">
        <f ca="1">TblMili[[#This Row],[WG''s]]</f>
        <v>0</v>
      </c>
      <c r="BT25" s="271">
        <f ca="1">IF(mystic_cap="none",TblMili[[#This Row],[Hill]]/mystic_bonus,MIN(mystic_cap,TblMili[[#This Row],[Hill]]/mystic_bonus))</f>
        <v>2.1999999999999997</v>
      </c>
      <c r="BU25" s="271">
        <f ca="1">IF(druid_op_cap="none",TblMili[[#This Row],[Hill]]/druid_op_bonus,MIN(druid_op_cap,TblMili[[#This Row],[Hill]]/druid_op_bonus))</f>
        <v>2.1999999999999997</v>
      </c>
      <c r="BV25" s="271">
        <f ca="1">IF(druid_dp_cap="none",TblMili[[#This Row],[Hill]]/druid_dp_bonus,MIN(druid_dp_cap,TblMili[[#This Row],[Hill]]/druid_dp_bonus))</f>
        <v>2.1999999999999997</v>
      </c>
      <c r="BW25" s="271">
        <f ca="1">MIN(dryad_cap,TblMili[[#This Row],[Hill]]/dryad_bonus)</f>
        <v>2.1999999999999997</v>
      </c>
      <c r="BX25" s="271">
        <f ca="1">MIN(rocka_cap,TblMili[[#This Row],[Hill]]/rocka_bonus)</f>
        <v>2</v>
      </c>
      <c r="BY25" s="271">
        <f ca="1">MIN(adept_op_cap,TblMili[[#This Row],[WG]]/adept_op_bonus)</f>
        <v>0</v>
      </c>
      <c r="BZ25" s="271">
        <f ca="1">MIN(adept_dp_cap,TblMili[[#This Row],[WG]]/adept_dp_bonus)</f>
        <v>0</v>
      </c>
      <c r="CA25" s="97">
        <f ca="1">MIN(TblMili[[#This Row],[Unit 3]],TblMili[[#This Row],[Unit 4]])*2</f>
        <v>0</v>
      </c>
      <c r="CB25" s="97">
        <f ca="1">MIN(TblMili[[#This Row],[Unit 1]],TblMili[[#This Row],[Unit 4]])*2</f>
        <v>0</v>
      </c>
      <c r="CC25" s="271">
        <f ca="1">MIN(frost_mage_cap,TblMili[[#This Row],[Hill]]/frost_mage_bonus)</f>
        <v>2.1999999999999997</v>
      </c>
      <c r="CD25" s="45">
        <f ca="1">MIN(ice_elem_cap,TblMili[[#This Row],[Raw (2)]]*ice_elem_bonus)</f>
        <v>0.1</v>
      </c>
      <c r="CE25" s="271">
        <f t="shared" si="0"/>
        <v>1</v>
      </c>
      <c r="CF25" s="271">
        <f ca="1">MIN(nox_nightshade_cap,TblConstr[[#This Row],[Homeland]]/TblConstr[[#This Row],[Land]]/nox_nightshade_swamp_bonus)</f>
        <v>3</v>
      </c>
      <c r="CG25" s="272" t="s">
        <v>7</v>
      </c>
      <c r="CH25" s="272" t="b">
        <f>CG25=secondary_resource</f>
        <v>0</v>
      </c>
      <c r="CI25" s="272"/>
      <c r="CJ25" s="271">
        <f ca="1">MIN(6,TblMili[[#This Row],[Mystic]]+Races!$F$19)*1.8 +  IF(TblMili[[#This Row],[Mystic]]+Races!$F$19&gt;6,(TblMili[[#This Row],[Mystic]]+Races!$F$19-6)*0.2,0) - Races!$I$19</f>
        <v>3.6399999999999997</v>
      </c>
      <c r="CK2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97">
        <f ca="1">TblMili[[#This Row],[Mystic bonus]]*TblMili[[#This Row],[Unit 3]]+TblMili[[#This Row],[Druid bonus]]*TblMili[[#This Row],[Unit 4]]</f>
        <v>0</v>
      </c>
      <c r="CM25" s="163">
        <f ca="1">MIN(6,TblMili[[#This Row],[Dryad]]+Races!$F$35)*1.8 +  IF(TblMili[[#This Row],[Dryad]]+Races!$F$35&gt;6,(TblMili[[#This Row],[Dryad]]+Races!$F$35-6)*0.2,0) - Races!$I$19</f>
        <v>2.1599999999999993</v>
      </c>
      <c r="CN25" s="97">
        <f ca="1">sylvan*(TblMili[[#This Row],[Mystic bonus]]*TblMili[[#This Row],[Unit 3]])</f>
        <v>0</v>
      </c>
      <c r="CO25" s="163">
        <f ca="1">1.8 * MIN(MAX(Races!$E$27,TblMili[[#This Row],[Rockapult]]+Races!$F$27),6)  +  0.45 * MIN(MIN(Races!$E$27,TblMili[[#This Row],[Rockapult]]+Races!$F$27),6)  +  0.2 * ( MAX(Races!$E$27-6,0) + MAX(TblMili[[#This Row],[Rockapult]]+Races!$F$27-6,0) )  -  Races!$I$20</f>
        <v>5.8500000000000005</v>
      </c>
      <c r="CP25" s="97">
        <f ca="1">gnome*(TblMili[[#This Row],[Rockapult bonus]]*TblMili[[#This Row],[Unit 3]])</f>
        <v>0</v>
      </c>
      <c r="CQ25" s="163">
        <f ca="1">1.8 * MIN(MAX(TblMili[[#This Row],[Spellblade]]+Races!$E$47,TblMili[[#This Row],[Adept-DP]]+Races!$F$47),6)  +  0.45 * MIN(MIN(TblMili[[#This Row],[Spellblade]]+Races!$E$47,TblMili[[#This Row],[Adept-DP]]+Races!$F$47),6)  +  0.2 * ( MAX(TblMili[[#This Row],[Spellblade]]+Races!$E$47-6,0) + MAX(TblMili[[#This Row],[Adept-DP]]+Races!$F$47-6,0) )  -  Races!$I$47</f>
        <v>0</v>
      </c>
      <c r="CR25" s="97">
        <f ca="1">dark_elf*(TblMili[[#This Row],[Adept bonus]]*TblMili[[#This Row],[Unit 3]])</f>
        <v>0</v>
      </c>
      <c r="CS25" s="163">
        <f ca="1">1.8 * MIN(MAX(TblMili[[#This Row],[Frost Mage]]+Races!$F$71,Races!$E$71),6)  +  0.45 * MIN(MIN(TblMili[[#This Row],[Frost Mage]]+Races!$F$71,Races!$E$71),6)  +  0.2 * ( MAX(TblMili[[#This Row],[Frost Mage]]+Races!$F$71-6,0) + MAX(Races!$E$71-6,0) )  -  Races!$I$71</f>
        <v>3.9599999999999991</v>
      </c>
      <c r="CT25" s="163">
        <f ca="1">1.8 * MIN(MAX(TblMili[[#This Row],[Ice Elemental]]+Races!$E$71,Races!$F$71),6)  +  0.45 * MIN(MIN(TblMili[[#This Row],[Ice Elemental]]+Races!$E$71,Races!$F$71),6)  +  0.2 * ( MAX(TblMili[[#This Row],[Ice Elemental]]+Races!$E$71-6,0) + MAX(Races!$F$71-6,0) )  -  Races!$I$71</f>
        <v>0.17999999999999972</v>
      </c>
      <c r="CU25" s="97">
        <f ca="1">TblMili[[#This Row],[Frost Mage bonus]]*TblMili[[#This Row],[Unit 3]]+TblMili[[#This Row],[Ice Elemental bonus]]*TblMili[[#This Row],[Unit 4]]</f>
        <v>0</v>
      </c>
      <c r="CV25" s="273"/>
      <c r="CW25" s="151">
        <f ca="1">MIN(SUM(TblConstr[[#This Row],[Plain]:[Water]])/TblMili[[#This Row],[Land]]/favorable_terrain_bonus/100,favorable_terrain_max)</f>
        <v>0.1</v>
      </c>
      <c r="CX25" s="273"/>
      <c r="CY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50"/>
      <c r="DA25" s="274">
        <f ca="1">(TblMili[[#This Row],[Wizards]]+2*TblMili[[#This Row],[Archmages]])/TblConstr[[#This Row],[Land]]</f>
        <v>0.1</v>
      </c>
      <c r="DB25" s="274">
        <f ca="1">TblMili[[#This Row],[Raw (2)]]*(1+race_wizard_strength+IF(TblMili[[#This Row],[Hour]]&gt;72,tech_magical_weaponry_wiz*TblTech[[#This Row],[3-5]],0))</f>
        <v>0.1</v>
      </c>
    </row>
    <row r="26" spans="1:106" x14ac:dyDescent="0.2">
      <c r="A26" s="145">
        <f>TblRezone[[#This Row],[Hour]]</f>
        <v>23</v>
      </c>
      <c r="B26" s="266">
        <f ca="1">SUM(TblMili[[#This Row],[Unit 1]:[Archmages]])+SUM(OFFSET(TblMili[[#This Row],[Train Unit 1]],-8,0):TblMili[[#This Row],[Train Unit 2]]) + SUM(OFFSET(TblMili[[#This Row],[Train Unit 3]],-11,0):TblMili[[#This Row],[Train Arch]]) + TblMili[[#This Row],[Draftees]]</f>
        <v>647</v>
      </c>
      <c r="C26" s="165">
        <f ca="1">TblPop[[#This Row],[Military%]]</f>
        <v>0.27438507209499574</v>
      </c>
      <c r="D26" s="150"/>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f>
        <v>25</v>
      </c>
      <c r="J26" s="45">
        <f ca="1">OFFSET(TblMili[[#This Row],[Wizards]],-1,0) + OFFSET(TblMili[[#This Row],[Train Wiz]],-12,0) - TblMili[[#This Row],[Release Wizards]]-TblMili[[#This Row],[Train Arch]]</f>
        <v>25</v>
      </c>
      <c r="K26" s="45">
        <f ca="1">OFFSET(TblMili[[#This Row],[Archmages]],-1,0) + OFFSET(TblMili[[#This Row],[Train Arch]],-12,0) - TblMili[[#This Row],[Release Arch]]</f>
        <v>0</v>
      </c>
      <c r="L26" s="150"/>
      <c r="M26" s="97">
        <f ca="1">TblProd[[#This Row],[Networth]]</f>
        <v>6450</v>
      </c>
      <c r="N26" s="150"/>
      <c r="O26" s="267">
        <f ca="1">TblMili[[#This Row],[Unit 1]]*spec_op+TblMili[[#This Row],[Unit 3]]*(elite1_base_op)+TblMili[[#This Row],[Unit 4]]*(elite2_base_op+dark_elf*TblMili[[#This Row],[Spellblade]]+icekin*TblMili[[#This Row],[Ice Elemental]]+woodie*TblMili[[#This Row],[Druid (op)]]+orc*TblMili[[#This Row],[Orc]])+kobold*TblMili[[#This Row],[Overlords]]</f>
        <v>0</v>
      </c>
      <c r="P2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6" s="267">
        <f ca="1">TblMili[[#This Row],[Raw]]*(1+TblMili[[#This Row],[Mods_Off]])</f>
        <v>0</v>
      </c>
      <c r="R2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6" s="267">
        <f ca="1">TblMili[[#This Row],[Non Draft]]+TblMili[[#This Row],[Draftees]]</f>
        <v>897</v>
      </c>
      <c r="T2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269">
        <f ca="1">TblMili[[#This Row],[Non Draft]] * (1 + TblMili[[#This Row],[Mods_Def]])</f>
        <v>450</v>
      </c>
      <c r="V26" s="267">
        <f ca="1">TblMili[[#This Row],[Draft]] * (1 + TblMili[[#This Row],[Mods_Def]])</f>
        <v>897</v>
      </c>
      <c r="W26" s="267">
        <f ca="1">TblConstr[[#This Row],[Land]]</f>
        <v>250</v>
      </c>
      <c r="X26" s="270"/>
      <c r="Y26" s="275">
        <f ca="1">IF(TblMili[[#This Row],[Set]]&lt;&gt;"",TblMili[[#This Row],[Set]],OFFSET(TblMili[[#This Row],[Draftrate]],-1,0))</f>
        <v>0.35</v>
      </c>
      <c r="Z26" s="97">
        <f ca="1">OFFSET(TblMili[[#This Row],[Draftees]],-1,0)+OFFSET(TblPop[[#This Row],[Draft Growth]],-1,0) - SUM(TblMili[[#This Row],[Train Unit 1]:[Train Wiz]]) - TblMili[[#This Row],[Release Draft]] + SUM(TblMili[[#This Row],[Release Unit 1]:[Release Arch]]) -TblExplore[[#This Row],[Draftees (2)]]</f>
        <v>447</v>
      </c>
      <c r="AA26" s="162"/>
      <c r="AB26" s="188">
        <f ca="1">(TblConstr[[#This Row],[Tot Smi]]+TblConstr[[#This Row],[Dest Smi]])/(TblConstr[[#This Row],[Land]]-TblExplore[[#This Row],[Land Bonus]]*20)</f>
        <v>0</v>
      </c>
      <c r="AC26" s="145"/>
      <c r="AD26" s="266">
        <f>TblMili[[#This Row],[Hour]]</f>
        <v>23</v>
      </c>
      <c r="AE26" s="146">
        <f ca="1">TblExplore[[#This Row],[Time]]</f>
        <v>44811.666666666613</v>
      </c>
      <c r="AF26" s="187"/>
      <c r="AG26" s="187"/>
      <c r="AH26" s="187"/>
      <c r="AI26" s="187"/>
      <c r="AJ26" s="187"/>
      <c r="AK26" s="187"/>
      <c r="AL26" s="187"/>
      <c r="AM26" s="150"/>
      <c r="AN26" s="97">
        <f ca="1">TblProd[[#This Row],[Platinum]]</f>
        <v>219861</v>
      </c>
      <c r="AO26" s="97">
        <f ca="1">INDEX(TblProd[[#Headers],[Lumber]]:TblProd[[#This Row],[Ore]],COUNTA(TblProd[[#Headers],[Lumber]]:TblProd[[#This Row],[Lumber]]),MATCH(Military!$AO$2,TblProd[[#Headers],[Lumber]:[Ore]],0))</f>
        <v>0</v>
      </c>
      <c r="AP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97">
        <f ca="1">TblMili[[#This Row],[Train Unit 1]]*TblMili[[#This Row],[OP Ore]]+TblMili[[#This Row],[Train Unit 2]]*TblMili[[#This Row],[DP Ore]]+TblMili[[#This Row],[Train Unit 3]]*TblMili[[#This Row],[E1 Ore]]+TblMili[[#This Row],[Train Unit 4]]*TblMili[[#This Row],[E2 Ore]]</f>
        <v>0</v>
      </c>
      <c r="AR26" s="150">
        <f>TblMili[[#This Row],[Hour]]</f>
        <v>23</v>
      </c>
      <c r="AS26" s="160">
        <f ca="1">TblMili[[#This Row],[Time]]</f>
        <v>44811.666666666613</v>
      </c>
      <c r="AT26" s="97">
        <f ca="1">TblMili[[#This Row],[Draftees]]</f>
        <v>447</v>
      </c>
      <c r="AU26" s="187"/>
      <c r="AV26" s="187"/>
      <c r="AW26" s="187"/>
      <c r="AX26" s="187"/>
      <c r="AY26" s="187"/>
      <c r="AZ26" s="187"/>
      <c r="BA26" s="187"/>
      <c r="BB26" s="187"/>
      <c r="BC26" s="150"/>
      <c r="BD26" s="165">
        <f ca="1">TblConstr[[#This Row],[Tot WG]]/TblConstr[[#This Row],[Land]]</f>
        <v>0</v>
      </c>
      <c r="BE26" s="165">
        <f ca="1">TblConstr[[#This Row],[Tot Hav]]/TblConstr[[#This Row],[Land]]</f>
        <v>0</v>
      </c>
      <c r="BF26" s="97">
        <f ca="1">ROUNDUP((1-MIN(TblMili[[#This Row],[Smithies]]*smithy_bonus,smithy_bonus_cap) + tech_3_5*TblTech[[#This Row],[3-5]] + tech_5_3*TblTech[[#This Row],[5-3]] + tech_5_5*TblTech[[#This Row],[5-5]])*spec_op_plat,0)</f>
        <v>275</v>
      </c>
      <c r="BG26" s="97">
        <f ca="1">ROUNDUP(IF(race="Gnome",1,(1-MIN(TblMili[[#This Row],[Smithies]]*smithy_bonus,smithy_bonus_cap) + tech_3_5*TblTech[[#This Row],[3-5]] + tech_5_3*TblTech[[#This Row],[5-3]] + tech_5_5*TblTech[[#This Row],[5-5]]))*spec_op_ore,0)</f>
        <v>25</v>
      </c>
      <c r="BH26" s="97">
        <f ca="1">ROUNDUP((1-MIN(TblMili[[#This Row],[Smithies]]*smithy_bonus,smithy_bonus_cap) + tech_3_5*TblTech[[#This Row],[3-5]] + tech_5_3*TblTech[[#This Row],[5-3]] + tech_5_5*TblTech[[#This Row],[5-5]])*spec_dp_plat,0)</f>
        <v>275</v>
      </c>
      <c r="BI26" s="97">
        <f ca="1">ROUNDUP(IF(race="Gnome",1,(1-MIN(TblMili[[#This Row],[Smithies]]*smithy_bonus,smithy_bonus_cap) + tech_3_5*TblTech[[#This Row],[3-5]] + tech_5_3*TblTech[[#This Row],[5-3]] + tech_5_5*TblTech[[#This Row],[5-5]]))*spec_dp_ore,0)</f>
        <v>15</v>
      </c>
      <c r="BJ26" s="97">
        <f ca="1">ROUNDUP((1-MIN(TblMili[[#This Row],[Smithies]]*smithy_bonus,smithy_bonus_cap) + tech_3_5*TblTech[[#This Row],[3-5]] + tech_5_3*TblTech[[#This Row],[5-3]] + tech_5_5*TblTech[[#This Row],[5-5]])*elite1_plat,0)</f>
        <v>1000</v>
      </c>
      <c r="BK26" s="97">
        <f ca="1">ROUNDUP(IF(race="Gnome",1,(1-MIN(TblMili[[#This Row],[Smithies]]*smithy_bonus,smithy_bonus_cap) + tech_3_5*TblTech[[#This Row],[3-5]] + tech_5_3*TblTech[[#This Row],[5-3]] + tech_5_5*TblTech[[#This Row],[5-5]]))*elite1_ore,0)</f>
        <v>75</v>
      </c>
      <c r="BL26" s="97">
        <f ca="1">ROUNDUP((1-MIN(TblMili[[#This Row],[Smithies]]*smithy_bonus,smithy_bonus_cap) + tech_3_5*TblTech[[#This Row],[3-5]] + tech_5_3*TblTech[[#This Row],[5-3]] + tech_5_5*TblTech[[#This Row],[5-5]])*elite2_plat,0)</f>
        <v>1200</v>
      </c>
      <c r="BM26" s="97">
        <f ca="1">ROUNDUP(IF(race="Gnome",1,(1-MIN(TblMili[[#This Row],[Smithies]]*smithy_bonus,smithy_bonus_cap) + tech_3_5*TblTech[[#This Row],[3-5]] + tech_5_3*TblTech[[#This Row],[5-3]] + tech_5_5*TblTech[[#This Row],[5-5]]))*elite2_ore,0)</f>
        <v>100</v>
      </c>
      <c r="BN26" s="97">
        <f ca="1">ROUNDUP((1-MIN(ROUND(fh_spy_cost_red*TblMili[[#This Row],[FH''s]],4),fh_spy_cost_cap)+ tech_1_9*TblTech[[#This Row],[1-9]] + tech_9_1*TblTech[[#This Row],[9-1]])*spy_plat,0)</f>
        <v>500</v>
      </c>
      <c r="BO26" s="97">
        <f ca="1">ROUNDUP((1-MIN(ROUND(wg_wiz_cost_bonus*TblMili[[#This Row],[WG''s]],4),wg_wiz_cost_cap) + tech_1_9_2*TblTech[[#This Row],[1-9]] + tech_9_1_2*TblTech[[#This Row],[9-1]])*wizard_plat,0)</f>
        <v>500</v>
      </c>
      <c r="BP26" s="97">
        <f ca="1">ROUNDUP((1-MIN(ROUND(wg_wiz_cost_bonus*TblMili[[#This Row],[WG''s]],4),wg_wiz_cost_cap) + tech_1_9_2*TblTech[[#This Row],[1-9]] + tech_9_1_2*TblTech[[#This Row],[9-1]])*archmage_plat,0)</f>
        <v>1000</v>
      </c>
      <c r="BQ26" s="150"/>
      <c r="BR26" s="165">
        <f ca="1">TblConstr[[#This Row],[Homeland]]/TblConstr[[#This Row],[Land]]</f>
        <v>0.44</v>
      </c>
      <c r="BS26" s="165">
        <f ca="1">TblMili[[#This Row],[WG''s]]</f>
        <v>0</v>
      </c>
      <c r="BT26" s="271">
        <f ca="1">IF(mystic_cap="none",TblMili[[#This Row],[Hill]]/mystic_bonus,MIN(mystic_cap,TblMili[[#This Row],[Hill]]/mystic_bonus))</f>
        <v>2.1999999999999997</v>
      </c>
      <c r="BU26" s="271">
        <f ca="1">IF(druid_op_cap="none",TblMili[[#This Row],[Hill]]/druid_op_bonus,MIN(druid_op_cap,TblMili[[#This Row],[Hill]]/druid_op_bonus))</f>
        <v>2.1999999999999997</v>
      </c>
      <c r="BV26" s="271">
        <f ca="1">IF(druid_dp_cap="none",TblMili[[#This Row],[Hill]]/druid_dp_bonus,MIN(druid_dp_cap,TblMili[[#This Row],[Hill]]/druid_dp_bonus))</f>
        <v>2.1999999999999997</v>
      </c>
      <c r="BW26" s="271">
        <f ca="1">MIN(dryad_cap,TblMili[[#This Row],[Hill]]/dryad_bonus)</f>
        <v>2.1999999999999997</v>
      </c>
      <c r="BX26" s="271">
        <f ca="1">MIN(rocka_cap,TblMili[[#This Row],[Hill]]/rocka_bonus)</f>
        <v>2</v>
      </c>
      <c r="BY26" s="271">
        <f ca="1">MIN(adept_op_cap,TblMili[[#This Row],[WG]]/adept_op_bonus)</f>
        <v>0</v>
      </c>
      <c r="BZ26" s="271">
        <f ca="1">MIN(adept_dp_cap,TblMili[[#This Row],[WG]]/adept_dp_bonus)</f>
        <v>0</v>
      </c>
      <c r="CA26" s="97">
        <f ca="1">MIN(TblMili[[#This Row],[Unit 3]],TblMili[[#This Row],[Unit 4]])*2</f>
        <v>0</v>
      </c>
      <c r="CB26" s="97">
        <f ca="1">MIN(TblMili[[#This Row],[Unit 1]],TblMili[[#This Row],[Unit 4]])*2</f>
        <v>0</v>
      </c>
      <c r="CC26" s="271">
        <f ca="1">MIN(frost_mage_cap,TblMili[[#This Row],[Hill]]/frost_mage_bonus)</f>
        <v>2.1999999999999997</v>
      </c>
      <c r="CD26" s="45">
        <f ca="1">MIN(ice_elem_cap,TblMili[[#This Row],[Raw (2)]]*ice_elem_bonus)</f>
        <v>0.1</v>
      </c>
      <c r="CE26" s="271">
        <f t="shared" si="0"/>
        <v>1</v>
      </c>
      <c r="CF26" s="271">
        <f ca="1">MIN(nox_nightshade_cap,TblConstr[[#This Row],[Homeland]]/TblConstr[[#This Row],[Land]]/nox_nightshade_swamp_bonus)</f>
        <v>3</v>
      </c>
      <c r="CG26" s="272" t="s">
        <v>12</v>
      </c>
      <c r="CH26" s="272" t="b">
        <f>CG26=secondary_resource</f>
        <v>0</v>
      </c>
      <c r="CI26" s="272"/>
      <c r="CJ26" s="271">
        <f ca="1">MIN(6,TblMili[[#This Row],[Mystic]]+Races!$F$19)*1.8 +  IF(TblMili[[#This Row],[Mystic]]+Races!$F$19&gt;6,(TblMili[[#This Row],[Mystic]]+Races!$F$19-6)*0.2,0) - Races!$I$19</f>
        <v>3.6399999999999997</v>
      </c>
      <c r="CK2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97">
        <f ca="1">TblMili[[#This Row],[Mystic bonus]]*TblMili[[#This Row],[Unit 3]]+TblMili[[#This Row],[Druid bonus]]*TblMili[[#This Row],[Unit 4]]</f>
        <v>0</v>
      </c>
      <c r="CM26" s="163">
        <f ca="1">MIN(6,TblMili[[#This Row],[Dryad]]+Races!$F$35)*1.8 +  IF(TblMili[[#This Row],[Dryad]]+Races!$F$35&gt;6,(TblMili[[#This Row],[Dryad]]+Races!$F$35-6)*0.2,0) - Races!$I$19</f>
        <v>2.1599999999999993</v>
      </c>
      <c r="CN26" s="97">
        <f ca="1">sylvan*(TblMili[[#This Row],[Mystic bonus]]*TblMili[[#This Row],[Unit 3]])</f>
        <v>0</v>
      </c>
      <c r="CO26" s="163">
        <f ca="1">1.8 * MIN(MAX(Races!$E$27,TblMili[[#This Row],[Rockapult]]+Races!$F$27),6)  +  0.45 * MIN(MIN(Races!$E$27,TblMili[[#This Row],[Rockapult]]+Races!$F$27),6)  +  0.2 * ( MAX(Races!$E$27-6,0) + MAX(TblMili[[#This Row],[Rockapult]]+Races!$F$27-6,0) )  -  Races!$I$20</f>
        <v>5.8500000000000005</v>
      </c>
      <c r="CP26" s="97">
        <f ca="1">gnome*(TblMili[[#This Row],[Rockapult bonus]]*TblMili[[#This Row],[Unit 3]])</f>
        <v>0</v>
      </c>
      <c r="CQ26" s="163">
        <f ca="1">1.8 * MIN(MAX(TblMili[[#This Row],[Spellblade]]+Races!$E$47,TblMili[[#This Row],[Adept-DP]]+Races!$F$47),6)  +  0.45 * MIN(MIN(TblMili[[#This Row],[Spellblade]]+Races!$E$47,TblMili[[#This Row],[Adept-DP]]+Races!$F$47),6)  +  0.2 * ( MAX(TblMili[[#This Row],[Spellblade]]+Races!$E$47-6,0) + MAX(TblMili[[#This Row],[Adept-DP]]+Races!$F$47-6,0) )  -  Races!$I$47</f>
        <v>0</v>
      </c>
      <c r="CR26" s="97">
        <f ca="1">dark_elf*(TblMili[[#This Row],[Adept bonus]]*TblMili[[#This Row],[Unit 3]])</f>
        <v>0</v>
      </c>
      <c r="CS26" s="163">
        <f ca="1">1.8 * MIN(MAX(TblMili[[#This Row],[Frost Mage]]+Races!$F$71,Races!$E$71),6)  +  0.45 * MIN(MIN(TblMili[[#This Row],[Frost Mage]]+Races!$F$71,Races!$E$71),6)  +  0.2 * ( MAX(TblMili[[#This Row],[Frost Mage]]+Races!$F$71-6,0) + MAX(Races!$E$71-6,0) )  -  Races!$I$71</f>
        <v>3.9599999999999991</v>
      </c>
      <c r="CT26" s="163">
        <f ca="1">1.8 * MIN(MAX(TblMili[[#This Row],[Ice Elemental]]+Races!$E$71,Races!$F$71),6)  +  0.45 * MIN(MIN(TblMili[[#This Row],[Ice Elemental]]+Races!$E$71,Races!$F$71),6)  +  0.2 * ( MAX(TblMili[[#This Row],[Ice Elemental]]+Races!$E$71-6,0) + MAX(Races!$F$71-6,0) )  -  Races!$I$71</f>
        <v>0.17999999999999972</v>
      </c>
      <c r="CU26" s="97">
        <f ca="1">TblMili[[#This Row],[Frost Mage bonus]]*TblMili[[#This Row],[Unit 3]]+TblMili[[#This Row],[Ice Elemental bonus]]*TblMili[[#This Row],[Unit 4]]</f>
        <v>0</v>
      </c>
      <c r="CV26" s="273"/>
      <c r="CW26" s="151">
        <f ca="1">MIN(SUM(TblConstr[[#This Row],[Plain]:[Water]])/TblMili[[#This Row],[Land]]/favorable_terrain_bonus/100,favorable_terrain_max)</f>
        <v>0.1</v>
      </c>
      <c r="CX26" s="273"/>
      <c r="CY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50"/>
      <c r="DA26" s="274">
        <f ca="1">(TblMili[[#This Row],[Wizards]]+2*TblMili[[#This Row],[Archmages]])/TblConstr[[#This Row],[Land]]</f>
        <v>0.1</v>
      </c>
      <c r="DB26" s="274">
        <f ca="1">TblMili[[#This Row],[Raw (2)]]*(1+race_wizard_strength+IF(TblMili[[#This Row],[Hour]]&gt;72,tech_magical_weaponry_wiz*TblTech[[#This Row],[3-5]],0))</f>
        <v>0.1</v>
      </c>
    </row>
    <row r="27" spans="1:106" x14ac:dyDescent="0.2">
      <c r="A27" s="145">
        <f>TblRezone[[#This Row],[Hour]]</f>
        <v>24</v>
      </c>
      <c r="B27" s="266">
        <f ca="1">SUM(TblMili[[#This Row],[Unit 1]:[Archmages]])+SUM(OFFSET(TblMili[[#This Row],[Train Unit 1]],-8,0):TblMili[[#This Row],[Train Unit 2]]) + SUM(OFFSET(TblMili[[#This Row],[Train Unit 3]],-11,0):TblMili[[#This Row],[Train Arch]]) + TblMili[[#This Row],[Draftees]]</f>
        <v>664</v>
      </c>
      <c r="C27" s="165">
        <f ca="1">TblPop[[#This Row],[Military%]]</f>
        <v>0.28159457167090757</v>
      </c>
      <c r="D27" s="150"/>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f>
        <v>25</v>
      </c>
      <c r="J27" s="45">
        <f ca="1">OFFSET(TblMili[[#This Row],[Wizards]],-1,0) + OFFSET(TblMili[[#This Row],[Train Wiz]],-12,0) - TblMili[[#This Row],[Release Wizards]]-TblMili[[#This Row],[Train Arch]]</f>
        <v>25</v>
      </c>
      <c r="K27" s="45">
        <f ca="1">OFFSET(TblMili[[#This Row],[Archmages]],-1,0) + OFFSET(TblMili[[#This Row],[Train Arch]],-12,0) - TblMili[[#This Row],[Release Arch]]</f>
        <v>0</v>
      </c>
      <c r="L27" s="150"/>
      <c r="M27" s="97">
        <f ca="1">TblProd[[#This Row],[Networth]]</f>
        <v>6450</v>
      </c>
      <c r="N27" s="150"/>
      <c r="O27" s="267">
        <f ca="1">TblMili[[#This Row],[Unit 1]]*spec_op+TblMili[[#This Row],[Unit 3]]*(elite1_base_op)+TblMili[[#This Row],[Unit 4]]*(elite2_base_op+dark_elf*TblMili[[#This Row],[Spellblade]]+icekin*TblMili[[#This Row],[Ice Elemental]]+woodie*TblMili[[#This Row],[Druid (op)]]+orc*TblMili[[#This Row],[Orc]])+kobold*TblMili[[#This Row],[Overlords]]</f>
        <v>0</v>
      </c>
      <c r="P2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7" s="267">
        <f ca="1">TblMili[[#This Row],[Raw]]*(1+TblMili[[#This Row],[Mods_Off]])</f>
        <v>0</v>
      </c>
      <c r="R2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7" s="267">
        <f ca="1">TblMili[[#This Row],[Non Draft]]+TblMili[[#This Row],[Draftees]]</f>
        <v>914</v>
      </c>
      <c r="T2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269">
        <f ca="1">TblMili[[#This Row],[Non Draft]] * (1 + TblMili[[#This Row],[Mods_Def]])</f>
        <v>450</v>
      </c>
      <c r="V27" s="267">
        <f ca="1">TblMili[[#This Row],[Draft]] * (1 + TblMili[[#This Row],[Mods_Def]])</f>
        <v>914</v>
      </c>
      <c r="W27" s="267">
        <f ca="1">TblConstr[[#This Row],[Land]]</f>
        <v>250</v>
      </c>
      <c r="X27" s="270"/>
      <c r="Y27" s="275">
        <f ca="1">IF(TblMili[[#This Row],[Set]]&lt;&gt;"",TblMili[[#This Row],[Set]],OFFSET(TblMili[[#This Row],[Draftrate]],-1,0))</f>
        <v>0.35</v>
      </c>
      <c r="Z27" s="97">
        <f ca="1">OFFSET(TblMili[[#This Row],[Draftees]],-1,0)+OFFSET(TblPop[[#This Row],[Draft Growth]],-1,0) - SUM(TblMili[[#This Row],[Train Unit 1]:[Train Wiz]]) - TblMili[[#This Row],[Release Draft]] + SUM(TblMili[[#This Row],[Release Unit 1]:[Release Arch]]) -TblExplore[[#This Row],[Draftees (2)]]</f>
        <v>464</v>
      </c>
      <c r="AA27" s="162"/>
      <c r="AB27" s="188">
        <f ca="1">(TblConstr[[#This Row],[Tot Smi]]+TblConstr[[#This Row],[Dest Smi]])/(TblConstr[[#This Row],[Land]]-TblExplore[[#This Row],[Land Bonus]]*20)</f>
        <v>0</v>
      </c>
      <c r="AC27" s="145"/>
      <c r="AD27" s="266">
        <f>TblMili[[#This Row],[Hour]]</f>
        <v>24</v>
      </c>
      <c r="AE27" s="146">
        <f ca="1">TblExplore[[#This Row],[Time]]</f>
        <v>44811.708333333278</v>
      </c>
      <c r="AF27" s="187"/>
      <c r="AG27" s="187"/>
      <c r="AH27" s="187"/>
      <c r="AI27" s="187"/>
      <c r="AJ27" s="187"/>
      <c r="AK27" s="187"/>
      <c r="AL27" s="187"/>
      <c r="AM27" s="150"/>
      <c r="AN27" s="97">
        <f ca="1">TblProd[[#This Row],[Platinum]]</f>
        <v>225531</v>
      </c>
      <c r="AO27" s="97">
        <f ca="1">INDEX(TblProd[[#Headers],[Lumber]]:TblProd[[#This Row],[Ore]],COUNTA(TblProd[[#Headers],[Lumber]]:TblProd[[#This Row],[Lumber]]),MATCH(Military!$AO$2,TblProd[[#Headers],[Lumber]:[Ore]],0))</f>
        <v>0</v>
      </c>
      <c r="AP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97">
        <f ca="1">TblMili[[#This Row],[Train Unit 1]]*TblMili[[#This Row],[OP Ore]]+TblMili[[#This Row],[Train Unit 2]]*TblMili[[#This Row],[DP Ore]]+TblMili[[#This Row],[Train Unit 3]]*TblMili[[#This Row],[E1 Ore]]+TblMili[[#This Row],[Train Unit 4]]*TblMili[[#This Row],[E2 Ore]]</f>
        <v>0</v>
      </c>
      <c r="AR27" s="150">
        <f>TblMili[[#This Row],[Hour]]</f>
        <v>24</v>
      </c>
      <c r="AS27" s="160">
        <f ca="1">TblMili[[#This Row],[Time]]</f>
        <v>44811.708333333278</v>
      </c>
      <c r="AT27" s="97">
        <f ca="1">TblMili[[#This Row],[Draftees]]</f>
        <v>464</v>
      </c>
      <c r="AU27" s="187"/>
      <c r="AV27" s="187"/>
      <c r="AW27" s="187"/>
      <c r="AX27" s="187"/>
      <c r="AY27" s="187"/>
      <c r="AZ27" s="187"/>
      <c r="BA27" s="187"/>
      <c r="BB27" s="187"/>
      <c r="BC27" s="150"/>
      <c r="BD27" s="165">
        <f ca="1">TblConstr[[#This Row],[Tot WG]]/TblConstr[[#This Row],[Land]]</f>
        <v>0</v>
      </c>
      <c r="BE27" s="165">
        <f ca="1">TblConstr[[#This Row],[Tot Hav]]/TblConstr[[#This Row],[Land]]</f>
        <v>0</v>
      </c>
      <c r="BF27" s="97">
        <f ca="1">ROUNDUP((1-MIN(TblMili[[#This Row],[Smithies]]*smithy_bonus,smithy_bonus_cap) + tech_3_5*TblTech[[#This Row],[3-5]] + tech_5_3*TblTech[[#This Row],[5-3]] + tech_5_5*TblTech[[#This Row],[5-5]])*spec_op_plat,0)</f>
        <v>275</v>
      </c>
      <c r="BG27" s="97">
        <f ca="1">ROUNDUP(IF(race="Gnome",1,(1-MIN(TblMili[[#This Row],[Smithies]]*smithy_bonus,smithy_bonus_cap) + tech_3_5*TblTech[[#This Row],[3-5]] + tech_5_3*TblTech[[#This Row],[5-3]] + tech_5_5*TblTech[[#This Row],[5-5]]))*spec_op_ore,0)</f>
        <v>25</v>
      </c>
      <c r="BH27" s="97">
        <f ca="1">ROUNDUP((1-MIN(TblMili[[#This Row],[Smithies]]*smithy_bonus,smithy_bonus_cap) + tech_3_5*TblTech[[#This Row],[3-5]] + tech_5_3*TblTech[[#This Row],[5-3]] + tech_5_5*TblTech[[#This Row],[5-5]])*spec_dp_plat,0)</f>
        <v>275</v>
      </c>
      <c r="BI27" s="97">
        <f ca="1">ROUNDUP(IF(race="Gnome",1,(1-MIN(TblMili[[#This Row],[Smithies]]*smithy_bonus,smithy_bonus_cap) + tech_3_5*TblTech[[#This Row],[3-5]] + tech_5_3*TblTech[[#This Row],[5-3]] + tech_5_5*TblTech[[#This Row],[5-5]]))*spec_dp_ore,0)</f>
        <v>15</v>
      </c>
      <c r="BJ27" s="97">
        <f ca="1">ROUNDUP((1-MIN(TblMili[[#This Row],[Smithies]]*smithy_bonus,smithy_bonus_cap) + tech_3_5*TblTech[[#This Row],[3-5]] + tech_5_3*TblTech[[#This Row],[5-3]] + tech_5_5*TblTech[[#This Row],[5-5]])*elite1_plat,0)</f>
        <v>1000</v>
      </c>
      <c r="BK27" s="97">
        <f ca="1">ROUNDUP(IF(race="Gnome",1,(1-MIN(TblMili[[#This Row],[Smithies]]*smithy_bonus,smithy_bonus_cap) + tech_3_5*TblTech[[#This Row],[3-5]] + tech_5_3*TblTech[[#This Row],[5-3]] + tech_5_5*TblTech[[#This Row],[5-5]]))*elite1_ore,0)</f>
        <v>75</v>
      </c>
      <c r="BL27" s="97">
        <f ca="1">ROUNDUP((1-MIN(TblMili[[#This Row],[Smithies]]*smithy_bonus,smithy_bonus_cap) + tech_3_5*TblTech[[#This Row],[3-5]] + tech_5_3*TblTech[[#This Row],[5-3]] + tech_5_5*TblTech[[#This Row],[5-5]])*elite2_plat,0)</f>
        <v>1200</v>
      </c>
      <c r="BM27" s="97">
        <f ca="1">ROUNDUP(IF(race="Gnome",1,(1-MIN(TblMili[[#This Row],[Smithies]]*smithy_bonus,smithy_bonus_cap) + tech_3_5*TblTech[[#This Row],[3-5]] + tech_5_3*TblTech[[#This Row],[5-3]] + tech_5_5*TblTech[[#This Row],[5-5]]))*elite2_ore,0)</f>
        <v>100</v>
      </c>
      <c r="BN27" s="97">
        <f ca="1">ROUNDUP((1-MIN(ROUND(fh_spy_cost_red*TblMili[[#This Row],[FH''s]],4),fh_spy_cost_cap)+ tech_1_9*TblTech[[#This Row],[1-9]] + tech_9_1*TblTech[[#This Row],[9-1]])*spy_plat,0)</f>
        <v>500</v>
      </c>
      <c r="BO27" s="97">
        <f ca="1">ROUNDUP((1-MIN(ROUND(wg_wiz_cost_bonus*TblMili[[#This Row],[WG''s]],4),wg_wiz_cost_cap) + tech_1_9_2*TblTech[[#This Row],[1-9]] + tech_9_1_2*TblTech[[#This Row],[9-1]])*wizard_plat,0)</f>
        <v>500</v>
      </c>
      <c r="BP27" s="97">
        <f ca="1">ROUNDUP((1-MIN(ROUND(wg_wiz_cost_bonus*TblMili[[#This Row],[WG''s]],4),wg_wiz_cost_cap) + tech_1_9_2*TblTech[[#This Row],[1-9]] + tech_9_1_2*TblTech[[#This Row],[9-1]])*archmage_plat,0)</f>
        <v>1000</v>
      </c>
      <c r="BQ27" s="150"/>
      <c r="BR27" s="165">
        <f ca="1">TblConstr[[#This Row],[Homeland]]/TblConstr[[#This Row],[Land]]</f>
        <v>0.44</v>
      </c>
      <c r="BS27" s="165">
        <f ca="1">TblMili[[#This Row],[WG''s]]</f>
        <v>0</v>
      </c>
      <c r="BT27" s="271">
        <f ca="1">IF(mystic_cap="none",TblMili[[#This Row],[Hill]]/mystic_bonus,MIN(mystic_cap,TblMili[[#This Row],[Hill]]/mystic_bonus))</f>
        <v>2.1999999999999997</v>
      </c>
      <c r="BU27" s="271">
        <f ca="1">IF(druid_op_cap="none",TblMili[[#This Row],[Hill]]/druid_op_bonus,MIN(druid_op_cap,TblMili[[#This Row],[Hill]]/druid_op_bonus))</f>
        <v>2.1999999999999997</v>
      </c>
      <c r="BV27" s="271">
        <f ca="1">IF(druid_dp_cap="none",TblMili[[#This Row],[Hill]]/druid_dp_bonus,MIN(druid_dp_cap,TblMili[[#This Row],[Hill]]/druid_dp_bonus))</f>
        <v>2.1999999999999997</v>
      </c>
      <c r="BW27" s="271">
        <f ca="1">MIN(dryad_cap,TblMili[[#This Row],[Hill]]/dryad_bonus)</f>
        <v>2.1999999999999997</v>
      </c>
      <c r="BX27" s="271">
        <f ca="1">MIN(rocka_cap,TblMili[[#This Row],[Hill]]/rocka_bonus)</f>
        <v>2</v>
      </c>
      <c r="BY27" s="271">
        <f ca="1">MIN(adept_op_cap,TblMili[[#This Row],[WG]]/adept_op_bonus)</f>
        <v>0</v>
      </c>
      <c r="BZ27" s="271">
        <f ca="1">MIN(adept_dp_cap,TblMili[[#This Row],[WG]]/adept_dp_bonus)</f>
        <v>0</v>
      </c>
      <c r="CA27" s="97">
        <f ca="1">MIN(TblMili[[#This Row],[Unit 3]],TblMili[[#This Row],[Unit 4]])*2</f>
        <v>0</v>
      </c>
      <c r="CB27" s="97">
        <f ca="1">MIN(TblMili[[#This Row],[Unit 1]],TblMili[[#This Row],[Unit 4]])*2</f>
        <v>0</v>
      </c>
      <c r="CC27" s="271">
        <f ca="1">MIN(frost_mage_cap,TblMili[[#This Row],[Hill]]/frost_mage_bonus)</f>
        <v>2.1999999999999997</v>
      </c>
      <c r="CD27" s="45">
        <f ca="1">MIN(ice_elem_cap,TblMili[[#This Row],[Raw (2)]]*ice_elem_bonus)</f>
        <v>0.1</v>
      </c>
      <c r="CE27" s="271">
        <f t="shared" si="0"/>
        <v>1</v>
      </c>
      <c r="CF27" s="271">
        <f ca="1">MIN(nox_nightshade_cap,TblConstr[[#This Row],[Homeland]]/TblConstr[[#This Row],[Land]]/nox_nightshade_swamp_bonus)</f>
        <v>3</v>
      </c>
      <c r="CG27" s="272"/>
      <c r="CH27" s="272"/>
      <c r="CI27" s="272"/>
      <c r="CJ27" s="271">
        <f ca="1">MIN(6,TblMili[[#This Row],[Mystic]]+Races!$F$19)*1.8 +  IF(TblMili[[#This Row],[Mystic]]+Races!$F$19&gt;6,(TblMili[[#This Row],[Mystic]]+Races!$F$19-6)*0.2,0) - Races!$I$19</f>
        <v>3.6399999999999997</v>
      </c>
      <c r="CK2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97">
        <f ca="1">TblMili[[#This Row],[Mystic bonus]]*TblMili[[#This Row],[Unit 3]]+TblMili[[#This Row],[Druid bonus]]*TblMili[[#This Row],[Unit 4]]</f>
        <v>0</v>
      </c>
      <c r="CM27" s="163">
        <f ca="1">MIN(6,TblMili[[#This Row],[Dryad]]+Races!$F$35)*1.8 +  IF(TblMili[[#This Row],[Dryad]]+Races!$F$35&gt;6,(TblMili[[#This Row],[Dryad]]+Races!$F$35-6)*0.2,0) - Races!$I$19</f>
        <v>2.1599999999999993</v>
      </c>
      <c r="CN27" s="97">
        <f ca="1">sylvan*(TblMili[[#This Row],[Mystic bonus]]*TblMili[[#This Row],[Unit 3]])</f>
        <v>0</v>
      </c>
      <c r="CO27" s="163">
        <f ca="1">1.8 * MIN(MAX(Races!$E$27,TblMili[[#This Row],[Rockapult]]+Races!$F$27),6)  +  0.45 * MIN(MIN(Races!$E$27,TblMili[[#This Row],[Rockapult]]+Races!$F$27),6)  +  0.2 * ( MAX(Races!$E$27-6,0) + MAX(TblMili[[#This Row],[Rockapult]]+Races!$F$27-6,0) )  -  Races!$I$20</f>
        <v>5.8500000000000005</v>
      </c>
      <c r="CP27" s="97">
        <f ca="1">gnome*(TblMili[[#This Row],[Rockapult bonus]]*TblMili[[#This Row],[Unit 3]])</f>
        <v>0</v>
      </c>
      <c r="CQ27" s="163">
        <f ca="1">1.8 * MIN(MAX(TblMili[[#This Row],[Spellblade]]+Races!$E$47,TblMili[[#This Row],[Adept-DP]]+Races!$F$47),6)  +  0.45 * MIN(MIN(TblMili[[#This Row],[Spellblade]]+Races!$E$47,TblMili[[#This Row],[Adept-DP]]+Races!$F$47),6)  +  0.2 * ( MAX(TblMili[[#This Row],[Spellblade]]+Races!$E$47-6,0) + MAX(TblMili[[#This Row],[Adept-DP]]+Races!$F$47-6,0) )  -  Races!$I$47</f>
        <v>0</v>
      </c>
      <c r="CR27" s="97">
        <f ca="1">dark_elf*(TblMili[[#This Row],[Adept bonus]]*TblMili[[#This Row],[Unit 3]])</f>
        <v>0</v>
      </c>
      <c r="CS27" s="163">
        <f ca="1">1.8 * MIN(MAX(TblMili[[#This Row],[Frost Mage]]+Races!$F$71,Races!$E$71),6)  +  0.45 * MIN(MIN(TblMili[[#This Row],[Frost Mage]]+Races!$F$71,Races!$E$71),6)  +  0.2 * ( MAX(TblMili[[#This Row],[Frost Mage]]+Races!$F$71-6,0) + MAX(Races!$E$71-6,0) )  -  Races!$I$71</f>
        <v>3.9599999999999991</v>
      </c>
      <c r="CT27" s="163">
        <f ca="1">1.8 * MIN(MAX(TblMili[[#This Row],[Ice Elemental]]+Races!$E$71,Races!$F$71),6)  +  0.45 * MIN(MIN(TblMili[[#This Row],[Ice Elemental]]+Races!$E$71,Races!$F$71),6)  +  0.2 * ( MAX(TblMili[[#This Row],[Ice Elemental]]+Races!$E$71-6,0) + MAX(Races!$F$71-6,0) )  -  Races!$I$71</f>
        <v>0.17999999999999972</v>
      </c>
      <c r="CU27" s="97">
        <f ca="1">TblMili[[#This Row],[Frost Mage bonus]]*TblMili[[#This Row],[Unit 3]]+TblMili[[#This Row],[Ice Elemental bonus]]*TblMili[[#This Row],[Unit 4]]</f>
        <v>0</v>
      </c>
      <c r="CV27" s="273"/>
      <c r="CW27" s="151">
        <f ca="1">MIN(SUM(TblConstr[[#This Row],[Plain]:[Water]])/TblMili[[#This Row],[Land]]/favorable_terrain_bonus/100,favorable_terrain_max)</f>
        <v>0.1</v>
      </c>
      <c r="CX27" s="273"/>
      <c r="CY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50"/>
      <c r="DA27" s="274">
        <f ca="1">(TblMili[[#This Row],[Wizards]]+2*TblMili[[#This Row],[Archmages]])/TblConstr[[#This Row],[Land]]</f>
        <v>0.1</v>
      </c>
      <c r="DB27" s="274">
        <f ca="1">TblMili[[#This Row],[Raw (2)]]*(1+race_wizard_strength+IF(TblMili[[#This Row],[Hour]]&gt;72,tech_magical_weaponry_wiz*TblTech[[#This Row],[3-5]],0))</f>
        <v>0.1</v>
      </c>
    </row>
    <row r="28" spans="1:106" x14ac:dyDescent="0.2">
      <c r="A28" s="145">
        <f>TblRezone[[#This Row],[Hour]]</f>
        <v>25</v>
      </c>
      <c r="B28" s="266">
        <f ca="1">SUM(TblMili[[#This Row],[Unit 1]:[Archmages]])+SUM(OFFSET(TblMili[[#This Row],[Train Unit 1]],-8,0):TblMili[[#This Row],[Train Unit 2]]) + SUM(OFFSET(TblMili[[#This Row],[Train Unit 3]],-11,0):TblMili[[#This Row],[Train Arch]]) + TblMili[[#This Row],[Draftees]]</f>
        <v>681</v>
      </c>
      <c r="C28" s="165">
        <f ca="1">TblPop[[#This Row],[Military%]]</f>
        <v>0.28880407124681934</v>
      </c>
      <c r="D28" s="150"/>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f>
        <v>25</v>
      </c>
      <c r="J28" s="45">
        <f ca="1">OFFSET(TblMili[[#This Row],[Wizards]],-1,0) + OFFSET(TblMili[[#This Row],[Train Wiz]],-12,0) - TblMili[[#This Row],[Release Wizards]]-TblMili[[#This Row],[Train Arch]]</f>
        <v>25</v>
      </c>
      <c r="K28" s="45">
        <f ca="1">OFFSET(TblMili[[#This Row],[Archmages]],-1,0) + OFFSET(TblMili[[#This Row],[Train Arch]],-12,0) - TblMili[[#This Row],[Release Arch]]</f>
        <v>0</v>
      </c>
      <c r="L28" s="150"/>
      <c r="M28" s="97">
        <f ca="1">TblProd[[#This Row],[Networth]]</f>
        <v>6450</v>
      </c>
      <c r="N28" s="150"/>
      <c r="O28" s="267">
        <f ca="1">TblMili[[#This Row],[Unit 1]]*spec_op+TblMili[[#This Row],[Unit 3]]*(elite1_base_op)+TblMili[[#This Row],[Unit 4]]*(elite2_base_op+dark_elf*TblMili[[#This Row],[Spellblade]]+icekin*TblMili[[#This Row],[Ice Elemental]]+woodie*TblMili[[#This Row],[Druid (op)]]+orc*TblMili[[#This Row],[Orc]])+kobold*TblMili[[#This Row],[Overlords]]</f>
        <v>0</v>
      </c>
      <c r="P2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8" s="267">
        <f ca="1">TblMili[[#This Row],[Raw]]*(1+TblMili[[#This Row],[Mods_Off]])</f>
        <v>0</v>
      </c>
      <c r="R2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8" s="267">
        <f ca="1">TblMili[[#This Row],[Non Draft]]+TblMili[[#This Row],[Draftees]]</f>
        <v>931</v>
      </c>
      <c r="T2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269">
        <f ca="1">TblMili[[#This Row],[Non Draft]] * (1 + TblMili[[#This Row],[Mods_Def]])</f>
        <v>450</v>
      </c>
      <c r="V28" s="267">
        <f ca="1">TblMili[[#This Row],[Draft]] * (1 + TblMili[[#This Row],[Mods_Def]])</f>
        <v>931</v>
      </c>
      <c r="W28" s="267">
        <f ca="1">TblConstr[[#This Row],[Land]]</f>
        <v>250</v>
      </c>
      <c r="X28" s="270"/>
      <c r="Y28" s="275">
        <f ca="1">IF(TblMili[[#This Row],[Set]]&lt;&gt;"",TblMili[[#This Row],[Set]],OFFSET(TblMili[[#This Row],[Draftrate]],-1,0))</f>
        <v>0.35</v>
      </c>
      <c r="Z28" s="97">
        <f ca="1">OFFSET(TblMili[[#This Row],[Draftees]],-1,0)+OFFSET(TblPop[[#This Row],[Draft Growth]],-1,0) - SUM(TblMili[[#This Row],[Train Unit 1]:[Train Wiz]]) - TblMili[[#This Row],[Release Draft]] + SUM(TblMili[[#This Row],[Release Unit 1]:[Release Arch]]) -TblExplore[[#This Row],[Draftees (2)]]</f>
        <v>481</v>
      </c>
      <c r="AA28" s="162"/>
      <c r="AB28" s="188">
        <f ca="1">(TblConstr[[#This Row],[Tot Smi]]+TblConstr[[#This Row],[Dest Smi]])/(TblConstr[[#This Row],[Land]]-TblExplore[[#This Row],[Land Bonus]]*20)</f>
        <v>0</v>
      </c>
      <c r="AC28" s="145"/>
      <c r="AD28" s="266">
        <f>TblMili[[#This Row],[Hour]]</f>
        <v>25</v>
      </c>
      <c r="AE28" s="146">
        <f ca="1">TblExplore[[#This Row],[Time]]</f>
        <v>44811.749999999942</v>
      </c>
      <c r="AF28" s="187"/>
      <c r="AG28" s="187"/>
      <c r="AH28" s="187"/>
      <c r="AI28" s="187"/>
      <c r="AJ28" s="187"/>
      <c r="AK28" s="187"/>
      <c r="AL28" s="187"/>
      <c r="AM28" s="150"/>
      <c r="AN28" s="97">
        <f ca="1">TblProd[[#This Row],[Platinum]]</f>
        <v>231201</v>
      </c>
      <c r="AO28" s="97">
        <f ca="1">INDEX(TblProd[[#Headers],[Lumber]]:TblProd[[#This Row],[Ore]],COUNTA(TblProd[[#Headers],[Lumber]]:TblProd[[#This Row],[Lumber]]),MATCH(Military!$AO$2,TblProd[[#Headers],[Lumber]:[Ore]],0))</f>
        <v>0</v>
      </c>
      <c r="AP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97">
        <f ca="1">TblMili[[#This Row],[Train Unit 1]]*TblMili[[#This Row],[OP Ore]]+TblMili[[#This Row],[Train Unit 2]]*TblMili[[#This Row],[DP Ore]]+TblMili[[#This Row],[Train Unit 3]]*TblMili[[#This Row],[E1 Ore]]+TblMili[[#This Row],[Train Unit 4]]*TblMili[[#This Row],[E2 Ore]]</f>
        <v>0</v>
      </c>
      <c r="AR28" s="150">
        <f>TblMili[[#This Row],[Hour]]</f>
        <v>25</v>
      </c>
      <c r="AS28" s="160">
        <f ca="1">TblMili[[#This Row],[Time]]</f>
        <v>44811.749999999942</v>
      </c>
      <c r="AT28" s="97">
        <f ca="1">TblMili[[#This Row],[Draftees]]</f>
        <v>481</v>
      </c>
      <c r="AU28" s="187"/>
      <c r="AV28" s="187"/>
      <c r="AW28" s="187"/>
      <c r="AX28" s="187"/>
      <c r="AY28" s="187"/>
      <c r="AZ28" s="187"/>
      <c r="BA28" s="187"/>
      <c r="BB28" s="187"/>
      <c r="BC28" s="150"/>
      <c r="BD28" s="165">
        <f ca="1">TblConstr[[#This Row],[Tot WG]]/TblConstr[[#This Row],[Land]]</f>
        <v>0</v>
      </c>
      <c r="BE28" s="165">
        <f ca="1">TblConstr[[#This Row],[Tot Hav]]/TblConstr[[#This Row],[Land]]</f>
        <v>0</v>
      </c>
      <c r="BF28" s="97">
        <f ca="1">ROUNDUP((1-MIN(TblMili[[#This Row],[Smithies]]*smithy_bonus,smithy_bonus_cap) + tech_3_5*TblTech[[#This Row],[3-5]] + tech_5_3*TblTech[[#This Row],[5-3]] + tech_5_5*TblTech[[#This Row],[5-5]])*spec_op_plat,0)</f>
        <v>275</v>
      </c>
      <c r="BG28" s="97">
        <f ca="1">ROUNDUP(IF(race="Gnome",1,(1-MIN(TblMili[[#This Row],[Smithies]]*smithy_bonus,smithy_bonus_cap) + tech_3_5*TblTech[[#This Row],[3-5]] + tech_5_3*TblTech[[#This Row],[5-3]] + tech_5_5*TblTech[[#This Row],[5-5]]))*spec_op_ore,0)</f>
        <v>25</v>
      </c>
      <c r="BH28" s="97">
        <f ca="1">ROUNDUP((1-MIN(TblMili[[#This Row],[Smithies]]*smithy_bonus,smithy_bonus_cap) + tech_3_5*TblTech[[#This Row],[3-5]] + tech_5_3*TblTech[[#This Row],[5-3]] + tech_5_5*TblTech[[#This Row],[5-5]])*spec_dp_plat,0)</f>
        <v>275</v>
      </c>
      <c r="BI28" s="97">
        <f ca="1">ROUNDUP(IF(race="Gnome",1,(1-MIN(TblMili[[#This Row],[Smithies]]*smithy_bonus,smithy_bonus_cap) + tech_3_5*TblTech[[#This Row],[3-5]] + tech_5_3*TblTech[[#This Row],[5-3]] + tech_5_5*TblTech[[#This Row],[5-5]]))*spec_dp_ore,0)</f>
        <v>15</v>
      </c>
      <c r="BJ28" s="97">
        <f ca="1">ROUNDUP((1-MIN(TblMili[[#This Row],[Smithies]]*smithy_bonus,smithy_bonus_cap) + tech_3_5*TblTech[[#This Row],[3-5]] + tech_5_3*TblTech[[#This Row],[5-3]] + tech_5_5*TblTech[[#This Row],[5-5]])*elite1_plat,0)</f>
        <v>1000</v>
      </c>
      <c r="BK28" s="97">
        <f ca="1">ROUNDUP(IF(race="Gnome",1,(1-MIN(TblMili[[#This Row],[Smithies]]*smithy_bonus,smithy_bonus_cap) + tech_3_5*TblTech[[#This Row],[3-5]] + tech_5_3*TblTech[[#This Row],[5-3]] + tech_5_5*TblTech[[#This Row],[5-5]]))*elite1_ore,0)</f>
        <v>75</v>
      </c>
      <c r="BL28" s="97">
        <f ca="1">ROUNDUP((1-MIN(TblMili[[#This Row],[Smithies]]*smithy_bonus,smithy_bonus_cap) + tech_3_5*TblTech[[#This Row],[3-5]] + tech_5_3*TblTech[[#This Row],[5-3]] + tech_5_5*TblTech[[#This Row],[5-5]])*elite2_plat,0)</f>
        <v>1200</v>
      </c>
      <c r="BM28" s="97">
        <f ca="1">ROUNDUP(IF(race="Gnome",1,(1-MIN(TblMili[[#This Row],[Smithies]]*smithy_bonus,smithy_bonus_cap) + tech_3_5*TblTech[[#This Row],[3-5]] + tech_5_3*TblTech[[#This Row],[5-3]] + tech_5_5*TblTech[[#This Row],[5-5]]))*elite2_ore,0)</f>
        <v>100</v>
      </c>
      <c r="BN28" s="97">
        <f ca="1">ROUNDUP((1-MIN(ROUND(fh_spy_cost_red*TblMili[[#This Row],[FH''s]],4),fh_spy_cost_cap)+ tech_1_9*TblTech[[#This Row],[1-9]] + tech_9_1*TblTech[[#This Row],[9-1]])*spy_plat,0)</f>
        <v>500</v>
      </c>
      <c r="BO28" s="97">
        <f ca="1">ROUNDUP((1-MIN(ROUND(wg_wiz_cost_bonus*TblMili[[#This Row],[WG''s]],4),wg_wiz_cost_cap) + tech_1_9_2*TblTech[[#This Row],[1-9]] + tech_9_1_2*TblTech[[#This Row],[9-1]])*wizard_plat,0)</f>
        <v>500</v>
      </c>
      <c r="BP28" s="97">
        <f ca="1">ROUNDUP((1-MIN(ROUND(wg_wiz_cost_bonus*TblMili[[#This Row],[WG''s]],4),wg_wiz_cost_cap) + tech_1_9_2*TblTech[[#This Row],[1-9]] + tech_9_1_2*TblTech[[#This Row],[9-1]])*archmage_plat,0)</f>
        <v>1000</v>
      </c>
      <c r="BQ28" s="150"/>
      <c r="BR28" s="165">
        <f ca="1">TblConstr[[#This Row],[Homeland]]/TblConstr[[#This Row],[Land]]</f>
        <v>0.44</v>
      </c>
      <c r="BS28" s="165">
        <f ca="1">TblMili[[#This Row],[WG''s]]</f>
        <v>0</v>
      </c>
      <c r="BT28" s="271">
        <f ca="1">IF(mystic_cap="none",TblMili[[#This Row],[Hill]]/mystic_bonus,MIN(mystic_cap,TblMili[[#This Row],[Hill]]/mystic_bonus))</f>
        <v>2.1999999999999997</v>
      </c>
      <c r="BU28" s="271">
        <f ca="1">IF(druid_op_cap="none",TblMili[[#This Row],[Hill]]/druid_op_bonus,MIN(druid_op_cap,TblMili[[#This Row],[Hill]]/druid_op_bonus))</f>
        <v>2.1999999999999997</v>
      </c>
      <c r="BV28" s="271">
        <f ca="1">IF(druid_dp_cap="none",TblMili[[#This Row],[Hill]]/druid_dp_bonus,MIN(druid_dp_cap,TblMili[[#This Row],[Hill]]/druid_dp_bonus))</f>
        <v>2.1999999999999997</v>
      </c>
      <c r="BW28" s="271">
        <f ca="1">MIN(dryad_cap,TblMili[[#This Row],[Hill]]/dryad_bonus)</f>
        <v>2.1999999999999997</v>
      </c>
      <c r="BX28" s="271">
        <f ca="1">MIN(rocka_cap,TblMili[[#This Row],[Hill]]/rocka_bonus)</f>
        <v>2</v>
      </c>
      <c r="BY28" s="271">
        <f ca="1">MIN(adept_op_cap,TblMili[[#This Row],[WG]]/adept_op_bonus)</f>
        <v>0</v>
      </c>
      <c r="BZ28" s="271">
        <f ca="1">MIN(adept_dp_cap,TblMili[[#This Row],[WG]]/adept_dp_bonus)</f>
        <v>0</v>
      </c>
      <c r="CA28" s="97">
        <f ca="1">MIN(TblMili[[#This Row],[Unit 3]],TblMili[[#This Row],[Unit 4]])*2</f>
        <v>0</v>
      </c>
      <c r="CB28" s="97">
        <f ca="1">MIN(TblMili[[#This Row],[Unit 1]],TblMili[[#This Row],[Unit 4]])*2</f>
        <v>0</v>
      </c>
      <c r="CC28" s="271">
        <f ca="1">MIN(frost_mage_cap,TblMili[[#This Row],[Hill]]/frost_mage_bonus)</f>
        <v>2.1999999999999997</v>
      </c>
      <c r="CD28" s="45">
        <f ca="1">MIN(ice_elem_cap,TblMili[[#This Row],[Raw (2)]]*ice_elem_bonus)</f>
        <v>0.1</v>
      </c>
      <c r="CE28" s="271">
        <f t="shared" si="0"/>
        <v>1</v>
      </c>
      <c r="CF28" s="271">
        <f ca="1">MIN(nox_nightshade_cap,TblConstr[[#This Row],[Homeland]]/TblConstr[[#This Row],[Land]]/nox_nightshade_swamp_bonus)</f>
        <v>3</v>
      </c>
      <c r="CG28" s="272"/>
      <c r="CH28" s="272"/>
      <c r="CI28" s="272"/>
      <c r="CJ28" s="271">
        <f ca="1">MIN(6,TblMili[[#This Row],[Mystic]]+Races!$F$19)*1.8 +  IF(TblMili[[#This Row],[Mystic]]+Races!$F$19&gt;6,(TblMili[[#This Row],[Mystic]]+Races!$F$19-6)*0.2,0) - Races!$I$19</f>
        <v>3.6399999999999997</v>
      </c>
      <c r="CK2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97">
        <f ca="1">TblMili[[#This Row],[Mystic bonus]]*TblMili[[#This Row],[Unit 3]]+TblMili[[#This Row],[Druid bonus]]*TblMili[[#This Row],[Unit 4]]</f>
        <v>0</v>
      </c>
      <c r="CM28" s="163">
        <f ca="1">MIN(6,TblMili[[#This Row],[Dryad]]+Races!$F$35)*1.8 +  IF(TblMili[[#This Row],[Dryad]]+Races!$F$35&gt;6,(TblMili[[#This Row],[Dryad]]+Races!$F$35-6)*0.2,0) - Races!$I$19</f>
        <v>2.1599999999999993</v>
      </c>
      <c r="CN28" s="97">
        <f ca="1">sylvan*(TblMili[[#This Row],[Mystic bonus]]*TblMili[[#This Row],[Unit 3]])</f>
        <v>0</v>
      </c>
      <c r="CO28" s="163">
        <f ca="1">1.8 * MIN(MAX(Races!$E$27,TblMili[[#This Row],[Rockapult]]+Races!$F$27),6)  +  0.45 * MIN(MIN(Races!$E$27,TblMili[[#This Row],[Rockapult]]+Races!$F$27),6)  +  0.2 * ( MAX(Races!$E$27-6,0) + MAX(TblMili[[#This Row],[Rockapult]]+Races!$F$27-6,0) )  -  Races!$I$20</f>
        <v>5.8500000000000005</v>
      </c>
      <c r="CP28" s="97">
        <f ca="1">gnome*(TblMili[[#This Row],[Rockapult bonus]]*TblMili[[#This Row],[Unit 3]])</f>
        <v>0</v>
      </c>
      <c r="CQ28" s="163">
        <f ca="1">1.8 * MIN(MAX(TblMili[[#This Row],[Spellblade]]+Races!$E$47,TblMili[[#This Row],[Adept-DP]]+Races!$F$47),6)  +  0.45 * MIN(MIN(TblMili[[#This Row],[Spellblade]]+Races!$E$47,TblMili[[#This Row],[Adept-DP]]+Races!$F$47),6)  +  0.2 * ( MAX(TblMili[[#This Row],[Spellblade]]+Races!$E$47-6,0) + MAX(TblMili[[#This Row],[Adept-DP]]+Races!$F$47-6,0) )  -  Races!$I$47</f>
        <v>0</v>
      </c>
      <c r="CR28" s="97">
        <f ca="1">dark_elf*(TblMili[[#This Row],[Adept bonus]]*TblMili[[#This Row],[Unit 3]])</f>
        <v>0</v>
      </c>
      <c r="CS28" s="163">
        <f ca="1">1.8 * MIN(MAX(TblMili[[#This Row],[Frost Mage]]+Races!$F$71,Races!$E$71),6)  +  0.45 * MIN(MIN(TblMili[[#This Row],[Frost Mage]]+Races!$F$71,Races!$E$71),6)  +  0.2 * ( MAX(TblMili[[#This Row],[Frost Mage]]+Races!$F$71-6,0) + MAX(Races!$E$71-6,0) )  -  Races!$I$71</f>
        <v>3.9599999999999991</v>
      </c>
      <c r="CT28" s="163">
        <f ca="1">1.8 * MIN(MAX(TblMili[[#This Row],[Ice Elemental]]+Races!$E$71,Races!$F$71),6)  +  0.45 * MIN(MIN(TblMili[[#This Row],[Ice Elemental]]+Races!$E$71,Races!$F$71),6)  +  0.2 * ( MAX(TblMili[[#This Row],[Ice Elemental]]+Races!$E$71-6,0) + MAX(Races!$F$71-6,0) )  -  Races!$I$71</f>
        <v>0.17999999999999972</v>
      </c>
      <c r="CU28" s="97">
        <f ca="1">TblMili[[#This Row],[Frost Mage bonus]]*TblMili[[#This Row],[Unit 3]]+TblMili[[#This Row],[Ice Elemental bonus]]*TblMili[[#This Row],[Unit 4]]</f>
        <v>0</v>
      </c>
      <c r="CV28" s="273"/>
      <c r="CW28" s="151">
        <f ca="1">MIN(SUM(TblConstr[[#This Row],[Plain]:[Water]])/TblMili[[#This Row],[Land]]/favorable_terrain_bonus/100,favorable_terrain_max)</f>
        <v>0.1</v>
      </c>
      <c r="CX28" s="273"/>
      <c r="CY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50"/>
      <c r="DA28" s="274">
        <f ca="1">(TblMili[[#This Row],[Wizards]]+2*TblMili[[#This Row],[Archmages]])/TblConstr[[#This Row],[Land]]</f>
        <v>0.1</v>
      </c>
      <c r="DB28" s="274">
        <f ca="1">TblMili[[#This Row],[Raw (2)]]*(1+race_wizard_strength+IF(TblMili[[#This Row],[Hour]]&gt;72,tech_magical_weaponry_wiz*TblTech[[#This Row],[3-5]],0))</f>
        <v>0.1</v>
      </c>
    </row>
    <row r="29" spans="1:106" x14ac:dyDescent="0.2">
      <c r="A29" s="145">
        <f>TblRezone[[#This Row],[Hour]]</f>
        <v>26</v>
      </c>
      <c r="B29" s="266">
        <f ca="1">SUM(TblMili[[#This Row],[Unit 1]:[Archmages]])+SUM(OFFSET(TblMili[[#This Row],[Train Unit 1]],-8,0):TblMili[[#This Row],[Train Unit 2]]) + SUM(OFFSET(TblMili[[#This Row],[Train Unit 3]],-11,0):TblMili[[#This Row],[Train Arch]]) + TblMili[[#This Row],[Draftees]]</f>
        <v>698</v>
      </c>
      <c r="C29" s="165">
        <f ca="1">TblPop[[#This Row],[Military%]]</f>
        <v>0.29601357082273111</v>
      </c>
      <c r="D29" s="150"/>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f>
        <v>25</v>
      </c>
      <c r="J29" s="45">
        <f ca="1">OFFSET(TblMili[[#This Row],[Wizards]],-1,0) + OFFSET(TblMili[[#This Row],[Train Wiz]],-12,0) - TblMili[[#This Row],[Release Wizards]]-TblMili[[#This Row],[Train Arch]]</f>
        <v>25</v>
      </c>
      <c r="K29" s="45">
        <f ca="1">OFFSET(TblMili[[#This Row],[Archmages]],-1,0) + OFFSET(TblMili[[#This Row],[Train Arch]],-12,0) - TblMili[[#This Row],[Release Arch]]</f>
        <v>0</v>
      </c>
      <c r="L29" s="150"/>
      <c r="M29" s="97">
        <f ca="1">TblProd[[#This Row],[Networth]]</f>
        <v>6450</v>
      </c>
      <c r="N29" s="150"/>
      <c r="O29" s="267">
        <f ca="1">TblMili[[#This Row],[Unit 1]]*spec_op+TblMili[[#This Row],[Unit 3]]*(elite1_base_op)+TblMili[[#This Row],[Unit 4]]*(elite2_base_op+dark_elf*TblMili[[#This Row],[Spellblade]]+icekin*TblMili[[#This Row],[Ice Elemental]]+woodie*TblMili[[#This Row],[Druid (op)]]+orc*TblMili[[#This Row],[Orc]])+kobold*TblMili[[#This Row],[Overlords]]</f>
        <v>0</v>
      </c>
      <c r="P2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9" s="267">
        <f ca="1">TblMili[[#This Row],[Raw]]*(1+TblMili[[#This Row],[Mods_Off]])</f>
        <v>0</v>
      </c>
      <c r="R2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9" s="267">
        <f ca="1">TblMili[[#This Row],[Non Draft]]+TblMili[[#This Row],[Draftees]]</f>
        <v>948</v>
      </c>
      <c r="T2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269">
        <f ca="1">TblMili[[#This Row],[Non Draft]] * (1 + TblMili[[#This Row],[Mods_Def]])</f>
        <v>450</v>
      </c>
      <c r="V29" s="267">
        <f ca="1">TblMili[[#This Row],[Draft]] * (1 + TblMili[[#This Row],[Mods_Def]])</f>
        <v>948</v>
      </c>
      <c r="W29" s="267">
        <f ca="1">TblConstr[[#This Row],[Land]]</f>
        <v>250</v>
      </c>
      <c r="X29" s="270"/>
      <c r="Y29" s="275">
        <f ca="1">IF(TblMili[[#This Row],[Set]]&lt;&gt;"",TblMili[[#This Row],[Set]],OFFSET(TblMili[[#This Row],[Draftrate]],-1,0))</f>
        <v>0.35</v>
      </c>
      <c r="Z29" s="97">
        <f ca="1">OFFSET(TblMili[[#This Row],[Draftees]],-1,0)+OFFSET(TblPop[[#This Row],[Draft Growth]],-1,0) - SUM(TblMili[[#This Row],[Train Unit 1]:[Train Wiz]]) - TblMili[[#This Row],[Release Draft]] + SUM(TblMili[[#This Row],[Release Unit 1]:[Release Arch]]) -TblExplore[[#This Row],[Draftees (2)]]</f>
        <v>498</v>
      </c>
      <c r="AA29" s="162"/>
      <c r="AB29" s="188">
        <f ca="1">(TblConstr[[#This Row],[Tot Smi]]+TblConstr[[#This Row],[Dest Smi]])/(TblConstr[[#This Row],[Land]]-TblExplore[[#This Row],[Land Bonus]]*20)</f>
        <v>0</v>
      </c>
      <c r="AC29" s="145"/>
      <c r="AD29" s="266">
        <f>TblMili[[#This Row],[Hour]]</f>
        <v>26</v>
      </c>
      <c r="AE29" s="146">
        <f ca="1">TblExplore[[#This Row],[Time]]</f>
        <v>44811.791666666606</v>
      </c>
      <c r="AF29" s="187"/>
      <c r="AG29" s="187"/>
      <c r="AH29" s="187"/>
      <c r="AI29" s="187"/>
      <c r="AJ29" s="187"/>
      <c r="AK29" s="187"/>
      <c r="AL29" s="187"/>
      <c r="AM29" s="150"/>
      <c r="AN29" s="97">
        <f ca="1">TblProd[[#This Row],[Platinum]]</f>
        <v>236871</v>
      </c>
      <c r="AO29" s="97">
        <f ca="1">INDEX(TblProd[[#Headers],[Lumber]]:TblProd[[#This Row],[Ore]],COUNTA(TblProd[[#Headers],[Lumber]]:TblProd[[#This Row],[Lumber]]),MATCH(Military!$AO$2,TblProd[[#Headers],[Lumber]:[Ore]],0))</f>
        <v>0</v>
      </c>
      <c r="AP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97">
        <f ca="1">TblMili[[#This Row],[Train Unit 1]]*TblMili[[#This Row],[OP Ore]]+TblMili[[#This Row],[Train Unit 2]]*TblMili[[#This Row],[DP Ore]]+TblMili[[#This Row],[Train Unit 3]]*TblMili[[#This Row],[E1 Ore]]+TblMili[[#This Row],[Train Unit 4]]*TblMili[[#This Row],[E2 Ore]]</f>
        <v>0</v>
      </c>
      <c r="AR29" s="150">
        <f>TblMili[[#This Row],[Hour]]</f>
        <v>26</v>
      </c>
      <c r="AS29" s="160">
        <f ca="1">TblMili[[#This Row],[Time]]</f>
        <v>44811.791666666606</v>
      </c>
      <c r="AT29" s="97">
        <f ca="1">TblMili[[#This Row],[Draftees]]</f>
        <v>498</v>
      </c>
      <c r="AU29" s="187"/>
      <c r="AV29" s="187"/>
      <c r="AW29" s="187"/>
      <c r="AX29" s="187"/>
      <c r="AY29" s="187"/>
      <c r="AZ29" s="187"/>
      <c r="BA29" s="187"/>
      <c r="BB29" s="187"/>
      <c r="BC29" s="150"/>
      <c r="BD29" s="165">
        <f ca="1">TblConstr[[#This Row],[Tot WG]]/TblConstr[[#This Row],[Land]]</f>
        <v>0</v>
      </c>
      <c r="BE29" s="165">
        <f ca="1">TblConstr[[#This Row],[Tot Hav]]/TblConstr[[#This Row],[Land]]</f>
        <v>0</v>
      </c>
      <c r="BF29" s="97">
        <f ca="1">ROUNDUP((1-MIN(TblMili[[#This Row],[Smithies]]*smithy_bonus,smithy_bonus_cap) + tech_3_5*TblTech[[#This Row],[3-5]] + tech_5_3*TblTech[[#This Row],[5-3]] + tech_5_5*TblTech[[#This Row],[5-5]])*spec_op_plat,0)</f>
        <v>275</v>
      </c>
      <c r="BG29" s="97">
        <f ca="1">ROUNDUP(IF(race="Gnome",1,(1-MIN(TblMili[[#This Row],[Smithies]]*smithy_bonus,smithy_bonus_cap) + tech_3_5*TblTech[[#This Row],[3-5]] + tech_5_3*TblTech[[#This Row],[5-3]] + tech_5_5*TblTech[[#This Row],[5-5]]))*spec_op_ore,0)</f>
        <v>25</v>
      </c>
      <c r="BH29" s="97">
        <f ca="1">ROUNDUP((1-MIN(TblMili[[#This Row],[Smithies]]*smithy_bonus,smithy_bonus_cap) + tech_3_5*TblTech[[#This Row],[3-5]] + tech_5_3*TblTech[[#This Row],[5-3]] + tech_5_5*TblTech[[#This Row],[5-5]])*spec_dp_plat,0)</f>
        <v>275</v>
      </c>
      <c r="BI29" s="97">
        <f ca="1">ROUNDUP(IF(race="Gnome",1,(1-MIN(TblMili[[#This Row],[Smithies]]*smithy_bonus,smithy_bonus_cap) + tech_3_5*TblTech[[#This Row],[3-5]] + tech_5_3*TblTech[[#This Row],[5-3]] + tech_5_5*TblTech[[#This Row],[5-5]]))*spec_dp_ore,0)</f>
        <v>15</v>
      </c>
      <c r="BJ29" s="97">
        <f ca="1">ROUNDUP((1-MIN(TblMili[[#This Row],[Smithies]]*smithy_bonus,smithy_bonus_cap) + tech_3_5*TblTech[[#This Row],[3-5]] + tech_5_3*TblTech[[#This Row],[5-3]] + tech_5_5*TblTech[[#This Row],[5-5]])*elite1_plat,0)</f>
        <v>1000</v>
      </c>
      <c r="BK29" s="97">
        <f ca="1">ROUNDUP(IF(race="Gnome",1,(1-MIN(TblMili[[#This Row],[Smithies]]*smithy_bonus,smithy_bonus_cap) + tech_3_5*TblTech[[#This Row],[3-5]] + tech_5_3*TblTech[[#This Row],[5-3]] + tech_5_5*TblTech[[#This Row],[5-5]]))*elite1_ore,0)</f>
        <v>75</v>
      </c>
      <c r="BL29" s="97">
        <f ca="1">ROUNDUP((1-MIN(TblMili[[#This Row],[Smithies]]*smithy_bonus,smithy_bonus_cap) + tech_3_5*TblTech[[#This Row],[3-5]] + tech_5_3*TblTech[[#This Row],[5-3]] + tech_5_5*TblTech[[#This Row],[5-5]])*elite2_plat,0)</f>
        <v>1200</v>
      </c>
      <c r="BM29" s="97">
        <f ca="1">ROUNDUP(IF(race="Gnome",1,(1-MIN(TblMili[[#This Row],[Smithies]]*smithy_bonus,smithy_bonus_cap) + tech_3_5*TblTech[[#This Row],[3-5]] + tech_5_3*TblTech[[#This Row],[5-3]] + tech_5_5*TblTech[[#This Row],[5-5]]))*elite2_ore,0)</f>
        <v>100</v>
      </c>
      <c r="BN29" s="97">
        <f ca="1">ROUNDUP((1-MIN(ROUND(fh_spy_cost_red*TblMili[[#This Row],[FH''s]],4),fh_spy_cost_cap)+ tech_1_9*TblTech[[#This Row],[1-9]] + tech_9_1*TblTech[[#This Row],[9-1]])*spy_plat,0)</f>
        <v>500</v>
      </c>
      <c r="BO29" s="97">
        <f ca="1">ROUNDUP((1-MIN(ROUND(wg_wiz_cost_bonus*TblMili[[#This Row],[WG''s]],4),wg_wiz_cost_cap) + tech_1_9_2*TblTech[[#This Row],[1-9]] + tech_9_1_2*TblTech[[#This Row],[9-1]])*wizard_plat,0)</f>
        <v>500</v>
      </c>
      <c r="BP29" s="97">
        <f ca="1">ROUNDUP((1-MIN(ROUND(wg_wiz_cost_bonus*TblMili[[#This Row],[WG''s]],4),wg_wiz_cost_cap) + tech_1_9_2*TblTech[[#This Row],[1-9]] + tech_9_1_2*TblTech[[#This Row],[9-1]])*archmage_plat,0)</f>
        <v>1000</v>
      </c>
      <c r="BQ29" s="150"/>
      <c r="BR29" s="165">
        <f ca="1">TblConstr[[#This Row],[Homeland]]/TblConstr[[#This Row],[Land]]</f>
        <v>0.44</v>
      </c>
      <c r="BS29" s="165">
        <f ca="1">TblMili[[#This Row],[WG''s]]</f>
        <v>0</v>
      </c>
      <c r="BT29" s="271">
        <f ca="1">IF(mystic_cap="none",TblMili[[#This Row],[Hill]]/mystic_bonus,MIN(mystic_cap,TblMili[[#This Row],[Hill]]/mystic_bonus))</f>
        <v>2.1999999999999997</v>
      </c>
      <c r="BU29" s="271">
        <f ca="1">IF(druid_op_cap="none",TblMili[[#This Row],[Hill]]/druid_op_bonus,MIN(druid_op_cap,TblMili[[#This Row],[Hill]]/druid_op_bonus))</f>
        <v>2.1999999999999997</v>
      </c>
      <c r="BV29" s="271">
        <f ca="1">IF(druid_dp_cap="none",TblMili[[#This Row],[Hill]]/druid_dp_bonus,MIN(druid_dp_cap,TblMili[[#This Row],[Hill]]/druid_dp_bonus))</f>
        <v>2.1999999999999997</v>
      </c>
      <c r="BW29" s="271">
        <f ca="1">MIN(dryad_cap,TblMili[[#This Row],[Hill]]/dryad_bonus)</f>
        <v>2.1999999999999997</v>
      </c>
      <c r="BX29" s="271">
        <f ca="1">MIN(rocka_cap,TblMili[[#This Row],[Hill]]/rocka_bonus)</f>
        <v>2</v>
      </c>
      <c r="BY29" s="271">
        <f ca="1">MIN(adept_op_cap,TblMili[[#This Row],[WG]]/adept_op_bonus)</f>
        <v>0</v>
      </c>
      <c r="BZ29" s="271">
        <f ca="1">MIN(adept_dp_cap,TblMili[[#This Row],[WG]]/adept_dp_bonus)</f>
        <v>0</v>
      </c>
      <c r="CA29" s="97">
        <f ca="1">MIN(TblMili[[#This Row],[Unit 3]],TblMili[[#This Row],[Unit 4]])*2</f>
        <v>0</v>
      </c>
      <c r="CB29" s="97">
        <f ca="1">MIN(TblMili[[#This Row],[Unit 1]],TblMili[[#This Row],[Unit 4]])*2</f>
        <v>0</v>
      </c>
      <c r="CC29" s="271">
        <f ca="1">MIN(frost_mage_cap,TblMili[[#This Row],[Hill]]/frost_mage_bonus)</f>
        <v>2.1999999999999997</v>
      </c>
      <c r="CD29" s="45">
        <f ca="1">MIN(ice_elem_cap,TblMili[[#This Row],[Raw (2)]]*ice_elem_bonus)</f>
        <v>0.1</v>
      </c>
      <c r="CE29" s="271">
        <f t="shared" si="0"/>
        <v>1</v>
      </c>
      <c r="CF29" s="271">
        <f ca="1">MIN(nox_nightshade_cap,TblConstr[[#This Row],[Homeland]]/TblConstr[[#This Row],[Land]]/nox_nightshade_swamp_bonus)</f>
        <v>3</v>
      </c>
      <c r="CG29" s="272"/>
      <c r="CH29" s="272"/>
      <c r="CI29" s="272"/>
      <c r="CJ29" s="271">
        <f ca="1">MIN(6,TblMili[[#This Row],[Mystic]]+Races!$F$19)*1.8 +  IF(TblMili[[#This Row],[Mystic]]+Races!$F$19&gt;6,(TblMili[[#This Row],[Mystic]]+Races!$F$19-6)*0.2,0) - Races!$I$19</f>
        <v>3.6399999999999997</v>
      </c>
      <c r="CK2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97">
        <f ca="1">TblMili[[#This Row],[Mystic bonus]]*TblMili[[#This Row],[Unit 3]]+TblMili[[#This Row],[Druid bonus]]*TblMili[[#This Row],[Unit 4]]</f>
        <v>0</v>
      </c>
      <c r="CM29" s="163">
        <f ca="1">MIN(6,TblMili[[#This Row],[Dryad]]+Races!$F$35)*1.8 +  IF(TblMili[[#This Row],[Dryad]]+Races!$F$35&gt;6,(TblMili[[#This Row],[Dryad]]+Races!$F$35-6)*0.2,0) - Races!$I$19</f>
        <v>2.1599999999999993</v>
      </c>
      <c r="CN29" s="97">
        <f ca="1">sylvan*(TblMili[[#This Row],[Mystic bonus]]*TblMili[[#This Row],[Unit 3]])</f>
        <v>0</v>
      </c>
      <c r="CO29" s="163">
        <f ca="1">1.8 * MIN(MAX(Races!$E$27,TblMili[[#This Row],[Rockapult]]+Races!$F$27),6)  +  0.45 * MIN(MIN(Races!$E$27,TblMili[[#This Row],[Rockapult]]+Races!$F$27),6)  +  0.2 * ( MAX(Races!$E$27-6,0) + MAX(TblMili[[#This Row],[Rockapult]]+Races!$F$27-6,0) )  -  Races!$I$20</f>
        <v>5.8500000000000005</v>
      </c>
      <c r="CP29" s="97">
        <f ca="1">gnome*(TblMili[[#This Row],[Rockapult bonus]]*TblMili[[#This Row],[Unit 3]])</f>
        <v>0</v>
      </c>
      <c r="CQ29" s="163">
        <f ca="1">1.8 * MIN(MAX(TblMili[[#This Row],[Spellblade]]+Races!$E$47,TblMili[[#This Row],[Adept-DP]]+Races!$F$47),6)  +  0.45 * MIN(MIN(TblMili[[#This Row],[Spellblade]]+Races!$E$47,TblMili[[#This Row],[Adept-DP]]+Races!$F$47),6)  +  0.2 * ( MAX(TblMili[[#This Row],[Spellblade]]+Races!$E$47-6,0) + MAX(TblMili[[#This Row],[Adept-DP]]+Races!$F$47-6,0) )  -  Races!$I$47</f>
        <v>0</v>
      </c>
      <c r="CR29" s="97">
        <f ca="1">dark_elf*(TblMili[[#This Row],[Adept bonus]]*TblMili[[#This Row],[Unit 3]])</f>
        <v>0</v>
      </c>
      <c r="CS29" s="163">
        <f ca="1">1.8 * MIN(MAX(TblMili[[#This Row],[Frost Mage]]+Races!$F$71,Races!$E$71),6)  +  0.45 * MIN(MIN(TblMili[[#This Row],[Frost Mage]]+Races!$F$71,Races!$E$71),6)  +  0.2 * ( MAX(TblMili[[#This Row],[Frost Mage]]+Races!$F$71-6,0) + MAX(Races!$E$71-6,0) )  -  Races!$I$71</f>
        <v>3.9599999999999991</v>
      </c>
      <c r="CT29" s="163">
        <f ca="1">1.8 * MIN(MAX(TblMili[[#This Row],[Ice Elemental]]+Races!$E$71,Races!$F$71),6)  +  0.45 * MIN(MIN(TblMili[[#This Row],[Ice Elemental]]+Races!$E$71,Races!$F$71),6)  +  0.2 * ( MAX(TblMili[[#This Row],[Ice Elemental]]+Races!$E$71-6,0) + MAX(Races!$F$71-6,0) )  -  Races!$I$71</f>
        <v>0.17999999999999972</v>
      </c>
      <c r="CU29" s="97">
        <f ca="1">TblMili[[#This Row],[Frost Mage bonus]]*TblMili[[#This Row],[Unit 3]]+TblMili[[#This Row],[Ice Elemental bonus]]*TblMili[[#This Row],[Unit 4]]</f>
        <v>0</v>
      </c>
      <c r="CV29" s="273"/>
      <c r="CW29" s="151">
        <f ca="1">MIN(SUM(TblConstr[[#This Row],[Plain]:[Water]])/TblMili[[#This Row],[Land]]/favorable_terrain_bonus/100,favorable_terrain_max)</f>
        <v>0.1</v>
      </c>
      <c r="CX29" s="273"/>
      <c r="CY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50"/>
      <c r="DA29" s="274">
        <f ca="1">(TblMili[[#This Row],[Wizards]]+2*TblMili[[#This Row],[Archmages]])/TblConstr[[#This Row],[Land]]</f>
        <v>0.1</v>
      </c>
      <c r="DB29" s="274">
        <f ca="1">TblMili[[#This Row],[Raw (2)]]*(1+race_wizard_strength+IF(TblMili[[#This Row],[Hour]]&gt;72,tech_magical_weaponry_wiz*TblTech[[#This Row],[3-5]],0))</f>
        <v>0.1</v>
      </c>
    </row>
    <row r="30" spans="1:106" x14ac:dyDescent="0.2">
      <c r="A30" s="145">
        <f>TblRezone[[#This Row],[Hour]]</f>
        <v>27</v>
      </c>
      <c r="B30" s="266">
        <f ca="1">SUM(TblMili[[#This Row],[Unit 1]:[Archmages]])+SUM(OFFSET(TblMili[[#This Row],[Train Unit 1]],-8,0):TblMili[[#This Row],[Train Unit 2]]) + SUM(OFFSET(TblMili[[#This Row],[Train Unit 3]],-11,0):TblMili[[#This Row],[Train Arch]]) + TblMili[[#This Row],[Draftees]]</f>
        <v>715</v>
      </c>
      <c r="C30" s="165">
        <f ca="1">TblPop[[#This Row],[Military%]]</f>
        <v>0.30322307039864294</v>
      </c>
      <c r="D30" s="150"/>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f>
        <v>25</v>
      </c>
      <c r="J30" s="45">
        <f ca="1">OFFSET(TblMili[[#This Row],[Wizards]],-1,0) + OFFSET(TblMili[[#This Row],[Train Wiz]],-12,0) - TblMili[[#This Row],[Release Wizards]]-TblMili[[#This Row],[Train Arch]]</f>
        <v>25</v>
      </c>
      <c r="K30" s="45">
        <f ca="1">OFFSET(TblMili[[#This Row],[Archmages]],-1,0) + OFFSET(TblMili[[#This Row],[Train Arch]],-12,0) - TblMili[[#This Row],[Release Arch]]</f>
        <v>0</v>
      </c>
      <c r="L30" s="150"/>
      <c r="M30" s="97">
        <f ca="1">TblProd[[#This Row],[Networth]]</f>
        <v>6450</v>
      </c>
      <c r="N30" s="150"/>
      <c r="O30" s="267">
        <f ca="1">TblMili[[#This Row],[Unit 1]]*spec_op+TblMili[[#This Row],[Unit 3]]*(elite1_base_op)+TblMili[[#This Row],[Unit 4]]*(elite2_base_op+dark_elf*TblMili[[#This Row],[Spellblade]]+icekin*TblMili[[#This Row],[Ice Elemental]]+woodie*TblMili[[#This Row],[Druid (op)]]+orc*TblMili[[#This Row],[Orc]])+kobold*TblMili[[#This Row],[Overlords]]</f>
        <v>0</v>
      </c>
      <c r="P3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0" s="267">
        <f ca="1">TblMili[[#This Row],[Raw]]*(1+TblMili[[#This Row],[Mods_Off]])</f>
        <v>0</v>
      </c>
      <c r="R3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0" s="267">
        <f ca="1">TblMili[[#This Row],[Non Draft]]+TblMili[[#This Row],[Draftees]]</f>
        <v>965</v>
      </c>
      <c r="T3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269">
        <f ca="1">TblMili[[#This Row],[Non Draft]] * (1 + TblMili[[#This Row],[Mods_Def]])</f>
        <v>450</v>
      </c>
      <c r="V30" s="267">
        <f ca="1">TblMili[[#This Row],[Draft]] * (1 + TblMili[[#This Row],[Mods_Def]])</f>
        <v>965</v>
      </c>
      <c r="W30" s="267">
        <f ca="1">TblConstr[[#This Row],[Land]]</f>
        <v>250</v>
      </c>
      <c r="X30" s="270"/>
      <c r="Y30" s="275">
        <f ca="1">IF(TblMili[[#This Row],[Set]]&lt;&gt;"",TblMili[[#This Row],[Set]],OFFSET(TblMili[[#This Row],[Draftrate]],-1,0))</f>
        <v>0.35</v>
      </c>
      <c r="Z30" s="97">
        <f ca="1">OFFSET(TblMili[[#This Row],[Draftees]],-1,0)+OFFSET(TblPop[[#This Row],[Draft Growth]],-1,0) - SUM(TblMili[[#This Row],[Train Unit 1]:[Train Wiz]]) - TblMili[[#This Row],[Release Draft]] + SUM(TblMili[[#This Row],[Release Unit 1]:[Release Arch]]) -TblExplore[[#This Row],[Draftees (2)]]</f>
        <v>515</v>
      </c>
      <c r="AA30" s="162"/>
      <c r="AB30" s="188">
        <f ca="1">(TblConstr[[#This Row],[Tot Smi]]+TblConstr[[#This Row],[Dest Smi]])/(TblConstr[[#This Row],[Land]]-TblExplore[[#This Row],[Land Bonus]]*20)</f>
        <v>0</v>
      </c>
      <c r="AC30" s="145"/>
      <c r="AD30" s="266">
        <f>TblMili[[#This Row],[Hour]]</f>
        <v>27</v>
      </c>
      <c r="AE30" s="146">
        <f ca="1">TblExplore[[#This Row],[Time]]</f>
        <v>44811.83333333327</v>
      </c>
      <c r="AF30" s="187"/>
      <c r="AG30" s="187"/>
      <c r="AH30" s="187"/>
      <c r="AI30" s="187"/>
      <c r="AJ30" s="187"/>
      <c r="AK30" s="187"/>
      <c r="AL30" s="187"/>
      <c r="AM30" s="150"/>
      <c r="AN30" s="97">
        <f ca="1">TblProd[[#This Row],[Platinum]]</f>
        <v>242541</v>
      </c>
      <c r="AO30" s="97">
        <f ca="1">INDEX(TblProd[[#Headers],[Lumber]]:TblProd[[#This Row],[Ore]],COUNTA(TblProd[[#Headers],[Lumber]]:TblProd[[#This Row],[Lumber]]),MATCH(Military!$AO$2,TblProd[[#Headers],[Lumber]:[Ore]],0))</f>
        <v>0</v>
      </c>
      <c r="AP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97">
        <f ca="1">TblMili[[#This Row],[Train Unit 1]]*TblMili[[#This Row],[OP Ore]]+TblMili[[#This Row],[Train Unit 2]]*TblMili[[#This Row],[DP Ore]]+TblMili[[#This Row],[Train Unit 3]]*TblMili[[#This Row],[E1 Ore]]+TblMili[[#This Row],[Train Unit 4]]*TblMili[[#This Row],[E2 Ore]]</f>
        <v>0</v>
      </c>
      <c r="AR30" s="150">
        <f>TblMili[[#This Row],[Hour]]</f>
        <v>27</v>
      </c>
      <c r="AS30" s="160">
        <f ca="1">TblMili[[#This Row],[Time]]</f>
        <v>44811.83333333327</v>
      </c>
      <c r="AT30" s="97">
        <f ca="1">TblMili[[#This Row],[Draftees]]</f>
        <v>515</v>
      </c>
      <c r="AU30" s="187"/>
      <c r="AV30" s="187"/>
      <c r="AW30" s="187"/>
      <c r="AX30" s="187"/>
      <c r="AY30" s="187"/>
      <c r="AZ30" s="187"/>
      <c r="BA30" s="187"/>
      <c r="BB30" s="187"/>
      <c r="BC30" s="150"/>
      <c r="BD30" s="165">
        <f ca="1">TblConstr[[#This Row],[Tot WG]]/TblConstr[[#This Row],[Land]]</f>
        <v>0</v>
      </c>
      <c r="BE30" s="165">
        <f ca="1">TblConstr[[#This Row],[Tot Hav]]/TblConstr[[#This Row],[Land]]</f>
        <v>0</v>
      </c>
      <c r="BF30" s="97">
        <f ca="1">ROUNDUP((1-MIN(TblMili[[#This Row],[Smithies]]*smithy_bonus,smithy_bonus_cap) + tech_3_5*TblTech[[#This Row],[3-5]] + tech_5_3*TblTech[[#This Row],[5-3]] + tech_5_5*TblTech[[#This Row],[5-5]])*spec_op_plat,0)</f>
        <v>275</v>
      </c>
      <c r="BG30" s="97">
        <f ca="1">ROUNDUP(IF(race="Gnome",1,(1-MIN(TblMili[[#This Row],[Smithies]]*smithy_bonus,smithy_bonus_cap) + tech_3_5*TblTech[[#This Row],[3-5]] + tech_5_3*TblTech[[#This Row],[5-3]] + tech_5_5*TblTech[[#This Row],[5-5]]))*spec_op_ore,0)</f>
        <v>25</v>
      </c>
      <c r="BH30" s="97">
        <f ca="1">ROUNDUP((1-MIN(TblMili[[#This Row],[Smithies]]*smithy_bonus,smithy_bonus_cap) + tech_3_5*TblTech[[#This Row],[3-5]] + tech_5_3*TblTech[[#This Row],[5-3]] + tech_5_5*TblTech[[#This Row],[5-5]])*spec_dp_plat,0)</f>
        <v>275</v>
      </c>
      <c r="BI30" s="97">
        <f ca="1">ROUNDUP(IF(race="Gnome",1,(1-MIN(TblMili[[#This Row],[Smithies]]*smithy_bonus,smithy_bonus_cap) + tech_3_5*TblTech[[#This Row],[3-5]] + tech_5_3*TblTech[[#This Row],[5-3]] + tech_5_5*TblTech[[#This Row],[5-5]]))*spec_dp_ore,0)</f>
        <v>15</v>
      </c>
      <c r="BJ30" s="97">
        <f ca="1">ROUNDUP((1-MIN(TblMili[[#This Row],[Smithies]]*smithy_bonus,smithy_bonus_cap) + tech_3_5*TblTech[[#This Row],[3-5]] + tech_5_3*TblTech[[#This Row],[5-3]] + tech_5_5*TblTech[[#This Row],[5-5]])*elite1_plat,0)</f>
        <v>1000</v>
      </c>
      <c r="BK30" s="97">
        <f ca="1">ROUNDUP(IF(race="Gnome",1,(1-MIN(TblMili[[#This Row],[Smithies]]*smithy_bonus,smithy_bonus_cap) + tech_3_5*TblTech[[#This Row],[3-5]] + tech_5_3*TblTech[[#This Row],[5-3]] + tech_5_5*TblTech[[#This Row],[5-5]]))*elite1_ore,0)</f>
        <v>75</v>
      </c>
      <c r="BL30" s="97">
        <f ca="1">ROUNDUP((1-MIN(TblMili[[#This Row],[Smithies]]*smithy_bonus,smithy_bonus_cap) + tech_3_5*TblTech[[#This Row],[3-5]] + tech_5_3*TblTech[[#This Row],[5-3]] + tech_5_5*TblTech[[#This Row],[5-5]])*elite2_plat,0)</f>
        <v>1200</v>
      </c>
      <c r="BM30" s="97">
        <f ca="1">ROUNDUP(IF(race="Gnome",1,(1-MIN(TblMili[[#This Row],[Smithies]]*smithy_bonus,smithy_bonus_cap) + tech_3_5*TblTech[[#This Row],[3-5]] + tech_5_3*TblTech[[#This Row],[5-3]] + tech_5_5*TblTech[[#This Row],[5-5]]))*elite2_ore,0)</f>
        <v>100</v>
      </c>
      <c r="BN30" s="97">
        <f ca="1">ROUNDUP((1-MIN(ROUND(fh_spy_cost_red*TblMili[[#This Row],[FH''s]],4),fh_spy_cost_cap)+ tech_1_9*TblTech[[#This Row],[1-9]] + tech_9_1*TblTech[[#This Row],[9-1]])*spy_plat,0)</f>
        <v>500</v>
      </c>
      <c r="BO30" s="97">
        <f ca="1">ROUNDUP((1-MIN(ROUND(wg_wiz_cost_bonus*TblMili[[#This Row],[WG''s]],4),wg_wiz_cost_cap) + tech_1_9_2*TblTech[[#This Row],[1-9]] + tech_9_1_2*TblTech[[#This Row],[9-1]])*wizard_plat,0)</f>
        <v>500</v>
      </c>
      <c r="BP30" s="97">
        <f ca="1">ROUNDUP((1-MIN(ROUND(wg_wiz_cost_bonus*TblMili[[#This Row],[WG''s]],4),wg_wiz_cost_cap) + tech_1_9_2*TblTech[[#This Row],[1-9]] + tech_9_1_2*TblTech[[#This Row],[9-1]])*archmage_plat,0)</f>
        <v>1000</v>
      </c>
      <c r="BQ30" s="150"/>
      <c r="BR30" s="165">
        <f ca="1">TblConstr[[#This Row],[Homeland]]/TblConstr[[#This Row],[Land]]</f>
        <v>0.44</v>
      </c>
      <c r="BS30" s="165">
        <f ca="1">TblMili[[#This Row],[WG''s]]</f>
        <v>0</v>
      </c>
      <c r="BT30" s="271">
        <f ca="1">IF(mystic_cap="none",TblMili[[#This Row],[Hill]]/mystic_bonus,MIN(mystic_cap,TblMili[[#This Row],[Hill]]/mystic_bonus))</f>
        <v>2.1999999999999997</v>
      </c>
      <c r="BU30" s="271">
        <f ca="1">IF(druid_op_cap="none",TblMili[[#This Row],[Hill]]/druid_op_bonus,MIN(druid_op_cap,TblMili[[#This Row],[Hill]]/druid_op_bonus))</f>
        <v>2.1999999999999997</v>
      </c>
      <c r="BV30" s="271">
        <f ca="1">IF(druid_dp_cap="none",TblMili[[#This Row],[Hill]]/druid_dp_bonus,MIN(druid_dp_cap,TblMili[[#This Row],[Hill]]/druid_dp_bonus))</f>
        <v>2.1999999999999997</v>
      </c>
      <c r="BW30" s="271">
        <f ca="1">MIN(dryad_cap,TblMili[[#This Row],[Hill]]/dryad_bonus)</f>
        <v>2.1999999999999997</v>
      </c>
      <c r="BX30" s="271">
        <f ca="1">MIN(rocka_cap,TblMili[[#This Row],[Hill]]/rocka_bonus)</f>
        <v>2</v>
      </c>
      <c r="BY30" s="271">
        <f ca="1">MIN(adept_op_cap,TblMili[[#This Row],[WG]]/adept_op_bonus)</f>
        <v>0</v>
      </c>
      <c r="BZ30" s="271">
        <f ca="1">MIN(adept_dp_cap,TblMili[[#This Row],[WG]]/adept_dp_bonus)</f>
        <v>0</v>
      </c>
      <c r="CA30" s="97">
        <f ca="1">MIN(TblMili[[#This Row],[Unit 3]],TblMili[[#This Row],[Unit 4]])*2</f>
        <v>0</v>
      </c>
      <c r="CB30" s="97">
        <f ca="1">MIN(TblMili[[#This Row],[Unit 1]],TblMili[[#This Row],[Unit 4]])*2</f>
        <v>0</v>
      </c>
      <c r="CC30" s="271">
        <f ca="1">MIN(frost_mage_cap,TblMili[[#This Row],[Hill]]/frost_mage_bonus)</f>
        <v>2.1999999999999997</v>
      </c>
      <c r="CD30" s="45">
        <f ca="1">MIN(ice_elem_cap,TblMili[[#This Row],[Raw (2)]]*ice_elem_bonus)</f>
        <v>0.1</v>
      </c>
      <c r="CE30" s="271">
        <f t="shared" si="0"/>
        <v>1</v>
      </c>
      <c r="CF30" s="271">
        <f ca="1">MIN(nox_nightshade_cap,TblConstr[[#This Row],[Homeland]]/TblConstr[[#This Row],[Land]]/nox_nightshade_swamp_bonus)</f>
        <v>3</v>
      </c>
      <c r="CG30" s="272"/>
      <c r="CH30" s="272"/>
      <c r="CI30" s="272"/>
      <c r="CJ30" s="271">
        <f ca="1">MIN(6,TblMili[[#This Row],[Mystic]]+Races!$F$19)*1.8 +  IF(TblMili[[#This Row],[Mystic]]+Races!$F$19&gt;6,(TblMili[[#This Row],[Mystic]]+Races!$F$19-6)*0.2,0) - Races!$I$19</f>
        <v>3.6399999999999997</v>
      </c>
      <c r="CK3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97">
        <f ca="1">TblMili[[#This Row],[Mystic bonus]]*TblMili[[#This Row],[Unit 3]]+TblMili[[#This Row],[Druid bonus]]*TblMili[[#This Row],[Unit 4]]</f>
        <v>0</v>
      </c>
      <c r="CM30" s="163">
        <f ca="1">MIN(6,TblMili[[#This Row],[Dryad]]+Races!$F$35)*1.8 +  IF(TblMili[[#This Row],[Dryad]]+Races!$F$35&gt;6,(TblMili[[#This Row],[Dryad]]+Races!$F$35-6)*0.2,0) - Races!$I$19</f>
        <v>2.1599999999999993</v>
      </c>
      <c r="CN30" s="97">
        <f ca="1">sylvan*(TblMili[[#This Row],[Mystic bonus]]*TblMili[[#This Row],[Unit 3]])</f>
        <v>0</v>
      </c>
      <c r="CO30" s="163">
        <f ca="1">1.8 * MIN(MAX(Races!$E$27,TblMili[[#This Row],[Rockapult]]+Races!$F$27),6)  +  0.45 * MIN(MIN(Races!$E$27,TblMili[[#This Row],[Rockapult]]+Races!$F$27),6)  +  0.2 * ( MAX(Races!$E$27-6,0) + MAX(TblMili[[#This Row],[Rockapult]]+Races!$F$27-6,0) )  -  Races!$I$20</f>
        <v>5.8500000000000005</v>
      </c>
      <c r="CP30" s="97">
        <f ca="1">gnome*(TblMili[[#This Row],[Rockapult bonus]]*TblMili[[#This Row],[Unit 3]])</f>
        <v>0</v>
      </c>
      <c r="CQ30" s="163">
        <f ca="1">1.8 * MIN(MAX(TblMili[[#This Row],[Spellblade]]+Races!$E$47,TblMili[[#This Row],[Adept-DP]]+Races!$F$47),6)  +  0.45 * MIN(MIN(TblMili[[#This Row],[Spellblade]]+Races!$E$47,TblMili[[#This Row],[Adept-DP]]+Races!$F$47),6)  +  0.2 * ( MAX(TblMili[[#This Row],[Spellblade]]+Races!$E$47-6,0) + MAX(TblMili[[#This Row],[Adept-DP]]+Races!$F$47-6,0) )  -  Races!$I$47</f>
        <v>0</v>
      </c>
      <c r="CR30" s="97">
        <f ca="1">dark_elf*(TblMili[[#This Row],[Adept bonus]]*TblMili[[#This Row],[Unit 3]])</f>
        <v>0</v>
      </c>
      <c r="CS30" s="163">
        <f ca="1">1.8 * MIN(MAX(TblMili[[#This Row],[Frost Mage]]+Races!$F$71,Races!$E$71),6)  +  0.45 * MIN(MIN(TblMili[[#This Row],[Frost Mage]]+Races!$F$71,Races!$E$71),6)  +  0.2 * ( MAX(TblMili[[#This Row],[Frost Mage]]+Races!$F$71-6,0) + MAX(Races!$E$71-6,0) )  -  Races!$I$71</f>
        <v>3.9599999999999991</v>
      </c>
      <c r="CT30" s="163">
        <f ca="1">1.8 * MIN(MAX(TblMili[[#This Row],[Ice Elemental]]+Races!$E$71,Races!$F$71),6)  +  0.45 * MIN(MIN(TblMili[[#This Row],[Ice Elemental]]+Races!$E$71,Races!$F$71),6)  +  0.2 * ( MAX(TblMili[[#This Row],[Ice Elemental]]+Races!$E$71-6,0) + MAX(Races!$F$71-6,0) )  -  Races!$I$71</f>
        <v>0.17999999999999972</v>
      </c>
      <c r="CU30" s="97">
        <f ca="1">TblMili[[#This Row],[Frost Mage bonus]]*TblMili[[#This Row],[Unit 3]]+TblMili[[#This Row],[Ice Elemental bonus]]*TblMili[[#This Row],[Unit 4]]</f>
        <v>0</v>
      </c>
      <c r="CV30" s="273"/>
      <c r="CW30" s="151">
        <f ca="1">MIN(SUM(TblConstr[[#This Row],[Plain]:[Water]])/TblMili[[#This Row],[Land]]/favorable_terrain_bonus/100,favorable_terrain_max)</f>
        <v>0.1</v>
      </c>
      <c r="CX30" s="273"/>
      <c r="CY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50"/>
      <c r="DA30" s="274">
        <f ca="1">(TblMili[[#This Row],[Wizards]]+2*TblMili[[#This Row],[Archmages]])/TblConstr[[#This Row],[Land]]</f>
        <v>0.1</v>
      </c>
      <c r="DB30" s="274">
        <f ca="1">TblMili[[#This Row],[Raw (2)]]*(1+race_wizard_strength+IF(TblMili[[#This Row],[Hour]]&gt;72,tech_magical_weaponry_wiz*TblTech[[#This Row],[3-5]],0))</f>
        <v>0.1</v>
      </c>
    </row>
    <row r="31" spans="1:106" x14ac:dyDescent="0.2">
      <c r="A31" s="145">
        <f>TblRezone[[#This Row],[Hour]]</f>
        <v>28</v>
      </c>
      <c r="B31" s="266">
        <f ca="1">SUM(TblMili[[#This Row],[Unit 1]:[Archmages]])+SUM(OFFSET(TblMili[[#This Row],[Train Unit 1]],-8,0):TblMili[[#This Row],[Train Unit 2]]) + SUM(OFFSET(TblMili[[#This Row],[Train Unit 3]],-11,0):TblMili[[#This Row],[Train Arch]]) + TblMili[[#This Row],[Draftees]]</f>
        <v>731</v>
      </c>
      <c r="C31" s="165">
        <f ca="1">TblPop[[#This Row],[Military%]]</f>
        <v>0.31000848176420698</v>
      </c>
      <c r="D31" s="150"/>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f>
        <v>25</v>
      </c>
      <c r="J31" s="45">
        <f ca="1">OFFSET(TblMili[[#This Row],[Wizards]],-1,0) + OFFSET(TblMili[[#This Row],[Train Wiz]],-12,0) - TblMili[[#This Row],[Release Wizards]]-TblMili[[#This Row],[Train Arch]]</f>
        <v>25</v>
      </c>
      <c r="K31" s="45">
        <f ca="1">OFFSET(TblMili[[#This Row],[Archmages]],-1,0) + OFFSET(TblMili[[#This Row],[Train Arch]],-12,0) - TblMili[[#This Row],[Release Arch]]</f>
        <v>0</v>
      </c>
      <c r="L31" s="150"/>
      <c r="M31" s="97">
        <f ca="1">TblProd[[#This Row],[Networth]]</f>
        <v>6450</v>
      </c>
      <c r="N31" s="150"/>
      <c r="O31" s="267">
        <f ca="1">TblMili[[#This Row],[Unit 1]]*spec_op+TblMili[[#This Row],[Unit 3]]*(elite1_base_op)+TblMili[[#This Row],[Unit 4]]*(elite2_base_op+dark_elf*TblMili[[#This Row],[Spellblade]]+icekin*TblMili[[#This Row],[Ice Elemental]]+woodie*TblMili[[#This Row],[Druid (op)]]+orc*TblMili[[#This Row],[Orc]])+kobold*TblMili[[#This Row],[Overlords]]</f>
        <v>0</v>
      </c>
      <c r="P3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1" s="267">
        <f ca="1">TblMili[[#This Row],[Raw]]*(1+TblMili[[#This Row],[Mods_Off]])</f>
        <v>0</v>
      </c>
      <c r="R3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1" s="267">
        <f ca="1">TblMili[[#This Row],[Non Draft]]+TblMili[[#This Row],[Draftees]]</f>
        <v>981</v>
      </c>
      <c r="T3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269">
        <f ca="1">TblMili[[#This Row],[Non Draft]] * (1 + TblMili[[#This Row],[Mods_Def]])</f>
        <v>450</v>
      </c>
      <c r="V31" s="267">
        <f ca="1">TblMili[[#This Row],[Draft]] * (1 + TblMili[[#This Row],[Mods_Def]])</f>
        <v>981</v>
      </c>
      <c r="W31" s="267">
        <f ca="1">TblConstr[[#This Row],[Land]]</f>
        <v>250</v>
      </c>
      <c r="X31" s="270"/>
      <c r="Y31" s="275">
        <f ca="1">IF(TblMili[[#This Row],[Set]]&lt;&gt;"",TblMili[[#This Row],[Set]],OFFSET(TblMili[[#This Row],[Draftrate]],-1,0))</f>
        <v>0.35</v>
      </c>
      <c r="Z31" s="97">
        <f ca="1">OFFSET(TblMili[[#This Row],[Draftees]],-1,0)+OFFSET(TblPop[[#This Row],[Draft Growth]],-1,0) - SUM(TblMili[[#This Row],[Train Unit 1]:[Train Wiz]]) - TblMili[[#This Row],[Release Draft]] + SUM(TblMili[[#This Row],[Release Unit 1]:[Release Arch]]) -TblExplore[[#This Row],[Draftees (2)]]</f>
        <v>531</v>
      </c>
      <c r="AA31" s="162"/>
      <c r="AB31" s="188">
        <f ca="1">(TblConstr[[#This Row],[Tot Smi]]+TblConstr[[#This Row],[Dest Smi]])/(TblConstr[[#This Row],[Land]]-TblExplore[[#This Row],[Land Bonus]]*20)</f>
        <v>0</v>
      </c>
      <c r="AC31" s="145"/>
      <c r="AD31" s="266">
        <f>TblMili[[#This Row],[Hour]]</f>
        <v>28</v>
      </c>
      <c r="AE31" s="146">
        <f ca="1">TblExplore[[#This Row],[Time]]</f>
        <v>44811.874999999935</v>
      </c>
      <c r="AF31" s="187"/>
      <c r="AG31" s="187"/>
      <c r="AH31" s="187"/>
      <c r="AI31" s="187"/>
      <c r="AJ31" s="187"/>
      <c r="AK31" s="187"/>
      <c r="AL31" s="187"/>
      <c r="AM31" s="150"/>
      <c r="AN31" s="97">
        <f ca="1">TblProd[[#This Row],[Platinum]]</f>
        <v>248211</v>
      </c>
      <c r="AO31" s="97">
        <f ca="1">INDEX(TblProd[[#Headers],[Lumber]]:TblProd[[#This Row],[Ore]],COUNTA(TblProd[[#Headers],[Lumber]]:TblProd[[#This Row],[Lumber]]),MATCH(Military!$AO$2,TblProd[[#Headers],[Lumber]:[Ore]],0))</f>
        <v>0</v>
      </c>
      <c r="AP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97">
        <f ca="1">TblMili[[#This Row],[Train Unit 1]]*TblMili[[#This Row],[OP Ore]]+TblMili[[#This Row],[Train Unit 2]]*TblMili[[#This Row],[DP Ore]]+TblMili[[#This Row],[Train Unit 3]]*TblMili[[#This Row],[E1 Ore]]+TblMili[[#This Row],[Train Unit 4]]*TblMili[[#This Row],[E2 Ore]]</f>
        <v>0</v>
      </c>
      <c r="AR31" s="150">
        <f>TblMili[[#This Row],[Hour]]</f>
        <v>28</v>
      </c>
      <c r="AS31" s="160">
        <f ca="1">TblMili[[#This Row],[Time]]</f>
        <v>44811.874999999935</v>
      </c>
      <c r="AT31" s="97">
        <f ca="1">TblMili[[#This Row],[Draftees]]</f>
        <v>531</v>
      </c>
      <c r="AU31" s="187"/>
      <c r="AV31" s="187"/>
      <c r="AW31" s="187"/>
      <c r="AX31" s="187"/>
      <c r="AY31" s="187"/>
      <c r="AZ31" s="187"/>
      <c r="BA31" s="187"/>
      <c r="BB31" s="187"/>
      <c r="BC31" s="150"/>
      <c r="BD31" s="165">
        <f ca="1">TblConstr[[#This Row],[Tot WG]]/TblConstr[[#This Row],[Land]]</f>
        <v>0</v>
      </c>
      <c r="BE31" s="165">
        <f ca="1">TblConstr[[#This Row],[Tot Hav]]/TblConstr[[#This Row],[Land]]</f>
        <v>0</v>
      </c>
      <c r="BF31" s="97">
        <f ca="1">ROUNDUP((1-MIN(TblMili[[#This Row],[Smithies]]*smithy_bonus,smithy_bonus_cap) + tech_3_5*TblTech[[#This Row],[3-5]] + tech_5_3*TblTech[[#This Row],[5-3]] + tech_5_5*TblTech[[#This Row],[5-5]])*spec_op_plat,0)</f>
        <v>275</v>
      </c>
      <c r="BG31" s="97">
        <f ca="1">ROUNDUP(IF(race="Gnome",1,(1-MIN(TblMili[[#This Row],[Smithies]]*smithy_bonus,smithy_bonus_cap) + tech_3_5*TblTech[[#This Row],[3-5]] + tech_5_3*TblTech[[#This Row],[5-3]] + tech_5_5*TblTech[[#This Row],[5-5]]))*spec_op_ore,0)</f>
        <v>25</v>
      </c>
      <c r="BH31" s="97">
        <f ca="1">ROUNDUP((1-MIN(TblMili[[#This Row],[Smithies]]*smithy_bonus,smithy_bonus_cap) + tech_3_5*TblTech[[#This Row],[3-5]] + tech_5_3*TblTech[[#This Row],[5-3]] + tech_5_5*TblTech[[#This Row],[5-5]])*spec_dp_plat,0)</f>
        <v>275</v>
      </c>
      <c r="BI31" s="97">
        <f ca="1">ROUNDUP(IF(race="Gnome",1,(1-MIN(TblMili[[#This Row],[Smithies]]*smithy_bonus,smithy_bonus_cap) + tech_3_5*TblTech[[#This Row],[3-5]] + tech_5_3*TblTech[[#This Row],[5-3]] + tech_5_5*TblTech[[#This Row],[5-5]]))*spec_dp_ore,0)</f>
        <v>15</v>
      </c>
      <c r="BJ31" s="97">
        <f ca="1">ROUNDUP((1-MIN(TblMili[[#This Row],[Smithies]]*smithy_bonus,smithy_bonus_cap) + tech_3_5*TblTech[[#This Row],[3-5]] + tech_5_3*TblTech[[#This Row],[5-3]] + tech_5_5*TblTech[[#This Row],[5-5]])*elite1_plat,0)</f>
        <v>1000</v>
      </c>
      <c r="BK31" s="97">
        <f ca="1">ROUNDUP(IF(race="Gnome",1,(1-MIN(TblMili[[#This Row],[Smithies]]*smithy_bonus,smithy_bonus_cap) + tech_3_5*TblTech[[#This Row],[3-5]] + tech_5_3*TblTech[[#This Row],[5-3]] + tech_5_5*TblTech[[#This Row],[5-5]]))*elite1_ore,0)</f>
        <v>75</v>
      </c>
      <c r="BL31" s="97">
        <f ca="1">ROUNDUP((1-MIN(TblMili[[#This Row],[Smithies]]*smithy_bonus,smithy_bonus_cap) + tech_3_5*TblTech[[#This Row],[3-5]] + tech_5_3*TblTech[[#This Row],[5-3]] + tech_5_5*TblTech[[#This Row],[5-5]])*elite2_plat,0)</f>
        <v>1200</v>
      </c>
      <c r="BM31" s="97">
        <f ca="1">ROUNDUP(IF(race="Gnome",1,(1-MIN(TblMili[[#This Row],[Smithies]]*smithy_bonus,smithy_bonus_cap) + tech_3_5*TblTech[[#This Row],[3-5]] + tech_5_3*TblTech[[#This Row],[5-3]] + tech_5_5*TblTech[[#This Row],[5-5]]))*elite2_ore,0)</f>
        <v>100</v>
      </c>
      <c r="BN31" s="97">
        <f ca="1">ROUNDUP((1-MIN(ROUND(fh_spy_cost_red*TblMili[[#This Row],[FH''s]],4),fh_spy_cost_cap)+ tech_1_9*TblTech[[#This Row],[1-9]] + tech_9_1*TblTech[[#This Row],[9-1]])*spy_plat,0)</f>
        <v>500</v>
      </c>
      <c r="BO31" s="97">
        <f ca="1">ROUNDUP((1-MIN(ROUND(wg_wiz_cost_bonus*TblMili[[#This Row],[WG''s]],4),wg_wiz_cost_cap) + tech_1_9_2*TblTech[[#This Row],[1-9]] + tech_9_1_2*TblTech[[#This Row],[9-1]])*wizard_plat,0)</f>
        <v>500</v>
      </c>
      <c r="BP31" s="97">
        <f ca="1">ROUNDUP((1-MIN(ROUND(wg_wiz_cost_bonus*TblMili[[#This Row],[WG''s]],4),wg_wiz_cost_cap) + tech_1_9_2*TblTech[[#This Row],[1-9]] + tech_9_1_2*TblTech[[#This Row],[9-1]])*archmage_plat,0)</f>
        <v>1000</v>
      </c>
      <c r="BQ31" s="150"/>
      <c r="BR31" s="165">
        <f ca="1">TblConstr[[#This Row],[Homeland]]/TblConstr[[#This Row],[Land]]</f>
        <v>0.44</v>
      </c>
      <c r="BS31" s="165">
        <f ca="1">TblMili[[#This Row],[WG''s]]</f>
        <v>0</v>
      </c>
      <c r="BT31" s="271">
        <f ca="1">IF(mystic_cap="none",TblMili[[#This Row],[Hill]]/mystic_bonus,MIN(mystic_cap,TblMili[[#This Row],[Hill]]/mystic_bonus))</f>
        <v>2.1999999999999997</v>
      </c>
      <c r="BU31" s="271">
        <f ca="1">IF(druid_op_cap="none",TblMili[[#This Row],[Hill]]/druid_op_bonus,MIN(druid_op_cap,TblMili[[#This Row],[Hill]]/druid_op_bonus))</f>
        <v>2.1999999999999997</v>
      </c>
      <c r="BV31" s="271">
        <f ca="1">IF(druid_dp_cap="none",TblMili[[#This Row],[Hill]]/druid_dp_bonus,MIN(druid_dp_cap,TblMili[[#This Row],[Hill]]/druid_dp_bonus))</f>
        <v>2.1999999999999997</v>
      </c>
      <c r="BW31" s="271">
        <f ca="1">MIN(dryad_cap,TblMili[[#This Row],[Hill]]/dryad_bonus)</f>
        <v>2.1999999999999997</v>
      </c>
      <c r="BX31" s="271">
        <f ca="1">MIN(rocka_cap,TblMili[[#This Row],[Hill]]/rocka_bonus)</f>
        <v>2</v>
      </c>
      <c r="BY31" s="271">
        <f ca="1">MIN(adept_op_cap,TblMili[[#This Row],[WG]]/adept_op_bonus)</f>
        <v>0</v>
      </c>
      <c r="BZ31" s="271">
        <f ca="1">MIN(adept_dp_cap,TblMili[[#This Row],[WG]]/adept_dp_bonus)</f>
        <v>0</v>
      </c>
      <c r="CA31" s="97">
        <f ca="1">MIN(TblMili[[#This Row],[Unit 3]],TblMili[[#This Row],[Unit 4]])*2</f>
        <v>0</v>
      </c>
      <c r="CB31" s="97">
        <f ca="1">MIN(TblMili[[#This Row],[Unit 1]],TblMili[[#This Row],[Unit 4]])*2</f>
        <v>0</v>
      </c>
      <c r="CC31" s="271">
        <f ca="1">MIN(frost_mage_cap,TblMili[[#This Row],[Hill]]/frost_mage_bonus)</f>
        <v>2.1999999999999997</v>
      </c>
      <c r="CD31" s="45">
        <f ca="1">MIN(ice_elem_cap,TblMili[[#This Row],[Raw (2)]]*ice_elem_bonus)</f>
        <v>0.1</v>
      </c>
      <c r="CE31" s="271">
        <f t="shared" si="0"/>
        <v>1</v>
      </c>
      <c r="CF31" s="271">
        <f ca="1">MIN(nox_nightshade_cap,TblConstr[[#This Row],[Homeland]]/TblConstr[[#This Row],[Land]]/nox_nightshade_swamp_bonus)</f>
        <v>3</v>
      </c>
      <c r="CG31" s="272"/>
      <c r="CH31" s="272"/>
      <c r="CI31" s="272"/>
      <c r="CJ31" s="271">
        <f ca="1">MIN(6,TblMili[[#This Row],[Mystic]]+Races!$F$19)*1.8 +  IF(TblMili[[#This Row],[Mystic]]+Races!$F$19&gt;6,(TblMili[[#This Row],[Mystic]]+Races!$F$19-6)*0.2,0) - Races!$I$19</f>
        <v>3.6399999999999997</v>
      </c>
      <c r="CK3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97">
        <f ca="1">TblMili[[#This Row],[Mystic bonus]]*TblMili[[#This Row],[Unit 3]]+TblMili[[#This Row],[Druid bonus]]*TblMili[[#This Row],[Unit 4]]</f>
        <v>0</v>
      </c>
      <c r="CM31" s="163">
        <f ca="1">MIN(6,TblMili[[#This Row],[Dryad]]+Races!$F$35)*1.8 +  IF(TblMili[[#This Row],[Dryad]]+Races!$F$35&gt;6,(TblMili[[#This Row],[Dryad]]+Races!$F$35-6)*0.2,0) - Races!$I$19</f>
        <v>2.1599999999999993</v>
      </c>
      <c r="CN31" s="97">
        <f ca="1">sylvan*(TblMili[[#This Row],[Mystic bonus]]*TblMili[[#This Row],[Unit 3]])</f>
        <v>0</v>
      </c>
      <c r="CO31" s="163">
        <f ca="1">1.8 * MIN(MAX(Races!$E$27,TblMili[[#This Row],[Rockapult]]+Races!$F$27),6)  +  0.45 * MIN(MIN(Races!$E$27,TblMili[[#This Row],[Rockapult]]+Races!$F$27),6)  +  0.2 * ( MAX(Races!$E$27-6,0) + MAX(TblMili[[#This Row],[Rockapult]]+Races!$F$27-6,0) )  -  Races!$I$20</f>
        <v>5.8500000000000005</v>
      </c>
      <c r="CP31" s="97">
        <f ca="1">gnome*(TblMili[[#This Row],[Rockapult bonus]]*TblMili[[#This Row],[Unit 3]])</f>
        <v>0</v>
      </c>
      <c r="CQ31" s="163">
        <f ca="1">1.8 * MIN(MAX(TblMili[[#This Row],[Spellblade]]+Races!$E$47,TblMili[[#This Row],[Adept-DP]]+Races!$F$47),6)  +  0.45 * MIN(MIN(TblMili[[#This Row],[Spellblade]]+Races!$E$47,TblMili[[#This Row],[Adept-DP]]+Races!$F$47),6)  +  0.2 * ( MAX(TblMili[[#This Row],[Spellblade]]+Races!$E$47-6,0) + MAX(TblMili[[#This Row],[Adept-DP]]+Races!$F$47-6,0) )  -  Races!$I$47</f>
        <v>0</v>
      </c>
      <c r="CR31" s="97">
        <f ca="1">dark_elf*(TblMili[[#This Row],[Adept bonus]]*TblMili[[#This Row],[Unit 3]])</f>
        <v>0</v>
      </c>
      <c r="CS31" s="163">
        <f ca="1">1.8 * MIN(MAX(TblMili[[#This Row],[Frost Mage]]+Races!$F$71,Races!$E$71),6)  +  0.45 * MIN(MIN(TblMili[[#This Row],[Frost Mage]]+Races!$F$71,Races!$E$71),6)  +  0.2 * ( MAX(TblMili[[#This Row],[Frost Mage]]+Races!$F$71-6,0) + MAX(Races!$E$71-6,0) )  -  Races!$I$71</f>
        <v>3.9599999999999991</v>
      </c>
      <c r="CT31" s="163">
        <f ca="1">1.8 * MIN(MAX(TblMili[[#This Row],[Ice Elemental]]+Races!$E$71,Races!$F$71),6)  +  0.45 * MIN(MIN(TblMili[[#This Row],[Ice Elemental]]+Races!$E$71,Races!$F$71),6)  +  0.2 * ( MAX(TblMili[[#This Row],[Ice Elemental]]+Races!$E$71-6,0) + MAX(Races!$F$71-6,0) )  -  Races!$I$71</f>
        <v>0.17999999999999972</v>
      </c>
      <c r="CU31" s="97">
        <f ca="1">TblMili[[#This Row],[Frost Mage bonus]]*TblMili[[#This Row],[Unit 3]]+TblMili[[#This Row],[Ice Elemental bonus]]*TblMili[[#This Row],[Unit 4]]</f>
        <v>0</v>
      </c>
      <c r="CV31" s="273"/>
      <c r="CW31" s="151">
        <f ca="1">MIN(SUM(TblConstr[[#This Row],[Plain]:[Water]])/TblMili[[#This Row],[Land]]/favorable_terrain_bonus/100,favorable_terrain_max)</f>
        <v>0.1</v>
      </c>
      <c r="CX31" s="273"/>
      <c r="CY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50"/>
      <c r="DA31" s="274">
        <f ca="1">(TblMili[[#This Row],[Wizards]]+2*TblMili[[#This Row],[Archmages]])/TblConstr[[#This Row],[Land]]</f>
        <v>0.1</v>
      </c>
      <c r="DB31" s="274">
        <f ca="1">TblMili[[#This Row],[Raw (2)]]*(1+race_wizard_strength+IF(TblMili[[#This Row],[Hour]]&gt;72,tech_magical_weaponry_wiz*TblTech[[#This Row],[3-5]],0))</f>
        <v>0.1</v>
      </c>
    </row>
    <row r="32" spans="1:106" x14ac:dyDescent="0.2">
      <c r="A32" s="145">
        <f>TblRezone[[#This Row],[Hour]]</f>
        <v>29</v>
      </c>
      <c r="B32" s="266">
        <f ca="1">SUM(TblMili[[#This Row],[Unit 1]:[Archmages]])+SUM(OFFSET(TblMili[[#This Row],[Train Unit 1]],-8,0):TblMili[[#This Row],[Train Unit 2]]) + SUM(OFFSET(TblMili[[#This Row],[Train Unit 3]],-11,0):TblMili[[#This Row],[Train Arch]]) + TblMili[[#This Row],[Draftees]]</f>
        <v>747</v>
      </c>
      <c r="C32" s="165">
        <f ca="1">TblPop[[#This Row],[Military%]]</f>
        <v>0.31679389312977096</v>
      </c>
      <c r="D32" s="150"/>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f>
        <v>25</v>
      </c>
      <c r="J32" s="45">
        <f ca="1">OFFSET(TblMili[[#This Row],[Wizards]],-1,0) + OFFSET(TblMili[[#This Row],[Train Wiz]],-12,0) - TblMili[[#This Row],[Release Wizards]]-TblMili[[#This Row],[Train Arch]]</f>
        <v>25</v>
      </c>
      <c r="K32" s="45">
        <f ca="1">OFFSET(TblMili[[#This Row],[Archmages]],-1,0) + OFFSET(TblMili[[#This Row],[Train Arch]],-12,0) - TblMili[[#This Row],[Release Arch]]</f>
        <v>0</v>
      </c>
      <c r="L32" s="150"/>
      <c r="M32" s="97">
        <f ca="1">TblProd[[#This Row],[Networth]]</f>
        <v>6450</v>
      </c>
      <c r="N32" s="150"/>
      <c r="O32" s="267">
        <f ca="1">TblMili[[#This Row],[Unit 1]]*spec_op+TblMili[[#This Row],[Unit 3]]*(elite1_base_op)+TblMili[[#This Row],[Unit 4]]*(elite2_base_op+dark_elf*TblMili[[#This Row],[Spellblade]]+icekin*TblMili[[#This Row],[Ice Elemental]]+woodie*TblMili[[#This Row],[Druid (op)]]+orc*TblMili[[#This Row],[Orc]])+kobold*TblMili[[#This Row],[Overlords]]</f>
        <v>0</v>
      </c>
      <c r="P3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2" s="267">
        <f ca="1">TblMili[[#This Row],[Raw]]*(1+TblMili[[#This Row],[Mods_Off]])</f>
        <v>0</v>
      </c>
      <c r="R3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2" s="267">
        <f ca="1">TblMili[[#This Row],[Non Draft]]+TblMili[[#This Row],[Draftees]]</f>
        <v>997</v>
      </c>
      <c r="T3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269">
        <f ca="1">TblMili[[#This Row],[Non Draft]] * (1 + TblMili[[#This Row],[Mods_Def]])</f>
        <v>450</v>
      </c>
      <c r="V32" s="267">
        <f ca="1">TblMili[[#This Row],[Draft]] * (1 + TblMili[[#This Row],[Mods_Def]])</f>
        <v>997</v>
      </c>
      <c r="W32" s="267">
        <f ca="1">TblConstr[[#This Row],[Land]]</f>
        <v>250</v>
      </c>
      <c r="X32" s="270"/>
      <c r="Y32" s="275">
        <f ca="1">IF(TblMili[[#This Row],[Set]]&lt;&gt;"",TblMili[[#This Row],[Set]],OFFSET(TblMili[[#This Row],[Draftrate]],-1,0))</f>
        <v>0.35</v>
      </c>
      <c r="Z32" s="97">
        <f ca="1">OFFSET(TblMili[[#This Row],[Draftees]],-1,0)+OFFSET(TblPop[[#This Row],[Draft Growth]],-1,0) - SUM(TblMili[[#This Row],[Train Unit 1]:[Train Wiz]]) - TblMili[[#This Row],[Release Draft]] + SUM(TblMili[[#This Row],[Release Unit 1]:[Release Arch]]) -TblExplore[[#This Row],[Draftees (2)]]</f>
        <v>547</v>
      </c>
      <c r="AA32" s="162"/>
      <c r="AB32" s="188">
        <f ca="1">(TblConstr[[#This Row],[Tot Smi]]+TblConstr[[#This Row],[Dest Smi]])/(TblConstr[[#This Row],[Land]]-TblExplore[[#This Row],[Land Bonus]]*20)</f>
        <v>0</v>
      </c>
      <c r="AC32" s="145"/>
      <c r="AD32" s="266">
        <f>TblMili[[#This Row],[Hour]]</f>
        <v>29</v>
      </c>
      <c r="AE32" s="146">
        <f ca="1">TblExplore[[#This Row],[Time]]</f>
        <v>44811.916666666599</v>
      </c>
      <c r="AF32" s="187"/>
      <c r="AG32" s="187"/>
      <c r="AH32" s="187"/>
      <c r="AI32" s="187"/>
      <c r="AJ32" s="187"/>
      <c r="AK32" s="187"/>
      <c r="AL32" s="187"/>
      <c r="AM32" s="150"/>
      <c r="AN32" s="97">
        <f ca="1">TblProd[[#This Row],[Platinum]]</f>
        <v>253881</v>
      </c>
      <c r="AO32" s="97">
        <f ca="1">INDEX(TblProd[[#Headers],[Lumber]]:TblProd[[#This Row],[Ore]],COUNTA(TblProd[[#Headers],[Lumber]]:TblProd[[#This Row],[Lumber]]),MATCH(Military!$AO$2,TblProd[[#Headers],[Lumber]:[Ore]],0))</f>
        <v>0</v>
      </c>
      <c r="AP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97">
        <f ca="1">TblMili[[#This Row],[Train Unit 1]]*TblMili[[#This Row],[OP Ore]]+TblMili[[#This Row],[Train Unit 2]]*TblMili[[#This Row],[DP Ore]]+TblMili[[#This Row],[Train Unit 3]]*TblMili[[#This Row],[E1 Ore]]+TblMili[[#This Row],[Train Unit 4]]*TblMili[[#This Row],[E2 Ore]]</f>
        <v>0</v>
      </c>
      <c r="AR32" s="150">
        <f>TblMili[[#This Row],[Hour]]</f>
        <v>29</v>
      </c>
      <c r="AS32" s="160">
        <f ca="1">TblMili[[#This Row],[Time]]</f>
        <v>44811.916666666599</v>
      </c>
      <c r="AT32" s="97">
        <f ca="1">TblMili[[#This Row],[Draftees]]</f>
        <v>547</v>
      </c>
      <c r="AU32" s="187"/>
      <c r="AV32" s="187"/>
      <c r="AW32" s="187"/>
      <c r="AX32" s="187"/>
      <c r="AY32" s="187"/>
      <c r="AZ32" s="187"/>
      <c r="BA32" s="187"/>
      <c r="BB32" s="187"/>
      <c r="BC32" s="150"/>
      <c r="BD32" s="165">
        <f ca="1">TblConstr[[#This Row],[Tot WG]]/TblConstr[[#This Row],[Land]]</f>
        <v>0</v>
      </c>
      <c r="BE32" s="165">
        <f ca="1">TblConstr[[#This Row],[Tot Hav]]/TblConstr[[#This Row],[Land]]</f>
        <v>0</v>
      </c>
      <c r="BF32" s="97">
        <f ca="1">ROUNDUP((1-MIN(TblMili[[#This Row],[Smithies]]*smithy_bonus,smithy_bonus_cap) + tech_3_5*TblTech[[#This Row],[3-5]] + tech_5_3*TblTech[[#This Row],[5-3]] + tech_5_5*TblTech[[#This Row],[5-5]])*spec_op_plat,0)</f>
        <v>275</v>
      </c>
      <c r="BG32" s="97">
        <f ca="1">ROUNDUP(IF(race="Gnome",1,(1-MIN(TblMili[[#This Row],[Smithies]]*smithy_bonus,smithy_bonus_cap) + tech_3_5*TblTech[[#This Row],[3-5]] + tech_5_3*TblTech[[#This Row],[5-3]] + tech_5_5*TblTech[[#This Row],[5-5]]))*spec_op_ore,0)</f>
        <v>25</v>
      </c>
      <c r="BH32" s="97">
        <f ca="1">ROUNDUP((1-MIN(TblMili[[#This Row],[Smithies]]*smithy_bonus,smithy_bonus_cap) + tech_3_5*TblTech[[#This Row],[3-5]] + tech_5_3*TblTech[[#This Row],[5-3]] + tech_5_5*TblTech[[#This Row],[5-5]])*spec_dp_plat,0)</f>
        <v>275</v>
      </c>
      <c r="BI32" s="97">
        <f ca="1">ROUNDUP(IF(race="Gnome",1,(1-MIN(TblMili[[#This Row],[Smithies]]*smithy_bonus,smithy_bonus_cap) + tech_3_5*TblTech[[#This Row],[3-5]] + tech_5_3*TblTech[[#This Row],[5-3]] + tech_5_5*TblTech[[#This Row],[5-5]]))*spec_dp_ore,0)</f>
        <v>15</v>
      </c>
      <c r="BJ32" s="97">
        <f ca="1">ROUNDUP((1-MIN(TblMili[[#This Row],[Smithies]]*smithy_bonus,smithy_bonus_cap) + tech_3_5*TblTech[[#This Row],[3-5]] + tech_5_3*TblTech[[#This Row],[5-3]] + tech_5_5*TblTech[[#This Row],[5-5]])*elite1_plat,0)</f>
        <v>1000</v>
      </c>
      <c r="BK32" s="97">
        <f ca="1">ROUNDUP(IF(race="Gnome",1,(1-MIN(TblMili[[#This Row],[Smithies]]*smithy_bonus,smithy_bonus_cap) + tech_3_5*TblTech[[#This Row],[3-5]] + tech_5_3*TblTech[[#This Row],[5-3]] + tech_5_5*TblTech[[#This Row],[5-5]]))*elite1_ore,0)</f>
        <v>75</v>
      </c>
      <c r="BL32" s="97">
        <f ca="1">ROUNDUP((1-MIN(TblMili[[#This Row],[Smithies]]*smithy_bonus,smithy_bonus_cap) + tech_3_5*TblTech[[#This Row],[3-5]] + tech_5_3*TblTech[[#This Row],[5-3]] + tech_5_5*TblTech[[#This Row],[5-5]])*elite2_plat,0)</f>
        <v>1200</v>
      </c>
      <c r="BM32" s="97">
        <f ca="1">ROUNDUP(IF(race="Gnome",1,(1-MIN(TblMili[[#This Row],[Smithies]]*smithy_bonus,smithy_bonus_cap) + tech_3_5*TblTech[[#This Row],[3-5]] + tech_5_3*TblTech[[#This Row],[5-3]] + tech_5_5*TblTech[[#This Row],[5-5]]))*elite2_ore,0)</f>
        <v>100</v>
      </c>
      <c r="BN32" s="97">
        <f ca="1">ROUNDUP((1-MIN(ROUND(fh_spy_cost_red*TblMili[[#This Row],[FH''s]],4),fh_spy_cost_cap)+ tech_1_9*TblTech[[#This Row],[1-9]] + tech_9_1*TblTech[[#This Row],[9-1]])*spy_plat,0)</f>
        <v>500</v>
      </c>
      <c r="BO32" s="97">
        <f ca="1">ROUNDUP((1-MIN(ROUND(wg_wiz_cost_bonus*TblMili[[#This Row],[WG''s]],4),wg_wiz_cost_cap) + tech_1_9_2*TblTech[[#This Row],[1-9]] + tech_9_1_2*TblTech[[#This Row],[9-1]])*wizard_plat,0)</f>
        <v>500</v>
      </c>
      <c r="BP32" s="97">
        <f ca="1">ROUNDUP((1-MIN(ROUND(wg_wiz_cost_bonus*TblMili[[#This Row],[WG''s]],4),wg_wiz_cost_cap) + tech_1_9_2*TblTech[[#This Row],[1-9]] + tech_9_1_2*TblTech[[#This Row],[9-1]])*archmage_plat,0)</f>
        <v>1000</v>
      </c>
      <c r="BQ32" s="150"/>
      <c r="BR32" s="165">
        <f ca="1">TblConstr[[#This Row],[Homeland]]/TblConstr[[#This Row],[Land]]</f>
        <v>0.44</v>
      </c>
      <c r="BS32" s="165">
        <f ca="1">TblMili[[#This Row],[WG''s]]</f>
        <v>0</v>
      </c>
      <c r="BT32" s="271">
        <f ca="1">IF(mystic_cap="none",TblMili[[#This Row],[Hill]]/mystic_bonus,MIN(mystic_cap,TblMili[[#This Row],[Hill]]/mystic_bonus))</f>
        <v>2.1999999999999997</v>
      </c>
      <c r="BU32" s="271">
        <f ca="1">IF(druid_op_cap="none",TblMili[[#This Row],[Hill]]/druid_op_bonus,MIN(druid_op_cap,TblMili[[#This Row],[Hill]]/druid_op_bonus))</f>
        <v>2.1999999999999997</v>
      </c>
      <c r="BV32" s="271">
        <f ca="1">IF(druid_dp_cap="none",TblMili[[#This Row],[Hill]]/druid_dp_bonus,MIN(druid_dp_cap,TblMili[[#This Row],[Hill]]/druid_dp_bonus))</f>
        <v>2.1999999999999997</v>
      </c>
      <c r="BW32" s="271">
        <f ca="1">MIN(dryad_cap,TblMili[[#This Row],[Hill]]/dryad_bonus)</f>
        <v>2.1999999999999997</v>
      </c>
      <c r="BX32" s="271">
        <f ca="1">MIN(rocka_cap,TblMili[[#This Row],[Hill]]/rocka_bonus)</f>
        <v>2</v>
      </c>
      <c r="BY32" s="271">
        <f ca="1">MIN(adept_op_cap,TblMili[[#This Row],[WG]]/adept_op_bonus)</f>
        <v>0</v>
      </c>
      <c r="BZ32" s="271">
        <f ca="1">MIN(adept_dp_cap,TblMili[[#This Row],[WG]]/adept_dp_bonus)</f>
        <v>0</v>
      </c>
      <c r="CA32" s="97">
        <f ca="1">MIN(TblMili[[#This Row],[Unit 3]],TblMili[[#This Row],[Unit 4]])*2</f>
        <v>0</v>
      </c>
      <c r="CB32" s="97">
        <f ca="1">MIN(TblMili[[#This Row],[Unit 1]],TblMili[[#This Row],[Unit 4]])*2</f>
        <v>0</v>
      </c>
      <c r="CC32" s="271">
        <f ca="1">MIN(frost_mage_cap,TblMili[[#This Row],[Hill]]/frost_mage_bonus)</f>
        <v>2.1999999999999997</v>
      </c>
      <c r="CD32" s="45">
        <f ca="1">MIN(ice_elem_cap,TblMili[[#This Row],[Raw (2)]]*ice_elem_bonus)</f>
        <v>0.1</v>
      </c>
      <c r="CE32" s="271">
        <f t="shared" si="0"/>
        <v>1</v>
      </c>
      <c r="CF32" s="271">
        <f ca="1">MIN(nox_nightshade_cap,TblConstr[[#This Row],[Homeland]]/TblConstr[[#This Row],[Land]]/nox_nightshade_swamp_bonus)</f>
        <v>3</v>
      </c>
      <c r="CG32" s="272"/>
      <c r="CH32" s="272"/>
      <c r="CI32" s="272"/>
      <c r="CJ32" s="271">
        <f ca="1">MIN(6,TblMili[[#This Row],[Mystic]]+Races!$F$19)*1.8 +  IF(TblMili[[#This Row],[Mystic]]+Races!$F$19&gt;6,(TblMili[[#This Row],[Mystic]]+Races!$F$19-6)*0.2,0) - Races!$I$19</f>
        <v>3.6399999999999997</v>
      </c>
      <c r="CK3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97">
        <f ca="1">TblMili[[#This Row],[Mystic bonus]]*TblMili[[#This Row],[Unit 3]]+TblMili[[#This Row],[Druid bonus]]*TblMili[[#This Row],[Unit 4]]</f>
        <v>0</v>
      </c>
      <c r="CM32" s="163">
        <f ca="1">MIN(6,TblMili[[#This Row],[Dryad]]+Races!$F$35)*1.8 +  IF(TblMili[[#This Row],[Dryad]]+Races!$F$35&gt;6,(TblMili[[#This Row],[Dryad]]+Races!$F$35-6)*0.2,0) - Races!$I$19</f>
        <v>2.1599999999999993</v>
      </c>
      <c r="CN32" s="97">
        <f ca="1">sylvan*(TblMili[[#This Row],[Mystic bonus]]*TblMili[[#This Row],[Unit 3]])</f>
        <v>0</v>
      </c>
      <c r="CO32" s="163">
        <f ca="1">1.8 * MIN(MAX(Races!$E$27,TblMili[[#This Row],[Rockapult]]+Races!$F$27),6)  +  0.45 * MIN(MIN(Races!$E$27,TblMili[[#This Row],[Rockapult]]+Races!$F$27),6)  +  0.2 * ( MAX(Races!$E$27-6,0) + MAX(TblMili[[#This Row],[Rockapult]]+Races!$F$27-6,0) )  -  Races!$I$20</f>
        <v>5.8500000000000005</v>
      </c>
      <c r="CP32" s="97">
        <f ca="1">gnome*(TblMili[[#This Row],[Rockapult bonus]]*TblMili[[#This Row],[Unit 3]])</f>
        <v>0</v>
      </c>
      <c r="CQ32" s="163">
        <f ca="1">1.8 * MIN(MAX(TblMili[[#This Row],[Spellblade]]+Races!$E$47,TblMili[[#This Row],[Adept-DP]]+Races!$F$47),6)  +  0.45 * MIN(MIN(TblMili[[#This Row],[Spellblade]]+Races!$E$47,TblMili[[#This Row],[Adept-DP]]+Races!$F$47),6)  +  0.2 * ( MAX(TblMili[[#This Row],[Spellblade]]+Races!$E$47-6,0) + MAX(TblMili[[#This Row],[Adept-DP]]+Races!$F$47-6,0) )  -  Races!$I$47</f>
        <v>0</v>
      </c>
      <c r="CR32" s="97">
        <f ca="1">dark_elf*(TblMili[[#This Row],[Adept bonus]]*TblMili[[#This Row],[Unit 3]])</f>
        <v>0</v>
      </c>
      <c r="CS32" s="163">
        <f ca="1">1.8 * MIN(MAX(TblMili[[#This Row],[Frost Mage]]+Races!$F$71,Races!$E$71),6)  +  0.45 * MIN(MIN(TblMili[[#This Row],[Frost Mage]]+Races!$F$71,Races!$E$71),6)  +  0.2 * ( MAX(TblMili[[#This Row],[Frost Mage]]+Races!$F$71-6,0) + MAX(Races!$E$71-6,0) )  -  Races!$I$71</f>
        <v>3.9599999999999991</v>
      </c>
      <c r="CT32" s="163">
        <f ca="1">1.8 * MIN(MAX(TblMili[[#This Row],[Ice Elemental]]+Races!$E$71,Races!$F$71),6)  +  0.45 * MIN(MIN(TblMili[[#This Row],[Ice Elemental]]+Races!$E$71,Races!$F$71),6)  +  0.2 * ( MAX(TblMili[[#This Row],[Ice Elemental]]+Races!$E$71-6,0) + MAX(Races!$F$71-6,0) )  -  Races!$I$71</f>
        <v>0.17999999999999972</v>
      </c>
      <c r="CU32" s="97">
        <f ca="1">TblMili[[#This Row],[Frost Mage bonus]]*TblMili[[#This Row],[Unit 3]]+TblMili[[#This Row],[Ice Elemental bonus]]*TblMili[[#This Row],[Unit 4]]</f>
        <v>0</v>
      </c>
      <c r="CV32" s="273"/>
      <c r="CW32" s="151">
        <f ca="1">MIN(SUM(TblConstr[[#This Row],[Plain]:[Water]])/TblMili[[#This Row],[Land]]/favorable_terrain_bonus/100,favorable_terrain_max)</f>
        <v>0.1</v>
      </c>
      <c r="CX32" s="273"/>
      <c r="CY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50"/>
      <c r="DA32" s="274">
        <f ca="1">(TblMili[[#This Row],[Wizards]]+2*TblMili[[#This Row],[Archmages]])/TblConstr[[#This Row],[Land]]</f>
        <v>0.1</v>
      </c>
      <c r="DB32" s="274">
        <f ca="1">TblMili[[#This Row],[Raw (2)]]*(1+race_wizard_strength+IF(TblMili[[#This Row],[Hour]]&gt;72,tech_magical_weaponry_wiz*TblTech[[#This Row],[3-5]],0))</f>
        <v>0.1</v>
      </c>
    </row>
    <row r="33" spans="1:106" x14ac:dyDescent="0.2">
      <c r="A33" s="145">
        <f>TblRezone[[#This Row],[Hour]]</f>
        <v>30</v>
      </c>
      <c r="B33" s="266">
        <f ca="1">SUM(TblMili[[#This Row],[Unit 1]:[Archmages]])+SUM(OFFSET(TblMili[[#This Row],[Train Unit 1]],-8,0):TblMili[[#This Row],[Train Unit 2]]) + SUM(OFFSET(TblMili[[#This Row],[Train Unit 3]],-11,0):TblMili[[#This Row],[Train Arch]]) + TblMili[[#This Row],[Draftees]]</f>
        <v>763</v>
      </c>
      <c r="C33" s="165">
        <f ca="1">TblPop[[#This Row],[Military%]]</f>
        <v>0.32357930449533501</v>
      </c>
      <c r="D33" s="150"/>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f>
        <v>25</v>
      </c>
      <c r="J33" s="45">
        <f ca="1">OFFSET(TblMili[[#This Row],[Wizards]],-1,0) + OFFSET(TblMili[[#This Row],[Train Wiz]],-12,0) - TblMili[[#This Row],[Release Wizards]]-TblMili[[#This Row],[Train Arch]]</f>
        <v>25</v>
      </c>
      <c r="K33" s="45">
        <f ca="1">OFFSET(TblMili[[#This Row],[Archmages]],-1,0) + OFFSET(TblMili[[#This Row],[Train Arch]],-12,0) - TblMili[[#This Row],[Release Arch]]</f>
        <v>0</v>
      </c>
      <c r="L33" s="150"/>
      <c r="M33" s="97">
        <f ca="1">TblProd[[#This Row],[Networth]]</f>
        <v>6450</v>
      </c>
      <c r="N33" s="150"/>
      <c r="O33" s="267">
        <f ca="1">TblMili[[#This Row],[Unit 1]]*spec_op+TblMili[[#This Row],[Unit 3]]*(elite1_base_op)+TblMili[[#This Row],[Unit 4]]*(elite2_base_op+dark_elf*TblMili[[#This Row],[Spellblade]]+icekin*TblMili[[#This Row],[Ice Elemental]]+woodie*TblMili[[#This Row],[Druid (op)]]+orc*TblMili[[#This Row],[Orc]])+kobold*TblMili[[#This Row],[Overlords]]</f>
        <v>0</v>
      </c>
      <c r="P3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3" s="267">
        <f ca="1">TblMili[[#This Row],[Raw]]*(1+TblMili[[#This Row],[Mods_Off]])</f>
        <v>0</v>
      </c>
      <c r="R3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3" s="267">
        <f ca="1">TblMili[[#This Row],[Non Draft]]+TblMili[[#This Row],[Draftees]]</f>
        <v>1013</v>
      </c>
      <c r="T3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269">
        <f ca="1">TblMili[[#This Row],[Non Draft]] * (1 + TblMili[[#This Row],[Mods_Def]])</f>
        <v>450</v>
      </c>
      <c r="V33" s="267">
        <f ca="1">TblMili[[#This Row],[Draft]] * (1 + TblMili[[#This Row],[Mods_Def]])</f>
        <v>1013</v>
      </c>
      <c r="W33" s="267">
        <f ca="1">TblConstr[[#This Row],[Land]]</f>
        <v>250</v>
      </c>
      <c r="X33" s="270"/>
      <c r="Y33" s="275">
        <f ca="1">IF(TblMili[[#This Row],[Set]]&lt;&gt;"",TblMili[[#This Row],[Set]],OFFSET(TblMili[[#This Row],[Draftrate]],-1,0))</f>
        <v>0.35</v>
      </c>
      <c r="Z33" s="97">
        <f ca="1">OFFSET(TblMili[[#This Row],[Draftees]],-1,0)+OFFSET(TblPop[[#This Row],[Draft Growth]],-1,0) - SUM(TblMili[[#This Row],[Train Unit 1]:[Train Wiz]]) - TblMili[[#This Row],[Release Draft]] + SUM(TblMili[[#This Row],[Release Unit 1]:[Release Arch]]) -TblExplore[[#This Row],[Draftees (2)]]</f>
        <v>563</v>
      </c>
      <c r="AA33" s="162"/>
      <c r="AB33" s="188">
        <f ca="1">(TblConstr[[#This Row],[Tot Smi]]+TblConstr[[#This Row],[Dest Smi]])/(TblConstr[[#This Row],[Land]]-TblExplore[[#This Row],[Land Bonus]]*20)</f>
        <v>0</v>
      </c>
      <c r="AC33" s="145"/>
      <c r="AD33" s="266">
        <f>TblMili[[#This Row],[Hour]]</f>
        <v>30</v>
      </c>
      <c r="AE33" s="146">
        <f ca="1">TblExplore[[#This Row],[Time]]</f>
        <v>44811.958333333263</v>
      </c>
      <c r="AF33" s="187"/>
      <c r="AG33" s="187"/>
      <c r="AH33" s="187"/>
      <c r="AI33" s="187"/>
      <c r="AJ33" s="187"/>
      <c r="AK33" s="187"/>
      <c r="AL33" s="187"/>
      <c r="AM33" s="150"/>
      <c r="AN33" s="97">
        <f ca="1">TblProd[[#This Row],[Platinum]]</f>
        <v>259551</v>
      </c>
      <c r="AO33" s="97">
        <f ca="1">INDEX(TblProd[[#Headers],[Lumber]]:TblProd[[#This Row],[Ore]],COUNTA(TblProd[[#Headers],[Lumber]]:TblProd[[#This Row],[Lumber]]),MATCH(Military!$AO$2,TblProd[[#Headers],[Lumber]:[Ore]],0))</f>
        <v>0</v>
      </c>
      <c r="AP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97">
        <f ca="1">TblMili[[#This Row],[Train Unit 1]]*TblMili[[#This Row],[OP Ore]]+TblMili[[#This Row],[Train Unit 2]]*TblMili[[#This Row],[DP Ore]]+TblMili[[#This Row],[Train Unit 3]]*TblMili[[#This Row],[E1 Ore]]+TblMili[[#This Row],[Train Unit 4]]*TblMili[[#This Row],[E2 Ore]]</f>
        <v>0</v>
      </c>
      <c r="AR33" s="150">
        <f>TblMili[[#This Row],[Hour]]</f>
        <v>30</v>
      </c>
      <c r="AS33" s="160">
        <f ca="1">TblMili[[#This Row],[Time]]</f>
        <v>44811.958333333263</v>
      </c>
      <c r="AT33" s="97">
        <f ca="1">TblMili[[#This Row],[Draftees]]</f>
        <v>563</v>
      </c>
      <c r="AU33" s="187"/>
      <c r="AV33" s="187"/>
      <c r="AW33" s="187"/>
      <c r="AX33" s="187"/>
      <c r="AY33" s="187"/>
      <c r="AZ33" s="187"/>
      <c r="BA33" s="187"/>
      <c r="BB33" s="187"/>
      <c r="BC33" s="150"/>
      <c r="BD33" s="165">
        <f ca="1">TblConstr[[#This Row],[Tot WG]]/TblConstr[[#This Row],[Land]]</f>
        <v>0</v>
      </c>
      <c r="BE33" s="165">
        <f ca="1">TblConstr[[#This Row],[Tot Hav]]/TblConstr[[#This Row],[Land]]</f>
        <v>0</v>
      </c>
      <c r="BF33" s="97">
        <f ca="1">ROUNDUP((1-MIN(TblMili[[#This Row],[Smithies]]*smithy_bonus,smithy_bonus_cap) + tech_3_5*TblTech[[#This Row],[3-5]] + tech_5_3*TblTech[[#This Row],[5-3]] + tech_5_5*TblTech[[#This Row],[5-5]])*spec_op_plat,0)</f>
        <v>275</v>
      </c>
      <c r="BG33" s="97">
        <f ca="1">ROUNDUP(IF(race="Gnome",1,(1-MIN(TblMili[[#This Row],[Smithies]]*smithy_bonus,smithy_bonus_cap) + tech_3_5*TblTech[[#This Row],[3-5]] + tech_5_3*TblTech[[#This Row],[5-3]] + tech_5_5*TblTech[[#This Row],[5-5]]))*spec_op_ore,0)</f>
        <v>25</v>
      </c>
      <c r="BH33" s="97">
        <f ca="1">ROUNDUP((1-MIN(TblMili[[#This Row],[Smithies]]*smithy_bonus,smithy_bonus_cap) + tech_3_5*TblTech[[#This Row],[3-5]] + tech_5_3*TblTech[[#This Row],[5-3]] + tech_5_5*TblTech[[#This Row],[5-5]])*spec_dp_plat,0)</f>
        <v>275</v>
      </c>
      <c r="BI33" s="97">
        <f ca="1">ROUNDUP(IF(race="Gnome",1,(1-MIN(TblMili[[#This Row],[Smithies]]*smithy_bonus,smithy_bonus_cap) + tech_3_5*TblTech[[#This Row],[3-5]] + tech_5_3*TblTech[[#This Row],[5-3]] + tech_5_5*TblTech[[#This Row],[5-5]]))*spec_dp_ore,0)</f>
        <v>15</v>
      </c>
      <c r="BJ33" s="97">
        <f ca="1">ROUNDUP((1-MIN(TblMili[[#This Row],[Smithies]]*smithy_bonus,smithy_bonus_cap) + tech_3_5*TblTech[[#This Row],[3-5]] + tech_5_3*TblTech[[#This Row],[5-3]] + tech_5_5*TblTech[[#This Row],[5-5]])*elite1_plat,0)</f>
        <v>1000</v>
      </c>
      <c r="BK33" s="97">
        <f ca="1">ROUNDUP(IF(race="Gnome",1,(1-MIN(TblMili[[#This Row],[Smithies]]*smithy_bonus,smithy_bonus_cap) + tech_3_5*TblTech[[#This Row],[3-5]] + tech_5_3*TblTech[[#This Row],[5-3]] + tech_5_5*TblTech[[#This Row],[5-5]]))*elite1_ore,0)</f>
        <v>75</v>
      </c>
      <c r="BL33" s="97">
        <f ca="1">ROUNDUP((1-MIN(TblMili[[#This Row],[Smithies]]*smithy_bonus,smithy_bonus_cap) + tech_3_5*TblTech[[#This Row],[3-5]] + tech_5_3*TblTech[[#This Row],[5-3]] + tech_5_5*TblTech[[#This Row],[5-5]])*elite2_plat,0)</f>
        <v>1200</v>
      </c>
      <c r="BM33" s="97">
        <f ca="1">ROUNDUP(IF(race="Gnome",1,(1-MIN(TblMili[[#This Row],[Smithies]]*smithy_bonus,smithy_bonus_cap) + tech_3_5*TblTech[[#This Row],[3-5]] + tech_5_3*TblTech[[#This Row],[5-3]] + tech_5_5*TblTech[[#This Row],[5-5]]))*elite2_ore,0)</f>
        <v>100</v>
      </c>
      <c r="BN33" s="97">
        <f ca="1">ROUNDUP((1-MIN(ROUND(fh_spy_cost_red*TblMili[[#This Row],[FH''s]],4),fh_spy_cost_cap)+ tech_1_9*TblTech[[#This Row],[1-9]] + tech_9_1*TblTech[[#This Row],[9-1]])*spy_plat,0)</f>
        <v>500</v>
      </c>
      <c r="BO33" s="97">
        <f ca="1">ROUNDUP((1-MIN(ROUND(wg_wiz_cost_bonus*TblMili[[#This Row],[WG''s]],4),wg_wiz_cost_cap) + tech_1_9_2*TblTech[[#This Row],[1-9]] + tech_9_1_2*TblTech[[#This Row],[9-1]])*wizard_plat,0)</f>
        <v>500</v>
      </c>
      <c r="BP33" s="97">
        <f ca="1">ROUNDUP((1-MIN(ROUND(wg_wiz_cost_bonus*TblMili[[#This Row],[WG''s]],4),wg_wiz_cost_cap) + tech_1_9_2*TblTech[[#This Row],[1-9]] + tech_9_1_2*TblTech[[#This Row],[9-1]])*archmage_plat,0)</f>
        <v>1000</v>
      </c>
      <c r="BQ33" s="150"/>
      <c r="BR33" s="165">
        <f ca="1">TblConstr[[#This Row],[Homeland]]/TblConstr[[#This Row],[Land]]</f>
        <v>0.44</v>
      </c>
      <c r="BS33" s="165">
        <f ca="1">TblMili[[#This Row],[WG''s]]</f>
        <v>0</v>
      </c>
      <c r="BT33" s="271">
        <f ca="1">IF(mystic_cap="none",TblMili[[#This Row],[Hill]]/mystic_bonus,MIN(mystic_cap,TblMili[[#This Row],[Hill]]/mystic_bonus))</f>
        <v>2.1999999999999997</v>
      </c>
      <c r="BU33" s="271">
        <f ca="1">IF(druid_op_cap="none",TblMili[[#This Row],[Hill]]/druid_op_bonus,MIN(druid_op_cap,TblMili[[#This Row],[Hill]]/druid_op_bonus))</f>
        <v>2.1999999999999997</v>
      </c>
      <c r="BV33" s="271">
        <f ca="1">IF(druid_dp_cap="none",TblMili[[#This Row],[Hill]]/druid_dp_bonus,MIN(druid_dp_cap,TblMili[[#This Row],[Hill]]/druid_dp_bonus))</f>
        <v>2.1999999999999997</v>
      </c>
      <c r="BW33" s="271">
        <f ca="1">MIN(dryad_cap,TblMili[[#This Row],[Hill]]/dryad_bonus)</f>
        <v>2.1999999999999997</v>
      </c>
      <c r="BX33" s="271">
        <f ca="1">MIN(rocka_cap,TblMili[[#This Row],[Hill]]/rocka_bonus)</f>
        <v>2</v>
      </c>
      <c r="BY33" s="271">
        <f ca="1">MIN(adept_op_cap,TblMili[[#This Row],[WG]]/adept_op_bonus)</f>
        <v>0</v>
      </c>
      <c r="BZ33" s="271">
        <f ca="1">MIN(adept_dp_cap,TblMili[[#This Row],[WG]]/adept_dp_bonus)</f>
        <v>0</v>
      </c>
      <c r="CA33" s="97">
        <f ca="1">MIN(TblMili[[#This Row],[Unit 3]],TblMili[[#This Row],[Unit 4]])*2</f>
        <v>0</v>
      </c>
      <c r="CB33" s="97">
        <f ca="1">MIN(TblMili[[#This Row],[Unit 1]],TblMili[[#This Row],[Unit 4]])*2</f>
        <v>0</v>
      </c>
      <c r="CC33" s="271">
        <f ca="1">MIN(frost_mage_cap,TblMili[[#This Row],[Hill]]/frost_mage_bonus)</f>
        <v>2.1999999999999997</v>
      </c>
      <c r="CD33" s="45">
        <f ca="1">MIN(ice_elem_cap,TblMili[[#This Row],[Raw (2)]]*ice_elem_bonus)</f>
        <v>0.1</v>
      </c>
      <c r="CE33" s="271">
        <f t="shared" si="0"/>
        <v>1</v>
      </c>
      <c r="CF33" s="271">
        <f ca="1">MIN(nox_nightshade_cap,TblConstr[[#This Row],[Homeland]]/TblConstr[[#This Row],[Land]]/nox_nightshade_swamp_bonus)</f>
        <v>3</v>
      </c>
      <c r="CG33" s="272"/>
      <c r="CH33" s="272"/>
      <c r="CI33" s="272"/>
      <c r="CJ33" s="271">
        <f ca="1">MIN(6,TblMili[[#This Row],[Mystic]]+Races!$F$19)*1.8 +  IF(TblMili[[#This Row],[Mystic]]+Races!$F$19&gt;6,(TblMili[[#This Row],[Mystic]]+Races!$F$19-6)*0.2,0) - Races!$I$19</f>
        <v>3.6399999999999997</v>
      </c>
      <c r="CK3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97">
        <f ca="1">TblMili[[#This Row],[Mystic bonus]]*TblMili[[#This Row],[Unit 3]]+TblMili[[#This Row],[Druid bonus]]*TblMili[[#This Row],[Unit 4]]</f>
        <v>0</v>
      </c>
      <c r="CM33" s="163">
        <f ca="1">MIN(6,TblMili[[#This Row],[Dryad]]+Races!$F$35)*1.8 +  IF(TblMili[[#This Row],[Dryad]]+Races!$F$35&gt;6,(TblMili[[#This Row],[Dryad]]+Races!$F$35-6)*0.2,0) - Races!$I$19</f>
        <v>2.1599999999999993</v>
      </c>
      <c r="CN33" s="97">
        <f ca="1">sylvan*(TblMili[[#This Row],[Mystic bonus]]*TblMili[[#This Row],[Unit 3]])</f>
        <v>0</v>
      </c>
      <c r="CO33" s="163">
        <f ca="1">1.8 * MIN(MAX(Races!$E$27,TblMili[[#This Row],[Rockapult]]+Races!$F$27),6)  +  0.45 * MIN(MIN(Races!$E$27,TblMili[[#This Row],[Rockapult]]+Races!$F$27),6)  +  0.2 * ( MAX(Races!$E$27-6,0) + MAX(TblMili[[#This Row],[Rockapult]]+Races!$F$27-6,0) )  -  Races!$I$20</f>
        <v>5.8500000000000005</v>
      </c>
      <c r="CP33" s="97">
        <f ca="1">gnome*(TblMili[[#This Row],[Rockapult bonus]]*TblMili[[#This Row],[Unit 3]])</f>
        <v>0</v>
      </c>
      <c r="CQ33" s="163">
        <f ca="1">1.8 * MIN(MAX(TblMili[[#This Row],[Spellblade]]+Races!$E$47,TblMili[[#This Row],[Adept-DP]]+Races!$F$47),6)  +  0.45 * MIN(MIN(TblMili[[#This Row],[Spellblade]]+Races!$E$47,TblMili[[#This Row],[Adept-DP]]+Races!$F$47),6)  +  0.2 * ( MAX(TblMili[[#This Row],[Spellblade]]+Races!$E$47-6,0) + MAX(TblMili[[#This Row],[Adept-DP]]+Races!$F$47-6,0) )  -  Races!$I$47</f>
        <v>0</v>
      </c>
      <c r="CR33" s="97">
        <f ca="1">dark_elf*(TblMili[[#This Row],[Adept bonus]]*TblMili[[#This Row],[Unit 3]])</f>
        <v>0</v>
      </c>
      <c r="CS33" s="163">
        <f ca="1">1.8 * MIN(MAX(TblMili[[#This Row],[Frost Mage]]+Races!$F$71,Races!$E$71),6)  +  0.45 * MIN(MIN(TblMili[[#This Row],[Frost Mage]]+Races!$F$71,Races!$E$71),6)  +  0.2 * ( MAX(TblMili[[#This Row],[Frost Mage]]+Races!$F$71-6,0) + MAX(Races!$E$71-6,0) )  -  Races!$I$71</f>
        <v>3.9599999999999991</v>
      </c>
      <c r="CT33" s="163">
        <f ca="1">1.8 * MIN(MAX(TblMili[[#This Row],[Ice Elemental]]+Races!$E$71,Races!$F$71),6)  +  0.45 * MIN(MIN(TblMili[[#This Row],[Ice Elemental]]+Races!$E$71,Races!$F$71),6)  +  0.2 * ( MAX(TblMili[[#This Row],[Ice Elemental]]+Races!$E$71-6,0) + MAX(Races!$F$71-6,0) )  -  Races!$I$71</f>
        <v>0.17999999999999972</v>
      </c>
      <c r="CU33" s="97">
        <f ca="1">TblMili[[#This Row],[Frost Mage bonus]]*TblMili[[#This Row],[Unit 3]]+TblMili[[#This Row],[Ice Elemental bonus]]*TblMili[[#This Row],[Unit 4]]</f>
        <v>0</v>
      </c>
      <c r="CV33" s="273"/>
      <c r="CW33" s="151">
        <f ca="1">MIN(SUM(TblConstr[[#This Row],[Plain]:[Water]])/TblMili[[#This Row],[Land]]/favorable_terrain_bonus/100,favorable_terrain_max)</f>
        <v>0.1</v>
      </c>
      <c r="CX33" s="273"/>
      <c r="CY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50"/>
      <c r="DA33" s="274">
        <f ca="1">(TblMili[[#This Row],[Wizards]]+2*TblMili[[#This Row],[Archmages]])/TblConstr[[#This Row],[Land]]</f>
        <v>0.1</v>
      </c>
      <c r="DB33" s="274">
        <f ca="1">TblMili[[#This Row],[Raw (2)]]*(1+race_wizard_strength+IF(TblMili[[#This Row],[Hour]]&gt;72,tech_magical_weaponry_wiz*TblTech[[#This Row],[3-5]],0))</f>
        <v>0.1</v>
      </c>
    </row>
    <row r="34" spans="1:106" x14ac:dyDescent="0.2">
      <c r="A34" s="145">
        <f>TblRezone[[#This Row],[Hour]]</f>
        <v>31</v>
      </c>
      <c r="B34" s="266">
        <f ca="1">SUM(TblMili[[#This Row],[Unit 1]:[Archmages]])+SUM(OFFSET(TblMili[[#This Row],[Train Unit 1]],-8,0):TblMili[[#This Row],[Train Unit 2]]) + SUM(OFFSET(TblMili[[#This Row],[Train Unit 3]],-11,0):TblMili[[#This Row],[Train Arch]]) + TblMili[[#This Row],[Draftees]]</f>
        <v>779</v>
      </c>
      <c r="C34" s="165">
        <f ca="1">TblPop[[#This Row],[Military%]]</f>
        <v>0.33036471586089905</v>
      </c>
      <c r="D34" s="150"/>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f>
        <v>25</v>
      </c>
      <c r="J34" s="45">
        <f ca="1">OFFSET(TblMili[[#This Row],[Wizards]],-1,0) + OFFSET(TblMili[[#This Row],[Train Wiz]],-12,0) - TblMili[[#This Row],[Release Wizards]]-TblMili[[#This Row],[Train Arch]]</f>
        <v>25</v>
      </c>
      <c r="K34" s="45">
        <f ca="1">OFFSET(TblMili[[#This Row],[Archmages]],-1,0) + OFFSET(TblMili[[#This Row],[Train Arch]],-12,0) - TblMili[[#This Row],[Release Arch]]</f>
        <v>0</v>
      </c>
      <c r="L34" s="150"/>
      <c r="M34" s="97">
        <f ca="1">TblProd[[#This Row],[Networth]]</f>
        <v>6450</v>
      </c>
      <c r="N34" s="150"/>
      <c r="O34" s="267">
        <f ca="1">TblMili[[#This Row],[Unit 1]]*spec_op+TblMili[[#This Row],[Unit 3]]*(elite1_base_op)+TblMili[[#This Row],[Unit 4]]*(elite2_base_op+dark_elf*TblMili[[#This Row],[Spellblade]]+icekin*TblMili[[#This Row],[Ice Elemental]]+woodie*TblMili[[#This Row],[Druid (op)]]+orc*TblMili[[#This Row],[Orc]])+kobold*TblMili[[#This Row],[Overlords]]</f>
        <v>0</v>
      </c>
      <c r="P3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4" s="267">
        <f ca="1">TblMili[[#This Row],[Raw]]*(1+TblMili[[#This Row],[Mods_Off]])</f>
        <v>0</v>
      </c>
      <c r="R3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4" s="267">
        <f ca="1">TblMili[[#This Row],[Non Draft]]+TblMili[[#This Row],[Draftees]]</f>
        <v>1029</v>
      </c>
      <c r="T3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269">
        <f ca="1">TblMili[[#This Row],[Non Draft]] * (1 + TblMili[[#This Row],[Mods_Def]])</f>
        <v>450</v>
      </c>
      <c r="V34" s="267">
        <f ca="1">TblMili[[#This Row],[Draft]] * (1 + TblMili[[#This Row],[Mods_Def]])</f>
        <v>1029</v>
      </c>
      <c r="W34" s="267">
        <f ca="1">TblConstr[[#This Row],[Land]]</f>
        <v>250</v>
      </c>
      <c r="X34" s="270"/>
      <c r="Y34" s="275">
        <f ca="1">IF(TblMili[[#This Row],[Set]]&lt;&gt;"",TblMili[[#This Row],[Set]],OFFSET(TblMili[[#This Row],[Draftrate]],-1,0))</f>
        <v>0.35</v>
      </c>
      <c r="Z34" s="97">
        <f ca="1">OFFSET(TblMili[[#This Row],[Draftees]],-1,0)+OFFSET(TblPop[[#This Row],[Draft Growth]],-1,0) - SUM(TblMili[[#This Row],[Train Unit 1]:[Train Wiz]]) - TblMili[[#This Row],[Release Draft]] + SUM(TblMili[[#This Row],[Release Unit 1]:[Release Arch]]) -TblExplore[[#This Row],[Draftees (2)]]</f>
        <v>579</v>
      </c>
      <c r="AA34" s="162"/>
      <c r="AB34" s="188">
        <f ca="1">(TblConstr[[#This Row],[Tot Smi]]+TblConstr[[#This Row],[Dest Smi]])/(TblConstr[[#This Row],[Land]]-TblExplore[[#This Row],[Land Bonus]]*20)</f>
        <v>0</v>
      </c>
      <c r="AC34" s="145"/>
      <c r="AD34" s="266">
        <f>TblMili[[#This Row],[Hour]]</f>
        <v>31</v>
      </c>
      <c r="AE34" s="146">
        <f ca="1">TblExplore[[#This Row],[Time]]</f>
        <v>44811.999999999927</v>
      </c>
      <c r="AF34" s="187"/>
      <c r="AG34" s="187"/>
      <c r="AH34" s="187"/>
      <c r="AI34" s="187"/>
      <c r="AJ34" s="187"/>
      <c r="AK34" s="187"/>
      <c r="AL34" s="187"/>
      <c r="AM34" s="150"/>
      <c r="AN34" s="97">
        <f ca="1">TblProd[[#This Row],[Platinum]]</f>
        <v>265207</v>
      </c>
      <c r="AO34" s="97">
        <f ca="1">INDEX(TblProd[[#Headers],[Lumber]]:TblProd[[#This Row],[Ore]],COUNTA(TblProd[[#Headers],[Lumber]]:TblProd[[#This Row],[Lumber]]),MATCH(Military!$AO$2,TblProd[[#Headers],[Lumber]:[Ore]],0))</f>
        <v>0</v>
      </c>
      <c r="AP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97">
        <f ca="1">TblMili[[#This Row],[Train Unit 1]]*TblMili[[#This Row],[OP Ore]]+TblMili[[#This Row],[Train Unit 2]]*TblMili[[#This Row],[DP Ore]]+TblMili[[#This Row],[Train Unit 3]]*TblMili[[#This Row],[E1 Ore]]+TblMili[[#This Row],[Train Unit 4]]*TblMili[[#This Row],[E2 Ore]]</f>
        <v>0</v>
      </c>
      <c r="AR34" s="150">
        <f>TblMili[[#This Row],[Hour]]</f>
        <v>31</v>
      </c>
      <c r="AS34" s="160">
        <f ca="1">TblMili[[#This Row],[Time]]</f>
        <v>44811.999999999927</v>
      </c>
      <c r="AT34" s="97">
        <f ca="1">TblMili[[#This Row],[Draftees]]</f>
        <v>579</v>
      </c>
      <c r="AU34" s="187"/>
      <c r="AV34" s="187"/>
      <c r="AW34" s="187"/>
      <c r="AX34" s="187"/>
      <c r="AY34" s="187"/>
      <c r="AZ34" s="187"/>
      <c r="BA34" s="187"/>
      <c r="BB34" s="187"/>
      <c r="BC34" s="150"/>
      <c r="BD34" s="165">
        <f ca="1">TblConstr[[#This Row],[Tot WG]]/TblConstr[[#This Row],[Land]]</f>
        <v>0</v>
      </c>
      <c r="BE34" s="165">
        <f ca="1">TblConstr[[#This Row],[Tot Hav]]/TblConstr[[#This Row],[Land]]</f>
        <v>0</v>
      </c>
      <c r="BF34" s="97">
        <f ca="1">ROUNDUP((1-MIN(TblMili[[#This Row],[Smithies]]*smithy_bonus,smithy_bonus_cap) + tech_3_5*TblTech[[#This Row],[3-5]] + tech_5_3*TblTech[[#This Row],[5-3]] + tech_5_5*TblTech[[#This Row],[5-5]])*spec_op_plat,0)</f>
        <v>275</v>
      </c>
      <c r="BG34" s="97">
        <f ca="1">ROUNDUP(IF(race="Gnome",1,(1-MIN(TblMili[[#This Row],[Smithies]]*smithy_bonus,smithy_bonus_cap) + tech_3_5*TblTech[[#This Row],[3-5]] + tech_5_3*TblTech[[#This Row],[5-3]] + tech_5_5*TblTech[[#This Row],[5-5]]))*spec_op_ore,0)</f>
        <v>25</v>
      </c>
      <c r="BH34" s="97">
        <f ca="1">ROUNDUP((1-MIN(TblMili[[#This Row],[Smithies]]*smithy_bonus,smithy_bonus_cap) + tech_3_5*TblTech[[#This Row],[3-5]] + tech_5_3*TblTech[[#This Row],[5-3]] + tech_5_5*TblTech[[#This Row],[5-5]])*spec_dp_plat,0)</f>
        <v>275</v>
      </c>
      <c r="BI34" s="97">
        <f ca="1">ROUNDUP(IF(race="Gnome",1,(1-MIN(TblMili[[#This Row],[Smithies]]*smithy_bonus,smithy_bonus_cap) + tech_3_5*TblTech[[#This Row],[3-5]] + tech_5_3*TblTech[[#This Row],[5-3]] + tech_5_5*TblTech[[#This Row],[5-5]]))*spec_dp_ore,0)</f>
        <v>15</v>
      </c>
      <c r="BJ34" s="97">
        <f ca="1">ROUNDUP((1-MIN(TblMili[[#This Row],[Smithies]]*smithy_bonus,smithy_bonus_cap) + tech_3_5*TblTech[[#This Row],[3-5]] + tech_5_3*TblTech[[#This Row],[5-3]] + tech_5_5*TblTech[[#This Row],[5-5]])*elite1_plat,0)</f>
        <v>1000</v>
      </c>
      <c r="BK34" s="97">
        <f ca="1">ROUNDUP(IF(race="Gnome",1,(1-MIN(TblMili[[#This Row],[Smithies]]*smithy_bonus,smithy_bonus_cap) + tech_3_5*TblTech[[#This Row],[3-5]] + tech_5_3*TblTech[[#This Row],[5-3]] + tech_5_5*TblTech[[#This Row],[5-5]]))*elite1_ore,0)</f>
        <v>75</v>
      </c>
      <c r="BL34" s="97">
        <f ca="1">ROUNDUP((1-MIN(TblMili[[#This Row],[Smithies]]*smithy_bonus,smithy_bonus_cap) + tech_3_5*TblTech[[#This Row],[3-5]] + tech_5_3*TblTech[[#This Row],[5-3]] + tech_5_5*TblTech[[#This Row],[5-5]])*elite2_plat,0)</f>
        <v>1200</v>
      </c>
      <c r="BM34" s="97">
        <f ca="1">ROUNDUP(IF(race="Gnome",1,(1-MIN(TblMili[[#This Row],[Smithies]]*smithy_bonus,smithy_bonus_cap) + tech_3_5*TblTech[[#This Row],[3-5]] + tech_5_3*TblTech[[#This Row],[5-3]] + tech_5_5*TblTech[[#This Row],[5-5]]))*elite2_ore,0)</f>
        <v>100</v>
      </c>
      <c r="BN34" s="97">
        <f ca="1">ROUNDUP((1-MIN(ROUND(fh_spy_cost_red*TblMili[[#This Row],[FH''s]],4),fh_spy_cost_cap)+ tech_1_9*TblTech[[#This Row],[1-9]] + tech_9_1*TblTech[[#This Row],[9-1]])*spy_plat,0)</f>
        <v>500</v>
      </c>
      <c r="BO34" s="97">
        <f ca="1">ROUNDUP((1-MIN(ROUND(wg_wiz_cost_bonus*TblMili[[#This Row],[WG''s]],4),wg_wiz_cost_cap) + tech_1_9_2*TblTech[[#This Row],[1-9]] + tech_9_1_2*TblTech[[#This Row],[9-1]])*wizard_plat,0)</f>
        <v>500</v>
      </c>
      <c r="BP34" s="97">
        <f ca="1">ROUNDUP((1-MIN(ROUND(wg_wiz_cost_bonus*TblMili[[#This Row],[WG''s]],4),wg_wiz_cost_cap) + tech_1_9_2*TblTech[[#This Row],[1-9]] + tech_9_1_2*TblTech[[#This Row],[9-1]])*archmage_plat,0)</f>
        <v>1000</v>
      </c>
      <c r="BQ34" s="150"/>
      <c r="BR34" s="165">
        <f ca="1">TblConstr[[#This Row],[Homeland]]/TblConstr[[#This Row],[Land]]</f>
        <v>0.44</v>
      </c>
      <c r="BS34" s="165">
        <f ca="1">TblMili[[#This Row],[WG''s]]</f>
        <v>0</v>
      </c>
      <c r="BT34" s="271">
        <f ca="1">IF(mystic_cap="none",TblMili[[#This Row],[Hill]]/mystic_bonus,MIN(mystic_cap,TblMili[[#This Row],[Hill]]/mystic_bonus))</f>
        <v>2.1999999999999997</v>
      </c>
      <c r="BU34" s="271">
        <f ca="1">IF(druid_op_cap="none",TblMili[[#This Row],[Hill]]/druid_op_bonus,MIN(druid_op_cap,TblMili[[#This Row],[Hill]]/druid_op_bonus))</f>
        <v>2.1999999999999997</v>
      </c>
      <c r="BV34" s="271">
        <f ca="1">IF(druid_dp_cap="none",TblMili[[#This Row],[Hill]]/druid_dp_bonus,MIN(druid_dp_cap,TblMili[[#This Row],[Hill]]/druid_dp_bonus))</f>
        <v>2.1999999999999997</v>
      </c>
      <c r="BW34" s="271">
        <f ca="1">MIN(dryad_cap,TblMili[[#This Row],[Hill]]/dryad_bonus)</f>
        <v>2.1999999999999997</v>
      </c>
      <c r="BX34" s="271">
        <f ca="1">MIN(rocka_cap,TblMili[[#This Row],[Hill]]/rocka_bonus)</f>
        <v>2</v>
      </c>
      <c r="BY34" s="271">
        <f ca="1">MIN(adept_op_cap,TblMili[[#This Row],[WG]]/adept_op_bonus)</f>
        <v>0</v>
      </c>
      <c r="BZ34" s="271">
        <f ca="1">MIN(adept_dp_cap,TblMili[[#This Row],[WG]]/adept_dp_bonus)</f>
        <v>0</v>
      </c>
      <c r="CA34" s="97">
        <f ca="1">MIN(TblMili[[#This Row],[Unit 3]],TblMili[[#This Row],[Unit 4]])*2</f>
        <v>0</v>
      </c>
      <c r="CB34" s="97">
        <f ca="1">MIN(TblMili[[#This Row],[Unit 1]],TblMili[[#This Row],[Unit 4]])*2</f>
        <v>0</v>
      </c>
      <c r="CC34" s="271">
        <f ca="1">MIN(frost_mage_cap,TblMili[[#This Row],[Hill]]/frost_mage_bonus)</f>
        <v>2.1999999999999997</v>
      </c>
      <c r="CD34" s="45">
        <f ca="1">MIN(ice_elem_cap,TblMili[[#This Row],[Raw (2)]]*ice_elem_bonus)</f>
        <v>0.1</v>
      </c>
      <c r="CE34" s="271">
        <f t="shared" si="0"/>
        <v>1</v>
      </c>
      <c r="CF34" s="271">
        <f ca="1">MIN(nox_nightshade_cap,TblConstr[[#This Row],[Homeland]]/TblConstr[[#This Row],[Land]]/nox_nightshade_swamp_bonus)</f>
        <v>3</v>
      </c>
      <c r="CG34" s="272"/>
      <c r="CH34" s="272"/>
      <c r="CI34" s="272"/>
      <c r="CJ34" s="271">
        <f ca="1">MIN(6,TblMili[[#This Row],[Mystic]]+Races!$F$19)*1.8 +  IF(TblMili[[#This Row],[Mystic]]+Races!$F$19&gt;6,(TblMili[[#This Row],[Mystic]]+Races!$F$19-6)*0.2,0) - Races!$I$19</f>
        <v>3.6399999999999997</v>
      </c>
      <c r="CK3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97">
        <f ca="1">TblMili[[#This Row],[Mystic bonus]]*TblMili[[#This Row],[Unit 3]]+TblMili[[#This Row],[Druid bonus]]*TblMili[[#This Row],[Unit 4]]</f>
        <v>0</v>
      </c>
      <c r="CM34" s="163">
        <f ca="1">MIN(6,TblMili[[#This Row],[Dryad]]+Races!$F$35)*1.8 +  IF(TblMili[[#This Row],[Dryad]]+Races!$F$35&gt;6,(TblMili[[#This Row],[Dryad]]+Races!$F$35-6)*0.2,0) - Races!$I$19</f>
        <v>2.1599999999999993</v>
      </c>
      <c r="CN34" s="97">
        <f ca="1">sylvan*(TblMili[[#This Row],[Mystic bonus]]*TblMili[[#This Row],[Unit 3]])</f>
        <v>0</v>
      </c>
      <c r="CO34" s="163">
        <f ca="1">1.8 * MIN(MAX(Races!$E$27,TblMili[[#This Row],[Rockapult]]+Races!$F$27),6)  +  0.45 * MIN(MIN(Races!$E$27,TblMili[[#This Row],[Rockapult]]+Races!$F$27),6)  +  0.2 * ( MAX(Races!$E$27-6,0) + MAX(TblMili[[#This Row],[Rockapult]]+Races!$F$27-6,0) )  -  Races!$I$20</f>
        <v>5.8500000000000005</v>
      </c>
      <c r="CP34" s="97">
        <f ca="1">gnome*(TblMili[[#This Row],[Rockapult bonus]]*TblMili[[#This Row],[Unit 3]])</f>
        <v>0</v>
      </c>
      <c r="CQ34" s="163">
        <f ca="1">1.8 * MIN(MAX(TblMili[[#This Row],[Spellblade]]+Races!$E$47,TblMili[[#This Row],[Adept-DP]]+Races!$F$47),6)  +  0.45 * MIN(MIN(TblMili[[#This Row],[Spellblade]]+Races!$E$47,TblMili[[#This Row],[Adept-DP]]+Races!$F$47),6)  +  0.2 * ( MAX(TblMili[[#This Row],[Spellblade]]+Races!$E$47-6,0) + MAX(TblMili[[#This Row],[Adept-DP]]+Races!$F$47-6,0) )  -  Races!$I$47</f>
        <v>0</v>
      </c>
      <c r="CR34" s="97">
        <f ca="1">dark_elf*(TblMili[[#This Row],[Adept bonus]]*TblMili[[#This Row],[Unit 3]])</f>
        <v>0</v>
      </c>
      <c r="CS34" s="163">
        <f ca="1">1.8 * MIN(MAX(TblMili[[#This Row],[Frost Mage]]+Races!$F$71,Races!$E$71),6)  +  0.45 * MIN(MIN(TblMili[[#This Row],[Frost Mage]]+Races!$F$71,Races!$E$71),6)  +  0.2 * ( MAX(TblMili[[#This Row],[Frost Mage]]+Races!$F$71-6,0) + MAX(Races!$E$71-6,0) )  -  Races!$I$71</f>
        <v>3.9599999999999991</v>
      </c>
      <c r="CT34" s="163">
        <f ca="1">1.8 * MIN(MAX(TblMili[[#This Row],[Ice Elemental]]+Races!$E$71,Races!$F$71),6)  +  0.45 * MIN(MIN(TblMili[[#This Row],[Ice Elemental]]+Races!$E$71,Races!$F$71),6)  +  0.2 * ( MAX(TblMili[[#This Row],[Ice Elemental]]+Races!$E$71-6,0) + MAX(Races!$F$71-6,0) )  -  Races!$I$71</f>
        <v>0.17999999999999972</v>
      </c>
      <c r="CU34" s="97">
        <f ca="1">TblMili[[#This Row],[Frost Mage bonus]]*TblMili[[#This Row],[Unit 3]]+TblMili[[#This Row],[Ice Elemental bonus]]*TblMili[[#This Row],[Unit 4]]</f>
        <v>0</v>
      </c>
      <c r="CV34" s="273"/>
      <c r="CW34" s="151">
        <f ca="1">MIN(SUM(TblConstr[[#This Row],[Plain]:[Water]])/TblMili[[#This Row],[Land]]/favorable_terrain_bonus/100,favorable_terrain_max)</f>
        <v>0.1</v>
      </c>
      <c r="CX34" s="273"/>
      <c r="CY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50"/>
      <c r="DA34" s="274">
        <f ca="1">(TblMili[[#This Row],[Wizards]]+2*TblMili[[#This Row],[Archmages]])/TblConstr[[#This Row],[Land]]</f>
        <v>0.1</v>
      </c>
      <c r="DB34" s="274">
        <f ca="1">TblMili[[#This Row],[Raw (2)]]*(1+race_wizard_strength+IF(TblMili[[#This Row],[Hour]]&gt;72,tech_magical_weaponry_wiz*TblTech[[#This Row],[3-5]],0))</f>
        <v>0.1</v>
      </c>
    </row>
    <row r="35" spans="1:106" x14ac:dyDescent="0.2">
      <c r="A35" s="145">
        <f>TblRezone[[#This Row],[Hour]]</f>
        <v>32</v>
      </c>
      <c r="B35" s="266">
        <f ca="1">SUM(TblMili[[#This Row],[Unit 1]:[Archmages]])+SUM(OFFSET(TblMili[[#This Row],[Train Unit 1]],-8,0):TblMili[[#This Row],[Train Unit 2]]) + SUM(OFFSET(TblMili[[#This Row],[Train Unit 3]],-11,0):TblMili[[#This Row],[Train Arch]]) + TblMili[[#This Row],[Draftees]]</f>
        <v>795</v>
      </c>
      <c r="C35" s="165">
        <f ca="1">TblPop[[#This Row],[Military%]]</f>
        <v>0.33715012722646309</v>
      </c>
      <c r="D35" s="150"/>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f>
        <v>25</v>
      </c>
      <c r="J35" s="45">
        <f ca="1">OFFSET(TblMili[[#This Row],[Wizards]],-1,0) + OFFSET(TblMili[[#This Row],[Train Wiz]],-12,0) - TblMili[[#This Row],[Release Wizards]]-TblMili[[#This Row],[Train Arch]]</f>
        <v>25</v>
      </c>
      <c r="K35" s="45">
        <f ca="1">OFFSET(TblMili[[#This Row],[Archmages]],-1,0) + OFFSET(TblMili[[#This Row],[Train Arch]],-12,0) - TblMili[[#This Row],[Release Arch]]</f>
        <v>0</v>
      </c>
      <c r="L35" s="150"/>
      <c r="M35" s="97">
        <f ca="1">TblProd[[#This Row],[Networth]]</f>
        <v>6450</v>
      </c>
      <c r="N35" s="150"/>
      <c r="O35" s="267">
        <f ca="1">TblMili[[#This Row],[Unit 1]]*spec_op+TblMili[[#This Row],[Unit 3]]*(elite1_base_op)+TblMili[[#This Row],[Unit 4]]*(elite2_base_op+dark_elf*TblMili[[#This Row],[Spellblade]]+icekin*TblMili[[#This Row],[Ice Elemental]]+woodie*TblMili[[#This Row],[Druid (op)]]+orc*TblMili[[#This Row],[Orc]])+kobold*TblMili[[#This Row],[Overlords]]</f>
        <v>0</v>
      </c>
      <c r="P3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5" s="267">
        <f ca="1">TblMili[[#This Row],[Raw]]*(1+TblMili[[#This Row],[Mods_Off]])</f>
        <v>0</v>
      </c>
      <c r="R3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5" s="267">
        <f ca="1">TblMili[[#This Row],[Non Draft]]+TblMili[[#This Row],[Draftees]]</f>
        <v>1045</v>
      </c>
      <c r="T3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269">
        <f ca="1">TblMili[[#This Row],[Non Draft]] * (1 + TblMili[[#This Row],[Mods_Def]])</f>
        <v>450</v>
      </c>
      <c r="V35" s="267">
        <f ca="1">TblMili[[#This Row],[Draft]] * (1 + TblMili[[#This Row],[Mods_Def]])</f>
        <v>1045</v>
      </c>
      <c r="W35" s="267">
        <f ca="1">TblConstr[[#This Row],[Land]]</f>
        <v>250</v>
      </c>
      <c r="X35" s="270"/>
      <c r="Y35" s="275">
        <f ca="1">IF(TblMili[[#This Row],[Set]]&lt;&gt;"",TblMili[[#This Row],[Set]],OFFSET(TblMili[[#This Row],[Draftrate]],-1,0))</f>
        <v>0.35</v>
      </c>
      <c r="Z35" s="97">
        <f ca="1">OFFSET(TblMili[[#This Row],[Draftees]],-1,0)+OFFSET(TblPop[[#This Row],[Draft Growth]],-1,0) - SUM(TblMili[[#This Row],[Train Unit 1]:[Train Wiz]]) - TblMili[[#This Row],[Release Draft]] + SUM(TblMili[[#This Row],[Release Unit 1]:[Release Arch]]) -TblExplore[[#This Row],[Draftees (2)]]</f>
        <v>595</v>
      </c>
      <c r="AA35" s="162"/>
      <c r="AB35" s="188">
        <f ca="1">(TblConstr[[#This Row],[Tot Smi]]+TblConstr[[#This Row],[Dest Smi]])/(TblConstr[[#This Row],[Land]]-TblExplore[[#This Row],[Land Bonus]]*20)</f>
        <v>0</v>
      </c>
      <c r="AC35" s="145"/>
      <c r="AD35" s="266">
        <f>TblMili[[#This Row],[Hour]]</f>
        <v>32</v>
      </c>
      <c r="AE35" s="146">
        <f ca="1">TblExplore[[#This Row],[Time]]</f>
        <v>44812.041666666591</v>
      </c>
      <c r="AF35" s="187"/>
      <c r="AG35" s="187"/>
      <c r="AH35" s="187"/>
      <c r="AI35" s="187"/>
      <c r="AJ35" s="187"/>
      <c r="AK35" s="187"/>
      <c r="AL35" s="187"/>
      <c r="AM35" s="150"/>
      <c r="AN35" s="97">
        <f ca="1">TblProd[[#This Row],[Platinum]]</f>
        <v>270820</v>
      </c>
      <c r="AO35" s="97">
        <f ca="1">INDEX(TblProd[[#Headers],[Lumber]]:TblProd[[#This Row],[Ore]],COUNTA(TblProd[[#Headers],[Lumber]]:TblProd[[#This Row],[Lumber]]),MATCH(Military!$AO$2,TblProd[[#Headers],[Lumber]:[Ore]],0))</f>
        <v>0</v>
      </c>
      <c r="AP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97">
        <f ca="1">TblMili[[#This Row],[Train Unit 1]]*TblMili[[#This Row],[OP Ore]]+TblMili[[#This Row],[Train Unit 2]]*TblMili[[#This Row],[DP Ore]]+TblMili[[#This Row],[Train Unit 3]]*TblMili[[#This Row],[E1 Ore]]+TblMili[[#This Row],[Train Unit 4]]*TblMili[[#This Row],[E2 Ore]]</f>
        <v>0</v>
      </c>
      <c r="AR35" s="150">
        <f>TblMili[[#This Row],[Hour]]</f>
        <v>32</v>
      </c>
      <c r="AS35" s="160">
        <f ca="1">TblMili[[#This Row],[Time]]</f>
        <v>44812.041666666591</v>
      </c>
      <c r="AT35" s="97">
        <f ca="1">TblMili[[#This Row],[Draftees]]</f>
        <v>595</v>
      </c>
      <c r="AU35" s="187"/>
      <c r="AV35" s="187"/>
      <c r="AW35" s="187"/>
      <c r="AX35" s="187"/>
      <c r="AY35" s="187"/>
      <c r="AZ35" s="187"/>
      <c r="BA35" s="187"/>
      <c r="BB35" s="187"/>
      <c r="BC35" s="150"/>
      <c r="BD35" s="165">
        <f ca="1">TblConstr[[#This Row],[Tot WG]]/TblConstr[[#This Row],[Land]]</f>
        <v>0</v>
      </c>
      <c r="BE35" s="165">
        <f ca="1">TblConstr[[#This Row],[Tot Hav]]/TblConstr[[#This Row],[Land]]</f>
        <v>0</v>
      </c>
      <c r="BF35" s="97">
        <f ca="1">ROUNDUP((1-MIN(TblMili[[#This Row],[Smithies]]*smithy_bonus,smithy_bonus_cap) + tech_3_5*TblTech[[#This Row],[3-5]] + tech_5_3*TblTech[[#This Row],[5-3]] + tech_5_5*TblTech[[#This Row],[5-5]])*spec_op_plat,0)</f>
        <v>275</v>
      </c>
      <c r="BG35" s="97">
        <f ca="1">ROUNDUP(IF(race="Gnome",1,(1-MIN(TblMili[[#This Row],[Smithies]]*smithy_bonus,smithy_bonus_cap) + tech_3_5*TblTech[[#This Row],[3-5]] + tech_5_3*TblTech[[#This Row],[5-3]] + tech_5_5*TblTech[[#This Row],[5-5]]))*spec_op_ore,0)</f>
        <v>25</v>
      </c>
      <c r="BH35" s="97">
        <f ca="1">ROUNDUP((1-MIN(TblMili[[#This Row],[Smithies]]*smithy_bonus,smithy_bonus_cap) + tech_3_5*TblTech[[#This Row],[3-5]] + tech_5_3*TblTech[[#This Row],[5-3]] + tech_5_5*TblTech[[#This Row],[5-5]])*spec_dp_plat,0)</f>
        <v>275</v>
      </c>
      <c r="BI35" s="97">
        <f ca="1">ROUNDUP(IF(race="Gnome",1,(1-MIN(TblMili[[#This Row],[Smithies]]*smithy_bonus,smithy_bonus_cap) + tech_3_5*TblTech[[#This Row],[3-5]] + tech_5_3*TblTech[[#This Row],[5-3]] + tech_5_5*TblTech[[#This Row],[5-5]]))*spec_dp_ore,0)</f>
        <v>15</v>
      </c>
      <c r="BJ35" s="97">
        <f ca="1">ROUNDUP((1-MIN(TblMili[[#This Row],[Smithies]]*smithy_bonus,smithy_bonus_cap) + tech_3_5*TblTech[[#This Row],[3-5]] + tech_5_3*TblTech[[#This Row],[5-3]] + tech_5_5*TblTech[[#This Row],[5-5]])*elite1_plat,0)</f>
        <v>1000</v>
      </c>
      <c r="BK35" s="97">
        <f ca="1">ROUNDUP(IF(race="Gnome",1,(1-MIN(TblMili[[#This Row],[Smithies]]*smithy_bonus,smithy_bonus_cap) + tech_3_5*TblTech[[#This Row],[3-5]] + tech_5_3*TblTech[[#This Row],[5-3]] + tech_5_5*TblTech[[#This Row],[5-5]]))*elite1_ore,0)</f>
        <v>75</v>
      </c>
      <c r="BL35" s="97">
        <f ca="1">ROUNDUP((1-MIN(TblMili[[#This Row],[Smithies]]*smithy_bonus,smithy_bonus_cap) + tech_3_5*TblTech[[#This Row],[3-5]] + tech_5_3*TblTech[[#This Row],[5-3]] + tech_5_5*TblTech[[#This Row],[5-5]])*elite2_plat,0)</f>
        <v>1200</v>
      </c>
      <c r="BM35" s="97">
        <f ca="1">ROUNDUP(IF(race="Gnome",1,(1-MIN(TblMili[[#This Row],[Smithies]]*smithy_bonus,smithy_bonus_cap) + tech_3_5*TblTech[[#This Row],[3-5]] + tech_5_3*TblTech[[#This Row],[5-3]] + tech_5_5*TblTech[[#This Row],[5-5]]))*elite2_ore,0)</f>
        <v>100</v>
      </c>
      <c r="BN35" s="97">
        <f ca="1">ROUNDUP((1-MIN(ROUND(fh_spy_cost_red*TblMili[[#This Row],[FH''s]],4),fh_spy_cost_cap)+ tech_1_9*TblTech[[#This Row],[1-9]] + tech_9_1*TblTech[[#This Row],[9-1]])*spy_plat,0)</f>
        <v>500</v>
      </c>
      <c r="BO35" s="97">
        <f ca="1">ROUNDUP((1-MIN(ROUND(wg_wiz_cost_bonus*TblMili[[#This Row],[WG''s]],4),wg_wiz_cost_cap) + tech_1_9_2*TblTech[[#This Row],[1-9]] + tech_9_1_2*TblTech[[#This Row],[9-1]])*wizard_plat,0)</f>
        <v>500</v>
      </c>
      <c r="BP35" s="97">
        <f ca="1">ROUNDUP((1-MIN(ROUND(wg_wiz_cost_bonus*TblMili[[#This Row],[WG''s]],4),wg_wiz_cost_cap) + tech_1_9_2*TblTech[[#This Row],[1-9]] + tech_9_1_2*TblTech[[#This Row],[9-1]])*archmage_plat,0)</f>
        <v>1000</v>
      </c>
      <c r="BQ35" s="150"/>
      <c r="BR35" s="165">
        <f ca="1">TblConstr[[#This Row],[Homeland]]/TblConstr[[#This Row],[Land]]</f>
        <v>0.44</v>
      </c>
      <c r="BS35" s="165">
        <f ca="1">TblMili[[#This Row],[WG''s]]</f>
        <v>0</v>
      </c>
      <c r="BT35" s="271">
        <f ca="1">IF(mystic_cap="none",TblMili[[#This Row],[Hill]]/mystic_bonus,MIN(mystic_cap,TblMili[[#This Row],[Hill]]/mystic_bonus))</f>
        <v>2.1999999999999997</v>
      </c>
      <c r="BU35" s="271">
        <f ca="1">IF(druid_op_cap="none",TblMili[[#This Row],[Hill]]/druid_op_bonus,MIN(druid_op_cap,TblMili[[#This Row],[Hill]]/druid_op_bonus))</f>
        <v>2.1999999999999997</v>
      </c>
      <c r="BV35" s="271">
        <f ca="1">IF(druid_dp_cap="none",TblMili[[#This Row],[Hill]]/druid_dp_bonus,MIN(druid_dp_cap,TblMili[[#This Row],[Hill]]/druid_dp_bonus))</f>
        <v>2.1999999999999997</v>
      </c>
      <c r="BW35" s="271">
        <f ca="1">MIN(dryad_cap,TblMili[[#This Row],[Hill]]/dryad_bonus)</f>
        <v>2.1999999999999997</v>
      </c>
      <c r="BX35" s="271">
        <f ca="1">MIN(rocka_cap,TblMili[[#This Row],[Hill]]/rocka_bonus)</f>
        <v>2</v>
      </c>
      <c r="BY35" s="271">
        <f ca="1">MIN(adept_op_cap,TblMili[[#This Row],[WG]]/adept_op_bonus)</f>
        <v>0</v>
      </c>
      <c r="BZ35" s="271">
        <f ca="1">MIN(adept_dp_cap,TblMili[[#This Row],[WG]]/adept_dp_bonus)</f>
        <v>0</v>
      </c>
      <c r="CA35" s="97">
        <f ca="1">MIN(TblMili[[#This Row],[Unit 3]],TblMili[[#This Row],[Unit 4]])*2</f>
        <v>0</v>
      </c>
      <c r="CB35" s="97">
        <f ca="1">MIN(TblMili[[#This Row],[Unit 1]],TblMili[[#This Row],[Unit 4]])*2</f>
        <v>0</v>
      </c>
      <c r="CC35" s="271">
        <f ca="1">MIN(frost_mage_cap,TblMili[[#This Row],[Hill]]/frost_mage_bonus)</f>
        <v>2.1999999999999997</v>
      </c>
      <c r="CD35" s="45">
        <f ca="1">MIN(ice_elem_cap,TblMili[[#This Row],[Raw (2)]]*ice_elem_bonus)</f>
        <v>0.1</v>
      </c>
      <c r="CE35" s="271">
        <f t="shared" si="0"/>
        <v>1</v>
      </c>
      <c r="CF35" s="271">
        <f ca="1">MIN(nox_nightshade_cap,TblConstr[[#This Row],[Homeland]]/TblConstr[[#This Row],[Land]]/nox_nightshade_swamp_bonus)</f>
        <v>3</v>
      </c>
      <c r="CG35" s="272"/>
      <c r="CH35" s="272"/>
      <c r="CI35" s="272"/>
      <c r="CJ35" s="271">
        <f ca="1">MIN(6,TblMili[[#This Row],[Mystic]]+Races!$F$19)*1.8 +  IF(TblMili[[#This Row],[Mystic]]+Races!$F$19&gt;6,(TblMili[[#This Row],[Mystic]]+Races!$F$19-6)*0.2,0) - Races!$I$19</f>
        <v>3.6399999999999997</v>
      </c>
      <c r="CK3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97">
        <f ca="1">TblMili[[#This Row],[Mystic bonus]]*TblMili[[#This Row],[Unit 3]]+TblMili[[#This Row],[Druid bonus]]*TblMili[[#This Row],[Unit 4]]</f>
        <v>0</v>
      </c>
      <c r="CM35" s="163">
        <f ca="1">MIN(6,TblMili[[#This Row],[Dryad]]+Races!$F$35)*1.8 +  IF(TblMili[[#This Row],[Dryad]]+Races!$F$35&gt;6,(TblMili[[#This Row],[Dryad]]+Races!$F$35-6)*0.2,0) - Races!$I$19</f>
        <v>2.1599999999999993</v>
      </c>
      <c r="CN35" s="97">
        <f ca="1">sylvan*(TblMili[[#This Row],[Mystic bonus]]*TblMili[[#This Row],[Unit 3]])</f>
        <v>0</v>
      </c>
      <c r="CO35" s="163">
        <f ca="1">1.8 * MIN(MAX(Races!$E$27,TblMili[[#This Row],[Rockapult]]+Races!$F$27),6)  +  0.45 * MIN(MIN(Races!$E$27,TblMili[[#This Row],[Rockapult]]+Races!$F$27),6)  +  0.2 * ( MAX(Races!$E$27-6,0) + MAX(TblMili[[#This Row],[Rockapult]]+Races!$F$27-6,0) )  -  Races!$I$20</f>
        <v>5.8500000000000005</v>
      </c>
      <c r="CP35" s="97">
        <f ca="1">gnome*(TblMili[[#This Row],[Rockapult bonus]]*TblMili[[#This Row],[Unit 3]])</f>
        <v>0</v>
      </c>
      <c r="CQ35" s="163">
        <f ca="1">1.8 * MIN(MAX(TblMili[[#This Row],[Spellblade]]+Races!$E$47,TblMili[[#This Row],[Adept-DP]]+Races!$F$47),6)  +  0.45 * MIN(MIN(TblMili[[#This Row],[Spellblade]]+Races!$E$47,TblMili[[#This Row],[Adept-DP]]+Races!$F$47),6)  +  0.2 * ( MAX(TblMili[[#This Row],[Spellblade]]+Races!$E$47-6,0) + MAX(TblMili[[#This Row],[Adept-DP]]+Races!$F$47-6,0) )  -  Races!$I$47</f>
        <v>0</v>
      </c>
      <c r="CR35" s="97">
        <f ca="1">dark_elf*(TblMili[[#This Row],[Adept bonus]]*TblMili[[#This Row],[Unit 3]])</f>
        <v>0</v>
      </c>
      <c r="CS35" s="163">
        <f ca="1">1.8 * MIN(MAX(TblMili[[#This Row],[Frost Mage]]+Races!$F$71,Races!$E$71),6)  +  0.45 * MIN(MIN(TblMili[[#This Row],[Frost Mage]]+Races!$F$71,Races!$E$71),6)  +  0.2 * ( MAX(TblMili[[#This Row],[Frost Mage]]+Races!$F$71-6,0) + MAX(Races!$E$71-6,0) )  -  Races!$I$71</f>
        <v>3.9599999999999991</v>
      </c>
      <c r="CT35" s="163">
        <f ca="1">1.8 * MIN(MAX(TblMili[[#This Row],[Ice Elemental]]+Races!$E$71,Races!$F$71),6)  +  0.45 * MIN(MIN(TblMili[[#This Row],[Ice Elemental]]+Races!$E$71,Races!$F$71),6)  +  0.2 * ( MAX(TblMili[[#This Row],[Ice Elemental]]+Races!$E$71-6,0) + MAX(Races!$F$71-6,0) )  -  Races!$I$71</f>
        <v>0.17999999999999972</v>
      </c>
      <c r="CU35" s="97">
        <f ca="1">TblMili[[#This Row],[Frost Mage bonus]]*TblMili[[#This Row],[Unit 3]]+TblMili[[#This Row],[Ice Elemental bonus]]*TblMili[[#This Row],[Unit 4]]</f>
        <v>0</v>
      </c>
      <c r="CV35" s="273"/>
      <c r="CW35" s="151">
        <f ca="1">MIN(SUM(TblConstr[[#This Row],[Plain]:[Water]])/TblMili[[#This Row],[Land]]/favorable_terrain_bonus/100,favorable_terrain_max)</f>
        <v>0.1</v>
      </c>
      <c r="CX35" s="273"/>
      <c r="CY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50"/>
      <c r="DA35" s="274">
        <f ca="1">(TblMili[[#This Row],[Wizards]]+2*TblMili[[#This Row],[Archmages]])/TblConstr[[#This Row],[Land]]</f>
        <v>0.1</v>
      </c>
      <c r="DB35" s="274">
        <f ca="1">TblMili[[#This Row],[Raw (2)]]*(1+race_wizard_strength+IF(TblMili[[#This Row],[Hour]]&gt;72,tech_magical_weaponry_wiz*TblTech[[#This Row],[3-5]],0))</f>
        <v>0.1</v>
      </c>
    </row>
    <row r="36" spans="1:106" x14ac:dyDescent="0.2">
      <c r="A36" s="145">
        <f>TblRezone[[#This Row],[Hour]]</f>
        <v>33</v>
      </c>
      <c r="B36" s="266">
        <f ca="1">SUM(TblMili[[#This Row],[Unit 1]:[Archmages]])+SUM(OFFSET(TblMili[[#This Row],[Train Unit 1]],-8,0):TblMili[[#This Row],[Train Unit 2]]) + SUM(OFFSET(TblMili[[#This Row],[Train Unit 3]],-11,0):TblMili[[#This Row],[Train Arch]]) + TblMili[[#This Row],[Draftees]]</f>
        <v>811</v>
      </c>
      <c r="C36" s="165">
        <f ca="1">TblPop[[#This Row],[Military%]]</f>
        <v>0.34393553859202713</v>
      </c>
      <c r="D36" s="150"/>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f>
        <v>25</v>
      </c>
      <c r="J36" s="45">
        <f ca="1">OFFSET(TblMili[[#This Row],[Wizards]],-1,0) + OFFSET(TblMili[[#This Row],[Train Wiz]],-12,0) - TblMili[[#This Row],[Release Wizards]]-TblMili[[#This Row],[Train Arch]]</f>
        <v>25</v>
      </c>
      <c r="K36" s="45">
        <f ca="1">OFFSET(TblMili[[#This Row],[Archmages]],-1,0) + OFFSET(TblMili[[#This Row],[Train Arch]],-12,0) - TblMili[[#This Row],[Release Arch]]</f>
        <v>0</v>
      </c>
      <c r="L36" s="150"/>
      <c r="M36" s="97">
        <f ca="1">TblProd[[#This Row],[Networth]]</f>
        <v>6450</v>
      </c>
      <c r="N36" s="150"/>
      <c r="O36" s="267">
        <f ca="1">TblMili[[#This Row],[Unit 1]]*spec_op+TblMili[[#This Row],[Unit 3]]*(elite1_base_op)+TblMili[[#This Row],[Unit 4]]*(elite2_base_op+dark_elf*TblMili[[#This Row],[Spellblade]]+icekin*TblMili[[#This Row],[Ice Elemental]]+woodie*TblMili[[#This Row],[Druid (op)]]+orc*TblMili[[#This Row],[Orc]])+kobold*TblMili[[#This Row],[Overlords]]</f>
        <v>0</v>
      </c>
      <c r="P3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6" s="267">
        <f ca="1">TblMili[[#This Row],[Raw]]*(1+TblMili[[#This Row],[Mods_Off]])</f>
        <v>0</v>
      </c>
      <c r="R3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6" s="267">
        <f ca="1">TblMili[[#This Row],[Non Draft]]+TblMili[[#This Row],[Draftees]]</f>
        <v>1061</v>
      </c>
      <c r="T3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269">
        <f ca="1">TblMili[[#This Row],[Non Draft]] * (1 + TblMili[[#This Row],[Mods_Def]])</f>
        <v>450</v>
      </c>
      <c r="V36" s="267">
        <f ca="1">TblMili[[#This Row],[Draft]] * (1 + TblMili[[#This Row],[Mods_Def]])</f>
        <v>1061</v>
      </c>
      <c r="W36" s="267">
        <f ca="1">TblConstr[[#This Row],[Land]]</f>
        <v>250</v>
      </c>
      <c r="X36" s="270"/>
      <c r="Y36" s="275">
        <f ca="1">IF(TblMili[[#This Row],[Set]]&lt;&gt;"",TblMili[[#This Row],[Set]],OFFSET(TblMili[[#This Row],[Draftrate]],-1,0))</f>
        <v>0.35</v>
      </c>
      <c r="Z36" s="97">
        <f ca="1">OFFSET(TblMili[[#This Row],[Draftees]],-1,0)+OFFSET(TblPop[[#This Row],[Draft Growth]],-1,0) - SUM(TblMili[[#This Row],[Train Unit 1]:[Train Wiz]]) - TblMili[[#This Row],[Release Draft]] + SUM(TblMili[[#This Row],[Release Unit 1]:[Release Arch]]) -TblExplore[[#This Row],[Draftees (2)]]</f>
        <v>611</v>
      </c>
      <c r="AA36" s="162"/>
      <c r="AB36" s="188">
        <f ca="1">(TblConstr[[#This Row],[Tot Smi]]+TblConstr[[#This Row],[Dest Smi]])/(TblConstr[[#This Row],[Land]]-TblExplore[[#This Row],[Land Bonus]]*20)</f>
        <v>0</v>
      </c>
      <c r="AC36" s="145"/>
      <c r="AD36" s="266">
        <f>TblMili[[#This Row],[Hour]]</f>
        <v>33</v>
      </c>
      <c r="AE36" s="146">
        <f ca="1">TblExplore[[#This Row],[Time]]</f>
        <v>44812.083333333256</v>
      </c>
      <c r="AF36" s="187"/>
      <c r="AG36" s="187"/>
      <c r="AH36" s="187"/>
      <c r="AI36" s="187"/>
      <c r="AJ36" s="187"/>
      <c r="AK36" s="187"/>
      <c r="AL36" s="187"/>
      <c r="AM36" s="150"/>
      <c r="AN36" s="97">
        <f ca="1">TblProd[[#This Row],[Platinum]]</f>
        <v>276390</v>
      </c>
      <c r="AO36" s="97">
        <f ca="1">INDEX(TblProd[[#Headers],[Lumber]]:TblProd[[#This Row],[Ore]],COUNTA(TblProd[[#Headers],[Lumber]]:TblProd[[#This Row],[Lumber]]),MATCH(Military!$AO$2,TblProd[[#Headers],[Lumber]:[Ore]],0))</f>
        <v>0</v>
      </c>
      <c r="AP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97">
        <f ca="1">TblMili[[#This Row],[Train Unit 1]]*TblMili[[#This Row],[OP Ore]]+TblMili[[#This Row],[Train Unit 2]]*TblMili[[#This Row],[DP Ore]]+TblMili[[#This Row],[Train Unit 3]]*TblMili[[#This Row],[E1 Ore]]+TblMili[[#This Row],[Train Unit 4]]*TblMili[[#This Row],[E2 Ore]]</f>
        <v>0</v>
      </c>
      <c r="AR36" s="150">
        <f>TblMili[[#This Row],[Hour]]</f>
        <v>33</v>
      </c>
      <c r="AS36" s="160">
        <f ca="1">TblMili[[#This Row],[Time]]</f>
        <v>44812.083333333256</v>
      </c>
      <c r="AT36" s="97">
        <f ca="1">TblMili[[#This Row],[Draftees]]</f>
        <v>611</v>
      </c>
      <c r="AU36" s="187"/>
      <c r="AV36" s="187"/>
      <c r="AW36" s="187"/>
      <c r="AX36" s="187"/>
      <c r="AY36" s="187"/>
      <c r="AZ36" s="187"/>
      <c r="BA36" s="187"/>
      <c r="BB36" s="187"/>
      <c r="BC36" s="150"/>
      <c r="BD36" s="165">
        <f ca="1">TblConstr[[#This Row],[Tot WG]]/TblConstr[[#This Row],[Land]]</f>
        <v>0</v>
      </c>
      <c r="BE36" s="165">
        <f ca="1">TblConstr[[#This Row],[Tot Hav]]/TblConstr[[#This Row],[Land]]</f>
        <v>0</v>
      </c>
      <c r="BF36" s="97">
        <f ca="1">ROUNDUP((1-MIN(TblMili[[#This Row],[Smithies]]*smithy_bonus,smithy_bonus_cap) + tech_3_5*TblTech[[#This Row],[3-5]] + tech_5_3*TblTech[[#This Row],[5-3]] + tech_5_5*TblTech[[#This Row],[5-5]])*spec_op_plat,0)</f>
        <v>275</v>
      </c>
      <c r="BG36" s="97">
        <f ca="1">ROUNDUP(IF(race="Gnome",1,(1-MIN(TblMili[[#This Row],[Smithies]]*smithy_bonus,smithy_bonus_cap) + tech_3_5*TblTech[[#This Row],[3-5]] + tech_5_3*TblTech[[#This Row],[5-3]] + tech_5_5*TblTech[[#This Row],[5-5]]))*spec_op_ore,0)</f>
        <v>25</v>
      </c>
      <c r="BH36" s="97">
        <f ca="1">ROUNDUP((1-MIN(TblMili[[#This Row],[Smithies]]*smithy_bonus,smithy_bonus_cap) + tech_3_5*TblTech[[#This Row],[3-5]] + tech_5_3*TblTech[[#This Row],[5-3]] + tech_5_5*TblTech[[#This Row],[5-5]])*spec_dp_plat,0)</f>
        <v>275</v>
      </c>
      <c r="BI36" s="97">
        <f ca="1">ROUNDUP(IF(race="Gnome",1,(1-MIN(TblMili[[#This Row],[Smithies]]*smithy_bonus,smithy_bonus_cap) + tech_3_5*TblTech[[#This Row],[3-5]] + tech_5_3*TblTech[[#This Row],[5-3]] + tech_5_5*TblTech[[#This Row],[5-5]]))*spec_dp_ore,0)</f>
        <v>15</v>
      </c>
      <c r="BJ36" s="97">
        <f ca="1">ROUNDUP((1-MIN(TblMili[[#This Row],[Smithies]]*smithy_bonus,smithy_bonus_cap) + tech_3_5*TblTech[[#This Row],[3-5]] + tech_5_3*TblTech[[#This Row],[5-3]] + tech_5_5*TblTech[[#This Row],[5-5]])*elite1_plat,0)</f>
        <v>1000</v>
      </c>
      <c r="BK36" s="97">
        <f ca="1">ROUNDUP(IF(race="Gnome",1,(1-MIN(TblMili[[#This Row],[Smithies]]*smithy_bonus,smithy_bonus_cap) + tech_3_5*TblTech[[#This Row],[3-5]] + tech_5_3*TblTech[[#This Row],[5-3]] + tech_5_5*TblTech[[#This Row],[5-5]]))*elite1_ore,0)</f>
        <v>75</v>
      </c>
      <c r="BL36" s="97">
        <f ca="1">ROUNDUP((1-MIN(TblMili[[#This Row],[Smithies]]*smithy_bonus,smithy_bonus_cap) + tech_3_5*TblTech[[#This Row],[3-5]] + tech_5_3*TblTech[[#This Row],[5-3]] + tech_5_5*TblTech[[#This Row],[5-5]])*elite2_plat,0)</f>
        <v>1200</v>
      </c>
      <c r="BM36" s="97">
        <f ca="1">ROUNDUP(IF(race="Gnome",1,(1-MIN(TblMili[[#This Row],[Smithies]]*smithy_bonus,smithy_bonus_cap) + tech_3_5*TblTech[[#This Row],[3-5]] + tech_5_3*TblTech[[#This Row],[5-3]] + tech_5_5*TblTech[[#This Row],[5-5]]))*elite2_ore,0)</f>
        <v>100</v>
      </c>
      <c r="BN36" s="97">
        <f ca="1">ROUNDUP((1-MIN(ROUND(fh_spy_cost_red*TblMili[[#This Row],[FH''s]],4),fh_spy_cost_cap)+ tech_1_9*TblTech[[#This Row],[1-9]] + tech_9_1*TblTech[[#This Row],[9-1]])*spy_plat,0)</f>
        <v>500</v>
      </c>
      <c r="BO36" s="97">
        <f ca="1">ROUNDUP((1-MIN(ROUND(wg_wiz_cost_bonus*TblMili[[#This Row],[WG''s]],4),wg_wiz_cost_cap) + tech_1_9_2*TblTech[[#This Row],[1-9]] + tech_9_1_2*TblTech[[#This Row],[9-1]])*wizard_plat,0)</f>
        <v>500</v>
      </c>
      <c r="BP36" s="97">
        <f ca="1">ROUNDUP((1-MIN(ROUND(wg_wiz_cost_bonus*TblMili[[#This Row],[WG''s]],4),wg_wiz_cost_cap) + tech_1_9_2*TblTech[[#This Row],[1-9]] + tech_9_1_2*TblTech[[#This Row],[9-1]])*archmage_plat,0)</f>
        <v>1000</v>
      </c>
      <c r="BQ36" s="150"/>
      <c r="BR36" s="165">
        <f ca="1">TblConstr[[#This Row],[Homeland]]/TblConstr[[#This Row],[Land]]</f>
        <v>0.44</v>
      </c>
      <c r="BS36" s="165">
        <f ca="1">TblMili[[#This Row],[WG''s]]</f>
        <v>0</v>
      </c>
      <c r="BT36" s="271">
        <f ca="1">IF(mystic_cap="none",TblMili[[#This Row],[Hill]]/mystic_bonus,MIN(mystic_cap,TblMili[[#This Row],[Hill]]/mystic_bonus))</f>
        <v>2.1999999999999997</v>
      </c>
      <c r="BU36" s="271">
        <f ca="1">IF(druid_op_cap="none",TblMili[[#This Row],[Hill]]/druid_op_bonus,MIN(druid_op_cap,TblMili[[#This Row],[Hill]]/druid_op_bonus))</f>
        <v>2.1999999999999997</v>
      </c>
      <c r="BV36" s="271">
        <f ca="1">IF(druid_dp_cap="none",TblMili[[#This Row],[Hill]]/druid_dp_bonus,MIN(druid_dp_cap,TblMili[[#This Row],[Hill]]/druid_dp_bonus))</f>
        <v>2.1999999999999997</v>
      </c>
      <c r="BW36" s="271">
        <f ca="1">MIN(dryad_cap,TblMili[[#This Row],[Hill]]/dryad_bonus)</f>
        <v>2.1999999999999997</v>
      </c>
      <c r="BX36" s="271">
        <f ca="1">MIN(rocka_cap,TblMili[[#This Row],[Hill]]/rocka_bonus)</f>
        <v>2</v>
      </c>
      <c r="BY36" s="271">
        <f ca="1">MIN(adept_op_cap,TblMili[[#This Row],[WG]]/adept_op_bonus)</f>
        <v>0</v>
      </c>
      <c r="BZ36" s="271">
        <f ca="1">MIN(adept_dp_cap,TblMili[[#This Row],[WG]]/adept_dp_bonus)</f>
        <v>0</v>
      </c>
      <c r="CA36" s="97">
        <f ca="1">MIN(TblMili[[#This Row],[Unit 3]],TblMili[[#This Row],[Unit 4]])*2</f>
        <v>0</v>
      </c>
      <c r="CB36" s="97">
        <f ca="1">MIN(TblMili[[#This Row],[Unit 1]],TblMili[[#This Row],[Unit 4]])*2</f>
        <v>0</v>
      </c>
      <c r="CC36" s="271">
        <f ca="1">MIN(frost_mage_cap,TblMili[[#This Row],[Hill]]/frost_mage_bonus)</f>
        <v>2.1999999999999997</v>
      </c>
      <c r="CD36" s="45">
        <f ca="1">MIN(ice_elem_cap,TblMili[[#This Row],[Raw (2)]]*ice_elem_bonus)</f>
        <v>0.1</v>
      </c>
      <c r="CE36" s="271">
        <f t="shared" ref="CE36:CE67" si="2">MIN(bone_breaker_cap,250/bone_breaker_bonus)</f>
        <v>1</v>
      </c>
      <c r="CF36" s="271">
        <f ca="1">MIN(nox_nightshade_cap,TblConstr[[#This Row],[Homeland]]/TblConstr[[#This Row],[Land]]/nox_nightshade_swamp_bonus)</f>
        <v>3</v>
      </c>
      <c r="CG36" s="272"/>
      <c r="CH36" s="272"/>
      <c r="CI36" s="272"/>
      <c r="CJ36" s="271">
        <f ca="1">MIN(6,TblMili[[#This Row],[Mystic]]+Races!$F$19)*1.8 +  IF(TblMili[[#This Row],[Mystic]]+Races!$F$19&gt;6,(TblMili[[#This Row],[Mystic]]+Races!$F$19-6)*0.2,0) - Races!$I$19</f>
        <v>3.6399999999999997</v>
      </c>
      <c r="CK3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97">
        <f ca="1">TblMili[[#This Row],[Mystic bonus]]*TblMili[[#This Row],[Unit 3]]+TblMili[[#This Row],[Druid bonus]]*TblMili[[#This Row],[Unit 4]]</f>
        <v>0</v>
      </c>
      <c r="CM36" s="163">
        <f ca="1">MIN(6,TblMili[[#This Row],[Dryad]]+Races!$F$35)*1.8 +  IF(TblMili[[#This Row],[Dryad]]+Races!$F$35&gt;6,(TblMili[[#This Row],[Dryad]]+Races!$F$35-6)*0.2,0) - Races!$I$19</f>
        <v>2.1599999999999993</v>
      </c>
      <c r="CN36" s="97">
        <f ca="1">sylvan*(TblMili[[#This Row],[Mystic bonus]]*TblMili[[#This Row],[Unit 3]])</f>
        <v>0</v>
      </c>
      <c r="CO36" s="163">
        <f ca="1">1.8 * MIN(MAX(Races!$E$27,TblMili[[#This Row],[Rockapult]]+Races!$F$27),6)  +  0.45 * MIN(MIN(Races!$E$27,TblMili[[#This Row],[Rockapult]]+Races!$F$27),6)  +  0.2 * ( MAX(Races!$E$27-6,0) + MAX(TblMili[[#This Row],[Rockapult]]+Races!$F$27-6,0) )  -  Races!$I$20</f>
        <v>5.8500000000000005</v>
      </c>
      <c r="CP36" s="97">
        <f ca="1">gnome*(TblMili[[#This Row],[Rockapult bonus]]*TblMili[[#This Row],[Unit 3]])</f>
        <v>0</v>
      </c>
      <c r="CQ36" s="163">
        <f ca="1">1.8 * MIN(MAX(TblMili[[#This Row],[Spellblade]]+Races!$E$47,TblMili[[#This Row],[Adept-DP]]+Races!$F$47),6)  +  0.45 * MIN(MIN(TblMili[[#This Row],[Spellblade]]+Races!$E$47,TblMili[[#This Row],[Adept-DP]]+Races!$F$47),6)  +  0.2 * ( MAX(TblMili[[#This Row],[Spellblade]]+Races!$E$47-6,0) + MAX(TblMili[[#This Row],[Adept-DP]]+Races!$F$47-6,0) )  -  Races!$I$47</f>
        <v>0</v>
      </c>
      <c r="CR36" s="97">
        <f ca="1">dark_elf*(TblMili[[#This Row],[Adept bonus]]*TblMili[[#This Row],[Unit 3]])</f>
        <v>0</v>
      </c>
      <c r="CS36" s="163">
        <f ca="1">1.8 * MIN(MAX(TblMili[[#This Row],[Frost Mage]]+Races!$F$71,Races!$E$71),6)  +  0.45 * MIN(MIN(TblMili[[#This Row],[Frost Mage]]+Races!$F$71,Races!$E$71),6)  +  0.2 * ( MAX(TblMili[[#This Row],[Frost Mage]]+Races!$F$71-6,0) + MAX(Races!$E$71-6,0) )  -  Races!$I$71</f>
        <v>3.9599999999999991</v>
      </c>
      <c r="CT36" s="163">
        <f ca="1">1.8 * MIN(MAX(TblMili[[#This Row],[Ice Elemental]]+Races!$E$71,Races!$F$71),6)  +  0.45 * MIN(MIN(TblMili[[#This Row],[Ice Elemental]]+Races!$E$71,Races!$F$71),6)  +  0.2 * ( MAX(TblMili[[#This Row],[Ice Elemental]]+Races!$E$71-6,0) + MAX(Races!$F$71-6,0) )  -  Races!$I$71</f>
        <v>0.17999999999999972</v>
      </c>
      <c r="CU36" s="97">
        <f ca="1">TblMili[[#This Row],[Frost Mage bonus]]*TblMili[[#This Row],[Unit 3]]+TblMili[[#This Row],[Ice Elemental bonus]]*TblMili[[#This Row],[Unit 4]]</f>
        <v>0</v>
      </c>
      <c r="CV36" s="273"/>
      <c r="CW36" s="151">
        <f ca="1">MIN(SUM(TblConstr[[#This Row],[Plain]:[Water]])/TblMili[[#This Row],[Land]]/favorable_terrain_bonus/100,favorable_terrain_max)</f>
        <v>0.1</v>
      </c>
      <c r="CX36" s="273"/>
      <c r="CY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50"/>
      <c r="DA36" s="274">
        <f ca="1">(TblMili[[#This Row],[Wizards]]+2*TblMili[[#This Row],[Archmages]])/TblConstr[[#This Row],[Land]]</f>
        <v>0.1</v>
      </c>
      <c r="DB36" s="274">
        <f ca="1">TblMili[[#This Row],[Raw (2)]]*(1+race_wizard_strength+IF(TblMili[[#This Row],[Hour]]&gt;72,tech_magical_weaponry_wiz*TblTech[[#This Row],[3-5]],0))</f>
        <v>0.1</v>
      </c>
    </row>
    <row r="37" spans="1:106" x14ac:dyDescent="0.2">
      <c r="A37" s="145">
        <f>TblRezone[[#This Row],[Hour]]</f>
        <v>34</v>
      </c>
      <c r="B37" s="266">
        <f ca="1">SUM(TblMili[[#This Row],[Unit 1]:[Archmages]])+SUM(OFFSET(TblMili[[#This Row],[Train Unit 1]],-8,0):TblMili[[#This Row],[Train Unit 2]]) + SUM(OFFSET(TblMili[[#This Row],[Train Unit 3]],-11,0):TblMili[[#This Row],[Train Arch]]) + TblMili[[#This Row],[Draftees]]</f>
        <v>826</v>
      </c>
      <c r="C37" s="165">
        <f ca="1">TblPop[[#This Row],[Military%]]</f>
        <v>0.35029686174724345</v>
      </c>
      <c r="D37" s="150"/>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f>
        <v>25</v>
      </c>
      <c r="J37" s="45">
        <f ca="1">OFFSET(TblMili[[#This Row],[Wizards]],-1,0) + OFFSET(TblMili[[#This Row],[Train Wiz]],-12,0) - TblMili[[#This Row],[Release Wizards]]-TblMili[[#This Row],[Train Arch]]</f>
        <v>25</v>
      </c>
      <c r="K37" s="45">
        <f ca="1">OFFSET(TblMili[[#This Row],[Archmages]],-1,0) + OFFSET(TblMili[[#This Row],[Train Arch]],-12,0) - TblMili[[#This Row],[Release Arch]]</f>
        <v>0</v>
      </c>
      <c r="L37" s="150"/>
      <c r="M37" s="97">
        <f ca="1">TblProd[[#This Row],[Networth]]</f>
        <v>6450</v>
      </c>
      <c r="N37" s="150"/>
      <c r="O37" s="267">
        <f ca="1">TblMili[[#This Row],[Unit 1]]*spec_op+TblMili[[#This Row],[Unit 3]]*(elite1_base_op)+TblMili[[#This Row],[Unit 4]]*(elite2_base_op+dark_elf*TblMili[[#This Row],[Spellblade]]+icekin*TblMili[[#This Row],[Ice Elemental]]+woodie*TblMili[[#This Row],[Druid (op)]]+orc*TblMili[[#This Row],[Orc]])+kobold*TblMili[[#This Row],[Overlords]]</f>
        <v>0</v>
      </c>
      <c r="P3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7" s="267">
        <f ca="1">TblMili[[#This Row],[Raw]]*(1+TblMili[[#This Row],[Mods_Off]])</f>
        <v>0</v>
      </c>
      <c r="R3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7" s="267">
        <f ca="1">TblMili[[#This Row],[Non Draft]]+TblMili[[#This Row],[Draftees]]</f>
        <v>1076</v>
      </c>
      <c r="T3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269">
        <f ca="1">TblMili[[#This Row],[Non Draft]] * (1 + TblMili[[#This Row],[Mods_Def]])</f>
        <v>450</v>
      </c>
      <c r="V37" s="267">
        <f ca="1">TblMili[[#This Row],[Draft]] * (1 + TblMili[[#This Row],[Mods_Def]])</f>
        <v>1076</v>
      </c>
      <c r="W37" s="267">
        <f ca="1">TblConstr[[#This Row],[Land]]</f>
        <v>250</v>
      </c>
      <c r="X37" s="270"/>
      <c r="Y37" s="275">
        <f ca="1">IF(TblMili[[#This Row],[Set]]&lt;&gt;"",TblMili[[#This Row],[Set]],OFFSET(TblMili[[#This Row],[Draftrate]],-1,0))</f>
        <v>0.35</v>
      </c>
      <c r="Z37" s="97">
        <f ca="1">OFFSET(TblMili[[#This Row],[Draftees]],-1,0)+OFFSET(TblPop[[#This Row],[Draft Growth]],-1,0) - SUM(TblMili[[#This Row],[Train Unit 1]:[Train Wiz]]) - TblMili[[#This Row],[Release Draft]] + SUM(TblMili[[#This Row],[Release Unit 1]:[Release Arch]]) -TblExplore[[#This Row],[Draftees (2)]]</f>
        <v>626</v>
      </c>
      <c r="AA37" s="162"/>
      <c r="AB37" s="188">
        <f ca="1">(TblConstr[[#This Row],[Tot Smi]]+TblConstr[[#This Row],[Dest Smi]])/(TblConstr[[#This Row],[Land]]-TblExplore[[#This Row],[Land Bonus]]*20)</f>
        <v>0</v>
      </c>
      <c r="AC37" s="145"/>
      <c r="AD37" s="266">
        <f>TblMili[[#This Row],[Hour]]</f>
        <v>34</v>
      </c>
      <c r="AE37" s="146">
        <f ca="1">TblExplore[[#This Row],[Time]]</f>
        <v>44812.12499999992</v>
      </c>
      <c r="AF37" s="187"/>
      <c r="AG37" s="187"/>
      <c r="AH37" s="187"/>
      <c r="AI37" s="187"/>
      <c r="AJ37" s="187"/>
      <c r="AK37" s="187"/>
      <c r="AL37" s="187"/>
      <c r="AM37" s="150"/>
      <c r="AN37" s="97">
        <f ca="1">TblProd[[#This Row],[Platinum]]</f>
        <v>281916</v>
      </c>
      <c r="AO37" s="97">
        <f ca="1">INDEX(TblProd[[#Headers],[Lumber]]:TblProd[[#This Row],[Ore]],COUNTA(TblProd[[#Headers],[Lumber]]:TblProd[[#This Row],[Lumber]]),MATCH(Military!$AO$2,TblProd[[#Headers],[Lumber]:[Ore]],0))</f>
        <v>0</v>
      </c>
      <c r="AP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97">
        <f ca="1">TblMili[[#This Row],[Train Unit 1]]*TblMili[[#This Row],[OP Ore]]+TblMili[[#This Row],[Train Unit 2]]*TblMili[[#This Row],[DP Ore]]+TblMili[[#This Row],[Train Unit 3]]*TblMili[[#This Row],[E1 Ore]]+TblMili[[#This Row],[Train Unit 4]]*TblMili[[#This Row],[E2 Ore]]</f>
        <v>0</v>
      </c>
      <c r="AR37" s="150">
        <f>TblMili[[#This Row],[Hour]]</f>
        <v>34</v>
      </c>
      <c r="AS37" s="160">
        <f ca="1">TblMili[[#This Row],[Time]]</f>
        <v>44812.12499999992</v>
      </c>
      <c r="AT37" s="97">
        <f ca="1">TblMili[[#This Row],[Draftees]]</f>
        <v>626</v>
      </c>
      <c r="AU37" s="187"/>
      <c r="AV37" s="187"/>
      <c r="AW37" s="187"/>
      <c r="AX37" s="187"/>
      <c r="AY37" s="187"/>
      <c r="AZ37" s="187"/>
      <c r="BA37" s="187"/>
      <c r="BB37" s="187"/>
      <c r="BC37" s="150"/>
      <c r="BD37" s="165">
        <f ca="1">TblConstr[[#This Row],[Tot WG]]/TblConstr[[#This Row],[Land]]</f>
        <v>0</v>
      </c>
      <c r="BE37" s="165">
        <f ca="1">TblConstr[[#This Row],[Tot Hav]]/TblConstr[[#This Row],[Land]]</f>
        <v>0</v>
      </c>
      <c r="BF37" s="97">
        <f ca="1">ROUNDUP((1-MIN(TblMili[[#This Row],[Smithies]]*smithy_bonus,smithy_bonus_cap) + tech_3_5*TblTech[[#This Row],[3-5]] + tech_5_3*TblTech[[#This Row],[5-3]] + tech_5_5*TblTech[[#This Row],[5-5]])*spec_op_plat,0)</f>
        <v>275</v>
      </c>
      <c r="BG37" s="97">
        <f ca="1">ROUNDUP(IF(race="Gnome",1,(1-MIN(TblMili[[#This Row],[Smithies]]*smithy_bonus,smithy_bonus_cap) + tech_3_5*TblTech[[#This Row],[3-5]] + tech_5_3*TblTech[[#This Row],[5-3]] + tech_5_5*TblTech[[#This Row],[5-5]]))*spec_op_ore,0)</f>
        <v>25</v>
      </c>
      <c r="BH37" s="97">
        <f ca="1">ROUNDUP((1-MIN(TblMili[[#This Row],[Smithies]]*smithy_bonus,smithy_bonus_cap) + tech_3_5*TblTech[[#This Row],[3-5]] + tech_5_3*TblTech[[#This Row],[5-3]] + tech_5_5*TblTech[[#This Row],[5-5]])*spec_dp_plat,0)</f>
        <v>275</v>
      </c>
      <c r="BI37" s="97">
        <f ca="1">ROUNDUP(IF(race="Gnome",1,(1-MIN(TblMili[[#This Row],[Smithies]]*smithy_bonus,smithy_bonus_cap) + tech_3_5*TblTech[[#This Row],[3-5]] + tech_5_3*TblTech[[#This Row],[5-3]] + tech_5_5*TblTech[[#This Row],[5-5]]))*spec_dp_ore,0)</f>
        <v>15</v>
      </c>
      <c r="BJ37" s="97">
        <f ca="1">ROUNDUP((1-MIN(TblMili[[#This Row],[Smithies]]*smithy_bonus,smithy_bonus_cap) + tech_3_5*TblTech[[#This Row],[3-5]] + tech_5_3*TblTech[[#This Row],[5-3]] + tech_5_5*TblTech[[#This Row],[5-5]])*elite1_plat,0)</f>
        <v>1000</v>
      </c>
      <c r="BK37" s="97">
        <f ca="1">ROUNDUP(IF(race="Gnome",1,(1-MIN(TblMili[[#This Row],[Smithies]]*smithy_bonus,smithy_bonus_cap) + tech_3_5*TblTech[[#This Row],[3-5]] + tech_5_3*TblTech[[#This Row],[5-3]] + tech_5_5*TblTech[[#This Row],[5-5]]))*elite1_ore,0)</f>
        <v>75</v>
      </c>
      <c r="BL37" s="97">
        <f ca="1">ROUNDUP((1-MIN(TblMili[[#This Row],[Smithies]]*smithy_bonus,smithy_bonus_cap) + tech_3_5*TblTech[[#This Row],[3-5]] + tech_5_3*TblTech[[#This Row],[5-3]] + tech_5_5*TblTech[[#This Row],[5-5]])*elite2_plat,0)</f>
        <v>1200</v>
      </c>
      <c r="BM37" s="97">
        <f ca="1">ROUNDUP(IF(race="Gnome",1,(1-MIN(TblMili[[#This Row],[Smithies]]*smithy_bonus,smithy_bonus_cap) + tech_3_5*TblTech[[#This Row],[3-5]] + tech_5_3*TblTech[[#This Row],[5-3]] + tech_5_5*TblTech[[#This Row],[5-5]]))*elite2_ore,0)</f>
        <v>100</v>
      </c>
      <c r="BN37" s="97">
        <f ca="1">ROUNDUP((1-MIN(ROUND(fh_spy_cost_red*TblMili[[#This Row],[FH''s]],4),fh_spy_cost_cap)+ tech_1_9*TblTech[[#This Row],[1-9]] + tech_9_1*TblTech[[#This Row],[9-1]])*spy_plat,0)</f>
        <v>500</v>
      </c>
      <c r="BO37" s="97">
        <f ca="1">ROUNDUP((1-MIN(ROUND(wg_wiz_cost_bonus*TblMili[[#This Row],[WG''s]],4),wg_wiz_cost_cap) + tech_1_9_2*TblTech[[#This Row],[1-9]] + tech_9_1_2*TblTech[[#This Row],[9-1]])*wizard_plat,0)</f>
        <v>500</v>
      </c>
      <c r="BP37" s="97">
        <f ca="1">ROUNDUP((1-MIN(ROUND(wg_wiz_cost_bonus*TblMili[[#This Row],[WG''s]],4),wg_wiz_cost_cap) + tech_1_9_2*TblTech[[#This Row],[1-9]] + tech_9_1_2*TblTech[[#This Row],[9-1]])*archmage_plat,0)</f>
        <v>1000</v>
      </c>
      <c r="BQ37" s="150"/>
      <c r="BR37" s="165">
        <f ca="1">TblConstr[[#This Row],[Homeland]]/TblConstr[[#This Row],[Land]]</f>
        <v>0.44</v>
      </c>
      <c r="BS37" s="165">
        <f ca="1">TblMili[[#This Row],[WG''s]]</f>
        <v>0</v>
      </c>
      <c r="BT37" s="271">
        <f ca="1">IF(mystic_cap="none",TblMili[[#This Row],[Hill]]/mystic_bonus,MIN(mystic_cap,TblMili[[#This Row],[Hill]]/mystic_bonus))</f>
        <v>2.1999999999999997</v>
      </c>
      <c r="BU37" s="271">
        <f ca="1">IF(druid_op_cap="none",TblMili[[#This Row],[Hill]]/druid_op_bonus,MIN(druid_op_cap,TblMili[[#This Row],[Hill]]/druid_op_bonus))</f>
        <v>2.1999999999999997</v>
      </c>
      <c r="BV37" s="271">
        <f ca="1">IF(druid_dp_cap="none",TblMili[[#This Row],[Hill]]/druid_dp_bonus,MIN(druid_dp_cap,TblMili[[#This Row],[Hill]]/druid_dp_bonus))</f>
        <v>2.1999999999999997</v>
      </c>
      <c r="BW37" s="271">
        <f ca="1">MIN(dryad_cap,TblMili[[#This Row],[Hill]]/dryad_bonus)</f>
        <v>2.1999999999999997</v>
      </c>
      <c r="BX37" s="271">
        <f ca="1">MIN(rocka_cap,TblMili[[#This Row],[Hill]]/rocka_bonus)</f>
        <v>2</v>
      </c>
      <c r="BY37" s="271">
        <f ca="1">MIN(adept_op_cap,TblMili[[#This Row],[WG]]/adept_op_bonus)</f>
        <v>0</v>
      </c>
      <c r="BZ37" s="271">
        <f ca="1">MIN(adept_dp_cap,TblMili[[#This Row],[WG]]/adept_dp_bonus)</f>
        <v>0</v>
      </c>
      <c r="CA37" s="97">
        <f ca="1">MIN(TblMili[[#This Row],[Unit 3]],TblMili[[#This Row],[Unit 4]])*2</f>
        <v>0</v>
      </c>
      <c r="CB37" s="97">
        <f ca="1">MIN(TblMili[[#This Row],[Unit 1]],TblMili[[#This Row],[Unit 4]])*2</f>
        <v>0</v>
      </c>
      <c r="CC37" s="271">
        <f ca="1">MIN(frost_mage_cap,TblMili[[#This Row],[Hill]]/frost_mage_bonus)</f>
        <v>2.1999999999999997</v>
      </c>
      <c r="CD37" s="45">
        <f ca="1">MIN(ice_elem_cap,TblMili[[#This Row],[Raw (2)]]*ice_elem_bonus)</f>
        <v>0.1</v>
      </c>
      <c r="CE37" s="271">
        <f t="shared" si="2"/>
        <v>1</v>
      </c>
      <c r="CF37" s="271">
        <f ca="1">MIN(nox_nightshade_cap,TblConstr[[#This Row],[Homeland]]/TblConstr[[#This Row],[Land]]/nox_nightshade_swamp_bonus)</f>
        <v>3</v>
      </c>
      <c r="CG37" s="272"/>
      <c r="CH37" s="272"/>
      <c r="CI37" s="272"/>
      <c r="CJ37" s="271">
        <f ca="1">MIN(6,TblMili[[#This Row],[Mystic]]+Races!$F$19)*1.8 +  IF(TblMili[[#This Row],[Mystic]]+Races!$F$19&gt;6,(TblMili[[#This Row],[Mystic]]+Races!$F$19-6)*0.2,0) - Races!$I$19</f>
        <v>3.6399999999999997</v>
      </c>
      <c r="CK3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97">
        <f ca="1">TblMili[[#This Row],[Mystic bonus]]*TblMili[[#This Row],[Unit 3]]+TblMili[[#This Row],[Druid bonus]]*TblMili[[#This Row],[Unit 4]]</f>
        <v>0</v>
      </c>
      <c r="CM37" s="163">
        <f ca="1">MIN(6,TblMili[[#This Row],[Dryad]]+Races!$F$35)*1.8 +  IF(TblMili[[#This Row],[Dryad]]+Races!$F$35&gt;6,(TblMili[[#This Row],[Dryad]]+Races!$F$35-6)*0.2,0) - Races!$I$19</f>
        <v>2.1599999999999993</v>
      </c>
      <c r="CN37" s="97">
        <f ca="1">sylvan*(TblMili[[#This Row],[Mystic bonus]]*TblMili[[#This Row],[Unit 3]])</f>
        <v>0</v>
      </c>
      <c r="CO37" s="163">
        <f ca="1">1.8 * MIN(MAX(Races!$E$27,TblMili[[#This Row],[Rockapult]]+Races!$F$27),6)  +  0.45 * MIN(MIN(Races!$E$27,TblMili[[#This Row],[Rockapult]]+Races!$F$27),6)  +  0.2 * ( MAX(Races!$E$27-6,0) + MAX(TblMili[[#This Row],[Rockapult]]+Races!$F$27-6,0) )  -  Races!$I$20</f>
        <v>5.8500000000000005</v>
      </c>
      <c r="CP37" s="97">
        <f ca="1">gnome*(TblMili[[#This Row],[Rockapult bonus]]*TblMili[[#This Row],[Unit 3]])</f>
        <v>0</v>
      </c>
      <c r="CQ37" s="163">
        <f ca="1">1.8 * MIN(MAX(TblMili[[#This Row],[Spellblade]]+Races!$E$47,TblMili[[#This Row],[Adept-DP]]+Races!$F$47),6)  +  0.45 * MIN(MIN(TblMili[[#This Row],[Spellblade]]+Races!$E$47,TblMili[[#This Row],[Adept-DP]]+Races!$F$47),6)  +  0.2 * ( MAX(TblMili[[#This Row],[Spellblade]]+Races!$E$47-6,0) + MAX(TblMili[[#This Row],[Adept-DP]]+Races!$F$47-6,0) )  -  Races!$I$47</f>
        <v>0</v>
      </c>
      <c r="CR37" s="97">
        <f ca="1">dark_elf*(TblMili[[#This Row],[Adept bonus]]*TblMili[[#This Row],[Unit 3]])</f>
        <v>0</v>
      </c>
      <c r="CS37" s="163">
        <f ca="1">1.8 * MIN(MAX(TblMili[[#This Row],[Frost Mage]]+Races!$F$71,Races!$E$71),6)  +  0.45 * MIN(MIN(TblMili[[#This Row],[Frost Mage]]+Races!$F$71,Races!$E$71),6)  +  0.2 * ( MAX(TblMili[[#This Row],[Frost Mage]]+Races!$F$71-6,0) + MAX(Races!$E$71-6,0) )  -  Races!$I$71</f>
        <v>3.9599999999999991</v>
      </c>
      <c r="CT37" s="163">
        <f ca="1">1.8 * MIN(MAX(TblMili[[#This Row],[Ice Elemental]]+Races!$E$71,Races!$F$71),6)  +  0.45 * MIN(MIN(TblMili[[#This Row],[Ice Elemental]]+Races!$E$71,Races!$F$71),6)  +  0.2 * ( MAX(TblMili[[#This Row],[Ice Elemental]]+Races!$E$71-6,0) + MAX(Races!$F$71-6,0) )  -  Races!$I$71</f>
        <v>0.17999999999999972</v>
      </c>
      <c r="CU37" s="97">
        <f ca="1">TblMili[[#This Row],[Frost Mage bonus]]*TblMili[[#This Row],[Unit 3]]+TblMili[[#This Row],[Ice Elemental bonus]]*TblMili[[#This Row],[Unit 4]]</f>
        <v>0</v>
      </c>
      <c r="CV37" s="273"/>
      <c r="CW37" s="151">
        <f ca="1">MIN(SUM(TblConstr[[#This Row],[Plain]:[Water]])/TblMili[[#This Row],[Land]]/favorable_terrain_bonus/100,favorable_terrain_max)</f>
        <v>0.1</v>
      </c>
      <c r="CX37" s="273"/>
      <c r="CY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50"/>
      <c r="DA37" s="274">
        <f ca="1">(TblMili[[#This Row],[Wizards]]+2*TblMili[[#This Row],[Archmages]])/TblConstr[[#This Row],[Land]]</f>
        <v>0.1</v>
      </c>
      <c r="DB37" s="274">
        <f ca="1">TblMili[[#This Row],[Raw (2)]]*(1+race_wizard_strength+IF(TblMili[[#This Row],[Hour]]&gt;72,tech_magical_weaponry_wiz*TblTech[[#This Row],[3-5]],0))</f>
        <v>0.1</v>
      </c>
    </row>
    <row r="38" spans="1:106" x14ac:dyDescent="0.2">
      <c r="A38" s="145">
        <f>TblRezone[[#This Row],[Hour]]</f>
        <v>35</v>
      </c>
      <c r="B38" s="266">
        <f ca="1">SUM(TblMili[[#This Row],[Unit 1]:[Archmages]])+SUM(OFFSET(TblMili[[#This Row],[Train Unit 1]],-8,0):TblMili[[#This Row],[Train Unit 2]]) + SUM(OFFSET(TblMili[[#This Row],[Train Unit 3]],-11,0):TblMili[[#This Row],[Train Arch]]) + TblMili[[#This Row],[Draftees]]</f>
        <v>826</v>
      </c>
      <c r="C38" s="165">
        <f ca="1">TblPop[[#This Row],[Military%]]</f>
        <v>0.35029686174724345</v>
      </c>
      <c r="D38" s="150"/>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f>
        <v>25</v>
      </c>
      <c r="J38" s="45">
        <f ca="1">OFFSET(TblMili[[#This Row],[Wizards]],-1,0) + OFFSET(TblMili[[#This Row],[Train Wiz]],-12,0) - TblMili[[#This Row],[Release Wizards]]-TblMili[[#This Row],[Train Arch]]</f>
        <v>25</v>
      </c>
      <c r="K38" s="45">
        <f ca="1">OFFSET(TblMili[[#This Row],[Archmages]],-1,0) + OFFSET(TblMili[[#This Row],[Train Arch]],-12,0) - TblMili[[#This Row],[Release Arch]]</f>
        <v>0</v>
      </c>
      <c r="L38" s="150"/>
      <c r="M38" s="97">
        <f ca="1">TblProd[[#This Row],[Networth]]</f>
        <v>6450</v>
      </c>
      <c r="N38" s="150"/>
      <c r="O38" s="267">
        <f ca="1">TblMili[[#This Row],[Unit 1]]*spec_op+TblMili[[#This Row],[Unit 3]]*(elite1_base_op)+TblMili[[#This Row],[Unit 4]]*(elite2_base_op+dark_elf*TblMili[[#This Row],[Spellblade]]+icekin*TblMili[[#This Row],[Ice Elemental]]+woodie*TblMili[[#This Row],[Druid (op)]]+orc*TblMili[[#This Row],[Orc]])+kobold*TblMili[[#This Row],[Overlords]]</f>
        <v>0</v>
      </c>
      <c r="P3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8" s="267">
        <f ca="1">TblMili[[#This Row],[Raw]]*(1+TblMili[[#This Row],[Mods_Off]])</f>
        <v>0</v>
      </c>
      <c r="R3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8" s="267">
        <f ca="1">TblMili[[#This Row],[Non Draft]]+TblMili[[#This Row],[Draftees]]</f>
        <v>1076</v>
      </c>
      <c r="T3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269">
        <f ca="1">TblMili[[#This Row],[Non Draft]] * (1 + TblMili[[#This Row],[Mods_Def]])</f>
        <v>450</v>
      </c>
      <c r="V38" s="267">
        <f ca="1">TblMili[[#This Row],[Draft]] * (1 + TblMili[[#This Row],[Mods_Def]])</f>
        <v>1076</v>
      </c>
      <c r="W38" s="267">
        <f ca="1">TblConstr[[#This Row],[Land]]</f>
        <v>250</v>
      </c>
      <c r="X38" s="270"/>
      <c r="Y38" s="275">
        <f ca="1">IF(TblMili[[#This Row],[Set]]&lt;&gt;"",TblMili[[#This Row],[Set]],OFFSET(TblMili[[#This Row],[Draftrate]],-1,0))</f>
        <v>0.35</v>
      </c>
      <c r="Z38" s="97">
        <f ca="1">OFFSET(TblMili[[#This Row],[Draftees]],-1,0)+OFFSET(TblPop[[#This Row],[Draft Growth]],-1,0) - SUM(TblMili[[#This Row],[Train Unit 1]:[Train Wiz]]) - TblMili[[#This Row],[Release Draft]] + SUM(TblMili[[#This Row],[Release Unit 1]:[Release Arch]]) -TblExplore[[#This Row],[Draftees (2)]]</f>
        <v>626</v>
      </c>
      <c r="AA38" s="162"/>
      <c r="AB38" s="188">
        <f ca="1">(TblConstr[[#This Row],[Tot Smi]]+TblConstr[[#This Row],[Dest Smi]])/(TblConstr[[#This Row],[Land]]-TblExplore[[#This Row],[Land Bonus]]*20)</f>
        <v>0</v>
      </c>
      <c r="AC38" s="145"/>
      <c r="AD38" s="266">
        <f>TblMili[[#This Row],[Hour]]</f>
        <v>35</v>
      </c>
      <c r="AE38" s="146">
        <f ca="1">TblExplore[[#This Row],[Time]]</f>
        <v>44812.166666666584</v>
      </c>
      <c r="AF38" s="187"/>
      <c r="AG38" s="187"/>
      <c r="AH38" s="187"/>
      <c r="AI38" s="187"/>
      <c r="AJ38" s="187"/>
      <c r="AK38" s="187"/>
      <c r="AL38" s="187"/>
      <c r="AM38" s="150"/>
      <c r="AN38" s="97">
        <f ca="1">TblProd[[#This Row],[Platinum]]</f>
        <v>287402</v>
      </c>
      <c r="AO38" s="97">
        <f ca="1">INDEX(TblProd[[#Headers],[Lumber]]:TblProd[[#This Row],[Ore]],COUNTA(TblProd[[#Headers],[Lumber]]:TblProd[[#This Row],[Lumber]]),MATCH(Military!$AO$2,TblProd[[#Headers],[Lumber]:[Ore]],0))</f>
        <v>0</v>
      </c>
      <c r="AP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97">
        <f ca="1">TblMili[[#This Row],[Train Unit 1]]*TblMili[[#This Row],[OP Ore]]+TblMili[[#This Row],[Train Unit 2]]*TblMili[[#This Row],[DP Ore]]+TblMili[[#This Row],[Train Unit 3]]*TblMili[[#This Row],[E1 Ore]]+TblMili[[#This Row],[Train Unit 4]]*TblMili[[#This Row],[E2 Ore]]</f>
        <v>0</v>
      </c>
      <c r="AR38" s="150">
        <f>TblMili[[#This Row],[Hour]]</f>
        <v>35</v>
      </c>
      <c r="AS38" s="160">
        <f ca="1">TblMili[[#This Row],[Time]]</f>
        <v>44812.166666666584</v>
      </c>
      <c r="AT38" s="97">
        <f ca="1">TblMili[[#This Row],[Draftees]]</f>
        <v>626</v>
      </c>
      <c r="AU38" s="187"/>
      <c r="AV38" s="187"/>
      <c r="AW38" s="187"/>
      <c r="AX38" s="187"/>
      <c r="AY38" s="187"/>
      <c r="AZ38" s="187"/>
      <c r="BA38" s="187"/>
      <c r="BB38" s="187"/>
      <c r="BC38" s="150"/>
      <c r="BD38" s="165">
        <f ca="1">TblConstr[[#This Row],[Tot WG]]/TblConstr[[#This Row],[Land]]</f>
        <v>0</v>
      </c>
      <c r="BE38" s="165">
        <f ca="1">TblConstr[[#This Row],[Tot Hav]]/TblConstr[[#This Row],[Land]]</f>
        <v>0</v>
      </c>
      <c r="BF38" s="97">
        <f ca="1">ROUNDUP((1-MIN(TblMili[[#This Row],[Smithies]]*smithy_bonus,smithy_bonus_cap) + tech_3_5*TblTech[[#This Row],[3-5]] + tech_5_3*TblTech[[#This Row],[5-3]] + tech_5_5*TblTech[[#This Row],[5-5]])*spec_op_plat,0)</f>
        <v>275</v>
      </c>
      <c r="BG38" s="97">
        <f ca="1">ROUNDUP(IF(race="Gnome",1,(1-MIN(TblMili[[#This Row],[Smithies]]*smithy_bonus,smithy_bonus_cap) + tech_3_5*TblTech[[#This Row],[3-5]] + tech_5_3*TblTech[[#This Row],[5-3]] + tech_5_5*TblTech[[#This Row],[5-5]]))*spec_op_ore,0)</f>
        <v>25</v>
      </c>
      <c r="BH38" s="97">
        <f ca="1">ROUNDUP((1-MIN(TblMili[[#This Row],[Smithies]]*smithy_bonus,smithy_bonus_cap) + tech_3_5*TblTech[[#This Row],[3-5]] + tech_5_3*TblTech[[#This Row],[5-3]] + tech_5_5*TblTech[[#This Row],[5-5]])*spec_dp_plat,0)</f>
        <v>275</v>
      </c>
      <c r="BI38" s="97">
        <f ca="1">ROUNDUP(IF(race="Gnome",1,(1-MIN(TblMili[[#This Row],[Smithies]]*smithy_bonus,smithy_bonus_cap) + tech_3_5*TblTech[[#This Row],[3-5]] + tech_5_3*TblTech[[#This Row],[5-3]] + tech_5_5*TblTech[[#This Row],[5-5]]))*spec_dp_ore,0)</f>
        <v>15</v>
      </c>
      <c r="BJ38" s="97">
        <f ca="1">ROUNDUP((1-MIN(TblMili[[#This Row],[Smithies]]*smithy_bonus,smithy_bonus_cap) + tech_3_5*TblTech[[#This Row],[3-5]] + tech_5_3*TblTech[[#This Row],[5-3]] + tech_5_5*TblTech[[#This Row],[5-5]])*elite1_plat,0)</f>
        <v>1000</v>
      </c>
      <c r="BK38" s="97">
        <f ca="1">ROUNDUP(IF(race="Gnome",1,(1-MIN(TblMili[[#This Row],[Smithies]]*smithy_bonus,smithy_bonus_cap) + tech_3_5*TblTech[[#This Row],[3-5]] + tech_5_3*TblTech[[#This Row],[5-3]] + tech_5_5*TblTech[[#This Row],[5-5]]))*elite1_ore,0)</f>
        <v>75</v>
      </c>
      <c r="BL38" s="97">
        <f ca="1">ROUNDUP((1-MIN(TblMili[[#This Row],[Smithies]]*smithy_bonus,smithy_bonus_cap) + tech_3_5*TblTech[[#This Row],[3-5]] + tech_5_3*TblTech[[#This Row],[5-3]] + tech_5_5*TblTech[[#This Row],[5-5]])*elite2_plat,0)</f>
        <v>1200</v>
      </c>
      <c r="BM38" s="97">
        <f ca="1">ROUNDUP(IF(race="Gnome",1,(1-MIN(TblMili[[#This Row],[Smithies]]*smithy_bonus,smithy_bonus_cap) + tech_3_5*TblTech[[#This Row],[3-5]] + tech_5_3*TblTech[[#This Row],[5-3]] + tech_5_5*TblTech[[#This Row],[5-5]]))*elite2_ore,0)</f>
        <v>100</v>
      </c>
      <c r="BN38" s="97">
        <f ca="1">ROUNDUP((1-MIN(ROUND(fh_spy_cost_red*TblMili[[#This Row],[FH''s]],4),fh_spy_cost_cap)+ tech_1_9*TblTech[[#This Row],[1-9]] + tech_9_1*TblTech[[#This Row],[9-1]])*spy_plat,0)</f>
        <v>500</v>
      </c>
      <c r="BO38" s="97">
        <f ca="1">ROUNDUP((1-MIN(ROUND(wg_wiz_cost_bonus*TblMili[[#This Row],[WG''s]],4),wg_wiz_cost_cap) + tech_1_9_2*TblTech[[#This Row],[1-9]] + tech_9_1_2*TblTech[[#This Row],[9-1]])*wizard_plat,0)</f>
        <v>500</v>
      </c>
      <c r="BP38" s="97">
        <f ca="1">ROUNDUP((1-MIN(ROUND(wg_wiz_cost_bonus*TblMili[[#This Row],[WG''s]],4),wg_wiz_cost_cap) + tech_1_9_2*TblTech[[#This Row],[1-9]] + tech_9_1_2*TblTech[[#This Row],[9-1]])*archmage_plat,0)</f>
        <v>1000</v>
      </c>
      <c r="BQ38" s="150"/>
      <c r="BR38" s="165">
        <f ca="1">TblConstr[[#This Row],[Homeland]]/TblConstr[[#This Row],[Land]]</f>
        <v>0.44</v>
      </c>
      <c r="BS38" s="165">
        <f ca="1">TblMili[[#This Row],[WG''s]]</f>
        <v>0</v>
      </c>
      <c r="BT38" s="271">
        <f ca="1">IF(mystic_cap="none",TblMili[[#This Row],[Hill]]/mystic_bonus,MIN(mystic_cap,TblMili[[#This Row],[Hill]]/mystic_bonus))</f>
        <v>2.1999999999999997</v>
      </c>
      <c r="BU38" s="271">
        <f ca="1">IF(druid_op_cap="none",TblMili[[#This Row],[Hill]]/druid_op_bonus,MIN(druid_op_cap,TblMili[[#This Row],[Hill]]/druid_op_bonus))</f>
        <v>2.1999999999999997</v>
      </c>
      <c r="BV38" s="271">
        <f ca="1">IF(druid_dp_cap="none",TblMili[[#This Row],[Hill]]/druid_dp_bonus,MIN(druid_dp_cap,TblMili[[#This Row],[Hill]]/druid_dp_bonus))</f>
        <v>2.1999999999999997</v>
      </c>
      <c r="BW38" s="271">
        <f ca="1">MIN(dryad_cap,TblMili[[#This Row],[Hill]]/dryad_bonus)</f>
        <v>2.1999999999999997</v>
      </c>
      <c r="BX38" s="271">
        <f ca="1">MIN(rocka_cap,TblMili[[#This Row],[Hill]]/rocka_bonus)</f>
        <v>2</v>
      </c>
      <c r="BY38" s="271">
        <f ca="1">MIN(adept_op_cap,TblMili[[#This Row],[WG]]/adept_op_bonus)</f>
        <v>0</v>
      </c>
      <c r="BZ38" s="271">
        <f ca="1">MIN(adept_dp_cap,TblMili[[#This Row],[WG]]/adept_dp_bonus)</f>
        <v>0</v>
      </c>
      <c r="CA38" s="97">
        <f ca="1">MIN(TblMili[[#This Row],[Unit 3]],TblMili[[#This Row],[Unit 4]])*2</f>
        <v>0</v>
      </c>
      <c r="CB38" s="97">
        <f ca="1">MIN(TblMili[[#This Row],[Unit 1]],TblMili[[#This Row],[Unit 4]])*2</f>
        <v>0</v>
      </c>
      <c r="CC38" s="271">
        <f ca="1">MIN(frost_mage_cap,TblMili[[#This Row],[Hill]]/frost_mage_bonus)</f>
        <v>2.1999999999999997</v>
      </c>
      <c r="CD38" s="45">
        <f ca="1">MIN(ice_elem_cap,TblMili[[#This Row],[Raw (2)]]*ice_elem_bonus)</f>
        <v>0.1</v>
      </c>
      <c r="CE38" s="271">
        <f t="shared" si="2"/>
        <v>1</v>
      </c>
      <c r="CF38" s="271">
        <f ca="1">MIN(nox_nightshade_cap,TblConstr[[#This Row],[Homeland]]/TblConstr[[#This Row],[Land]]/nox_nightshade_swamp_bonus)</f>
        <v>3</v>
      </c>
      <c r="CG38" s="272"/>
      <c r="CH38" s="272"/>
      <c r="CI38" s="272"/>
      <c r="CJ38" s="271">
        <f ca="1">MIN(6,TblMili[[#This Row],[Mystic]]+Races!$F$19)*1.8 +  IF(TblMili[[#This Row],[Mystic]]+Races!$F$19&gt;6,(TblMili[[#This Row],[Mystic]]+Races!$F$19-6)*0.2,0) - Races!$I$19</f>
        <v>3.6399999999999997</v>
      </c>
      <c r="CK3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97">
        <f ca="1">TblMili[[#This Row],[Mystic bonus]]*TblMili[[#This Row],[Unit 3]]+TblMili[[#This Row],[Druid bonus]]*TblMili[[#This Row],[Unit 4]]</f>
        <v>0</v>
      </c>
      <c r="CM38" s="163">
        <f ca="1">MIN(6,TblMili[[#This Row],[Dryad]]+Races!$F$35)*1.8 +  IF(TblMili[[#This Row],[Dryad]]+Races!$F$35&gt;6,(TblMili[[#This Row],[Dryad]]+Races!$F$35-6)*0.2,0) - Races!$I$19</f>
        <v>2.1599999999999993</v>
      </c>
      <c r="CN38" s="97">
        <f ca="1">sylvan*(TblMili[[#This Row],[Mystic bonus]]*TblMili[[#This Row],[Unit 3]])</f>
        <v>0</v>
      </c>
      <c r="CO38" s="163">
        <f ca="1">1.8 * MIN(MAX(Races!$E$27,TblMili[[#This Row],[Rockapult]]+Races!$F$27),6)  +  0.45 * MIN(MIN(Races!$E$27,TblMili[[#This Row],[Rockapult]]+Races!$F$27),6)  +  0.2 * ( MAX(Races!$E$27-6,0) + MAX(TblMili[[#This Row],[Rockapult]]+Races!$F$27-6,0) )  -  Races!$I$20</f>
        <v>5.8500000000000005</v>
      </c>
      <c r="CP38" s="97">
        <f ca="1">gnome*(TblMili[[#This Row],[Rockapult bonus]]*TblMili[[#This Row],[Unit 3]])</f>
        <v>0</v>
      </c>
      <c r="CQ38" s="163">
        <f ca="1">1.8 * MIN(MAX(TblMili[[#This Row],[Spellblade]]+Races!$E$47,TblMili[[#This Row],[Adept-DP]]+Races!$F$47),6)  +  0.45 * MIN(MIN(TblMili[[#This Row],[Spellblade]]+Races!$E$47,TblMili[[#This Row],[Adept-DP]]+Races!$F$47),6)  +  0.2 * ( MAX(TblMili[[#This Row],[Spellblade]]+Races!$E$47-6,0) + MAX(TblMili[[#This Row],[Adept-DP]]+Races!$F$47-6,0) )  -  Races!$I$47</f>
        <v>0</v>
      </c>
      <c r="CR38" s="97">
        <f ca="1">dark_elf*(TblMili[[#This Row],[Adept bonus]]*TblMili[[#This Row],[Unit 3]])</f>
        <v>0</v>
      </c>
      <c r="CS38" s="163">
        <f ca="1">1.8 * MIN(MAX(TblMili[[#This Row],[Frost Mage]]+Races!$F$71,Races!$E$71),6)  +  0.45 * MIN(MIN(TblMili[[#This Row],[Frost Mage]]+Races!$F$71,Races!$E$71),6)  +  0.2 * ( MAX(TblMili[[#This Row],[Frost Mage]]+Races!$F$71-6,0) + MAX(Races!$E$71-6,0) )  -  Races!$I$71</f>
        <v>3.9599999999999991</v>
      </c>
      <c r="CT38" s="163">
        <f ca="1">1.8 * MIN(MAX(TblMili[[#This Row],[Ice Elemental]]+Races!$E$71,Races!$F$71),6)  +  0.45 * MIN(MIN(TblMili[[#This Row],[Ice Elemental]]+Races!$E$71,Races!$F$71),6)  +  0.2 * ( MAX(TblMili[[#This Row],[Ice Elemental]]+Races!$E$71-6,0) + MAX(Races!$F$71-6,0) )  -  Races!$I$71</f>
        <v>0.17999999999999972</v>
      </c>
      <c r="CU38" s="97">
        <f ca="1">TblMili[[#This Row],[Frost Mage bonus]]*TblMili[[#This Row],[Unit 3]]+TblMili[[#This Row],[Ice Elemental bonus]]*TblMili[[#This Row],[Unit 4]]</f>
        <v>0</v>
      </c>
      <c r="CV38" s="273"/>
      <c r="CW38" s="151">
        <f ca="1">MIN(SUM(TblConstr[[#This Row],[Plain]:[Water]])/TblMili[[#This Row],[Land]]/favorable_terrain_bonus/100,favorable_terrain_max)</f>
        <v>0.1</v>
      </c>
      <c r="CX38" s="273"/>
      <c r="CY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50"/>
      <c r="DA38" s="274">
        <f ca="1">(TblMili[[#This Row],[Wizards]]+2*TblMili[[#This Row],[Archmages]])/TblConstr[[#This Row],[Land]]</f>
        <v>0.1</v>
      </c>
      <c r="DB38" s="274">
        <f ca="1">TblMili[[#This Row],[Raw (2)]]*(1+race_wizard_strength+IF(TblMili[[#This Row],[Hour]]&gt;72,tech_magical_weaponry_wiz*TblTech[[#This Row],[3-5]],0))</f>
        <v>0.1</v>
      </c>
    </row>
    <row r="39" spans="1:106" x14ac:dyDescent="0.2">
      <c r="A39" s="145">
        <f>TblRezone[[#This Row],[Hour]]</f>
        <v>36</v>
      </c>
      <c r="B39" s="266">
        <f ca="1">SUM(TblMili[[#This Row],[Unit 1]:[Archmages]])+SUM(OFFSET(TblMili[[#This Row],[Train Unit 1]],-8,0):TblMili[[#This Row],[Train Unit 2]]) + SUM(OFFSET(TblMili[[#This Row],[Train Unit 3]],-11,0):TblMili[[#This Row],[Train Arch]]) + TblMili[[#This Row],[Draftees]]</f>
        <v>826</v>
      </c>
      <c r="C39" s="165">
        <f ca="1">TblPop[[#This Row],[Military%]]</f>
        <v>0.35029686174724345</v>
      </c>
      <c r="D39" s="150"/>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f>
        <v>25</v>
      </c>
      <c r="J39" s="45">
        <f ca="1">OFFSET(TblMili[[#This Row],[Wizards]],-1,0) + OFFSET(TblMili[[#This Row],[Train Wiz]],-12,0) - TblMili[[#This Row],[Release Wizards]]-TblMili[[#This Row],[Train Arch]]</f>
        <v>25</v>
      </c>
      <c r="K39" s="45">
        <f ca="1">OFFSET(TblMili[[#This Row],[Archmages]],-1,0) + OFFSET(TblMili[[#This Row],[Train Arch]],-12,0) - TblMili[[#This Row],[Release Arch]]</f>
        <v>0</v>
      </c>
      <c r="L39" s="150"/>
      <c r="M39" s="97">
        <f ca="1">TblProd[[#This Row],[Networth]]</f>
        <v>6450</v>
      </c>
      <c r="N39" s="150"/>
      <c r="O39" s="267">
        <f ca="1">TblMili[[#This Row],[Unit 1]]*spec_op+TblMili[[#This Row],[Unit 3]]*(elite1_base_op)+TblMili[[#This Row],[Unit 4]]*(elite2_base_op+dark_elf*TblMili[[#This Row],[Spellblade]]+icekin*TblMili[[#This Row],[Ice Elemental]]+woodie*TblMili[[#This Row],[Druid (op)]]+orc*TblMili[[#This Row],[Orc]])+kobold*TblMili[[#This Row],[Overlords]]</f>
        <v>0</v>
      </c>
      <c r="P3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9" s="267">
        <f ca="1">TblMili[[#This Row],[Raw]]*(1+TblMili[[#This Row],[Mods_Off]])</f>
        <v>0</v>
      </c>
      <c r="R3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9" s="267">
        <f ca="1">TblMili[[#This Row],[Non Draft]]+TblMili[[#This Row],[Draftees]]</f>
        <v>1076</v>
      </c>
      <c r="T3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269">
        <f ca="1">TblMili[[#This Row],[Non Draft]] * (1 + TblMili[[#This Row],[Mods_Def]])</f>
        <v>450</v>
      </c>
      <c r="V39" s="267">
        <f ca="1">TblMili[[#This Row],[Draft]] * (1 + TblMili[[#This Row],[Mods_Def]])</f>
        <v>1076</v>
      </c>
      <c r="W39" s="267">
        <f ca="1">TblConstr[[#This Row],[Land]]</f>
        <v>250</v>
      </c>
      <c r="X39" s="270"/>
      <c r="Y39" s="275">
        <f ca="1">IF(TblMili[[#This Row],[Set]]&lt;&gt;"",TblMili[[#This Row],[Set]],OFFSET(TblMili[[#This Row],[Draftrate]],-1,0))</f>
        <v>0.35</v>
      </c>
      <c r="Z39" s="97">
        <f ca="1">OFFSET(TblMili[[#This Row],[Draftees]],-1,0)+OFFSET(TblPop[[#This Row],[Draft Growth]],-1,0) - SUM(TblMili[[#This Row],[Train Unit 1]:[Train Wiz]]) - TblMili[[#This Row],[Release Draft]] + SUM(TblMili[[#This Row],[Release Unit 1]:[Release Arch]]) -TblExplore[[#This Row],[Draftees (2)]]</f>
        <v>626</v>
      </c>
      <c r="AA39" s="162"/>
      <c r="AB39" s="188">
        <f ca="1">(TblConstr[[#This Row],[Tot Smi]]+TblConstr[[#This Row],[Dest Smi]])/(TblConstr[[#This Row],[Land]]-TblExplore[[#This Row],[Land Bonus]]*20)</f>
        <v>0</v>
      </c>
      <c r="AC39" s="145"/>
      <c r="AD39" s="266">
        <f>TblMili[[#This Row],[Hour]]</f>
        <v>36</v>
      </c>
      <c r="AE39" s="146">
        <f ca="1">TblExplore[[#This Row],[Time]]</f>
        <v>44812.208333333248</v>
      </c>
      <c r="AF39" s="187"/>
      <c r="AG39" s="187"/>
      <c r="AH39" s="187"/>
      <c r="AI39" s="187"/>
      <c r="AJ39" s="187"/>
      <c r="AK39" s="187"/>
      <c r="AL39" s="187"/>
      <c r="AM39" s="150"/>
      <c r="AN39" s="97">
        <f ca="1">TblProd[[#This Row],[Platinum]]</f>
        <v>292888</v>
      </c>
      <c r="AO39" s="97">
        <f ca="1">INDEX(TblProd[[#Headers],[Lumber]]:TblProd[[#This Row],[Ore]],COUNTA(TblProd[[#Headers],[Lumber]]:TblProd[[#This Row],[Lumber]]),MATCH(Military!$AO$2,TblProd[[#Headers],[Lumber]:[Ore]],0))</f>
        <v>0</v>
      </c>
      <c r="AP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97">
        <f ca="1">TblMili[[#This Row],[Train Unit 1]]*TblMili[[#This Row],[OP Ore]]+TblMili[[#This Row],[Train Unit 2]]*TblMili[[#This Row],[DP Ore]]+TblMili[[#This Row],[Train Unit 3]]*TblMili[[#This Row],[E1 Ore]]+TblMili[[#This Row],[Train Unit 4]]*TblMili[[#This Row],[E2 Ore]]</f>
        <v>0</v>
      </c>
      <c r="AR39" s="150">
        <f>TblMili[[#This Row],[Hour]]</f>
        <v>36</v>
      </c>
      <c r="AS39" s="160">
        <f ca="1">TblMili[[#This Row],[Time]]</f>
        <v>44812.208333333248</v>
      </c>
      <c r="AT39" s="97">
        <f ca="1">TblMili[[#This Row],[Draftees]]</f>
        <v>626</v>
      </c>
      <c r="AU39" s="187"/>
      <c r="AV39" s="187"/>
      <c r="AW39" s="187"/>
      <c r="AX39" s="187"/>
      <c r="AY39" s="187"/>
      <c r="AZ39" s="187"/>
      <c r="BA39" s="187"/>
      <c r="BB39" s="187"/>
      <c r="BC39" s="150"/>
      <c r="BD39" s="165">
        <f ca="1">TblConstr[[#This Row],[Tot WG]]/TblConstr[[#This Row],[Land]]</f>
        <v>0</v>
      </c>
      <c r="BE39" s="165">
        <f ca="1">TblConstr[[#This Row],[Tot Hav]]/TblConstr[[#This Row],[Land]]</f>
        <v>0</v>
      </c>
      <c r="BF39" s="97">
        <f ca="1">ROUNDUP((1-MIN(TblMili[[#This Row],[Smithies]]*smithy_bonus,smithy_bonus_cap) + tech_3_5*TblTech[[#This Row],[3-5]] + tech_5_3*TblTech[[#This Row],[5-3]] + tech_5_5*TblTech[[#This Row],[5-5]])*spec_op_plat,0)</f>
        <v>275</v>
      </c>
      <c r="BG39" s="97">
        <f ca="1">ROUNDUP(IF(race="Gnome",1,(1-MIN(TblMili[[#This Row],[Smithies]]*smithy_bonus,smithy_bonus_cap) + tech_3_5*TblTech[[#This Row],[3-5]] + tech_5_3*TblTech[[#This Row],[5-3]] + tech_5_5*TblTech[[#This Row],[5-5]]))*spec_op_ore,0)</f>
        <v>25</v>
      </c>
      <c r="BH39" s="97">
        <f ca="1">ROUNDUP((1-MIN(TblMili[[#This Row],[Smithies]]*smithy_bonus,smithy_bonus_cap) + tech_3_5*TblTech[[#This Row],[3-5]] + tech_5_3*TblTech[[#This Row],[5-3]] + tech_5_5*TblTech[[#This Row],[5-5]])*spec_dp_plat,0)</f>
        <v>275</v>
      </c>
      <c r="BI39" s="97">
        <f ca="1">ROUNDUP(IF(race="Gnome",1,(1-MIN(TblMili[[#This Row],[Smithies]]*smithy_bonus,smithy_bonus_cap) + tech_3_5*TblTech[[#This Row],[3-5]] + tech_5_3*TblTech[[#This Row],[5-3]] + tech_5_5*TblTech[[#This Row],[5-5]]))*spec_dp_ore,0)</f>
        <v>15</v>
      </c>
      <c r="BJ39" s="97">
        <f ca="1">ROUNDUP((1-MIN(TblMili[[#This Row],[Smithies]]*smithy_bonus,smithy_bonus_cap) + tech_3_5*TblTech[[#This Row],[3-5]] + tech_5_3*TblTech[[#This Row],[5-3]] + tech_5_5*TblTech[[#This Row],[5-5]])*elite1_plat,0)</f>
        <v>1000</v>
      </c>
      <c r="BK39" s="97">
        <f ca="1">ROUNDUP(IF(race="Gnome",1,(1-MIN(TblMili[[#This Row],[Smithies]]*smithy_bonus,smithy_bonus_cap) + tech_3_5*TblTech[[#This Row],[3-5]] + tech_5_3*TblTech[[#This Row],[5-3]] + tech_5_5*TblTech[[#This Row],[5-5]]))*elite1_ore,0)</f>
        <v>75</v>
      </c>
      <c r="BL39" s="97">
        <f ca="1">ROUNDUP((1-MIN(TblMili[[#This Row],[Smithies]]*smithy_bonus,smithy_bonus_cap) + tech_3_5*TblTech[[#This Row],[3-5]] + tech_5_3*TblTech[[#This Row],[5-3]] + tech_5_5*TblTech[[#This Row],[5-5]])*elite2_plat,0)</f>
        <v>1200</v>
      </c>
      <c r="BM39" s="97">
        <f ca="1">ROUNDUP(IF(race="Gnome",1,(1-MIN(TblMili[[#This Row],[Smithies]]*smithy_bonus,smithy_bonus_cap) + tech_3_5*TblTech[[#This Row],[3-5]] + tech_5_3*TblTech[[#This Row],[5-3]] + tech_5_5*TblTech[[#This Row],[5-5]]))*elite2_ore,0)</f>
        <v>100</v>
      </c>
      <c r="BN39" s="97">
        <f ca="1">ROUNDUP((1-MIN(ROUND(fh_spy_cost_red*TblMili[[#This Row],[FH''s]],4),fh_spy_cost_cap)+ tech_1_9*TblTech[[#This Row],[1-9]] + tech_9_1*TblTech[[#This Row],[9-1]])*spy_plat,0)</f>
        <v>500</v>
      </c>
      <c r="BO39" s="97">
        <f ca="1">ROUNDUP((1-MIN(ROUND(wg_wiz_cost_bonus*TblMili[[#This Row],[WG''s]],4),wg_wiz_cost_cap) + tech_1_9_2*TblTech[[#This Row],[1-9]] + tech_9_1_2*TblTech[[#This Row],[9-1]])*wizard_plat,0)</f>
        <v>500</v>
      </c>
      <c r="BP39" s="97">
        <f ca="1">ROUNDUP((1-MIN(ROUND(wg_wiz_cost_bonus*TblMili[[#This Row],[WG''s]],4),wg_wiz_cost_cap) + tech_1_9_2*TblTech[[#This Row],[1-9]] + tech_9_1_2*TblTech[[#This Row],[9-1]])*archmage_plat,0)</f>
        <v>1000</v>
      </c>
      <c r="BQ39" s="150"/>
      <c r="BR39" s="165">
        <f ca="1">TblConstr[[#This Row],[Homeland]]/TblConstr[[#This Row],[Land]]</f>
        <v>0.44</v>
      </c>
      <c r="BS39" s="165">
        <f ca="1">TblMili[[#This Row],[WG''s]]</f>
        <v>0</v>
      </c>
      <c r="BT39" s="271">
        <f ca="1">IF(mystic_cap="none",TblMili[[#This Row],[Hill]]/mystic_bonus,MIN(mystic_cap,TblMili[[#This Row],[Hill]]/mystic_bonus))</f>
        <v>2.1999999999999997</v>
      </c>
      <c r="BU39" s="271">
        <f ca="1">IF(druid_op_cap="none",TblMili[[#This Row],[Hill]]/druid_op_bonus,MIN(druid_op_cap,TblMili[[#This Row],[Hill]]/druid_op_bonus))</f>
        <v>2.1999999999999997</v>
      </c>
      <c r="BV39" s="271">
        <f ca="1">IF(druid_dp_cap="none",TblMili[[#This Row],[Hill]]/druid_dp_bonus,MIN(druid_dp_cap,TblMili[[#This Row],[Hill]]/druid_dp_bonus))</f>
        <v>2.1999999999999997</v>
      </c>
      <c r="BW39" s="271">
        <f ca="1">MIN(dryad_cap,TblMili[[#This Row],[Hill]]/dryad_bonus)</f>
        <v>2.1999999999999997</v>
      </c>
      <c r="BX39" s="271">
        <f ca="1">MIN(rocka_cap,TblMili[[#This Row],[Hill]]/rocka_bonus)</f>
        <v>2</v>
      </c>
      <c r="BY39" s="271">
        <f ca="1">MIN(adept_op_cap,TblMili[[#This Row],[WG]]/adept_op_bonus)</f>
        <v>0</v>
      </c>
      <c r="BZ39" s="271">
        <f ca="1">MIN(adept_dp_cap,TblMili[[#This Row],[WG]]/adept_dp_bonus)</f>
        <v>0</v>
      </c>
      <c r="CA39" s="97">
        <f ca="1">MIN(TblMili[[#This Row],[Unit 3]],TblMili[[#This Row],[Unit 4]])*2</f>
        <v>0</v>
      </c>
      <c r="CB39" s="97">
        <f ca="1">MIN(TblMili[[#This Row],[Unit 1]],TblMili[[#This Row],[Unit 4]])*2</f>
        <v>0</v>
      </c>
      <c r="CC39" s="271">
        <f ca="1">MIN(frost_mage_cap,TblMili[[#This Row],[Hill]]/frost_mage_bonus)</f>
        <v>2.1999999999999997</v>
      </c>
      <c r="CD39" s="45">
        <f ca="1">MIN(ice_elem_cap,TblMili[[#This Row],[Raw (2)]]*ice_elem_bonus)</f>
        <v>0.1</v>
      </c>
      <c r="CE39" s="271">
        <f t="shared" si="2"/>
        <v>1</v>
      </c>
      <c r="CF39" s="271">
        <f ca="1">MIN(nox_nightshade_cap,TblConstr[[#This Row],[Homeland]]/TblConstr[[#This Row],[Land]]/nox_nightshade_swamp_bonus)</f>
        <v>3</v>
      </c>
      <c r="CG39" s="272"/>
      <c r="CH39" s="272"/>
      <c r="CI39" s="272"/>
      <c r="CJ39" s="271">
        <f ca="1">MIN(6,TblMili[[#This Row],[Mystic]]+Races!$F$19)*1.8 +  IF(TblMili[[#This Row],[Mystic]]+Races!$F$19&gt;6,(TblMili[[#This Row],[Mystic]]+Races!$F$19-6)*0.2,0) - Races!$I$19</f>
        <v>3.6399999999999997</v>
      </c>
      <c r="CK3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97">
        <f ca="1">TblMili[[#This Row],[Mystic bonus]]*TblMili[[#This Row],[Unit 3]]+TblMili[[#This Row],[Druid bonus]]*TblMili[[#This Row],[Unit 4]]</f>
        <v>0</v>
      </c>
      <c r="CM39" s="163">
        <f ca="1">MIN(6,TblMili[[#This Row],[Dryad]]+Races!$F$35)*1.8 +  IF(TblMili[[#This Row],[Dryad]]+Races!$F$35&gt;6,(TblMili[[#This Row],[Dryad]]+Races!$F$35-6)*0.2,0) - Races!$I$19</f>
        <v>2.1599999999999993</v>
      </c>
      <c r="CN39" s="97">
        <f ca="1">sylvan*(TblMili[[#This Row],[Mystic bonus]]*TblMili[[#This Row],[Unit 3]])</f>
        <v>0</v>
      </c>
      <c r="CO39" s="163">
        <f ca="1">1.8 * MIN(MAX(Races!$E$27,TblMili[[#This Row],[Rockapult]]+Races!$F$27),6)  +  0.45 * MIN(MIN(Races!$E$27,TblMili[[#This Row],[Rockapult]]+Races!$F$27),6)  +  0.2 * ( MAX(Races!$E$27-6,0) + MAX(TblMili[[#This Row],[Rockapult]]+Races!$F$27-6,0) )  -  Races!$I$20</f>
        <v>5.8500000000000005</v>
      </c>
      <c r="CP39" s="97">
        <f ca="1">gnome*(TblMili[[#This Row],[Rockapult bonus]]*TblMili[[#This Row],[Unit 3]])</f>
        <v>0</v>
      </c>
      <c r="CQ39" s="163">
        <f ca="1">1.8 * MIN(MAX(TblMili[[#This Row],[Spellblade]]+Races!$E$47,TblMili[[#This Row],[Adept-DP]]+Races!$F$47),6)  +  0.45 * MIN(MIN(TblMili[[#This Row],[Spellblade]]+Races!$E$47,TblMili[[#This Row],[Adept-DP]]+Races!$F$47),6)  +  0.2 * ( MAX(TblMili[[#This Row],[Spellblade]]+Races!$E$47-6,0) + MAX(TblMili[[#This Row],[Adept-DP]]+Races!$F$47-6,0) )  -  Races!$I$47</f>
        <v>0</v>
      </c>
      <c r="CR39" s="97">
        <f ca="1">dark_elf*(TblMili[[#This Row],[Adept bonus]]*TblMili[[#This Row],[Unit 3]])</f>
        <v>0</v>
      </c>
      <c r="CS39" s="163">
        <f ca="1">1.8 * MIN(MAX(TblMili[[#This Row],[Frost Mage]]+Races!$F$71,Races!$E$71),6)  +  0.45 * MIN(MIN(TblMili[[#This Row],[Frost Mage]]+Races!$F$71,Races!$E$71),6)  +  0.2 * ( MAX(TblMili[[#This Row],[Frost Mage]]+Races!$F$71-6,0) + MAX(Races!$E$71-6,0) )  -  Races!$I$71</f>
        <v>3.9599999999999991</v>
      </c>
      <c r="CT39" s="163">
        <f ca="1">1.8 * MIN(MAX(TblMili[[#This Row],[Ice Elemental]]+Races!$E$71,Races!$F$71),6)  +  0.45 * MIN(MIN(TblMili[[#This Row],[Ice Elemental]]+Races!$E$71,Races!$F$71),6)  +  0.2 * ( MAX(TblMili[[#This Row],[Ice Elemental]]+Races!$E$71-6,0) + MAX(Races!$F$71-6,0) )  -  Races!$I$71</f>
        <v>0.17999999999999972</v>
      </c>
      <c r="CU39" s="97">
        <f ca="1">TblMili[[#This Row],[Frost Mage bonus]]*TblMili[[#This Row],[Unit 3]]+TblMili[[#This Row],[Ice Elemental bonus]]*TblMili[[#This Row],[Unit 4]]</f>
        <v>0</v>
      </c>
      <c r="CV39" s="273"/>
      <c r="CW39" s="151">
        <f ca="1">MIN(SUM(TblConstr[[#This Row],[Plain]:[Water]])/TblMili[[#This Row],[Land]]/favorable_terrain_bonus/100,favorable_terrain_max)</f>
        <v>0.1</v>
      </c>
      <c r="CX39" s="273"/>
      <c r="CY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50"/>
      <c r="DA39" s="274">
        <f ca="1">(TblMili[[#This Row],[Wizards]]+2*TblMili[[#This Row],[Archmages]])/TblConstr[[#This Row],[Land]]</f>
        <v>0.1</v>
      </c>
      <c r="DB39" s="274">
        <f ca="1">TblMili[[#This Row],[Raw (2)]]*(1+race_wizard_strength+IF(TblMili[[#This Row],[Hour]]&gt;72,tech_magical_weaponry_wiz*TblTech[[#This Row],[3-5]],0))</f>
        <v>0.1</v>
      </c>
    </row>
    <row r="40" spans="1:106" x14ac:dyDescent="0.2">
      <c r="A40" s="145">
        <f>TblRezone[[#This Row],[Hour]]</f>
        <v>37</v>
      </c>
      <c r="B40" s="266">
        <f ca="1">SUM(TblMili[[#This Row],[Unit 1]:[Archmages]])+SUM(OFFSET(TblMili[[#This Row],[Train Unit 1]],-8,0):TblMili[[#This Row],[Train Unit 2]]) + SUM(OFFSET(TblMili[[#This Row],[Train Unit 3]],-11,0):TblMili[[#This Row],[Train Arch]]) + TblMili[[#This Row],[Draftees]]</f>
        <v>826</v>
      </c>
      <c r="C40" s="165">
        <f ca="1">TblPop[[#This Row],[Military%]]</f>
        <v>0.35029686174724345</v>
      </c>
      <c r="D40" s="150"/>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f>
        <v>25</v>
      </c>
      <c r="J40" s="45">
        <f ca="1">OFFSET(TblMili[[#This Row],[Wizards]],-1,0) + OFFSET(TblMili[[#This Row],[Train Wiz]],-12,0) - TblMili[[#This Row],[Release Wizards]]-TblMili[[#This Row],[Train Arch]]</f>
        <v>25</v>
      </c>
      <c r="K40" s="45">
        <f ca="1">OFFSET(TblMili[[#This Row],[Archmages]],-1,0) + OFFSET(TblMili[[#This Row],[Train Arch]],-12,0) - TblMili[[#This Row],[Release Arch]]</f>
        <v>0</v>
      </c>
      <c r="L40" s="150"/>
      <c r="M40" s="97">
        <f ca="1">TblProd[[#This Row],[Networth]]</f>
        <v>6450</v>
      </c>
      <c r="N40" s="150"/>
      <c r="O40" s="267">
        <f ca="1">TblMili[[#This Row],[Unit 1]]*spec_op+TblMili[[#This Row],[Unit 3]]*(elite1_base_op)+TblMili[[#This Row],[Unit 4]]*(elite2_base_op+dark_elf*TblMili[[#This Row],[Spellblade]]+icekin*TblMili[[#This Row],[Ice Elemental]]+woodie*TblMili[[#This Row],[Druid (op)]]+orc*TblMili[[#This Row],[Orc]])+kobold*TblMili[[#This Row],[Overlords]]</f>
        <v>0</v>
      </c>
      <c r="P4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0" s="267">
        <f ca="1">TblMili[[#This Row],[Raw]]*(1+TblMili[[#This Row],[Mods_Off]])</f>
        <v>0</v>
      </c>
      <c r="R4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0" s="267">
        <f ca="1">TblMili[[#This Row],[Non Draft]]+TblMili[[#This Row],[Draftees]]</f>
        <v>1076</v>
      </c>
      <c r="T4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269">
        <f ca="1">TblMili[[#This Row],[Non Draft]] * (1 + TblMili[[#This Row],[Mods_Def]])</f>
        <v>450</v>
      </c>
      <c r="V40" s="267">
        <f ca="1">TblMili[[#This Row],[Draft]] * (1 + TblMili[[#This Row],[Mods_Def]])</f>
        <v>1076</v>
      </c>
      <c r="W40" s="267">
        <f ca="1">TblConstr[[#This Row],[Land]]</f>
        <v>250</v>
      </c>
      <c r="X40" s="270"/>
      <c r="Y40" s="275">
        <f ca="1">IF(TblMili[[#This Row],[Set]]&lt;&gt;"",TblMili[[#This Row],[Set]],OFFSET(TblMili[[#This Row],[Draftrate]],-1,0))</f>
        <v>0.35</v>
      </c>
      <c r="Z40" s="97">
        <f ca="1">OFFSET(TblMili[[#This Row],[Draftees]],-1,0)+OFFSET(TblPop[[#This Row],[Draft Growth]],-1,0) - SUM(TblMili[[#This Row],[Train Unit 1]:[Train Wiz]]) - TblMili[[#This Row],[Release Draft]] + SUM(TblMili[[#This Row],[Release Unit 1]:[Release Arch]]) -TblExplore[[#This Row],[Draftees (2)]]</f>
        <v>626</v>
      </c>
      <c r="AA40" s="162"/>
      <c r="AB40" s="188">
        <f ca="1">(TblConstr[[#This Row],[Tot Smi]]+TblConstr[[#This Row],[Dest Smi]])/(TblConstr[[#This Row],[Land]]-TblExplore[[#This Row],[Land Bonus]]*20)</f>
        <v>0</v>
      </c>
      <c r="AC40" s="145"/>
      <c r="AD40" s="266">
        <f>TblMili[[#This Row],[Hour]]</f>
        <v>37</v>
      </c>
      <c r="AE40" s="146">
        <f ca="1">TblExplore[[#This Row],[Time]]</f>
        <v>44812.249999999913</v>
      </c>
      <c r="AF40" s="187"/>
      <c r="AG40" s="187"/>
      <c r="AH40" s="187"/>
      <c r="AI40" s="187"/>
      <c r="AJ40" s="187"/>
      <c r="AK40" s="187"/>
      <c r="AL40" s="187"/>
      <c r="AM40" s="150"/>
      <c r="AN40" s="97">
        <f ca="1">TblProd[[#This Row],[Platinum]]</f>
        <v>298374</v>
      </c>
      <c r="AO40" s="97">
        <f ca="1">INDEX(TblProd[[#Headers],[Lumber]]:TblProd[[#This Row],[Ore]],COUNTA(TblProd[[#Headers],[Lumber]]:TblProd[[#This Row],[Lumber]]),MATCH(Military!$AO$2,TblProd[[#Headers],[Lumber]:[Ore]],0))</f>
        <v>0</v>
      </c>
      <c r="AP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97">
        <f ca="1">TblMili[[#This Row],[Train Unit 1]]*TblMili[[#This Row],[OP Ore]]+TblMili[[#This Row],[Train Unit 2]]*TblMili[[#This Row],[DP Ore]]+TblMili[[#This Row],[Train Unit 3]]*TblMili[[#This Row],[E1 Ore]]+TblMili[[#This Row],[Train Unit 4]]*TblMili[[#This Row],[E2 Ore]]</f>
        <v>0</v>
      </c>
      <c r="AR40" s="150">
        <f>TblMili[[#This Row],[Hour]]</f>
        <v>37</v>
      </c>
      <c r="AS40" s="160">
        <f ca="1">TblMili[[#This Row],[Time]]</f>
        <v>44812.249999999913</v>
      </c>
      <c r="AT40" s="97">
        <f ca="1">TblMili[[#This Row],[Draftees]]</f>
        <v>626</v>
      </c>
      <c r="AU40" s="187"/>
      <c r="AV40" s="187"/>
      <c r="AW40" s="187"/>
      <c r="AX40" s="187"/>
      <c r="AY40" s="187"/>
      <c r="AZ40" s="187"/>
      <c r="BA40" s="187"/>
      <c r="BB40" s="187"/>
      <c r="BC40" s="150"/>
      <c r="BD40" s="165">
        <f ca="1">TblConstr[[#This Row],[Tot WG]]/TblConstr[[#This Row],[Land]]</f>
        <v>0</v>
      </c>
      <c r="BE40" s="165">
        <f ca="1">TblConstr[[#This Row],[Tot Hav]]/TblConstr[[#This Row],[Land]]</f>
        <v>0</v>
      </c>
      <c r="BF40" s="97">
        <f ca="1">ROUNDUP((1-MIN(TblMili[[#This Row],[Smithies]]*smithy_bonus,smithy_bonus_cap) + tech_3_5*TblTech[[#This Row],[3-5]] + tech_5_3*TblTech[[#This Row],[5-3]] + tech_5_5*TblTech[[#This Row],[5-5]])*spec_op_plat,0)</f>
        <v>275</v>
      </c>
      <c r="BG40" s="97">
        <f ca="1">ROUNDUP(IF(race="Gnome",1,(1-MIN(TblMili[[#This Row],[Smithies]]*smithy_bonus,smithy_bonus_cap) + tech_3_5*TblTech[[#This Row],[3-5]] + tech_5_3*TblTech[[#This Row],[5-3]] + tech_5_5*TblTech[[#This Row],[5-5]]))*spec_op_ore,0)</f>
        <v>25</v>
      </c>
      <c r="BH40" s="97">
        <f ca="1">ROUNDUP((1-MIN(TblMili[[#This Row],[Smithies]]*smithy_bonus,smithy_bonus_cap) + tech_3_5*TblTech[[#This Row],[3-5]] + tech_5_3*TblTech[[#This Row],[5-3]] + tech_5_5*TblTech[[#This Row],[5-5]])*spec_dp_plat,0)</f>
        <v>275</v>
      </c>
      <c r="BI40" s="97">
        <f ca="1">ROUNDUP(IF(race="Gnome",1,(1-MIN(TblMili[[#This Row],[Smithies]]*smithy_bonus,smithy_bonus_cap) + tech_3_5*TblTech[[#This Row],[3-5]] + tech_5_3*TblTech[[#This Row],[5-3]] + tech_5_5*TblTech[[#This Row],[5-5]]))*spec_dp_ore,0)</f>
        <v>15</v>
      </c>
      <c r="BJ40" s="97">
        <f ca="1">ROUNDUP((1-MIN(TblMili[[#This Row],[Smithies]]*smithy_bonus,smithy_bonus_cap) + tech_3_5*TblTech[[#This Row],[3-5]] + tech_5_3*TblTech[[#This Row],[5-3]] + tech_5_5*TblTech[[#This Row],[5-5]])*elite1_plat,0)</f>
        <v>1000</v>
      </c>
      <c r="BK40" s="97">
        <f ca="1">ROUNDUP(IF(race="Gnome",1,(1-MIN(TblMili[[#This Row],[Smithies]]*smithy_bonus,smithy_bonus_cap) + tech_3_5*TblTech[[#This Row],[3-5]] + tech_5_3*TblTech[[#This Row],[5-3]] + tech_5_5*TblTech[[#This Row],[5-5]]))*elite1_ore,0)</f>
        <v>75</v>
      </c>
      <c r="BL40" s="97">
        <f ca="1">ROUNDUP((1-MIN(TblMili[[#This Row],[Smithies]]*smithy_bonus,smithy_bonus_cap) + tech_3_5*TblTech[[#This Row],[3-5]] + tech_5_3*TblTech[[#This Row],[5-3]] + tech_5_5*TblTech[[#This Row],[5-5]])*elite2_plat,0)</f>
        <v>1200</v>
      </c>
      <c r="BM40" s="97">
        <f ca="1">ROUNDUP(IF(race="Gnome",1,(1-MIN(TblMili[[#This Row],[Smithies]]*smithy_bonus,smithy_bonus_cap) + tech_3_5*TblTech[[#This Row],[3-5]] + tech_5_3*TblTech[[#This Row],[5-3]] + tech_5_5*TblTech[[#This Row],[5-5]]))*elite2_ore,0)</f>
        <v>100</v>
      </c>
      <c r="BN40" s="97">
        <f ca="1">ROUNDUP((1-MIN(ROUND(fh_spy_cost_red*TblMili[[#This Row],[FH''s]],4),fh_spy_cost_cap)+ tech_1_9*TblTech[[#This Row],[1-9]] + tech_9_1*TblTech[[#This Row],[9-1]])*spy_plat,0)</f>
        <v>500</v>
      </c>
      <c r="BO40" s="97">
        <f ca="1">ROUNDUP((1-MIN(ROUND(wg_wiz_cost_bonus*TblMili[[#This Row],[WG''s]],4),wg_wiz_cost_cap) + tech_1_9_2*TblTech[[#This Row],[1-9]] + tech_9_1_2*TblTech[[#This Row],[9-1]])*wizard_plat,0)</f>
        <v>500</v>
      </c>
      <c r="BP40" s="97">
        <f ca="1">ROUNDUP((1-MIN(ROUND(wg_wiz_cost_bonus*TblMili[[#This Row],[WG''s]],4),wg_wiz_cost_cap) + tech_1_9_2*TblTech[[#This Row],[1-9]] + tech_9_1_2*TblTech[[#This Row],[9-1]])*archmage_plat,0)</f>
        <v>1000</v>
      </c>
      <c r="BQ40" s="150"/>
      <c r="BR40" s="165">
        <f ca="1">TblConstr[[#This Row],[Homeland]]/TblConstr[[#This Row],[Land]]</f>
        <v>0.44</v>
      </c>
      <c r="BS40" s="165">
        <f ca="1">TblMili[[#This Row],[WG''s]]</f>
        <v>0</v>
      </c>
      <c r="BT40" s="271">
        <f ca="1">IF(mystic_cap="none",TblMili[[#This Row],[Hill]]/mystic_bonus,MIN(mystic_cap,TblMili[[#This Row],[Hill]]/mystic_bonus))</f>
        <v>2.1999999999999997</v>
      </c>
      <c r="BU40" s="271">
        <f ca="1">IF(druid_op_cap="none",TblMili[[#This Row],[Hill]]/druid_op_bonus,MIN(druid_op_cap,TblMili[[#This Row],[Hill]]/druid_op_bonus))</f>
        <v>2.1999999999999997</v>
      </c>
      <c r="BV40" s="271">
        <f ca="1">IF(druid_dp_cap="none",TblMili[[#This Row],[Hill]]/druid_dp_bonus,MIN(druid_dp_cap,TblMili[[#This Row],[Hill]]/druid_dp_bonus))</f>
        <v>2.1999999999999997</v>
      </c>
      <c r="BW40" s="271">
        <f ca="1">MIN(dryad_cap,TblMili[[#This Row],[Hill]]/dryad_bonus)</f>
        <v>2.1999999999999997</v>
      </c>
      <c r="BX40" s="271">
        <f ca="1">MIN(rocka_cap,TblMili[[#This Row],[Hill]]/rocka_bonus)</f>
        <v>2</v>
      </c>
      <c r="BY40" s="271">
        <f ca="1">MIN(adept_op_cap,TblMili[[#This Row],[WG]]/adept_op_bonus)</f>
        <v>0</v>
      </c>
      <c r="BZ40" s="271">
        <f ca="1">MIN(adept_dp_cap,TblMili[[#This Row],[WG]]/adept_dp_bonus)</f>
        <v>0</v>
      </c>
      <c r="CA40" s="97">
        <f ca="1">MIN(TblMili[[#This Row],[Unit 3]],TblMili[[#This Row],[Unit 4]])*2</f>
        <v>0</v>
      </c>
      <c r="CB40" s="97">
        <f ca="1">MIN(TblMili[[#This Row],[Unit 1]],TblMili[[#This Row],[Unit 4]])*2</f>
        <v>0</v>
      </c>
      <c r="CC40" s="271">
        <f ca="1">MIN(frost_mage_cap,TblMili[[#This Row],[Hill]]/frost_mage_bonus)</f>
        <v>2.1999999999999997</v>
      </c>
      <c r="CD40" s="45">
        <f ca="1">MIN(ice_elem_cap,TblMili[[#This Row],[Raw (2)]]*ice_elem_bonus)</f>
        <v>0.1</v>
      </c>
      <c r="CE40" s="271">
        <f t="shared" si="2"/>
        <v>1</v>
      </c>
      <c r="CF40" s="271">
        <f ca="1">MIN(nox_nightshade_cap,TblConstr[[#This Row],[Homeland]]/TblConstr[[#This Row],[Land]]/nox_nightshade_swamp_bonus)</f>
        <v>3</v>
      </c>
      <c r="CG40" s="272"/>
      <c r="CH40" s="272"/>
      <c r="CI40" s="272"/>
      <c r="CJ40" s="271">
        <f ca="1">MIN(6,TblMili[[#This Row],[Mystic]]+Races!$F$19)*1.8 +  IF(TblMili[[#This Row],[Mystic]]+Races!$F$19&gt;6,(TblMili[[#This Row],[Mystic]]+Races!$F$19-6)*0.2,0) - Races!$I$19</f>
        <v>3.6399999999999997</v>
      </c>
      <c r="CK4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97">
        <f ca="1">TblMili[[#This Row],[Mystic bonus]]*TblMili[[#This Row],[Unit 3]]+TblMili[[#This Row],[Druid bonus]]*TblMili[[#This Row],[Unit 4]]</f>
        <v>0</v>
      </c>
      <c r="CM40" s="163">
        <f ca="1">MIN(6,TblMili[[#This Row],[Dryad]]+Races!$F$35)*1.8 +  IF(TblMili[[#This Row],[Dryad]]+Races!$F$35&gt;6,(TblMili[[#This Row],[Dryad]]+Races!$F$35-6)*0.2,0) - Races!$I$19</f>
        <v>2.1599999999999993</v>
      </c>
      <c r="CN40" s="97">
        <f ca="1">sylvan*(TblMili[[#This Row],[Mystic bonus]]*TblMili[[#This Row],[Unit 3]])</f>
        <v>0</v>
      </c>
      <c r="CO40" s="163">
        <f ca="1">1.8 * MIN(MAX(Races!$E$27,TblMili[[#This Row],[Rockapult]]+Races!$F$27),6)  +  0.45 * MIN(MIN(Races!$E$27,TblMili[[#This Row],[Rockapult]]+Races!$F$27),6)  +  0.2 * ( MAX(Races!$E$27-6,0) + MAX(TblMili[[#This Row],[Rockapult]]+Races!$F$27-6,0) )  -  Races!$I$20</f>
        <v>5.8500000000000005</v>
      </c>
      <c r="CP40" s="97">
        <f ca="1">gnome*(TblMili[[#This Row],[Rockapult bonus]]*TblMili[[#This Row],[Unit 3]])</f>
        <v>0</v>
      </c>
      <c r="CQ40" s="163">
        <f ca="1">1.8 * MIN(MAX(TblMili[[#This Row],[Spellblade]]+Races!$E$47,TblMili[[#This Row],[Adept-DP]]+Races!$F$47),6)  +  0.45 * MIN(MIN(TblMili[[#This Row],[Spellblade]]+Races!$E$47,TblMili[[#This Row],[Adept-DP]]+Races!$F$47),6)  +  0.2 * ( MAX(TblMili[[#This Row],[Spellblade]]+Races!$E$47-6,0) + MAX(TblMili[[#This Row],[Adept-DP]]+Races!$F$47-6,0) )  -  Races!$I$47</f>
        <v>0</v>
      </c>
      <c r="CR40" s="97">
        <f ca="1">dark_elf*(TblMili[[#This Row],[Adept bonus]]*TblMili[[#This Row],[Unit 3]])</f>
        <v>0</v>
      </c>
      <c r="CS40" s="163">
        <f ca="1">1.8 * MIN(MAX(TblMili[[#This Row],[Frost Mage]]+Races!$F$71,Races!$E$71),6)  +  0.45 * MIN(MIN(TblMili[[#This Row],[Frost Mage]]+Races!$F$71,Races!$E$71),6)  +  0.2 * ( MAX(TblMili[[#This Row],[Frost Mage]]+Races!$F$71-6,0) + MAX(Races!$E$71-6,0) )  -  Races!$I$71</f>
        <v>3.9599999999999991</v>
      </c>
      <c r="CT40" s="163">
        <f ca="1">1.8 * MIN(MAX(TblMili[[#This Row],[Ice Elemental]]+Races!$E$71,Races!$F$71),6)  +  0.45 * MIN(MIN(TblMili[[#This Row],[Ice Elemental]]+Races!$E$71,Races!$F$71),6)  +  0.2 * ( MAX(TblMili[[#This Row],[Ice Elemental]]+Races!$E$71-6,0) + MAX(Races!$F$71-6,0) )  -  Races!$I$71</f>
        <v>0.17999999999999972</v>
      </c>
      <c r="CU40" s="97">
        <f ca="1">TblMili[[#This Row],[Frost Mage bonus]]*TblMili[[#This Row],[Unit 3]]+TblMili[[#This Row],[Ice Elemental bonus]]*TblMili[[#This Row],[Unit 4]]</f>
        <v>0</v>
      </c>
      <c r="CV40" s="273"/>
      <c r="CW40" s="151">
        <f ca="1">MIN(SUM(TblConstr[[#This Row],[Plain]:[Water]])/TblMili[[#This Row],[Land]]/favorable_terrain_bonus/100,favorable_terrain_max)</f>
        <v>0.1</v>
      </c>
      <c r="CX40" s="273"/>
      <c r="CY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50"/>
      <c r="DA40" s="274">
        <f ca="1">(TblMili[[#This Row],[Wizards]]+2*TblMili[[#This Row],[Archmages]])/TblConstr[[#This Row],[Land]]</f>
        <v>0.1</v>
      </c>
      <c r="DB40" s="274">
        <f ca="1">TblMili[[#This Row],[Raw (2)]]*(1+race_wizard_strength+IF(TblMili[[#This Row],[Hour]]&gt;72,tech_magical_weaponry_wiz*TblTech[[#This Row],[3-5]],0))</f>
        <v>0.1</v>
      </c>
    </row>
    <row r="41" spans="1:106" x14ac:dyDescent="0.2">
      <c r="A41" s="145">
        <f>TblRezone[[#This Row],[Hour]]</f>
        <v>38</v>
      </c>
      <c r="B41" s="266">
        <f ca="1">SUM(TblMili[[#This Row],[Unit 1]:[Archmages]])+SUM(OFFSET(TblMili[[#This Row],[Train Unit 1]],-8,0):TblMili[[#This Row],[Train Unit 2]]) + SUM(OFFSET(TblMili[[#This Row],[Train Unit 3]],-11,0):TblMili[[#This Row],[Train Arch]]) + TblMili[[#This Row],[Draftees]]</f>
        <v>826</v>
      </c>
      <c r="C41" s="165">
        <f ca="1">TblPop[[#This Row],[Military%]]</f>
        <v>0.35029686174724345</v>
      </c>
      <c r="D41" s="150"/>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f>
        <v>25</v>
      </c>
      <c r="J41" s="45">
        <f ca="1">OFFSET(TblMili[[#This Row],[Wizards]],-1,0) + OFFSET(TblMili[[#This Row],[Train Wiz]],-12,0) - TblMili[[#This Row],[Release Wizards]]-TblMili[[#This Row],[Train Arch]]</f>
        <v>25</v>
      </c>
      <c r="K41" s="45">
        <f ca="1">OFFSET(TblMili[[#This Row],[Archmages]],-1,0) + OFFSET(TblMili[[#This Row],[Train Arch]],-12,0) - TblMili[[#This Row],[Release Arch]]</f>
        <v>0</v>
      </c>
      <c r="L41" s="150"/>
      <c r="M41" s="97">
        <f ca="1">TblProd[[#This Row],[Networth]]</f>
        <v>6450</v>
      </c>
      <c r="N41" s="150"/>
      <c r="O41" s="267">
        <f ca="1">TblMili[[#This Row],[Unit 1]]*spec_op+TblMili[[#This Row],[Unit 3]]*(elite1_base_op)+TblMili[[#This Row],[Unit 4]]*(elite2_base_op+dark_elf*TblMili[[#This Row],[Spellblade]]+icekin*TblMili[[#This Row],[Ice Elemental]]+woodie*TblMili[[#This Row],[Druid (op)]]+orc*TblMili[[#This Row],[Orc]])+kobold*TblMili[[#This Row],[Overlords]]</f>
        <v>0</v>
      </c>
      <c r="P4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1" s="267">
        <f ca="1">TblMili[[#This Row],[Raw]]*(1+TblMili[[#This Row],[Mods_Off]])</f>
        <v>0</v>
      </c>
      <c r="R4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1" s="267">
        <f ca="1">TblMili[[#This Row],[Non Draft]]+TblMili[[#This Row],[Draftees]]</f>
        <v>1076</v>
      </c>
      <c r="T4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269">
        <f ca="1">TblMili[[#This Row],[Non Draft]] * (1 + TblMili[[#This Row],[Mods_Def]])</f>
        <v>450</v>
      </c>
      <c r="V41" s="267">
        <f ca="1">TblMili[[#This Row],[Draft]] * (1 + TblMili[[#This Row],[Mods_Def]])</f>
        <v>1076</v>
      </c>
      <c r="W41" s="267">
        <f ca="1">TblConstr[[#This Row],[Land]]</f>
        <v>250</v>
      </c>
      <c r="X41" s="270"/>
      <c r="Y41" s="275">
        <f ca="1">IF(TblMili[[#This Row],[Set]]&lt;&gt;"",TblMili[[#This Row],[Set]],OFFSET(TblMili[[#This Row],[Draftrate]],-1,0))</f>
        <v>0.35</v>
      </c>
      <c r="Z41" s="97">
        <f ca="1">OFFSET(TblMili[[#This Row],[Draftees]],-1,0)+OFFSET(TblPop[[#This Row],[Draft Growth]],-1,0) - SUM(TblMili[[#This Row],[Train Unit 1]:[Train Wiz]]) - TblMili[[#This Row],[Release Draft]] + SUM(TblMili[[#This Row],[Release Unit 1]:[Release Arch]]) -TblExplore[[#This Row],[Draftees (2)]]</f>
        <v>626</v>
      </c>
      <c r="AA41" s="162"/>
      <c r="AB41" s="188">
        <f ca="1">(TblConstr[[#This Row],[Tot Smi]]+TblConstr[[#This Row],[Dest Smi]])/(TblConstr[[#This Row],[Land]]-TblExplore[[#This Row],[Land Bonus]]*20)</f>
        <v>0</v>
      </c>
      <c r="AC41" s="145"/>
      <c r="AD41" s="266">
        <f>TblMili[[#This Row],[Hour]]</f>
        <v>38</v>
      </c>
      <c r="AE41" s="146">
        <f ca="1">TblExplore[[#This Row],[Time]]</f>
        <v>44812.291666666577</v>
      </c>
      <c r="AF41" s="187"/>
      <c r="AG41" s="187"/>
      <c r="AH41" s="187"/>
      <c r="AI41" s="187"/>
      <c r="AJ41" s="187"/>
      <c r="AK41" s="187"/>
      <c r="AL41" s="187"/>
      <c r="AM41" s="150"/>
      <c r="AN41" s="97">
        <f ca="1">TblProd[[#This Row],[Platinum]]</f>
        <v>303860</v>
      </c>
      <c r="AO41" s="97">
        <f ca="1">INDEX(TblProd[[#Headers],[Lumber]]:TblProd[[#This Row],[Ore]],COUNTA(TblProd[[#Headers],[Lumber]]:TblProd[[#This Row],[Lumber]]),MATCH(Military!$AO$2,TblProd[[#Headers],[Lumber]:[Ore]],0))</f>
        <v>0</v>
      </c>
      <c r="AP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97">
        <f ca="1">TblMili[[#This Row],[Train Unit 1]]*TblMili[[#This Row],[OP Ore]]+TblMili[[#This Row],[Train Unit 2]]*TblMili[[#This Row],[DP Ore]]+TblMili[[#This Row],[Train Unit 3]]*TblMili[[#This Row],[E1 Ore]]+TblMili[[#This Row],[Train Unit 4]]*TblMili[[#This Row],[E2 Ore]]</f>
        <v>0</v>
      </c>
      <c r="AR41" s="150">
        <f>TblMili[[#This Row],[Hour]]</f>
        <v>38</v>
      </c>
      <c r="AS41" s="160">
        <f ca="1">TblMili[[#This Row],[Time]]</f>
        <v>44812.291666666577</v>
      </c>
      <c r="AT41" s="97">
        <f ca="1">TblMili[[#This Row],[Draftees]]</f>
        <v>626</v>
      </c>
      <c r="AU41" s="187"/>
      <c r="AV41" s="187"/>
      <c r="AW41" s="187"/>
      <c r="AX41" s="187"/>
      <c r="AY41" s="187"/>
      <c r="AZ41" s="187"/>
      <c r="BA41" s="187"/>
      <c r="BB41" s="187"/>
      <c r="BC41" s="150"/>
      <c r="BD41" s="165">
        <f ca="1">TblConstr[[#This Row],[Tot WG]]/TblConstr[[#This Row],[Land]]</f>
        <v>0</v>
      </c>
      <c r="BE41" s="165">
        <f ca="1">TblConstr[[#This Row],[Tot Hav]]/TblConstr[[#This Row],[Land]]</f>
        <v>0</v>
      </c>
      <c r="BF41" s="97">
        <f ca="1">ROUNDUP((1-MIN(TblMili[[#This Row],[Smithies]]*smithy_bonus,smithy_bonus_cap) + tech_3_5*TblTech[[#This Row],[3-5]] + tech_5_3*TblTech[[#This Row],[5-3]] + tech_5_5*TblTech[[#This Row],[5-5]])*spec_op_plat,0)</f>
        <v>275</v>
      </c>
      <c r="BG41" s="97">
        <f ca="1">ROUNDUP(IF(race="Gnome",1,(1-MIN(TblMili[[#This Row],[Smithies]]*smithy_bonus,smithy_bonus_cap) + tech_3_5*TblTech[[#This Row],[3-5]] + tech_5_3*TblTech[[#This Row],[5-3]] + tech_5_5*TblTech[[#This Row],[5-5]]))*spec_op_ore,0)</f>
        <v>25</v>
      </c>
      <c r="BH41" s="97">
        <f ca="1">ROUNDUP((1-MIN(TblMili[[#This Row],[Smithies]]*smithy_bonus,smithy_bonus_cap) + tech_3_5*TblTech[[#This Row],[3-5]] + tech_5_3*TblTech[[#This Row],[5-3]] + tech_5_5*TblTech[[#This Row],[5-5]])*spec_dp_plat,0)</f>
        <v>275</v>
      </c>
      <c r="BI41" s="97">
        <f ca="1">ROUNDUP(IF(race="Gnome",1,(1-MIN(TblMili[[#This Row],[Smithies]]*smithy_bonus,smithy_bonus_cap) + tech_3_5*TblTech[[#This Row],[3-5]] + tech_5_3*TblTech[[#This Row],[5-3]] + tech_5_5*TblTech[[#This Row],[5-5]]))*spec_dp_ore,0)</f>
        <v>15</v>
      </c>
      <c r="BJ41" s="97">
        <f ca="1">ROUNDUP((1-MIN(TblMili[[#This Row],[Smithies]]*smithy_bonus,smithy_bonus_cap) + tech_3_5*TblTech[[#This Row],[3-5]] + tech_5_3*TblTech[[#This Row],[5-3]] + tech_5_5*TblTech[[#This Row],[5-5]])*elite1_plat,0)</f>
        <v>1000</v>
      </c>
      <c r="BK41" s="97">
        <f ca="1">ROUNDUP(IF(race="Gnome",1,(1-MIN(TblMili[[#This Row],[Smithies]]*smithy_bonus,smithy_bonus_cap) + tech_3_5*TblTech[[#This Row],[3-5]] + tech_5_3*TblTech[[#This Row],[5-3]] + tech_5_5*TblTech[[#This Row],[5-5]]))*elite1_ore,0)</f>
        <v>75</v>
      </c>
      <c r="BL41" s="97">
        <f ca="1">ROUNDUP((1-MIN(TblMili[[#This Row],[Smithies]]*smithy_bonus,smithy_bonus_cap) + tech_3_5*TblTech[[#This Row],[3-5]] + tech_5_3*TblTech[[#This Row],[5-3]] + tech_5_5*TblTech[[#This Row],[5-5]])*elite2_plat,0)</f>
        <v>1200</v>
      </c>
      <c r="BM41" s="97">
        <f ca="1">ROUNDUP(IF(race="Gnome",1,(1-MIN(TblMili[[#This Row],[Smithies]]*smithy_bonus,smithy_bonus_cap) + tech_3_5*TblTech[[#This Row],[3-5]] + tech_5_3*TblTech[[#This Row],[5-3]] + tech_5_5*TblTech[[#This Row],[5-5]]))*elite2_ore,0)</f>
        <v>100</v>
      </c>
      <c r="BN41" s="97">
        <f ca="1">ROUNDUP((1-MIN(ROUND(fh_spy_cost_red*TblMili[[#This Row],[FH''s]],4),fh_spy_cost_cap)+ tech_1_9*TblTech[[#This Row],[1-9]] + tech_9_1*TblTech[[#This Row],[9-1]])*spy_plat,0)</f>
        <v>500</v>
      </c>
      <c r="BO41" s="97">
        <f ca="1">ROUNDUP((1-MIN(ROUND(wg_wiz_cost_bonus*TblMili[[#This Row],[WG''s]],4),wg_wiz_cost_cap) + tech_1_9_2*TblTech[[#This Row],[1-9]] + tech_9_1_2*TblTech[[#This Row],[9-1]])*wizard_plat,0)</f>
        <v>500</v>
      </c>
      <c r="BP41" s="97">
        <f ca="1">ROUNDUP((1-MIN(ROUND(wg_wiz_cost_bonus*TblMili[[#This Row],[WG''s]],4),wg_wiz_cost_cap) + tech_1_9_2*TblTech[[#This Row],[1-9]] + tech_9_1_2*TblTech[[#This Row],[9-1]])*archmage_plat,0)</f>
        <v>1000</v>
      </c>
      <c r="BQ41" s="150"/>
      <c r="BR41" s="165">
        <f ca="1">TblConstr[[#This Row],[Homeland]]/TblConstr[[#This Row],[Land]]</f>
        <v>0.44</v>
      </c>
      <c r="BS41" s="165">
        <f ca="1">TblMili[[#This Row],[WG''s]]</f>
        <v>0</v>
      </c>
      <c r="BT41" s="271">
        <f ca="1">IF(mystic_cap="none",TblMili[[#This Row],[Hill]]/mystic_bonus,MIN(mystic_cap,TblMili[[#This Row],[Hill]]/mystic_bonus))</f>
        <v>2.1999999999999997</v>
      </c>
      <c r="BU41" s="271">
        <f ca="1">IF(druid_op_cap="none",TblMili[[#This Row],[Hill]]/druid_op_bonus,MIN(druid_op_cap,TblMili[[#This Row],[Hill]]/druid_op_bonus))</f>
        <v>2.1999999999999997</v>
      </c>
      <c r="BV41" s="271">
        <f ca="1">IF(druid_dp_cap="none",TblMili[[#This Row],[Hill]]/druid_dp_bonus,MIN(druid_dp_cap,TblMili[[#This Row],[Hill]]/druid_dp_bonus))</f>
        <v>2.1999999999999997</v>
      </c>
      <c r="BW41" s="271">
        <f ca="1">MIN(dryad_cap,TblMili[[#This Row],[Hill]]/dryad_bonus)</f>
        <v>2.1999999999999997</v>
      </c>
      <c r="BX41" s="271">
        <f ca="1">MIN(rocka_cap,TblMili[[#This Row],[Hill]]/rocka_bonus)</f>
        <v>2</v>
      </c>
      <c r="BY41" s="271">
        <f ca="1">MIN(adept_op_cap,TblMili[[#This Row],[WG]]/adept_op_bonus)</f>
        <v>0</v>
      </c>
      <c r="BZ41" s="271">
        <f ca="1">MIN(adept_dp_cap,TblMili[[#This Row],[WG]]/adept_dp_bonus)</f>
        <v>0</v>
      </c>
      <c r="CA41" s="97">
        <f ca="1">MIN(TblMili[[#This Row],[Unit 3]],TblMili[[#This Row],[Unit 4]])*2</f>
        <v>0</v>
      </c>
      <c r="CB41" s="97">
        <f ca="1">MIN(TblMili[[#This Row],[Unit 1]],TblMili[[#This Row],[Unit 4]])*2</f>
        <v>0</v>
      </c>
      <c r="CC41" s="271">
        <f ca="1">MIN(frost_mage_cap,TblMili[[#This Row],[Hill]]/frost_mage_bonus)</f>
        <v>2.1999999999999997</v>
      </c>
      <c r="CD41" s="45">
        <f ca="1">MIN(ice_elem_cap,TblMili[[#This Row],[Raw (2)]]*ice_elem_bonus)</f>
        <v>0.1</v>
      </c>
      <c r="CE41" s="271">
        <f t="shared" si="2"/>
        <v>1</v>
      </c>
      <c r="CF41" s="271">
        <f ca="1">MIN(nox_nightshade_cap,TblConstr[[#This Row],[Homeland]]/TblConstr[[#This Row],[Land]]/nox_nightshade_swamp_bonus)</f>
        <v>3</v>
      </c>
      <c r="CG41" s="272"/>
      <c r="CH41" s="272"/>
      <c r="CI41" s="272"/>
      <c r="CJ41" s="271">
        <f ca="1">MIN(6,TblMili[[#This Row],[Mystic]]+Races!$F$19)*1.8 +  IF(TblMili[[#This Row],[Mystic]]+Races!$F$19&gt;6,(TblMili[[#This Row],[Mystic]]+Races!$F$19-6)*0.2,0) - Races!$I$19</f>
        <v>3.6399999999999997</v>
      </c>
      <c r="CK4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97">
        <f ca="1">TblMili[[#This Row],[Mystic bonus]]*TblMili[[#This Row],[Unit 3]]+TblMili[[#This Row],[Druid bonus]]*TblMili[[#This Row],[Unit 4]]</f>
        <v>0</v>
      </c>
      <c r="CM41" s="163">
        <f ca="1">MIN(6,TblMili[[#This Row],[Dryad]]+Races!$F$35)*1.8 +  IF(TblMili[[#This Row],[Dryad]]+Races!$F$35&gt;6,(TblMili[[#This Row],[Dryad]]+Races!$F$35-6)*0.2,0) - Races!$I$19</f>
        <v>2.1599999999999993</v>
      </c>
      <c r="CN41" s="97">
        <f ca="1">sylvan*(TblMili[[#This Row],[Mystic bonus]]*TblMili[[#This Row],[Unit 3]])</f>
        <v>0</v>
      </c>
      <c r="CO41" s="163">
        <f ca="1">1.8 * MIN(MAX(Races!$E$27,TblMili[[#This Row],[Rockapult]]+Races!$F$27),6)  +  0.45 * MIN(MIN(Races!$E$27,TblMili[[#This Row],[Rockapult]]+Races!$F$27),6)  +  0.2 * ( MAX(Races!$E$27-6,0) + MAX(TblMili[[#This Row],[Rockapult]]+Races!$F$27-6,0) )  -  Races!$I$20</f>
        <v>5.8500000000000005</v>
      </c>
      <c r="CP41" s="97">
        <f ca="1">gnome*(TblMili[[#This Row],[Rockapult bonus]]*TblMili[[#This Row],[Unit 3]])</f>
        <v>0</v>
      </c>
      <c r="CQ41" s="163">
        <f ca="1">1.8 * MIN(MAX(TblMili[[#This Row],[Spellblade]]+Races!$E$47,TblMili[[#This Row],[Adept-DP]]+Races!$F$47),6)  +  0.45 * MIN(MIN(TblMili[[#This Row],[Spellblade]]+Races!$E$47,TblMili[[#This Row],[Adept-DP]]+Races!$F$47),6)  +  0.2 * ( MAX(TblMili[[#This Row],[Spellblade]]+Races!$E$47-6,0) + MAX(TblMili[[#This Row],[Adept-DP]]+Races!$F$47-6,0) )  -  Races!$I$47</f>
        <v>0</v>
      </c>
      <c r="CR41" s="97">
        <f ca="1">dark_elf*(TblMili[[#This Row],[Adept bonus]]*TblMili[[#This Row],[Unit 3]])</f>
        <v>0</v>
      </c>
      <c r="CS41" s="163">
        <f ca="1">1.8 * MIN(MAX(TblMili[[#This Row],[Frost Mage]]+Races!$F$71,Races!$E$71),6)  +  0.45 * MIN(MIN(TblMili[[#This Row],[Frost Mage]]+Races!$F$71,Races!$E$71),6)  +  0.2 * ( MAX(TblMili[[#This Row],[Frost Mage]]+Races!$F$71-6,0) + MAX(Races!$E$71-6,0) )  -  Races!$I$71</f>
        <v>3.9599999999999991</v>
      </c>
      <c r="CT41" s="163">
        <f ca="1">1.8 * MIN(MAX(TblMili[[#This Row],[Ice Elemental]]+Races!$E$71,Races!$F$71),6)  +  0.45 * MIN(MIN(TblMili[[#This Row],[Ice Elemental]]+Races!$E$71,Races!$F$71),6)  +  0.2 * ( MAX(TblMili[[#This Row],[Ice Elemental]]+Races!$E$71-6,0) + MAX(Races!$F$71-6,0) )  -  Races!$I$71</f>
        <v>0.17999999999999972</v>
      </c>
      <c r="CU41" s="97">
        <f ca="1">TblMili[[#This Row],[Frost Mage bonus]]*TblMili[[#This Row],[Unit 3]]+TblMili[[#This Row],[Ice Elemental bonus]]*TblMili[[#This Row],[Unit 4]]</f>
        <v>0</v>
      </c>
      <c r="CV41" s="273"/>
      <c r="CW41" s="151">
        <f ca="1">MIN(SUM(TblConstr[[#This Row],[Plain]:[Water]])/TblMili[[#This Row],[Land]]/favorable_terrain_bonus/100,favorable_terrain_max)</f>
        <v>0.1</v>
      </c>
      <c r="CX41" s="273"/>
      <c r="CY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50"/>
      <c r="DA41" s="274">
        <f ca="1">(TblMili[[#This Row],[Wizards]]+2*TblMili[[#This Row],[Archmages]])/TblConstr[[#This Row],[Land]]</f>
        <v>0.1</v>
      </c>
      <c r="DB41" s="274">
        <f ca="1">TblMili[[#This Row],[Raw (2)]]*(1+race_wizard_strength+IF(TblMili[[#This Row],[Hour]]&gt;72,tech_magical_weaponry_wiz*TblTech[[#This Row],[3-5]],0))</f>
        <v>0.1</v>
      </c>
    </row>
    <row r="42" spans="1:106" x14ac:dyDescent="0.2">
      <c r="A42" s="145">
        <f>TblRezone[[#This Row],[Hour]]</f>
        <v>39</v>
      </c>
      <c r="B42" s="266">
        <f ca="1">SUM(TblMili[[#This Row],[Unit 1]:[Archmages]])+SUM(OFFSET(TblMili[[#This Row],[Train Unit 1]],-8,0):TblMili[[#This Row],[Train Unit 2]]) + SUM(OFFSET(TblMili[[#This Row],[Train Unit 3]],-11,0):TblMili[[#This Row],[Train Arch]]) + TblMili[[#This Row],[Draftees]]</f>
        <v>826</v>
      </c>
      <c r="C42" s="165">
        <f ca="1">TblPop[[#This Row],[Military%]]</f>
        <v>0.35029686174724345</v>
      </c>
      <c r="D42" s="150"/>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f>
        <v>25</v>
      </c>
      <c r="J42" s="45">
        <f ca="1">OFFSET(TblMili[[#This Row],[Wizards]],-1,0) + OFFSET(TblMili[[#This Row],[Train Wiz]],-12,0) - TblMili[[#This Row],[Release Wizards]]-TblMili[[#This Row],[Train Arch]]</f>
        <v>25</v>
      </c>
      <c r="K42" s="45">
        <f ca="1">OFFSET(TblMili[[#This Row],[Archmages]],-1,0) + OFFSET(TblMili[[#This Row],[Train Arch]],-12,0) - TblMili[[#This Row],[Release Arch]]</f>
        <v>0</v>
      </c>
      <c r="L42" s="150"/>
      <c r="M42" s="97">
        <f ca="1">TblProd[[#This Row],[Networth]]</f>
        <v>6450</v>
      </c>
      <c r="N42" s="150"/>
      <c r="O42" s="267">
        <f ca="1">TblMili[[#This Row],[Unit 1]]*spec_op+TblMili[[#This Row],[Unit 3]]*(elite1_base_op)+TblMili[[#This Row],[Unit 4]]*(elite2_base_op+dark_elf*TblMili[[#This Row],[Spellblade]]+icekin*TblMili[[#This Row],[Ice Elemental]]+woodie*TblMili[[#This Row],[Druid (op)]]+orc*TblMili[[#This Row],[Orc]])+kobold*TblMili[[#This Row],[Overlords]]</f>
        <v>0</v>
      </c>
      <c r="P4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2" s="267">
        <f ca="1">TblMili[[#This Row],[Raw]]*(1+TblMili[[#This Row],[Mods_Off]])</f>
        <v>0</v>
      </c>
      <c r="R4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2" s="267">
        <f ca="1">TblMili[[#This Row],[Non Draft]]+TblMili[[#This Row],[Draftees]]</f>
        <v>1076</v>
      </c>
      <c r="T4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269">
        <f ca="1">TblMili[[#This Row],[Non Draft]] * (1 + TblMili[[#This Row],[Mods_Def]])</f>
        <v>450</v>
      </c>
      <c r="V42" s="267">
        <f ca="1">TblMili[[#This Row],[Draft]] * (1 + TblMili[[#This Row],[Mods_Def]])</f>
        <v>1076</v>
      </c>
      <c r="W42" s="267">
        <f ca="1">TblConstr[[#This Row],[Land]]</f>
        <v>250</v>
      </c>
      <c r="X42" s="270"/>
      <c r="Y42" s="275">
        <f ca="1">IF(TblMili[[#This Row],[Set]]&lt;&gt;"",TblMili[[#This Row],[Set]],OFFSET(TblMili[[#This Row],[Draftrate]],-1,0))</f>
        <v>0.35</v>
      </c>
      <c r="Z42" s="97">
        <f ca="1">OFFSET(TblMili[[#This Row],[Draftees]],-1,0)+OFFSET(TblPop[[#This Row],[Draft Growth]],-1,0) - SUM(TblMili[[#This Row],[Train Unit 1]:[Train Wiz]]) - TblMili[[#This Row],[Release Draft]] + SUM(TblMili[[#This Row],[Release Unit 1]:[Release Arch]]) -TblExplore[[#This Row],[Draftees (2)]]</f>
        <v>626</v>
      </c>
      <c r="AA42" s="162"/>
      <c r="AB42" s="188">
        <f ca="1">(TblConstr[[#This Row],[Tot Smi]]+TblConstr[[#This Row],[Dest Smi]])/(TblConstr[[#This Row],[Land]]-TblExplore[[#This Row],[Land Bonus]]*20)</f>
        <v>0</v>
      </c>
      <c r="AC42" s="145"/>
      <c r="AD42" s="266">
        <f>TblMili[[#This Row],[Hour]]</f>
        <v>39</v>
      </c>
      <c r="AE42" s="146">
        <f ca="1">TblExplore[[#This Row],[Time]]</f>
        <v>44812.333333333241</v>
      </c>
      <c r="AF42" s="187"/>
      <c r="AG42" s="187"/>
      <c r="AH42" s="187"/>
      <c r="AI42" s="187"/>
      <c r="AJ42" s="187"/>
      <c r="AK42" s="187"/>
      <c r="AL42" s="187"/>
      <c r="AM42" s="150"/>
      <c r="AN42" s="97">
        <f ca="1">TblProd[[#This Row],[Platinum]]</f>
        <v>309346</v>
      </c>
      <c r="AO42" s="97">
        <f ca="1">INDEX(TblProd[[#Headers],[Lumber]]:TblProd[[#This Row],[Ore]],COUNTA(TblProd[[#Headers],[Lumber]]:TblProd[[#This Row],[Lumber]]),MATCH(Military!$AO$2,TblProd[[#Headers],[Lumber]:[Ore]],0))</f>
        <v>0</v>
      </c>
      <c r="AP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97">
        <f ca="1">TblMili[[#This Row],[Train Unit 1]]*TblMili[[#This Row],[OP Ore]]+TblMili[[#This Row],[Train Unit 2]]*TblMili[[#This Row],[DP Ore]]+TblMili[[#This Row],[Train Unit 3]]*TblMili[[#This Row],[E1 Ore]]+TblMili[[#This Row],[Train Unit 4]]*TblMili[[#This Row],[E2 Ore]]</f>
        <v>0</v>
      </c>
      <c r="AR42" s="150">
        <f>TblMili[[#This Row],[Hour]]</f>
        <v>39</v>
      </c>
      <c r="AS42" s="160">
        <f ca="1">TblMili[[#This Row],[Time]]</f>
        <v>44812.333333333241</v>
      </c>
      <c r="AT42" s="97">
        <f ca="1">TblMili[[#This Row],[Draftees]]</f>
        <v>626</v>
      </c>
      <c r="AU42" s="187"/>
      <c r="AV42" s="187"/>
      <c r="AW42" s="187"/>
      <c r="AX42" s="187"/>
      <c r="AY42" s="187"/>
      <c r="AZ42" s="187"/>
      <c r="BA42" s="187"/>
      <c r="BB42" s="187"/>
      <c r="BC42" s="150"/>
      <c r="BD42" s="165">
        <f ca="1">TblConstr[[#This Row],[Tot WG]]/TblConstr[[#This Row],[Land]]</f>
        <v>0</v>
      </c>
      <c r="BE42" s="165">
        <f ca="1">TblConstr[[#This Row],[Tot Hav]]/TblConstr[[#This Row],[Land]]</f>
        <v>0</v>
      </c>
      <c r="BF42" s="97">
        <f ca="1">ROUNDUP((1-MIN(TblMili[[#This Row],[Smithies]]*smithy_bonus,smithy_bonus_cap) + tech_3_5*TblTech[[#This Row],[3-5]] + tech_5_3*TblTech[[#This Row],[5-3]] + tech_5_5*TblTech[[#This Row],[5-5]])*spec_op_plat,0)</f>
        <v>275</v>
      </c>
      <c r="BG42" s="97">
        <f ca="1">ROUNDUP(IF(race="Gnome",1,(1-MIN(TblMili[[#This Row],[Smithies]]*smithy_bonus,smithy_bonus_cap) + tech_3_5*TblTech[[#This Row],[3-5]] + tech_5_3*TblTech[[#This Row],[5-3]] + tech_5_5*TblTech[[#This Row],[5-5]]))*spec_op_ore,0)</f>
        <v>25</v>
      </c>
      <c r="BH42" s="97">
        <f ca="1">ROUNDUP((1-MIN(TblMili[[#This Row],[Smithies]]*smithy_bonus,smithy_bonus_cap) + tech_3_5*TblTech[[#This Row],[3-5]] + tech_5_3*TblTech[[#This Row],[5-3]] + tech_5_5*TblTech[[#This Row],[5-5]])*spec_dp_plat,0)</f>
        <v>275</v>
      </c>
      <c r="BI42" s="97">
        <f ca="1">ROUNDUP(IF(race="Gnome",1,(1-MIN(TblMili[[#This Row],[Smithies]]*smithy_bonus,smithy_bonus_cap) + tech_3_5*TblTech[[#This Row],[3-5]] + tech_5_3*TblTech[[#This Row],[5-3]] + tech_5_5*TblTech[[#This Row],[5-5]]))*spec_dp_ore,0)</f>
        <v>15</v>
      </c>
      <c r="BJ42" s="97">
        <f ca="1">ROUNDUP((1-MIN(TblMili[[#This Row],[Smithies]]*smithy_bonus,smithy_bonus_cap) + tech_3_5*TblTech[[#This Row],[3-5]] + tech_5_3*TblTech[[#This Row],[5-3]] + tech_5_5*TblTech[[#This Row],[5-5]])*elite1_plat,0)</f>
        <v>1000</v>
      </c>
      <c r="BK42" s="97">
        <f ca="1">ROUNDUP(IF(race="Gnome",1,(1-MIN(TblMili[[#This Row],[Smithies]]*smithy_bonus,smithy_bonus_cap) + tech_3_5*TblTech[[#This Row],[3-5]] + tech_5_3*TblTech[[#This Row],[5-3]] + tech_5_5*TblTech[[#This Row],[5-5]]))*elite1_ore,0)</f>
        <v>75</v>
      </c>
      <c r="BL42" s="97">
        <f ca="1">ROUNDUP((1-MIN(TblMili[[#This Row],[Smithies]]*smithy_bonus,smithy_bonus_cap) + tech_3_5*TblTech[[#This Row],[3-5]] + tech_5_3*TblTech[[#This Row],[5-3]] + tech_5_5*TblTech[[#This Row],[5-5]])*elite2_plat,0)</f>
        <v>1200</v>
      </c>
      <c r="BM42" s="97">
        <f ca="1">ROUNDUP(IF(race="Gnome",1,(1-MIN(TblMili[[#This Row],[Smithies]]*smithy_bonus,smithy_bonus_cap) + tech_3_5*TblTech[[#This Row],[3-5]] + tech_5_3*TblTech[[#This Row],[5-3]] + tech_5_5*TblTech[[#This Row],[5-5]]))*elite2_ore,0)</f>
        <v>100</v>
      </c>
      <c r="BN42" s="97">
        <f ca="1">ROUNDUP((1-MIN(ROUND(fh_spy_cost_red*TblMili[[#This Row],[FH''s]],4),fh_spy_cost_cap)+ tech_1_9*TblTech[[#This Row],[1-9]] + tech_9_1*TblTech[[#This Row],[9-1]])*spy_plat,0)</f>
        <v>500</v>
      </c>
      <c r="BO42" s="97">
        <f ca="1">ROUNDUP((1-MIN(ROUND(wg_wiz_cost_bonus*TblMili[[#This Row],[WG''s]],4),wg_wiz_cost_cap) + tech_1_9_2*TblTech[[#This Row],[1-9]] + tech_9_1_2*TblTech[[#This Row],[9-1]])*wizard_plat,0)</f>
        <v>500</v>
      </c>
      <c r="BP42" s="97">
        <f ca="1">ROUNDUP((1-MIN(ROUND(wg_wiz_cost_bonus*TblMili[[#This Row],[WG''s]],4),wg_wiz_cost_cap) + tech_1_9_2*TblTech[[#This Row],[1-9]] + tech_9_1_2*TblTech[[#This Row],[9-1]])*archmage_plat,0)</f>
        <v>1000</v>
      </c>
      <c r="BQ42" s="150"/>
      <c r="BR42" s="165">
        <f ca="1">TblConstr[[#This Row],[Homeland]]/TblConstr[[#This Row],[Land]]</f>
        <v>0.44</v>
      </c>
      <c r="BS42" s="165">
        <f ca="1">TblMili[[#This Row],[WG''s]]</f>
        <v>0</v>
      </c>
      <c r="BT42" s="271">
        <f ca="1">IF(mystic_cap="none",TblMili[[#This Row],[Hill]]/mystic_bonus,MIN(mystic_cap,TblMili[[#This Row],[Hill]]/mystic_bonus))</f>
        <v>2.1999999999999997</v>
      </c>
      <c r="BU42" s="271">
        <f ca="1">IF(druid_op_cap="none",TblMili[[#This Row],[Hill]]/druid_op_bonus,MIN(druid_op_cap,TblMili[[#This Row],[Hill]]/druid_op_bonus))</f>
        <v>2.1999999999999997</v>
      </c>
      <c r="BV42" s="271">
        <f ca="1">IF(druid_dp_cap="none",TblMili[[#This Row],[Hill]]/druid_dp_bonus,MIN(druid_dp_cap,TblMili[[#This Row],[Hill]]/druid_dp_bonus))</f>
        <v>2.1999999999999997</v>
      </c>
      <c r="BW42" s="271">
        <f ca="1">MIN(dryad_cap,TblMili[[#This Row],[Hill]]/dryad_bonus)</f>
        <v>2.1999999999999997</v>
      </c>
      <c r="BX42" s="271">
        <f ca="1">MIN(rocka_cap,TblMili[[#This Row],[Hill]]/rocka_bonus)</f>
        <v>2</v>
      </c>
      <c r="BY42" s="271">
        <f ca="1">MIN(adept_op_cap,TblMili[[#This Row],[WG]]/adept_op_bonus)</f>
        <v>0</v>
      </c>
      <c r="BZ42" s="271">
        <f ca="1">MIN(adept_dp_cap,TblMili[[#This Row],[WG]]/adept_dp_bonus)</f>
        <v>0</v>
      </c>
      <c r="CA42" s="97">
        <f ca="1">MIN(TblMili[[#This Row],[Unit 3]],TblMili[[#This Row],[Unit 4]])*2</f>
        <v>0</v>
      </c>
      <c r="CB42" s="97">
        <f ca="1">MIN(TblMili[[#This Row],[Unit 1]],TblMili[[#This Row],[Unit 4]])*2</f>
        <v>0</v>
      </c>
      <c r="CC42" s="271">
        <f ca="1">MIN(frost_mage_cap,TblMili[[#This Row],[Hill]]/frost_mage_bonus)</f>
        <v>2.1999999999999997</v>
      </c>
      <c r="CD42" s="45">
        <f ca="1">MIN(ice_elem_cap,TblMili[[#This Row],[Raw (2)]]*ice_elem_bonus)</f>
        <v>0.1</v>
      </c>
      <c r="CE42" s="271">
        <f t="shared" si="2"/>
        <v>1</v>
      </c>
      <c r="CF42" s="271">
        <f ca="1">MIN(nox_nightshade_cap,TblConstr[[#This Row],[Homeland]]/TblConstr[[#This Row],[Land]]/nox_nightshade_swamp_bonus)</f>
        <v>3</v>
      </c>
      <c r="CG42" s="272"/>
      <c r="CH42" s="272"/>
      <c r="CI42" s="272"/>
      <c r="CJ42" s="271">
        <f ca="1">MIN(6,TblMili[[#This Row],[Mystic]]+Races!$F$19)*1.8 +  IF(TblMili[[#This Row],[Mystic]]+Races!$F$19&gt;6,(TblMili[[#This Row],[Mystic]]+Races!$F$19-6)*0.2,0) - Races!$I$19</f>
        <v>3.6399999999999997</v>
      </c>
      <c r="CK4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97">
        <f ca="1">TblMili[[#This Row],[Mystic bonus]]*TblMili[[#This Row],[Unit 3]]+TblMili[[#This Row],[Druid bonus]]*TblMili[[#This Row],[Unit 4]]</f>
        <v>0</v>
      </c>
      <c r="CM42" s="163">
        <f ca="1">MIN(6,TblMili[[#This Row],[Dryad]]+Races!$F$35)*1.8 +  IF(TblMili[[#This Row],[Dryad]]+Races!$F$35&gt;6,(TblMili[[#This Row],[Dryad]]+Races!$F$35-6)*0.2,0) - Races!$I$19</f>
        <v>2.1599999999999993</v>
      </c>
      <c r="CN42" s="97">
        <f ca="1">sylvan*(TblMili[[#This Row],[Mystic bonus]]*TblMili[[#This Row],[Unit 3]])</f>
        <v>0</v>
      </c>
      <c r="CO42" s="163">
        <f ca="1">1.8 * MIN(MAX(Races!$E$27,TblMili[[#This Row],[Rockapult]]+Races!$F$27),6)  +  0.45 * MIN(MIN(Races!$E$27,TblMili[[#This Row],[Rockapult]]+Races!$F$27),6)  +  0.2 * ( MAX(Races!$E$27-6,0) + MAX(TblMili[[#This Row],[Rockapult]]+Races!$F$27-6,0) )  -  Races!$I$20</f>
        <v>5.8500000000000005</v>
      </c>
      <c r="CP42" s="97">
        <f ca="1">gnome*(TblMili[[#This Row],[Rockapult bonus]]*TblMili[[#This Row],[Unit 3]])</f>
        <v>0</v>
      </c>
      <c r="CQ42" s="163">
        <f ca="1">1.8 * MIN(MAX(TblMili[[#This Row],[Spellblade]]+Races!$E$47,TblMili[[#This Row],[Adept-DP]]+Races!$F$47),6)  +  0.45 * MIN(MIN(TblMili[[#This Row],[Spellblade]]+Races!$E$47,TblMili[[#This Row],[Adept-DP]]+Races!$F$47),6)  +  0.2 * ( MAX(TblMili[[#This Row],[Spellblade]]+Races!$E$47-6,0) + MAX(TblMili[[#This Row],[Adept-DP]]+Races!$F$47-6,0) )  -  Races!$I$47</f>
        <v>0</v>
      </c>
      <c r="CR42" s="97">
        <f ca="1">dark_elf*(TblMili[[#This Row],[Adept bonus]]*TblMili[[#This Row],[Unit 3]])</f>
        <v>0</v>
      </c>
      <c r="CS42" s="163">
        <f ca="1">1.8 * MIN(MAX(TblMili[[#This Row],[Frost Mage]]+Races!$F$71,Races!$E$71),6)  +  0.45 * MIN(MIN(TblMili[[#This Row],[Frost Mage]]+Races!$F$71,Races!$E$71),6)  +  0.2 * ( MAX(TblMili[[#This Row],[Frost Mage]]+Races!$F$71-6,0) + MAX(Races!$E$71-6,0) )  -  Races!$I$71</f>
        <v>3.9599999999999991</v>
      </c>
      <c r="CT42" s="163">
        <f ca="1">1.8 * MIN(MAX(TblMili[[#This Row],[Ice Elemental]]+Races!$E$71,Races!$F$71),6)  +  0.45 * MIN(MIN(TblMili[[#This Row],[Ice Elemental]]+Races!$E$71,Races!$F$71),6)  +  0.2 * ( MAX(TblMili[[#This Row],[Ice Elemental]]+Races!$E$71-6,0) + MAX(Races!$F$71-6,0) )  -  Races!$I$71</f>
        <v>0.17999999999999972</v>
      </c>
      <c r="CU42" s="97">
        <f ca="1">TblMili[[#This Row],[Frost Mage bonus]]*TblMili[[#This Row],[Unit 3]]+TblMili[[#This Row],[Ice Elemental bonus]]*TblMili[[#This Row],[Unit 4]]</f>
        <v>0</v>
      </c>
      <c r="CV42" s="273"/>
      <c r="CW42" s="151">
        <f ca="1">MIN(SUM(TblConstr[[#This Row],[Plain]:[Water]])/TblMili[[#This Row],[Land]]/favorable_terrain_bonus/100,favorable_terrain_max)</f>
        <v>0.1</v>
      </c>
      <c r="CX42" s="273"/>
      <c r="CY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50"/>
      <c r="DA42" s="274">
        <f ca="1">(TblMili[[#This Row],[Wizards]]+2*TblMili[[#This Row],[Archmages]])/TblConstr[[#This Row],[Land]]</f>
        <v>0.1</v>
      </c>
      <c r="DB42" s="274">
        <f ca="1">TblMili[[#This Row],[Raw (2)]]*(1+race_wizard_strength+IF(TblMili[[#This Row],[Hour]]&gt;72,tech_magical_weaponry_wiz*TblTech[[#This Row],[3-5]],0))</f>
        <v>0.1</v>
      </c>
    </row>
    <row r="43" spans="1:106" x14ac:dyDescent="0.2">
      <c r="A43" s="145">
        <f>TblRezone[[#This Row],[Hour]]</f>
        <v>40</v>
      </c>
      <c r="B43" s="266">
        <f ca="1">SUM(TblMili[[#This Row],[Unit 1]:[Archmages]])+SUM(OFFSET(TblMili[[#This Row],[Train Unit 1]],-8,0):TblMili[[#This Row],[Train Unit 2]]) + SUM(OFFSET(TblMili[[#This Row],[Train Unit 3]],-11,0):TblMili[[#This Row],[Train Arch]]) + TblMili[[#This Row],[Draftees]]</f>
        <v>826</v>
      </c>
      <c r="C43" s="165">
        <f ca="1">TblPop[[#This Row],[Military%]]</f>
        <v>0.35029686174724345</v>
      </c>
      <c r="D43" s="150"/>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f>
        <v>25</v>
      </c>
      <c r="J43" s="45">
        <f ca="1">OFFSET(TblMili[[#This Row],[Wizards]],-1,0) + OFFSET(TblMili[[#This Row],[Train Wiz]],-12,0) - TblMili[[#This Row],[Release Wizards]]-TblMili[[#This Row],[Train Arch]]</f>
        <v>25</v>
      </c>
      <c r="K43" s="45">
        <f ca="1">OFFSET(TblMili[[#This Row],[Archmages]],-1,0) + OFFSET(TblMili[[#This Row],[Train Arch]],-12,0) - TblMili[[#This Row],[Release Arch]]</f>
        <v>0</v>
      </c>
      <c r="L43" s="150"/>
      <c r="M43" s="97">
        <f ca="1">TblProd[[#This Row],[Networth]]</f>
        <v>6450</v>
      </c>
      <c r="N43" s="150"/>
      <c r="O43" s="267">
        <f ca="1">TblMili[[#This Row],[Unit 1]]*spec_op+TblMili[[#This Row],[Unit 3]]*(elite1_base_op)+TblMili[[#This Row],[Unit 4]]*(elite2_base_op+dark_elf*TblMili[[#This Row],[Spellblade]]+icekin*TblMili[[#This Row],[Ice Elemental]]+woodie*TblMili[[#This Row],[Druid (op)]]+orc*TblMili[[#This Row],[Orc]])+kobold*TblMili[[#This Row],[Overlords]]</f>
        <v>0</v>
      </c>
      <c r="P4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3" s="267">
        <f ca="1">TblMili[[#This Row],[Raw]]*(1+TblMili[[#This Row],[Mods_Off]])</f>
        <v>0</v>
      </c>
      <c r="R4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3" s="267">
        <f ca="1">TblMili[[#This Row],[Non Draft]]+TblMili[[#This Row],[Draftees]]</f>
        <v>1076</v>
      </c>
      <c r="T4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269">
        <f ca="1">TblMili[[#This Row],[Non Draft]] * (1 + TblMili[[#This Row],[Mods_Def]])</f>
        <v>450</v>
      </c>
      <c r="V43" s="267">
        <f ca="1">TblMili[[#This Row],[Draft]] * (1 + TblMili[[#This Row],[Mods_Def]])</f>
        <v>1076</v>
      </c>
      <c r="W43" s="267">
        <f ca="1">TblConstr[[#This Row],[Land]]</f>
        <v>250</v>
      </c>
      <c r="X43" s="270"/>
      <c r="Y43" s="275">
        <f ca="1">IF(TblMili[[#This Row],[Set]]&lt;&gt;"",TblMili[[#This Row],[Set]],OFFSET(TblMili[[#This Row],[Draftrate]],-1,0))</f>
        <v>0.35</v>
      </c>
      <c r="Z43" s="97">
        <f ca="1">OFFSET(TblMili[[#This Row],[Draftees]],-1,0)+OFFSET(TblPop[[#This Row],[Draft Growth]],-1,0) - SUM(TblMili[[#This Row],[Train Unit 1]:[Train Wiz]]) - TblMili[[#This Row],[Release Draft]] + SUM(TblMili[[#This Row],[Release Unit 1]:[Release Arch]]) -TblExplore[[#This Row],[Draftees (2)]]</f>
        <v>626</v>
      </c>
      <c r="AA43" s="162"/>
      <c r="AB43" s="188">
        <f ca="1">(TblConstr[[#This Row],[Tot Smi]]+TblConstr[[#This Row],[Dest Smi]])/(TblConstr[[#This Row],[Land]]-TblExplore[[#This Row],[Land Bonus]]*20)</f>
        <v>0</v>
      </c>
      <c r="AC43" s="145"/>
      <c r="AD43" s="266">
        <f>TblMili[[#This Row],[Hour]]</f>
        <v>40</v>
      </c>
      <c r="AE43" s="146">
        <f ca="1">TblExplore[[#This Row],[Time]]</f>
        <v>44812.374999999905</v>
      </c>
      <c r="AF43" s="187"/>
      <c r="AG43" s="187"/>
      <c r="AH43" s="187"/>
      <c r="AI43" s="187"/>
      <c r="AJ43" s="187"/>
      <c r="AK43" s="187"/>
      <c r="AL43" s="187"/>
      <c r="AM43" s="150"/>
      <c r="AN43" s="97">
        <f ca="1">TblProd[[#This Row],[Platinum]]</f>
        <v>314832</v>
      </c>
      <c r="AO43" s="97">
        <f ca="1">INDEX(TblProd[[#Headers],[Lumber]]:TblProd[[#This Row],[Ore]],COUNTA(TblProd[[#Headers],[Lumber]]:TblProd[[#This Row],[Lumber]]),MATCH(Military!$AO$2,TblProd[[#Headers],[Lumber]:[Ore]],0))</f>
        <v>0</v>
      </c>
      <c r="AP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97">
        <f ca="1">TblMili[[#This Row],[Train Unit 1]]*TblMili[[#This Row],[OP Ore]]+TblMili[[#This Row],[Train Unit 2]]*TblMili[[#This Row],[DP Ore]]+TblMili[[#This Row],[Train Unit 3]]*TblMili[[#This Row],[E1 Ore]]+TblMili[[#This Row],[Train Unit 4]]*TblMili[[#This Row],[E2 Ore]]</f>
        <v>0</v>
      </c>
      <c r="AR43" s="150">
        <f>TblMili[[#This Row],[Hour]]</f>
        <v>40</v>
      </c>
      <c r="AS43" s="160">
        <f ca="1">TblMili[[#This Row],[Time]]</f>
        <v>44812.374999999905</v>
      </c>
      <c r="AT43" s="97">
        <f ca="1">TblMili[[#This Row],[Draftees]]</f>
        <v>626</v>
      </c>
      <c r="AU43" s="187"/>
      <c r="AV43" s="187"/>
      <c r="AW43" s="187"/>
      <c r="AX43" s="187"/>
      <c r="AY43" s="187"/>
      <c r="AZ43" s="187"/>
      <c r="BA43" s="187"/>
      <c r="BB43" s="187"/>
      <c r="BC43" s="150"/>
      <c r="BD43" s="165">
        <f ca="1">TblConstr[[#This Row],[Tot WG]]/TblConstr[[#This Row],[Land]]</f>
        <v>0</v>
      </c>
      <c r="BE43" s="165">
        <f ca="1">TblConstr[[#This Row],[Tot Hav]]/TblConstr[[#This Row],[Land]]</f>
        <v>0</v>
      </c>
      <c r="BF43" s="97">
        <f ca="1">ROUNDUP((1-MIN(TblMili[[#This Row],[Smithies]]*smithy_bonus,smithy_bonus_cap) + tech_3_5*TblTech[[#This Row],[3-5]] + tech_5_3*TblTech[[#This Row],[5-3]] + tech_5_5*TblTech[[#This Row],[5-5]])*spec_op_plat,0)</f>
        <v>275</v>
      </c>
      <c r="BG43" s="97">
        <f ca="1">ROUNDUP(IF(race="Gnome",1,(1-MIN(TblMili[[#This Row],[Smithies]]*smithy_bonus,smithy_bonus_cap) + tech_3_5*TblTech[[#This Row],[3-5]] + tech_5_3*TblTech[[#This Row],[5-3]] + tech_5_5*TblTech[[#This Row],[5-5]]))*spec_op_ore,0)</f>
        <v>25</v>
      </c>
      <c r="BH43" s="97">
        <f ca="1">ROUNDUP((1-MIN(TblMili[[#This Row],[Smithies]]*smithy_bonus,smithy_bonus_cap) + tech_3_5*TblTech[[#This Row],[3-5]] + tech_5_3*TblTech[[#This Row],[5-3]] + tech_5_5*TblTech[[#This Row],[5-5]])*spec_dp_plat,0)</f>
        <v>275</v>
      </c>
      <c r="BI43" s="97">
        <f ca="1">ROUNDUP(IF(race="Gnome",1,(1-MIN(TblMili[[#This Row],[Smithies]]*smithy_bonus,smithy_bonus_cap) + tech_3_5*TblTech[[#This Row],[3-5]] + tech_5_3*TblTech[[#This Row],[5-3]] + tech_5_5*TblTech[[#This Row],[5-5]]))*spec_dp_ore,0)</f>
        <v>15</v>
      </c>
      <c r="BJ43" s="97">
        <f ca="1">ROUNDUP((1-MIN(TblMili[[#This Row],[Smithies]]*smithy_bonus,smithy_bonus_cap) + tech_3_5*TblTech[[#This Row],[3-5]] + tech_5_3*TblTech[[#This Row],[5-3]] + tech_5_5*TblTech[[#This Row],[5-5]])*elite1_plat,0)</f>
        <v>1000</v>
      </c>
      <c r="BK43" s="97">
        <f ca="1">ROUNDUP(IF(race="Gnome",1,(1-MIN(TblMili[[#This Row],[Smithies]]*smithy_bonus,smithy_bonus_cap) + tech_3_5*TblTech[[#This Row],[3-5]] + tech_5_3*TblTech[[#This Row],[5-3]] + tech_5_5*TblTech[[#This Row],[5-5]]))*elite1_ore,0)</f>
        <v>75</v>
      </c>
      <c r="BL43" s="97">
        <f ca="1">ROUNDUP((1-MIN(TblMili[[#This Row],[Smithies]]*smithy_bonus,smithy_bonus_cap) + tech_3_5*TblTech[[#This Row],[3-5]] + tech_5_3*TblTech[[#This Row],[5-3]] + tech_5_5*TblTech[[#This Row],[5-5]])*elite2_plat,0)</f>
        <v>1200</v>
      </c>
      <c r="BM43" s="97">
        <f ca="1">ROUNDUP(IF(race="Gnome",1,(1-MIN(TblMili[[#This Row],[Smithies]]*smithy_bonus,smithy_bonus_cap) + tech_3_5*TblTech[[#This Row],[3-5]] + tech_5_3*TblTech[[#This Row],[5-3]] + tech_5_5*TblTech[[#This Row],[5-5]]))*elite2_ore,0)</f>
        <v>100</v>
      </c>
      <c r="BN43" s="97">
        <f ca="1">ROUNDUP((1-MIN(ROUND(fh_spy_cost_red*TblMili[[#This Row],[FH''s]],4),fh_spy_cost_cap)+ tech_1_9*TblTech[[#This Row],[1-9]] + tech_9_1*TblTech[[#This Row],[9-1]])*spy_plat,0)</f>
        <v>500</v>
      </c>
      <c r="BO43" s="97">
        <f ca="1">ROUNDUP((1-MIN(ROUND(wg_wiz_cost_bonus*TblMili[[#This Row],[WG''s]],4),wg_wiz_cost_cap) + tech_1_9_2*TblTech[[#This Row],[1-9]] + tech_9_1_2*TblTech[[#This Row],[9-1]])*wizard_plat,0)</f>
        <v>500</v>
      </c>
      <c r="BP43" s="97">
        <f ca="1">ROUNDUP((1-MIN(ROUND(wg_wiz_cost_bonus*TblMili[[#This Row],[WG''s]],4),wg_wiz_cost_cap) + tech_1_9_2*TblTech[[#This Row],[1-9]] + tech_9_1_2*TblTech[[#This Row],[9-1]])*archmage_plat,0)</f>
        <v>1000</v>
      </c>
      <c r="BQ43" s="150"/>
      <c r="BR43" s="165">
        <f ca="1">TblConstr[[#This Row],[Homeland]]/TblConstr[[#This Row],[Land]]</f>
        <v>0.44</v>
      </c>
      <c r="BS43" s="165">
        <f ca="1">TblMili[[#This Row],[WG''s]]</f>
        <v>0</v>
      </c>
      <c r="BT43" s="271">
        <f ca="1">IF(mystic_cap="none",TblMili[[#This Row],[Hill]]/mystic_bonus,MIN(mystic_cap,TblMili[[#This Row],[Hill]]/mystic_bonus))</f>
        <v>2.1999999999999997</v>
      </c>
      <c r="BU43" s="271">
        <f ca="1">IF(druid_op_cap="none",TblMili[[#This Row],[Hill]]/druid_op_bonus,MIN(druid_op_cap,TblMili[[#This Row],[Hill]]/druid_op_bonus))</f>
        <v>2.1999999999999997</v>
      </c>
      <c r="BV43" s="271">
        <f ca="1">IF(druid_dp_cap="none",TblMili[[#This Row],[Hill]]/druid_dp_bonus,MIN(druid_dp_cap,TblMili[[#This Row],[Hill]]/druid_dp_bonus))</f>
        <v>2.1999999999999997</v>
      </c>
      <c r="BW43" s="271">
        <f ca="1">MIN(dryad_cap,TblMili[[#This Row],[Hill]]/dryad_bonus)</f>
        <v>2.1999999999999997</v>
      </c>
      <c r="BX43" s="271">
        <f ca="1">MIN(rocka_cap,TblMili[[#This Row],[Hill]]/rocka_bonus)</f>
        <v>2</v>
      </c>
      <c r="BY43" s="271">
        <f ca="1">MIN(adept_op_cap,TblMili[[#This Row],[WG]]/adept_op_bonus)</f>
        <v>0</v>
      </c>
      <c r="BZ43" s="271">
        <f ca="1">MIN(adept_dp_cap,TblMili[[#This Row],[WG]]/adept_dp_bonus)</f>
        <v>0</v>
      </c>
      <c r="CA43" s="97">
        <f ca="1">MIN(TblMili[[#This Row],[Unit 3]],TblMili[[#This Row],[Unit 4]])*2</f>
        <v>0</v>
      </c>
      <c r="CB43" s="97">
        <f ca="1">MIN(TblMili[[#This Row],[Unit 1]],TblMili[[#This Row],[Unit 4]])*2</f>
        <v>0</v>
      </c>
      <c r="CC43" s="271">
        <f ca="1">MIN(frost_mage_cap,TblMili[[#This Row],[Hill]]/frost_mage_bonus)</f>
        <v>2.1999999999999997</v>
      </c>
      <c r="CD43" s="45">
        <f ca="1">MIN(ice_elem_cap,TblMili[[#This Row],[Raw (2)]]*ice_elem_bonus)</f>
        <v>0.1</v>
      </c>
      <c r="CE43" s="271">
        <f t="shared" si="2"/>
        <v>1</v>
      </c>
      <c r="CF43" s="271">
        <f ca="1">MIN(nox_nightshade_cap,TblConstr[[#This Row],[Homeland]]/TblConstr[[#This Row],[Land]]/nox_nightshade_swamp_bonus)</f>
        <v>3</v>
      </c>
      <c r="CG43" s="272"/>
      <c r="CH43" s="272"/>
      <c r="CI43" s="272"/>
      <c r="CJ43" s="271">
        <f ca="1">MIN(6,TblMili[[#This Row],[Mystic]]+Races!$F$19)*1.8 +  IF(TblMili[[#This Row],[Mystic]]+Races!$F$19&gt;6,(TblMili[[#This Row],[Mystic]]+Races!$F$19-6)*0.2,0) - Races!$I$19</f>
        <v>3.6399999999999997</v>
      </c>
      <c r="CK4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97">
        <f ca="1">TblMili[[#This Row],[Mystic bonus]]*TblMili[[#This Row],[Unit 3]]+TblMili[[#This Row],[Druid bonus]]*TblMili[[#This Row],[Unit 4]]</f>
        <v>0</v>
      </c>
      <c r="CM43" s="163">
        <f ca="1">MIN(6,TblMili[[#This Row],[Dryad]]+Races!$F$35)*1.8 +  IF(TblMili[[#This Row],[Dryad]]+Races!$F$35&gt;6,(TblMili[[#This Row],[Dryad]]+Races!$F$35-6)*0.2,0) - Races!$I$19</f>
        <v>2.1599999999999993</v>
      </c>
      <c r="CN43" s="97">
        <f ca="1">sylvan*(TblMili[[#This Row],[Mystic bonus]]*TblMili[[#This Row],[Unit 3]])</f>
        <v>0</v>
      </c>
      <c r="CO43" s="163">
        <f ca="1">1.8 * MIN(MAX(Races!$E$27,TblMili[[#This Row],[Rockapult]]+Races!$F$27),6)  +  0.45 * MIN(MIN(Races!$E$27,TblMili[[#This Row],[Rockapult]]+Races!$F$27),6)  +  0.2 * ( MAX(Races!$E$27-6,0) + MAX(TblMili[[#This Row],[Rockapult]]+Races!$F$27-6,0) )  -  Races!$I$20</f>
        <v>5.8500000000000005</v>
      </c>
      <c r="CP43" s="97">
        <f ca="1">gnome*(TblMili[[#This Row],[Rockapult bonus]]*TblMili[[#This Row],[Unit 3]])</f>
        <v>0</v>
      </c>
      <c r="CQ43" s="163">
        <f ca="1">1.8 * MIN(MAX(TblMili[[#This Row],[Spellblade]]+Races!$E$47,TblMili[[#This Row],[Adept-DP]]+Races!$F$47),6)  +  0.45 * MIN(MIN(TblMili[[#This Row],[Spellblade]]+Races!$E$47,TblMili[[#This Row],[Adept-DP]]+Races!$F$47),6)  +  0.2 * ( MAX(TblMili[[#This Row],[Spellblade]]+Races!$E$47-6,0) + MAX(TblMili[[#This Row],[Adept-DP]]+Races!$F$47-6,0) )  -  Races!$I$47</f>
        <v>0</v>
      </c>
      <c r="CR43" s="97">
        <f ca="1">dark_elf*(TblMili[[#This Row],[Adept bonus]]*TblMili[[#This Row],[Unit 3]])</f>
        <v>0</v>
      </c>
      <c r="CS43" s="163">
        <f ca="1">1.8 * MIN(MAX(TblMili[[#This Row],[Frost Mage]]+Races!$F$71,Races!$E$71),6)  +  0.45 * MIN(MIN(TblMili[[#This Row],[Frost Mage]]+Races!$F$71,Races!$E$71),6)  +  0.2 * ( MAX(TblMili[[#This Row],[Frost Mage]]+Races!$F$71-6,0) + MAX(Races!$E$71-6,0) )  -  Races!$I$71</f>
        <v>3.9599999999999991</v>
      </c>
      <c r="CT43" s="163">
        <f ca="1">1.8 * MIN(MAX(TblMili[[#This Row],[Ice Elemental]]+Races!$E$71,Races!$F$71),6)  +  0.45 * MIN(MIN(TblMili[[#This Row],[Ice Elemental]]+Races!$E$71,Races!$F$71),6)  +  0.2 * ( MAX(TblMili[[#This Row],[Ice Elemental]]+Races!$E$71-6,0) + MAX(Races!$F$71-6,0) )  -  Races!$I$71</f>
        <v>0.17999999999999972</v>
      </c>
      <c r="CU43" s="97">
        <f ca="1">TblMili[[#This Row],[Frost Mage bonus]]*TblMili[[#This Row],[Unit 3]]+TblMili[[#This Row],[Ice Elemental bonus]]*TblMili[[#This Row],[Unit 4]]</f>
        <v>0</v>
      </c>
      <c r="CV43" s="273"/>
      <c r="CW43" s="151">
        <f ca="1">MIN(SUM(TblConstr[[#This Row],[Plain]:[Water]])/TblMili[[#This Row],[Land]]/favorable_terrain_bonus/100,favorable_terrain_max)</f>
        <v>0.1</v>
      </c>
      <c r="CX43" s="273"/>
      <c r="CY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50"/>
      <c r="DA43" s="274">
        <f ca="1">(TblMili[[#This Row],[Wizards]]+2*TblMili[[#This Row],[Archmages]])/TblConstr[[#This Row],[Land]]</f>
        <v>0.1</v>
      </c>
      <c r="DB43" s="274">
        <f ca="1">TblMili[[#This Row],[Raw (2)]]*(1+race_wizard_strength+IF(TblMili[[#This Row],[Hour]]&gt;72,tech_magical_weaponry_wiz*TblTech[[#This Row],[3-5]],0))</f>
        <v>0.1</v>
      </c>
    </row>
    <row r="44" spans="1:106" x14ac:dyDescent="0.2">
      <c r="A44" s="145">
        <f>TblRezone[[#This Row],[Hour]]</f>
        <v>41</v>
      </c>
      <c r="B44" s="266">
        <f ca="1">SUM(TblMili[[#This Row],[Unit 1]:[Archmages]])+SUM(OFFSET(TblMili[[#This Row],[Train Unit 1]],-8,0):TblMili[[#This Row],[Train Unit 2]]) + SUM(OFFSET(TblMili[[#This Row],[Train Unit 3]],-11,0):TblMili[[#This Row],[Train Arch]]) + TblMili[[#This Row],[Draftees]]</f>
        <v>826</v>
      </c>
      <c r="C44" s="165">
        <f ca="1">TblPop[[#This Row],[Military%]]</f>
        <v>0.35029686174724345</v>
      </c>
      <c r="D44" s="150"/>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f>
        <v>25</v>
      </c>
      <c r="J44" s="45">
        <f ca="1">OFFSET(TblMili[[#This Row],[Wizards]],-1,0) + OFFSET(TblMili[[#This Row],[Train Wiz]],-12,0) - TblMili[[#This Row],[Release Wizards]]-TblMili[[#This Row],[Train Arch]]</f>
        <v>25</v>
      </c>
      <c r="K44" s="45">
        <f ca="1">OFFSET(TblMili[[#This Row],[Archmages]],-1,0) + OFFSET(TblMili[[#This Row],[Train Arch]],-12,0) - TblMili[[#This Row],[Release Arch]]</f>
        <v>0</v>
      </c>
      <c r="L44" s="150"/>
      <c r="M44" s="97">
        <f ca="1">TblProd[[#This Row],[Networth]]</f>
        <v>6450</v>
      </c>
      <c r="N44" s="150"/>
      <c r="O44" s="267">
        <f ca="1">TblMili[[#This Row],[Unit 1]]*spec_op+TblMili[[#This Row],[Unit 3]]*(elite1_base_op)+TblMili[[#This Row],[Unit 4]]*(elite2_base_op+dark_elf*TblMili[[#This Row],[Spellblade]]+icekin*TblMili[[#This Row],[Ice Elemental]]+woodie*TblMili[[#This Row],[Druid (op)]]+orc*TblMili[[#This Row],[Orc]])+kobold*TblMili[[#This Row],[Overlords]]</f>
        <v>0</v>
      </c>
      <c r="P4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4" s="267">
        <f ca="1">TblMili[[#This Row],[Raw]]*(1+TblMili[[#This Row],[Mods_Off]])</f>
        <v>0</v>
      </c>
      <c r="R4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4" s="267">
        <f ca="1">TblMili[[#This Row],[Non Draft]]+TblMili[[#This Row],[Draftees]]</f>
        <v>1076</v>
      </c>
      <c r="T4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269">
        <f ca="1">TblMili[[#This Row],[Non Draft]] * (1 + TblMili[[#This Row],[Mods_Def]])</f>
        <v>450</v>
      </c>
      <c r="V44" s="267">
        <f ca="1">TblMili[[#This Row],[Draft]] * (1 + TblMili[[#This Row],[Mods_Def]])</f>
        <v>1076</v>
      </c>
      <c r="W44" s="267">
        <f ca="1">TblConstr[[#This Row],[Land]]</f>
        <v>250</v>
      </c>
      <c r="X44" s="270"/>
      <c r="Y44" s="275">
        <f ca="1">IF(TblMili[[#This Row],[Set]]&lt;&gt;"",TblMili[[#This Row],[Set]],OFFSET(TblMili[[#This Row],[Draftrate]],-1,0))</f>
        <v>0.35</v>
      </c>
      <c r="Z44" s="97">
        <f ca="1">OFFSET(TblMili[[#This Row],[Draftees]],-1,0)+OFFSET(TblPop[[#This Row],[Draft Growth]],-1,0) - SUM(TblMili[[#This Row],[Train Unit 1]:[Train Wiz]]) - TblMili[[#This Row],[Release Draft]] + SUM(TblMili[[#This Row],[Release Unit 1]:[Release Arch]]) -TblExplore[[#This Row],[Draftees (2)]]</f>
        <v>626</v>
      </c>
      <c r="AA44" s="162"/>
      <c r="AB44" s="188">
        <f ca="1">(TblConstr[[#This Row],[Tot Smi]]+TblConstr[[#This Row],[Dest Smi]])/(TblConstr[[#This Row],[Land]]-TblExplore[[#This Row],[Land Bonus]]*20)</f>
        <v>0</v>
      </c>
      <c r="AC44" s="145"/>
      <c r="AD44" s="266">
        <f>TblMili[[#This Row],[Hour]]</f>
        <v>41</v>
      </c>
      <c r="AE44" s="146">
        <f ca="1">TblExplore[[#This Row],[Time]]</f>
        <v>44812.41666666657</v>
      </c>
      <c r="AF44" s="187"/>
      <c r="AG44" s="187"/>
      <c r="AH44" s="187"/>
      <c r="AI44" s="187"/>
      <c r="AJ44" s="187"/>
      <c r="AK44" s="187"/>
      <c r="AL44" s="187"/>
      <c r="AM44" s="150"/>
      <c r="AN44" s="97">
        <f ca="1">TblProd[[#This Row],[Platinum]]</f>
        <v>320318</v>
      </c>
      <c r="AO44" s="97">
        <f ca="1">INDEX(TblProd[[#Headers],[Lumber]]:TblProd[[#This Row],[Ore]],COUNTA(TblProd[[#Headers],[Lumber]]:TblProd[[#This Row],[Lumber]]),MATCH(Military!$AO$2,TblProd[[#Headers],[Lumber]:[Ore]],0))</f>
        <v>0</v>
      </c>
      <c r="AP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97">
        <f ca="1">TblMili[[#This Row],[Train Unit 1]]*TblMili[[#This Row],[OP Ore]]+TblMili[[#This Row],[Train Unit 2]]*TblMili[[#This Row],[DP Ore]]+TblMili[[#This Row],[Train Unit 3]]*TblMili[[#This Row],[E1 Ore]]+TblMili[[#This Row],[Train Unit 4]]*TblMili[[#This Row],[E2 Ore]]</f>
        <v>0</v>
      </c>
      <c r="AR44" s="150">
        <f>TblMili[[#This Row],[Hour]]</f>
        <v>41</v>
      </c>
      <c r="AS44" s="160">
        <f ca="1">TblMili[[#This Row],[Time]]</f>
        <v>44812.41666666657</v>
      </c>
      <c r="AT44" s="97">
        <f ca="1">TblMili[[#This Row],[Draftees]]</f>
        <v>626</v>
      </c>
      <c r="AU44" s="187"/>
      <c r="AV44" s="187"/>
      <c r="AW44" s="187"/>
      <c r="AX44" s="187"/>
      <c r="AY44" s="187"/>
      <c r="AZ44" s="187"/>
      <c r="BA44" s="187"/>
      <c r="BB44" s="187"/>
      <c r="BC44" s="150"/>
      <c r="BD44" s="165">
        <f ca="1">TblConstr[[#This Row],[Tot WG]]/TblConstr[[#This Row],[Land]]</f>
        <v>0</v>
      </c>
      <c r="BE44" s="165">
        <f ca="1">TblConstr[[#This Row],[Tot Hav]]/TblConstr[[#This Row],[Land]]</f>
        <v>0</v>
      </c>
      <c r="BF44" s="97">
        <f ca="1">ROUNDUP((1-MIN(TblMili[[#This Row],[Smithies]]*smithy_bonus,smithy_bonus_cap) + tech_3_5*TblTech[[#This Row],[3-5]] + tech_5_3*TblTech[[#This Row],[5-3]] + tech_5_5*TblTech[[#This Row],[5-5]])*spec_op_plat,0)</f>
        <v>275</v>
      </c>
      <c r="BG44" s="97">
        <f ca="1">ROUNDUP(IF(race="Gnome",1,(1-MIN(TblMili[[#This Row],[Smithies]]*smithy_bonus,smithy_bonus_cap) + tech_3_5*TblTech[[#This Row],[3-5]] + tech_5_3*TblTech[[#This Row],[5-3]] + tech_5_5*TblTech[[#This Row],[5-5]]))*spec_op_ore,0)</f>
        <v>25</v>
      </c>
      <c r="BH44" s="97">
        <f ca="1">ROUNDUP((1-MIN(TblMili[[#This Row],[Smithies]]*smithy_bonus,smithy_bonus_cap) + tech_3_5*TblTech[[#This Row],[3-5]] + tech_5_3*TblTech[[#This Row],[5-3]] + tech_5_5*TblTech[[#This Row],[5-5]])*spec_dp_plat,0)</f>
        <v>275</v>
      </c>
      <c r="BI44" s="97">
        <f ca="1">ROUNDUP(IF(race="Gnome",1,(1-MIN(TblMili[[#This Row],[Smithies]]*smithy_bonus,smithy_bonus_cap) + tech_3_5*TblTech[[#This Row],[3-5]] + tech_5_3*TblTech[[#This Row],[5-3]] + tech_5_5*TblTech[[#This Row],[5-5]]))*spec_dp_ore,0)</f>
        <v>15</v>
      </c>
      <c r="BJ44" s="97">
        <f ca="1">ROUNDUP((1-MIN(TblMili[[#This Row],[Smithies]]*smithy_bonus,smithy_bonus_cap) + tech_3_5*TblTech[[#This Row],[3-5]] + tech_5_3*TblTech[[#This Row],[5-3]] + tech_5_5*TblTech[[#This Row],[5-5]])*elite1_plat,0)</f>
        <v>1000</v>
      </c>
      <c r="BK44" s="97">
        <f ca="1">ROUNDUP(IF(race="Gnome",1,(1-MIN(TblMili[[#This Row],[Smithies]]*smithy_bonus,smithy_bonus_cap) + tech_3_5*TblTech[[#This Row],[3-5]] + tech_5_3*TblTech[[#This Row],[5-3]] + tech_5_5*TblTech[[#This Row],[5-5]]))*elite1_ore,0)</f>
        <v>75</v>
      </c>
      <c r="BL44" s="97">
        <f ca="1">ROUNDUP((1-MIN(TblMili[[#This Row],[Smithies]]*smithy_bonus,smithy_bonus_cap) + tech_3_5*TblTech[[#This Row],[3-5]] + tech_5_3*TblTech[[#This Row],[5-3]] + tech_5_5*TblTech[[#This Row],[5-5]])*elite2_plat,0)</f>
        <v>1200</v>
      </c>
      <c r="BM44" s="97">
        <f ca="1">ROUNDUP(IF(race="Gnome",1,(1-MIN(TblMili[[#This Row],[Smithies]]*smithy_bonus,smithy_bonus_cap) + tech_3_5*TblTech[[#This Row],[3-5]] + tech_5_3*TblTech[[#This Row],[5-3]] + tech_5_5*TblTech[[#This Row],[5-5]]))*elite2_ore,0)</f>
        <v>100</v>
      </c>
      <c r="BN44" s="97">
        <f ca="1">ROUNDUP((1-MIN(ROUND(fh_spy_cost_red*TblMili[[#This Row],[FH''s]],4),fh_spy_cost_cap)+ tech_1_9*TblTech[[#This Row],[1-9]] + tech_9_1*TblTech[[#This Row],[9-1]])*spy_plat,0)</f>
        <v>500</v>
      </c>
      <c r="BO44" s="97">
        <f ca="1">ROUNDUP((1-MIN(ROUND(wg_wiz_cost_bonus*TblMili[[#This Row],[WG''s]],4),wg_wiz_cost_cap) + tech_1_9_2*TblTech[[#This Row],[1-9]] + tech_9_1_2*TblTech[[#This Row],[9-1]])*wizard_plat,0)</f>
        <v>500</v>
      </c>
      <c r="BP44" s="97">
        <f ca="1">ROUNDUP((1-MIN(ROUND(wg_wiz_cost_bonus*TblMili[[#This Row],[WG''s]],4),wg_wiz_cost_cap) + tech_1_9_2*TblTech[[#This Row],[1-9]] + tech_9_1_2*TblTech[[#This Row],[9-1]])*archmage_plat,0)</f>
        <v>1000</v>
      </c>
      <c r="BQ44" s="150"/>
      <c r="BR44" s="165">
        <f ca="1">TblConstr[[#This Row],[Homeland]]/TblConstr[[#This Row],[Land]]</f>
        <v>0.44</v>
      </c>
      <c r="BS44" s="165">
        <f ca="1">TblMili[[#This Row],[WG''s]]</f>
        <v>0</v>
      </c>
      <c r="BT44" s="271">
        <f ca="1">IF(mystic_cap="none",TblMili[[#This Row],[Hill]]/mystic_bonus,MIN(mystic_cap,TblMili[[#This Row],[Hill]]/mystic_bonus))</f>
        <v>2.1999999999999997</v>
      </c>
      <c r="BU44" s="271">
        <f ca="1">IF(druid_op_cap="none",TblMili[[#This Row],[Hill]]/druid_op_bonus,MIN(druid_op_cap,TblMili[[#This Row],[Hill]]/druid_op_bonus))</f>
        <v>2.1999999999999997</v>
      </c>
      <c r="BV44" s="271">
        <f ca="1">IF(druid_dp_cap="none",TblMili[[#This Row],[Hill]]/druid_dp_bonus,MIN(druid_dp_cap,TblMili[[#This Row],[Hill]]/druid_dp_bonus))</f>
        <v>2.1999999999999997</v>
      </c>
      <c r="BW44" s="271">
        <f ca="1">MIN(dryad_cap,TblMili[[#This Row],[Hill]]/dryad_bonus)</f>
        <v>2.1999999999999997</v>
      </c>
      <c r="BX44" s="271">
        <f ca="1">MIN(rocka_cap,TblMili[[#This Row],[Hill]]/rocka_bonus)</f>
        <v>2</v>
      </c>
      <c r="BY44" s="271">
        <f ca="1">MIN(adept_op_cap,TblMili[[#This Row],[WG]]/adept_op_bonus)</f>
        <v>0</v>
      </c>
      <c r="BZ44" s="271">
        <f ca="1">MIN(adept_dp_cap,TblMili[[#This Row],[WG]]/adept_dp_bonus)</f>
        <v>0</v>
      </c>
      <c r="CA44" s="97">
        <f ca="1">MIN(TblMili[[#This Row],[Unit 3]],TblMili[[#This Row],[Unit 4]])*2</f>
        <v>0</v>
      </c>
      <c r="CB44" s="97">
        <f ca="1">MIN(TblMili[[#This Row],[Unit 1]],TblMili[[#This Row],[Unit 4]])*2</f>
        <v>0</v>
      </c>
      <c r="CC44" s="271">
        <f ca="1">MIN(frost_mage_cap,TblMili[[#This Row],[Hill]]/frost_mage_bonus)</f>
        <v>2.1999999999999997</v>
      </c>
      <c r="CD44" s="45">
        <f ca="1">MIN(ice_elem_cap,TblMili[[#This Row],[Raw (2)]]*ice_elem_bonus)</f>
        <v>0.1</v>
      </c>
      <c r="CE44" s="271">
        <f t="shared" si="2"/>
        <v>1</v>
      </c>
      <c r="CF44" s="271">
        <f ca="1">MIN(nox_nightshade_cap,TblConstr[[#This Row],[Homeland]]/TblConstr[[#This Row],[Land]]/nox_nightshade_swamp_bonus)</f>
        <v>3</v>
      </c>
      <c r="CG44" s="272"/>
      <c r="CH44" s="272"/>
      <c r="CI44" s="272"/>
      <c r="CJ44" s="271">
        <f ca="1">MIN(6,TblMili[[#This Row],[Mystic]]+Races!$F$19)*1.8 +  IF(TblMili[[#This Row],[Mystic]]+Races!$F$19&gt;6,(TblMili[[#This Row],[Mystic]]+Races!$F$19-6)*0.2,0) - Races!$I$19</f>
        <v>3.6399999999999997</v>
      </c>
      <c r="CK4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97">
        <f ca="1">TblMili[[#This Row],[Mystic bonus]]*TblMili[[#This Row],[Unit 3]]+TblMili[[#This Row],[Druid bonus]]*TblMili[[#This Row],[Unit 4]]</f>
        <v>0</v>
      </c>
      <c r="CM44" s="163">
        <f ca="1">MIN(6,TblMili[[#This Row],[Dryad]]+Races!$F$35)*1.8 +  IF(TblMili[[#This Row],[Dryad]]+Races!$F$35&gt;6,(TblMili[[#This Row],[Dryad]]+Races!$F$35-6)*0.2,0) - Races!$I$19</f>
        <v>2.1599999999999993</v>
      </c>
      <c r="CN44" s="97">
        <f ca="1">sylvan*(TblMili[[#This Row],[Mystic bonus]]*TblMili[[#This Row],[Unit 3]])</f>
        <v>0</v>
      </c>
      <c r="CO44" s="163">
        <f ca="1">1.8 * MIN(MAX(Races!$E$27,TblMili[[#This Row],[Rockapult]]+Races!$F$27),6)  +  0.45 * MIN(MIN(Races!$E$27,TblMili[[#This Row],[Rockapult]]+Races!$F$27),6)  +  0.2 * ( MAX(Races!$E$27-6,0) + MAX(TblMili[[#This Row],[Rockapult]]+Races!$F$27-6,0) )  -  Races!$I$20</f>
        <v>5.8500000000000005</v>
      </c>
      <c r="CP44" s="97">
        <f ca="1">gnome*(TblMili[[#This Row],[Rockapult bonus]]*TblMili[[#This Row],[Unit 3]])</f>
        <v>0</v>
      </c>
      <c r="CQ44" s="163">
        <f ca="1">1.8 * MIN(MAX(TblMili[[#This Row],[Spellblade]]+Races!$E$47,TblMili[[#This Row],[Adept-DP]]+Races!$F$47),6)  +  0.45 * MIN(MIN(TblMili[[#This Row],[Spellblade]]+Races!$E$47,TblMili[[#This Row],[Adept-DP]]+Races!$F$47),6)  +  0.2 * ( MAX(TblMili[[#This Row],[Spellblade]]+Races!$E$47-6,0) + MAX(TblMili[[#This Row],[Adept-DP]]+Races!$F$47-6,0) )  -  Races!$I$47</f>
        <v>0</v>
      </c>
      <c r="CR44" s="97">
        <f ca="1">dark_elf*(TblMili[[#This Row],[Adept bonus]]*TblMili[[#This Row],[Unit 3]])</f>
        <v>0</v>
      </c>
      <c r="CS44" s="163">
        <f ca="1">1.8 * MIN(MAX(TblMili[[#This Row],[Frost Mage]]+Races!$F$71,Races!$E$71),6)  +  0.45 * MIN(MIN(TblMili[[#This Row],[Frost Mage]]+Races!$F$71,Races!$E$71),6)  +  0.2 * ( MAX(TblMili[[#This Row],[Frost Mage]]+Races!$F$71-6,0) + MAX(Races!$E$71-6,0) )  -  Races!$I$71</f>
        <v>3.9599999999999991</v>
      </c>
      <c r="CT44" s="163">
        <f ca="1">1.8 * MIN(MAX(TblMili[[#This Row],[Ice Elemental]]+Races!$E$71,Races!$F$71),6)  +  0.45 * MIN(MIN(TblMili[[#This Row],[Ice Elemental]]+Races!$E$71,Races!$F$71),6)  +  0.2 * ( MAX(TblMili[[#This Row],[Ice Elemental]]+Races!$E$71-6,0) + MAX(Races!$F$71-6,0) )  -  Races!$I$71</f>
        <v>0.17999999999999972</v>
      </c>
      <c r="CU44" s="97">
        <f ca="1">TblMili[[#This Row],[Frost Mage bonus]]*TblMili[[#This Row],[Unit 3]]+TblMili[[#This Row],[Ice Elemental bonus]]*TblMili[[#This Row],[Unit 4]]</f>
        <v>0</v>
      </c>
      <c r="CV44" s="273"/>
      <c r="CW44" s="151">
        <f ca="1">MIN(SUM(TblConstr[[#This Row],[Plain]:[Water]])/TblMili[[#This Row],[Land]]/favorable_terrain_bonus/100,favorable_terrain_max)</f>
        <v>0.1</v>
      </c>
      <c r="CX44" s="273"/>
      <c r="CY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50"/>
      <c r="DA44" s="274">
        <f ca="1">(TblMili[[#This Row],[Wizards]]+2*TblMili[[#This Row],[Archmages]])/TblConstr[[#This Row],[Land]]</f>
        <v>0.1</v>
      </c>
      <c r="DB44" s="274">
        <f ca="1">TblMili[[#This Row],[Raw (2)]]*(1+race_wizard_strength+IF(TblMili[[#This Row],[Hour]]&gt;72,tech_magical_weaponry_wiz*TblTech[[#This Row],[3-5]],0))</f>
        <v>0.1</v>
      </c>
    </row>
    <row r="45" spans="1:106" x14ac:dyDescent="0.2">
      <c r="A45" s="145">
        <f>TblRezone[[#This Row],[Hour]]</f>
        <v>42</v>
      </c>
      <c r="B45" s="266">
        <f ca="1">SUM(TblMili[[#This Row],[Unit 1]:[Archmages]])+SUM(OFFSET(TblMili[[#This Row],[Train Unit 1]],-8,0):TblMili[[#This Row],[Train Unit 2]]) + SUM(OFFSET(TblMili[[#This Row],[Train Unit 3]],-11,0):TblMili[[#This Row],[Train Arch]]) + TblMili[[#This Row],[Draftees]]</f>
        <v>826</v>
      </c>
      <c r="C45" s="165">
        <f ca="1">TblPop[[#This Row],[Military%]]</f>
        <v>0.35029686174724345</v>
      </c>
      <c r="D45" s="150"/>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f>
        <v>25</v>
      </c>
      <c r="J45" s="45">
        <f ca="1">OFFSET(TblMili[[#This Row],[Wizards]],-1,0) + OFFSET(TblMili[[#This Row],[Train Wiz]],-12,0) - TblMili[[#This Row],[Release Wizards]]-TblMili[[#This Row],[Train Arch]]</f>
        <v>25</v>
      </c>
      <c r="K45" s="45">
        <f ca="1">OFFSET(TblMili[[#This Row],[Archmages]],-1,0) + OFFSET(TblMili[[#This Row],[Train Arch]],-12,0) - TblMili[[#This Row],[Release Arch]]</f>
        <v>0</v>
      </c>
      <c r="L45" s="150"/>
      <c r="M45" s="97">
        <f ca="1">TblProd[[#This Row],[Networth]]</f>
        <v>6450</v>
      </c>
      <c r="N45" s="150"/>
      <c r="O45" s="267">
        <f ca="1">TblMili[[#This Row],[Unit 1]]*spec_op+TblMili[[#This Row],[Unit 3]]*(elite1_base_op)+TblMili[[#This Row],[Unit 4]]*(elite2_base_op+dark_elf*TblMili[[#This Row],[Spellblade]]+icekin*TblMili[[#This Row],[Ice Elemental]]+woodie*TblMili[[#This Row],[Druid (op)]]+orc*TblMili[[#This Row],[Orc]])+kobold*TblMili[[#This Row],[Overlords]]</f>
        <v>0</v>
      </c>
      <c r="P4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5" s="267">
        <f ca="1">TblMili[[#This Row],[Raw]]*(1+TblMili[[#This Row],[Mods_Off]])</f>
        <v>0</v>
      </c>
      <c r="R4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5" s="267">
        <f ca="1">TblMili[[#This Row],[Non Draft]]+TblMili[[#This Row],[Draftees]]</f>
        <v>1076</v>
      </c>
      <c r="T4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269">
        <f ca="1">TblMili[[#This Row],[Non Draft]] * (1 + TblMili[[#This Row],[Mods_Def]])</f>
        <v>450</v>
      </c>
      <c r="V45" s="267">
        <f ca="1">TblMili[[#This Row],[Draft]] * (1 + TblMili[[#This Row],[Mods_Def]])</f>
        <v>1076</v>
      </c>
      <c r="W45" s="267">
        <f ca="1">TblConstr[[#This Row],[Land]]</f>
        <v>250</v>
      </c>
      <c r="X45" s="270"/>
      <c r="Y45" s="275">
        <f ca="1">IF(TblMili[[#This Row],[Set]]&lt;&gt;"",TblMili[[#This Row],[Set]],OFFSET(TblMili[[#This Row],[Draftrate]],-1,0))</f>
        <v>0.35</v>
      </c>
      <c r="Z45" s="97">
        <f ca="1">OFFSET(TblMili[[#This Row],[Draftees]],-1,0)+OFFSET(TblPop[[#This Row],[Draft Growth]],-1,0) - SUM(TblMili[[#This Row],[Train Unit 1]:[Train Wiz]]) - TblMili[[#This Row],[Release Draft]] + SUM(TblMili[[#This Row],[Release Unit 1]:[Release Arch]]) -TblExplore[[#This Row],[Draftees (2)]]</f>
        <v>626</v>
      </c>
      <c r="AA45" s="162"/>
      <c r="AB45" s="188">
        <f ca="1">(TblConstr[[#This Row],[Tot Smi]]+TblConstr[[#This Row],[Dest Smi]])/(TblConstr[[#This Row],[Land]]-TblExplore[[#This Row],[Land Bonus]]*20)</f>
        <v>0</v>
      </c>
      <c r="AC45" s="145"/>
      <c r="AD45" s="266">
        <f>TblMili[[#This Row],[Hour]]</f>
        <v>42</v>
      </c>
      <c r="AE45" s="146">
        <f ca="1">TblExplore[[#This Row],[Time]]</f>
        <v>44812.458333333234</v>
      </c>
      <c r="AF45" s="187"/>
      <c r="AG45" s="187"/>
      <c r="AH45" s="187"/>
      <c r="AI45" s="187"/>
      <c r="AJ45" s="187"/>
      <c r="AK45" s="187"/>
      <c r="AL45" s="187"/>
      <c r="AM45" s="150"/>
      <c r="AN45" s="97">
        <f ca="1">TblProd[[#This Row],[Platinum]]</f>
        <v>325804</v>
      </c>
      <c r="AO45" s="97">
        <f ca="1">INDEX(TblProd[[#Headers],[Lumber]]:TblProd[[#This Row],[Ore]],COUNTA(TblProd[[#Headers],[Lumber]]:TblProd[[#This Row],[Lumber]]),MATCH(Military!$AO$2,TblProd[[#Headers],[Lumber]:[Ore]],0))</f>
        <v>0</v>
      </c>
      <c r="AP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97">
        <f ca="1">TblMili[[#This Row],[Train Unit 1]]*TblMili[[#This Row],[OP Ore]]+TblMili[[#This Row],[Train Unit 2]]*TblMili[[#This Row],[DP Ore]]+TblMili[[#This Row],[Train Unit 3]]*TblMili[[#This Row],[E1 Ore]]+TblMili[[#This Row],[Train Unit 4]]*TblMili[[#This Row],[E2 Ore]]</f>
        <v>0</v>
      </c>
      <c r="AR45" s="150">
        <f>TblMili[[#This Row],[Hour]]</f>
        <v>42</v>
      </c>
      <c r="AS45" s="160">
        <f ca="1">TblMili[[#This Row],[Time]]</f>
        <v>44812.458333333234</v>
      </c>
      <c r="AT45" s="97">
        <f ca="1">TblMili[[#This Row],[Draftees]]</f>
        <v>626</v>
      </c>
      <c r="AU45" s="187"/>
      <c r="AV45" s="187"/>
      <c r="AW45" s="187"/>
      <c r="AX45" s="187"/>
      <c r="AY45" s="187"/>
      <c r="AZ45" s="187"/>
      <c r="BA45" s="187"/>
      <c r="BB45" s="187"/>
      <c r="BC45" s="150"/>
      <c r="BD45" s="165">
        <f ca="1">TblConstr[[#This Row],[Tot WG]]/TblConstr[[#This Row],[Land]]</f>
        <v>0</v>
      </c>
      <c r="BE45" s="165">
        <f ca="1">TblConstr[[#This Row],[Tot Hav]]/TblConstr[[#This Row],[Land]]</f>
        <v>0</v>
      </c>
      <c r="BF45" s="97">
        <f ca="1">ROUNDUP((1-MIN(TblMili[[#This Row],[Smithies]]*smithy_bonus,smithy_bonus_cap) + tech_3_5*TblTech[[#This Row],[3-5]] + tech_5_3*TblTech[[#This Row],[5-3]] + tech_5_5*TblTech[[#This Row],[5-5]])*spec_op_plat,0)</f>
        <v>275</v>
      </c>
      <c r="BG45" s="97">
        <f ca="1">ROUNDUP(IF(race="Gnome",1,(1-MIN(TblMili[[#This Row],[Smithies]]*smithy_bonus,smithy_bonus_cap) + tech_3_5*TblTech[[#This Row],[3-5]] + tech_5_3*TblTech[[#This Row],[5-3]] + tech_5_5*TblTech[[#This Row],[5-5]]))*spec_op_ore,0)</f>
        <v>25</v>
      </c>
      <c r="BH45" s="97">
        <f ca="1">ROUNDUP((1-MIN(TblMili[[#This Row],[Smithies]]*smithy_bonus,smithy_bonus_cap) + tech_3_5*TblTech[[#This Row],[3-5]] + tech_5_3*TblTech[[#This Row],[5-3]] + tech_5_5*TblTech[[#This Row],[5-5]])*spec_dp_plat,0)</f>
        <v>275</v>
      </c>
      <c r="BI45" s="97">
        <f ca="1">ROUNDUP(IF(race="Gnome",1,(1-MIN(TblMili[[#This Row],[Smithies]]*smithy_bonus,smithy_bonus_cap) + tech_3_5*TblTech[[#This Row],[3-5]] + tech_5_3*TblTech[[#This Row],[5-3]] + tech_5_5*TblTech[[#This Row],[5-5]]))*spec_dp_ore,0)</f>
        <v>15</v>
      </c>
      <c r="BJ45" s="97">
        <f ca="1">ROUNDUP((1-MIN(TblMili[[#This Row],[Smithies]]*smithy_bonus,smithy_bonus_cap) + tech_3_5*TblTech[[#This Row],[3-5]] + tech_5_3*TblTech[[#This Row],[5-3]] + tech_5_5*TblTech[[#This Row],[5-5]])*elite1_plat,0)</f>
        <v>1000</v>
      </c>
      <c r="BK45" s="97">
        <f ca="1">ROUNDUP(IF(race="Gnome",1,(1-MIN(TblMili[[#This Row],[Smithies]]*smithy_bonus,smithy_bonus_cap) + tech_3_5*TblTech[[#This Row],[3-5]] + tech_5_3*TblTech[[#This Row],[5-3]] + tech_5_5*TblTech[[#This Row],[5-5]]))*elite1_ore,0)</f>
        <v>75</v>
      </c>
      <c r="BL45" s="97">
        <f ca="1">ROUNDUP((1-MIN(TblMili[[#This Row],[Smithies]]*smithy_bonus,smithy_bonus_cap) + tech_3_5*TblTech[[#This Row],[3-5]] + tech_5_3*TblTech[[#This Row],[5-3]] + tech_5_5*TblTech[[#This Row],[5-5]])*elite2_plat,0)</f>
        <v>1200</v>
      </c>
      <c r="BM45" s="97">
        <f ca="1">ROUNDUP(IF(race="Gnome",1,(1-MIN(TblMili[[#This Row],[Smithies]]*smithy_bonus,smithy_bonus_cap) + tech_3_5*TblTech[[#This Row],[3-5]] + tech_5_3*TblTech[[#This Row],[5-3]] + tech_5_5*TblTech[[#This Row],[5-5]]))*elite2_ore,0)</f>
        <v>100</v>
      </c>
      <c r="BN45" s="97">
        <f ca="1">ROUNDUP((1-MIN(ROUND(fh_spy_cost_red*TblMili[[#This Row],[FH''s]],4),fh_spy_cost_cap)+ tech_1_9*TblTech[[#This Row],[1-9]] + tech_9_1*TblTech[[#This Row],[9-1]])*spy_plat,0)</f>
        <v>500</v>
      </c>
      <c r="BO45" s="97">
        <f ca="1">ROUNDUP((1-MIN(ROUND(wg_wiz_cost_bonus*TblMili[[#This Row],[WG''s]],4),wg_wiz_cost_cap) + tech_1_9_2*TblTech[[#This Row],[1-9]] + tech_9_1_2*TblTech[[#This Row],[9-1]])*wizard_plat,0)</f>
        <v>500</v>
      </c>
      <c r="BP45" s="97">
        <f ca="1">ROUNDUP((1-MIN(ROUND(wg_wiz_cost_bonus*TblMili[[#This Row],[WG''s]],4),wg_wiz_cost_cap) + tech_1_9_2*TblTech[[#This Row],[1-9]] + tech_9_1_2*TblTech[[#This Row],[9-1]])*archmage_plat,0)</f>
        <v>1000</v>
      </c>
      <c r="BQ45" s="150"/>
      <c r="BR45" s="165">
        <f ca="1">TblConstr[[#This Row],[Homeland]]/TblConstr[[#This Row],[Land]]</f>
        <v>0.44</v>
      </c>
      <c r="BS45" s="165">
        <f ca="1">TblMili[[#This Row],[WG''s]]</f>
        <v>0</v>
      </c>
      <c r="BT45" s="271">
        <f ca="1">IF(mystic_cap="none",TblMili[[#This Row],[Hill]]/mystic_bonus,MIN(mystic_cap,TblMili[[#This Row],[Hill]]/mystic_bonus))</f>
        <v>2.1999999999999997</v>
      </c>
      <c r="BU45" s="271">
        <f ca="1">IF(druid_op_cap="none",TblMili[[#This Row],[Hill]]/druid_op_bonus,MIN(druid_op_cap,TblMili[[#This Row],[Hill]]/druid_op_bonus))</f>
        <v>2.1999999999999997</v>
      </c>
      <c r="BV45" s="271">
        <f ca="1">IF(druid_dp_cap="none",TblMili[[#This Row],[Hill]]/druid_dp_bonus,MIN(druid_dp_cap,TblMili[[#This Row],[Hill]]/druid_dp_bonus))</f>
        <v>2.1999999999999997</v>
      </c>
      <c r="BW45" s="271">
        <f ca="1">MIN(dryad_cap,TblMili[[#This Row],[Hill]]/dryad_bonus)</f>
        <v>2.1999999999999997</v>
      </c>
      <c r="BX45" s="271">
        <f ca="1">MIN(rocka_cap,TblMili[[#This Row],[Hill]]/rocka_bonus)</f>
        <v>2</v>
      </c>
      <c r="BY45" s="271">
        <f ca="1">MIN(adept_op_cap,TblMili[[#This Row],[WG]]/adept_op_bonus)</f>
        <v>0</v>
      </c>
      <c r="BZ45" s="271">
        <f ca="1">MIN(adept_dp_cap,TblMili[[#This Row],[WG]]/adept_dp_bonus)</f>
        <v>0</v>
      </c>
      <c r="CA45" s="97">
        <f ca="1">MIN(TblMili[[#This Row],[Unit 3]],TblMili[[#This Row],[Unit 4]])*2</f>
        <v>0</v>
      </c>
      <c r="CB45" s="97">
        <f ca="1">MIN(TblMili[[#This Row],[Unit 1]],TblMili[[#This Row],[Unit 4]])*2</f>
        <v>0</v>
      </c>
      <c r="CC45" s="271">
        <f ca="1">MIN(frost_mage_cap,TblMili[[#This Row],[Hill]]/frost_mage_bonus)</f>
        <v>2.1999999999999997</v>
      </c>
      <c r="CD45" s="45">
        <f ca="1">MIN(ice_elem_cap,TblMili[[#This Row],[Raw (2)]]*ice_elem_bonus)</f>
        <v>0.1</v>
      </c>
      <c r="CE45" s="271">
        <f t="shared" si="2"/>
        <v>1</v>
      </c>
      <c r="CF45" s="271">
        <f ca="1">MIN(nox_nightshade_cap,TblConstr[[#This Row],[Homeland]]/TblConstr[[#This Row],[Land]]/nox_nightshade_swamp_bonus)</f>
        <v>3</v>
      </c>
      <c r="CG45" s="272"/>
      <c r="CH45" s="272"/>
      <c r="CI45" s="272"/>
      <c r="CJ45" s="271">
        <f ca="1">MIN(6,TblMili[[#This Row],[Mystic]]+Races!$F$19)*1.8 +  IF(TblMili[[#This Row],[Mystic]]+Races!$F$19&gt;6,(TblMili[[#This Row],[Mystic]]+Races!$F$19-6)*0.2,0) - Races!$I$19</f>
        <v>3.6399999999999997</v>
      </c>
      <c r="CK4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97">
        <f ca="1">TblMili[[#This Row],[Mystic bonus]]*TblMili[[#This Row],[Unit 3]]+TblMili[[#This Row],[Druid bonus]]*TblMili[[#This Row],[Unit 4]]</f>
        <v>0</v>
      </c>
      <c r="CM45" s="163">
        <f ca="1">MIN(6,TblMili[[#This Row],[Dryad]]+Races!$F$35)*1.8 +  IF(TblMili[[#This Row],[Dryad]]+Races!$F$35&gt;6,(TblMili[[#This Row],[Dryad]]+Races!$F$35-6)*0.2,0) - Races!$I$19</f>
        <v>2.1599999999999993</v>
      </c>
      <c r="CN45" s="97">
        <f ca="1">sylvan*(TblMili[[#This Row],[Mystic bonus]]*TblMili[[#This Row],[Unit 3]])</f>
        <v>0</v>
      </c>
      <c r="CO45" s="163">
        <f ca="1">1.8 * MIN(MAX(Races!$E$27,TblMili[[#This Row],[Rockapult]]+Races!$F$27),6)  +  0.45 * MIN(MIN(Races!$E$27,TblMili[[#This Row],[Rockapult]]+Races!$F$27),6)  +  0.2 * ( MAX(Races!$E$27-6,0) + MAX(TblMili[[#This Row],[Rockapult]]+Races!$F$27-6,0) )  -  Races!$I$20</f>
        <v>5.8500000000000005</v>
      </c>
      <c r="CP45" s="97">
        <f ca="1">gnome*(TblMili[[#This Row],[Rockapult bonus]]*TblMili[[#This Row],[Unit 3]])</f>
        <v>0</v>
      </c>
      <c r="CQ45" s="163">
        <f ca="1">1.8 * MIN(MAX(TblMili[[#This Row],[Spellblade]]+Races!$E$47,TblMili[[#This Row],[Adept-DP]]+Races!$F$47),6)  +  0.45 * MIN(MIN(TblMili[[#This Row],[Spellblade]]+Races!$E$47,TblMili[[#This Row],[Adept-DP]]+Races!$F$47),6)  +  0.2 * ( MAX(TblMili[[#This Row],[Spellblade]]+Races!$E$47-6,0) + MAX(TblMili[[#This Row],[Adept-DP]]+Races!$F$47-6,0) )  -  Races!$I$47</f>
        <v>0</v>
      </c>
      <c r="CR45" s="97">
        <f ca="1">dark_elf*(TblMili[[#This Row],[Adept bonus]]*TblMili[[#This Row],[Unit 3]])</f>
        <v>0</v>
      </c>
      <c r="CS45" s="163">
        <f ca="1">1.8 * MIN(MAX(TblMili[[#This Row],[Frost Mage]]+Races!$F$71,Races!$E$71),6)  +  0.45 * MIN(MIN(TblMili[[#This Row],[Frost Mage]]+Races!$F$71,Races!$E$71),6)  +  0.2 * ( MAX(TblMili[[#This Row],[Frost Mage]]+Races!$F$71-6,0) + MAX(Races!$E$71-6,0) )  -  Races!$I$71</f>
        <v>3.9599999999999991</v>
      </c>
      <c r="CT45" s="163">
        <f ca="1">1.8 * MIN(MAX(TblMili[[#This Row],[Ice Elemental]]+Races!$E$71,Races!$F$71),6)  +  0.45 * MIN(MIN(TblMili[[#This Row],[Ice Elemental]]+Races!$E$71,Races!$F$71),6)  +  0.2 * ( MAX(TblMili[[#This Row],[Ice Elemental]]+Races!$E$71-6,0) + MAX(Races!$F$71-6,0) )  -  Races!$I$71</f>
        <v>0.17999999999999972</v>
      </c>
      <c r="CU45" s="97">
        <f ca="1">TblMili[[#This Row],[Frost Mage bonus]]*TblMili[[#This Row],[Unit 3]]+TblMili[[#This Row],[Ice Elemental bonus]]*TblMili[[#This Row],[Unit 4]]</f>
        <v>0</v>
      </c>
      <c r="CV45" s="273"/>
      <c r="CW45" s="151">
        <f ca="1">MIN(SUM(TblConstr[[#This Row],[Plain]:[Water]])/TblMili[[#This Row],[Land]]/favorable_terrain_bonus/100,favorable_terrain_max)</f>
        <v>0.1</v>
      </c>
      <c r="CX45" s="273"/>
      <c r="CY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50"/>
      <c r="DA45" s="274">
        <f ca="1">(TblMili[[#This Row],[Wizards]]+2*TblMili[[#This Row],[Archmages]])/TblConstr[[#This Row],[Land]]</f>
        <v>0.1</v>
      </c>
      <c r="DB45" s="274">
        <f ca="1">TblMili[[#This Row],[Raw (2)]]*(1+race_wizard_strength+IF(TblMili[[#This Row],[Hour]]&gt;72,tech_magical_weaponry_wiz*TblTech[[#This Row],[3-5]],0))</f>
        <v>0.1</v>
      </c>
    </row>
    <row r="46" spans="1:106" x14ac:dyDescent="0.2">
      <c r="A46" s="145">
        <f>TblRezone[[#This Row],[Hour]]</f>
        <v>43</v>
      </c>
      <c r="B46" s="266">
        <f ca="1">SUM(TblMili[[#This Row],[Unit 1]:[Archmages]])+SUM(OFFSET(TblMili[[#This Row],[Train Unit 1]],-8,0):TblMili[[#This Row],[Train Unit 2]]) + SUM(OFFSET(TblMili[[#This Row],[Train Unit 3]],-11,0):TblMili[[#This Row],[Train Arch]]) + TblMili[[#This Row],[Draftees]]</f>
        <v>826</v>
      </c>
      <c r="C46" s="165">
        <f ca="1">TblPop[[#This Row],[Military%]]</f>
        <v>0.35029686174724345</v>
      </c>
      <c r="D46" s="150"/>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f>
        <v>25</v>
      </c>
      <c r="J46" s="45">
        <f ca="1">OFFSET(TblMili[[#This Row],[Wizards]],-1,0) + OFFSET(TblMili[[#This Row],[Train Wiz]],-12,0) - TblMili[[#This Row],[Release Wizards]]-TblMili[[#This Row],[Train Arch]]</f>
        <v>25</v>
      </c>
      <c r="K46" s="45">
        <f ca="1">OFFSET(TblMili[[#This Row],[Archmages]],-1,0) + OFFSET(TblMili[[#This Row],[Train Arch]],-12,0) - TblMili[[#This Row],[Release Arch]]</f>
        <v>0</v>
      </c>
      <c r="L46" s="150"/>
      <c r="M46" s="97">
        <f ca="1">TblProd[[#This Row],[Networth]]</f>
        <v>6450</v>
      </c>
      <c r="N46" s="150"/>
      <c r="O46" s="267">
        <f ca="1">TblMili[[#This Row],[Unit 1]]*spec_op+TblMili[[#This Row],[Unit 3]]*(elite1_base_op)+TblMili[[#This Row],[Unit 4]]*(elite2_base_op+dark_elf*TblMili[[#This Row],[Spellblade]]+icekin*TblMili[[#This Row],[Ice Elemental]]+woodie*TblMili[[#This Row],[Druid (op)]]+orc*TblMili[[#This Row],[Orc]])+kobold*TblMili[[#This Row],[Overlords]]</f>
        <v>0</v>
      </c>
      <c r="P4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6" s="267">
        <f ca="1">TblMili[[#This Row],[Raw]]*(1+TblMili[[#This Row],[Mods_Off]])</f>
        <v>0</v>
      </c>
      <c r="R4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6" s="267">
        <f ca="1">TblMili[[#This Row],[Non Draft]]+TblMili[[#This Row],[Draftees]]</f>
        <v>1076</v>
      </c>
      <c r="T4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269">
        <f ca="1">TblMili[[#This Row],[Non Draft]] * (1 + TblMili[[#This Row],[Mods_Def]])</f>
        <v>450</v>
      </c>
      <c r="V46" s="267">
        <f ca="1">TblMili[[#This Row],[Draft]] * (1 + TblMili[[#This Row],[Mods_Def]])</f>
        <v>1076</v>
      </c>
      <c r="W46" s="267">
        <f ca="1">TblConstr[[#This Row],[Land]]</f>
        <v>250</v>
      </c>
      <c r="X46" s="270"/>
      <c r="Y46" s="275">
        <f ca="1">IF(TblMili[[#This Row],[Set]]&lt;&gt;"",TblMili[[#This Row],[Set]],OFFSET(TblMili[[#This Row],[Draftrate]],-1,0))</f>
        <v>0.35</v>
      </c>
      <c r="Z46" s="97">
        <f ca="1">OFFSET(TblMili[[#This Row],[Draftees]],-1,0)+OFFSET(TblPop[[#This Row],[Draft Growth]],-1,0) - SUM(TblMili[[#This Row],[Train Unit 1]:[Train Wiz]]) - TblMili[[#This Row],[Release Draft]] + SUM(TblMili[[#This Row],[Release Unit 1]:[Release Arch]]) -TblExplore[[#This Row],[Draftees (2)]]</f>
        <v>626</v>
      </c>
      <c r="AA46" s="162"/>
      <c r="AB46" s="188">
        <f ca="1">(TblConstr[[#This Row],[Tot Smi]]+TblConstr[[#This Row],[Dest Smi]])/(TblConstr[[#This Row],[Land]]-TblExplore[[#This Row],[Land Bonus]]*20)</f>
        <v>0</v>
      </c>
      <c r="AC46" s="145"/>
      <c r="AD46" s="266">
        <f>TblMili[[#This Row],[Hour]]</f>
        <v>43</v>
      </c>
      <c r="AE46" s="146">
        <f ca="1">TblExplore[[#This Row],[Time]]</f>
        <v>44812.499999999898</v>
      </c>
      <c r="AF46" s="187"/>
      <c r="AG46" s="187"/>
      <c r="AH46" s="187"/>
      <c r="AI46" s="187"/>
      <c r="AJ46" s="187"/>
      <c r="AK46" s="187"/>
      <c r="AL46" s="187"/>
      <c r="AM46" s="150"/>
      <c r="AN46" s="97">
        <f ca="1">TblProd[[#This Row],[Platinum]]</f>
        <v>331290</v>
      </c>
      <c r="AO46" s="97">
        <f ca="1">INDEX(TblProd[[#Headers],[Lumber]]:TblProd[[#This Row],[Ore]],COUNTA(TblProd[[#Headers],[Lumber]]:TblProd[[#This Row],[Lumber]]),MATCH(Military!$AO$2,TblProd[[#Headers],[Lumber]:[Ore]],0))</f>
        <v>0</v>
      </c>
      <c r="AP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97">
        <f ca="1">TblMili[[#This Row],[Train Unit 1]]*TblMili[[#This Row],[OP Ore]]+TblMili[[#This Row],[Train Unit 2]]*TblMili[[#This Row],[DP Ore]]+TblMili[[#This Row],[Train Unit 3]]*TblMili[[#This Row],[E1 Ore]]+TblMili[[#This Row],[Train Unit 4]]*TblMili[[#This Row],[E2 Ore]]</f>
        <v>0</v>
      </c>
      <c r="AR46" s="150">
        <f>TblMili[[#This Row],[Hour]]</f>
        <v>43</v>
      </c>
      <c r="AS46" s="160">
        <f ca="1">TblMili[[#This Row],[Time]]</f>
        <v>44812.499999999898</v>
      </c>
      <c r="AT46" s="97">
        <f ca="1">TblMili[[#This Row],[Draftees]]</f>
        <v>626</v>
      </c>
      <c r="AU46" s="187"/>
      <c r="AV46" s="187"/>
      <c r="AW46" s="187"/>
      <c r="AX46" s="187"/>
      <c r="AY46" s="187"/>
      <c r="AZ46" s="187"/>
      <c r="BA46" s="187"/>
      <c r="BB46" s="187"/>
      <c r="BC46" s="150"/>
      <c r="BD46" s="165">
        <f ca="1">TblConstr[[#This Row],[Tot WG]]/TblConstr[[#This Row],[Land]]</f>
        <v>0</v>
      </c>
      <c r="BE46" s="165">
        <f ca="1">TblConstr[[#This Row],[Tot Hav]]/TblConstr[[#This Row],[Land]]</f>
        <v>0</v>
      </c>
      <c r="BF46" s="97">
        <f ca="1">ROUNDUP((1-MIN(TblMili[[#This Row],[Smithies]]*smithy_bonus,smithy_bonus_cap) + tech_3_5*TblTech[[#This Row],[3-5]] + tech_5_3*TblTech[[#This Row],[5-3]] + tech_5_5*TblTech[[#This Row],[5-5]])*spec_op_plat,0)</f>
        <v>275</v>
      </c>
      <c r="BG46" s="97">
        <f ca="1">ROUNDUP(IF(race="Gnome",1,(1-MIN(TblMili[[#This Row],[Smithies]]*smithy_bonus,smithy_bonus_cap) + tech_3_5*TblTech[[#This Row],[3-5]] + tech_5_3*TblTech[[#This Row],[5-3]] + tech_5_5*TblTech[[#This Row],[5-5]]))*spec_op_ore,0)</f>
        <v>25</v>
      </c>
      <c r="BH46" s="97">
        <f ca="1">ROUNDUP((1-MIN(TblMili[[#This Row],[Smithies]]*smithy_bonus,smithy_bonus_cap) + tech_3_5*TblTech[[#This Row],[3-5]] + tech_5_3*TblTech[[#This Row],[5-3]] + tech_5_5*TblTech[[#This Row],[5-5]])*spec_dp_plat,0)</f>
        <v>275</v>
      </c>
      <c r="BI46" s="97">
        <f ca="1">ROUNDUP(IF(race="Gnome",1,(1-MIN(TblMili[[#This Row],[Smithies]]*smithy_bonus,smithy_bonus_cap) + tech_3_5*TblTech[[#This Row],[3-5]] + tech_5_3*TblTech[[#This Row],[5-3]] + tech_5_5*TblTech[[#This Row],[5-5]]))*spec_dp_ore,0)</f>
        <v>15</v>
      </c>
      <c r="BJ46" s="97">
        <f ca="1">ROUNDUP((1-MIN(TblMili[[#This Row],[Smithies]]*smithy_bonus,smithy_bonus_cap) + tech_3_5*TblTech[[#This Row],[3-5]] + tech_5_3*TblTech[[#This Row],[5-3]] + tech_5_5*TblTech[[#This Row],[5-5]])*elite1_plat,0)</f>
        <v>1000</v>
      </c>
      <c r="BK46" s="97">
        <f ca="1">ROUNDUP(IF(race="Gnome",1,(1-MIN(TblMili[[#This Row],[Smithies]]*smithy_bonus,smithy_bonus_cap) + tech_3_5*TblTech[[#This Row],[3-5]] + tech_5_3*TblTech[[#This Row],[5-3]] + tech_5_5*TblTech[[#This Row],[5-5]]))*elite1_ore,0)</f>
        <v>75</v>
      </c>
      <c r="BL46" s="97">
        <f ca="1">ROUNDUP((1-MIN(TblMili[[#This Row],[Smithies]]*smithy_bonus,smithy_bonus_cap) + tech_3_5*TblTech[[#This Row],[3-5]] + tech_5_3*TblTech[[#This Row],[5-3]] + tech_5_5*TblTech[[#This Row],[5-5]])*elite2_plat,0)</f>
        <v>1200</v>
      </c>
      <c r="BM46" s="97">
        <f ca="1">ROUNDUP(IF(race="Gnome",1,(1-MIN(TblMili[[#This Row],[Smithies]]*smithy_bonus,smithy_bonus_cap) + tech_3_5*TblTech[[#This Row],[3-5]] + tech_5_3*TblTech[[#This Row],[5-3]] + tech_5_5*TblTech[[#This Row],[5-5]]))*elite2_ore,0)</f>
        <v>100</v>
      </c>
      <c r="BN46" s="97">
        <f ca="1">ROUNDUP((1-MIN(ROUND(fh_spy_cost_red*TblMili[[#This Row],[FH''s]],4),fh_spy_cost_cap)+ tech_1_9*TblTech[[#This Row],[1-9]] + tech_9_1*TblTech[[#This Row],[9-1]])*spy_plat,0)</f>
        <v>500</v>
      </c>
      <c r="BO46" s="97">
        <f ca="1">ROUNDUP((1-MIN(ROUND(wg_wiz_cost_bonus*TblMili[[#This Row],[WG''s]],4),wg_wiz_cost_cap) + tech_1_9_2*TblTech[[#This Row],[1-9]] + tech_9_1_2*TblTech[[#This Row],[9-1]])*wizard_plat,0)</f>
        <v>500</v>
      </c>
      <c r="BP46" s="97">
        <f ca="1">ROUNDUP((1-MIN(ROUND(wg_wiz_cost_bonus*TblMili[[#This Row],[WG''s]],4),wg_wiz_cost_cap) + tech_1_9_2*TblTech[[#This Row],[1-9]] + tech_9_1_2*TblTech[[#This Row],[9-1]])*archmage_plat,0)</f>
        <v>1000</v>
      </c>
      <c r="BQ46" s="150"/>
      <c r="BR46" s="165">
        <f ca="1">TblConstr[[#This Row],[Homeland]]/TblConstr[[#This Row],[Land]]</f>
        <v>0.44</v>
      </c>
      <c r="BS46" s="165">
        <f ca="1">TblMili[[#This Row],[WG''s]]</f>
        <v>0</v>
      </c>
      <c r="BT46" s="271">
        <f ca="1">IF(mystic_cap="none",TblMili[[#This Row],[Hill]]/mystic_bonus,MIN(mystic_cap,TblMili[[#This Row],[Hill]]/mystic_bonus))</f>
        <v>2.1999999999999997</v>
      </c>
      <c r="BU46" s="271">
        <f ca="1">IF(druid_op_cap="none",TblMili[[#This Row],[Hill]]/druid_op_bonus,MIN(druid_op_cap,TblMili[[#This Row],[Hill]]/druid_op_bonus))</f>
        <v>2.1999999999999997</v>
      </c>
      <c r="BV46" s="271">
        <f ca="1">IF(druid_dp_cap="none",TblMili[[#This Row],[Hill]]/druid_dp_bonus,MIN(druid_dp_cap,TblMili[[#This Row],[Hill]]/druid_dp_bonus))</f>
        <v>2.1999999999999997</v>
      </c>
      <c r="BW46" s="271">
        <f ca="1">MIN(dryad_cap,TblMili[[#This Row],[Hill]]/dryad_bonus)</f>
        <v>2.1999999999999997</v>
      </c>
      <c r="BX46" s="271">
        <f ca="1">MIN(rocka_cap,TblMili[[#This Row],[Hill]]/rocka_bonus)</f>
        <v>2</v>
      </c>
      <c r="BY46" s="271">
        <f ca="1">MIN(adept_op_cap,TblMili[[#This Row],[WG]]/adept_op_bonus)</f>
        <v>0</v>
      </c>
      <c r="BZ46" s="271">
        <f ca="1">MIN(adept_dp_cap,TblMili[[#This Row],[WG]]/adept_dp_bonus)</f>
        <v>0</v>
      </c>
      <c r="CA46" s="97">
        <f ca="1">MIN(TblMili[[#This Row],[Unit 3]],TblMili[[#This Row],[Unit 4]])*2</f>
        <v>0</v>
      </c>
      <c r="CB46" s="97">
        <f ca="1">MIN(TblMili[[#This Row],[Unit 1]],TblMili[[#This Row],[Unit 4]])*2</f>
        <v>0</v>
      </c>
      <c r="CC46" s="271">
        <f ca="1">MIN(frost_mage_cap,TblMili[[#This Row],[Hill]]/frost_mage_bonus)</f>
        <v>2.1999999999999997</v>
      </c>
      <c r="CD46" s="45">
        <f ca="1">MIN(ice_elem_cap,TblMili[[#This Row],[Raw (2)]]*ice_elem_bonus)</f>
        <v>0.1</v>
      </c>
      <c r="CE46" s="271">
        <f t="shared" si="2"/>
        <v>1</v>
      </c>
      <c r="CF46" s="271">
        <f ca="1">MIN(nox_nightshade_cap,TblConstr[[#This Row],[Homeland]]/TblConstr[[#This Row],[Land]]/nox_nightshade_swamp_bonus)</f>
        <v>3</v>
      </c>
      <c r="CG46" s="272"/>
      <c r="CH46" s="272"/>
      <c r="CI46" s="272"/>
      <c r="CJ46" s="271">
        <f ca="1">MIN(6,TblMili[[#This Row],[Mystic]]+Races!$F$19)*1.8 +  IF(TblMili[[#This Row],[Mystic]]+Races!$F$19&gt;6,(TblMili[[#This Row],[Mystic]]+Races!$F$19-6)*0.2,0) - Races!$I$19</f>
        <v>3.6399999999999997</v>
      </c>
      <c r="CK4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97">
        <f ca="1">TblMili[[#This Row],[Mystic bonus]]*TblMili[[#This Row],[Unit 3]]+TblMili[[#This Row],[Druid bonus]]*TblMili[[#This Row],[Unit 4]]</f>
        <v>0</v>
      </c>
      <c r="CM46" s="163">
        <f ca="1">MIN(6,TblMili[[#This Row],[Dryad]]+Races!$F$35)*1.8 +  IF(TblMili[[#This Row],[Dryad]]+Races!$F$35&gt;6,(TblMili[[#This Row],[Dryad]]+Races!$F$35-6)*0.2,0) - Races!$I$19</f>
        <v>2.1599999999999993</v>
      </c>
      <c r="CN46" s="97">
        <f ca="1">sylvan*(TblMili[[#This Row],[Mystic bonus]]*TblMili[[#This Row],[Unit 3]])</f>
        <v>0</v>
      </c>
      <c r="CO46" s="163">
        <f ca="1">1.8 * MIN(MAX(Races!$E$27,TblMili[[#This Row],[Rockapult]]+Races!$F$27),6)  +  0.45 * MIN(MIN(Races!$E$27,TblMili[[#This Row],[Rockapult]]+Races!$F$27),6)  +  0.2 * ( MAX(Races!$E$27-6,0) + MAX(TblMili[[#This Row],[Rockapult]]+Races!$F$27-6,0) )  -  Races!$I$20</f>
        <v>5.8500000000000005</v>
      </c>
      <c r="CP46" s="97">
        <f ca="1">gnome*(TblMili[[#This Row],[Rockapult bonus]]*TblMili[[#This Row],[Unit 3]])</f>
        <v>0</v>
      </c>
      <c r="CQ46" s="163">
        <f ca="1">1.8 * MIN(MAX(TblMili[[#This Row],[Spellblade]]+Races!$E$47,TblMili[[#This Row],[Adept-DP]]+Races!$F$47),6)  +  0.45 * MIN(MIN(TblMili[[#This Row],[Spellblade]]+Races!$E$47,TblMili[[#This Row],[Adept-DP]]+Races!$F$47),6)  +  0.2 * ( MAX(TblMili[[#This Row],[Spellblade]]+Races!$E$47-6,0) + MAX(TblMili[[#This Row],[Adept-DP]]+Races!$F$47-6,0) )  -  Races!$I$47</f>
        <v>0</v>
      </c>
      <c r="CR46" s="97">
        <f ca="1">dark_elf*(TblMili[[#This Row],[Adept bonus]]*TblMili[[#This Row],[Unit 3]])</f>
        <v>0</v>
      </c>
      <c r="CS46" s="163">
        <f ca="1">1.8 * MIN(MAX(TblMili[[#This Row],[Frost Mage]]+Races!$F$71,Races!$E$71),6)  +  0.45 * MIN(MIN(TblMili[[#This Row],[Frost Mage]]+Races!$F$71,Races!$E$71),6)  +  0.2 * ( MAX(TblMili[[#This Row],[Frost Mage]]+Races!$F$71-6,0) + MAX(Races!$E$71-6,0) )  -  Races!$I$71</f>
        <v>3.9599999999999991</v>
      </c>
      <c r="CT46" s="163">
        <f ca="1">1.8 * MIN(MAX(TblMili[[#This Row],[Ice Elemental]]+Races!$E$71,Races!$F$71),6)  +  0.45 * MIN(MIN(TblMili[[#This Row],[Ice Elemental]]+Races!$E$71,Races!$F$71),6)  +  0.2 * ( MAX(TblMili[[#This Row],[Ice Elemental]]+Races!$E$71-6,0) + MAX(Races!$F$71-6,0) )  -  Races!$I$71</f>
        <v>0.17999999999999972</v>
      </c>
      <c r="CU46" s="97">
        <f ca="1">TblMili[[#This Row],[Frost Mage bonus]]*TblMili[[#This Row],[Unit 3]]+TblMili[[#This Row],[Ice Elemental bonus]]*TblMili[[#This Row],[Unit 4]]</f>
        <v>0</v>
      </c>
      <c r="CV46" s="273"/>
      <c r="CW46" s="151">
        <f ca="1">MIN(SUM(TblConstr[[#This Row],[Plain]:[Water]])/TblMili[[#This Row],[Land]]/favorable_terrain_bonus/100,favorable_terrain_max)</f>
        <v>0.1</v>
      </c>
      <c r="CX46" s="273"/>
      <c r="CY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50"/>
      <c r="DA46" s="274">
        <f ca="1">(TblMili[[#This Row],[Wizards]]+2*TblMili[[#This Row],[Archmages]])/TblConstr[[#This Row],[Land]]</f>
        <v>0.1</v>
      </c>
      <c r="DB46" s="274">
        <f ca="1">TblMili[[#This Row],[Raw (2)]]*(1+race_wizard_strength+IF(TblMili[[#This Row],[Hour]]&gt;72,tech_magical_weaponry_wiz*TblTech[[#This Row],[3-5]],0))</f>
        <v>0.1</v>
      </c>
    </row>
    <row r="47" spans="1:106" x14ac:dyDescent="0.2">
      <c r="A47" s="145">
        <f>TblRezone[[#This Row],[Hour]]</f>
        <v>44</v>
      </c>
      <c r="B47" s="266">
        <f ca="1">SUM(TblMili[[#This Row],[Unit 1]:[Archmages]])+SUM(OFFSET(TblMili[[#This Row],[Train Unit 1]],-8,0):TblMili[[#This Row],[Train Unit 2]]) + SUM(OFFSET(TblMili[[#This Row],[Train Unit 3]],-11,0):TblMili[[#This Row],[Train Arch]]) + TblMili[[#This Row],[Draftees]]</f>
        <v>826</v>
      </c>
      <c r="C47" s="165">
        <f ca="1">TblPop[[#This Row],[Military%]]</f>
        <v>0.35029686174724345</v>
      </c>
      <c r="D47" s="150"/>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f>
        <v>25</v>
      </c>
      <c r="J47" s="45">
        <f ca="1">OFFSET(TblMili[[#This Row],[Wizards]],-1,0) + OFFSET(TblMili[[#This Row],[Train Wiz]],-12,0) - TblMili[[#This Row],[Release Wizards]]-TblMili[[#This Row],[Train Arch]]</f>
        <v>25</v>
      </c>
      <c r="K47" s="45">
        <f ca="1">OFFSET(TblMili[[#This Row],[Archmages]],-1,0) + OFFSET(TblMili[[#This Row],[Train Arch]],-12,0) - TblMili[[#This Row],[Release Arch]]</f>
        <v>0</v>
      </c>
      <c r="L47" s="150"/>
      <c r="M47" s="97">
        <f ca="1">TblProd[[#This Row],[Networth]]</f>
        <v>6450</v>
      </c>
      <c r="N47" s="150"/>
      <c r="O47" s="267">
        <f ca="1">TblMili[[#This Row],[Unit 1]]*spec_op+TblMili[[#This Row],[Unit 3]]*(elite1_base_op)+TblMili[[#This Row],[Unit 4]]*(elite2_base_op+dark_elf*TblMili[[#This Row],[Spellblade]]+icekin*TblMili[[#This Row],[Ice Elemental]]+woodie*TblMili[[#This Row],[Druid (op)]]+orc*TblMili[[#This Row],[Orc]])+kobold*TblMili[[#This Row],[Overlords]]</f>
        <v>0</v>
      </c>
      <c r="P4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7" s="267">
        <f ca="1">TblMili[[#This Row],[Raw]]*(1+TblMili[[#This Row],[Mods_Off]])</f>
        <v>0</v>
      </c>
      <c r="R4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7" s="267">
        <f ca="1">TblMili[[#This Row],[Non Draft]]+TblMili[[#This Row],[Draftees]]</f>
        <v>1076</v>
      </c>
      <c r="T4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269">
        <f ca="1">TblMili[[#This Row],[Non Draft]] * (1 + TblMili[[#This Row],[Mods_Def]])</f>
        <v>450</v>
      </c>
      <c r="V47" s="267">
        <f ca="1">TblMili[[#This Row],[Draft]] * (1 + TblMili[[#This Row],[Mods_Def]])</f>
        <v>1076</v>
      </c>
      <c r="W47" s="267">
        <f ca="1">TblConstr[[#This Row],[Land]]</f>
        <v>250</v>
      </c>
      <c r="X47" s="270"/>
      <c r="Y47" s="275">
        <f ca="1">IF(TblMili[[#This Row],[Set]]&lt;&gt;"",TblMili[[#This Row],[Set]],OFFSET(TblMili[[#This Row],[Draftrate]],-1,0))</f>
        <v>0.35</v>
      </c>
      <c r="Z47" s="97">
        <f ca="1">OFFSET(TblMili[[#This Row],[Draftees]],-1,0)+OFFSET(TblPop[[#This Row],[Draft Growth]],-1,0) - SUM(TblMili[[#This Row],[Train Unit 1]:[Train Wiz]]) - TblMili[[#This Row],[Release Draft]] + SUM(TblMili[[#This Row],[Release Unit 1]:[Release Arch]]) -TblExplore[[#This Row],[Draftees (2)]]</f>
        <v>626</v>
      </c>
      <c r="AA47" s="162"/>
      <c r="AB47" s="188">
        <f ca="1">(TblConstr[[#This Row],[Tot Smi]]+TblConstr[[#This Row],[Dest Smi]])/(TblConstr[[#This Row],[Land]]-TblExplore[[#This Row],[Land Bonus]]*20)</f>
        <v>0</v>
      </c>
      <c r="AC47" s="145"/>
      <c r="AD47" s="266">
        <f>TblMili[[#This Row],[Hour]]</f>
        <v>44</v>
      </c>
      <c r="AE47" s="146">
        <f ca="1">TblExplore[[#This Row],[Time]]</f>
        <v>44812.541666666562</v>
      </c>
      <c r="AF47" s="187"/>
      <c r="AG47" s="187"/>
      <c r="AH47" s="187"/>
      <c r="AI47" s="187"/>
      <c r="AJ47" s="187"/>
      <c r="AK47" s="187"/>
      <c r="AL47" s="187"/>
      <c r="AM47" s="150"/>
      <c r="AN47" s="97">
        <f ca="1">TblProd[[#This Row],[Platinum]]</f>
        <v>336776</v>
      </c>
      <c r="AO47" s="97">
        <f ca="1">INDEX(TblProd[[#Headers],[Lumber]]:TblProd[[#This Row],[Ore]],COUNTA(TblProd[[#Headers],[Lumber]]:TblProd[[#This Row],[Lumber]]),MATCH(Military!$AO$2,TblProd[[#Headers],[Lumber]:[Ore]],0))</f>
        <v>0</v>
      </c>
      <c r="AP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97">
        <f ca="1">TblMili[[#This Row],[Train Unit 1]]*TblMili[[#This Row],[OP Ore]]+TblMili[[#This Row],[Train Unit 2]]*TblMili[[#This Row],[DP Ore]]+TblMili[[#This Row],[Train Unit 3]]*TblMili[[#This Row],[E1 Ore]]+TblMili[[#This Row],[Train Unit 4]]*TblMili[[#This Row],[E2 Ore]]</f>
        <v>0</v>
      </c>
      <c r="AR47" s="150">
        <f>TblMili[[#This Row],[Hour]]</f>
        <v>44</v>
      </c>
      <c r="AS47" s="160">
        <f ca="1">TblMili[[#This Row],[Time]]</f>
        <v>44812.541666666562</v>
      </c>
      <c r="AT47" s="97">
        <f ca="1">TblMili[[#This Row],[Draftees]]</f>
        <v>626</v>
      </c>
      <c r="AU47" s="187"/>
      <c r="AV47" s="187"/>
      <c r="AW47" s="187"/>
      <c r="AX47" s="187"/>
      <c r="AY47" s="187"/>
      <c r="AZ47" s="187"/>
      <c r="BA47" s="187"/>
      <c r="BB47" s="187"/>
      <c r="BC47" s="150"/>
      <c r="BD47" s="165">
        <f ca="1">TblConstr[[#This Row],[Tot WG]]/TblConstr[[#This Row],[Land]]</f>
        <v>0</v>
      </c>
      <c r="BE47" s="165">
        <f ca="1">TblConstr[[#This Row],[Tot Hav]]/TblConstr[[#This Row],[Land]]</f>
        <v>0</v>
      </c>
      <c r="BF47" s="97">
        <f ca="1">ROUNDUP((1-MIN(TblMili[[#This Row],[Smithies]]*smithy_bonus,smithy_bonus_cap) + tech_3_5*TblTech[[#This Row],[3-5]] + tech_5_3*TblTech[[#This Row],[5-3]] + tech_5_5*TblTech[[#This Row],[5-5]])*spec_op_plat,0)</f>
        <v>275</v>
      </c>
      <c r="BG47" s="97">
        <f ca="1">ROUNDUP(IF(race="Gnome",1,(1-MIN(TblMili[[#This Row],[Smithies]]*smithy_bonus,smithy_bonus_cap) + tech_3_5*TblTech[[#This Row],[3-5]] + tech_5_3*TblTech[[#This Row],[5-3]] + tech_5_5*TblTech[[#This Row],[5-5]]))*spec_op_ore,0)</f>
        <v>25</v>
      </c>
      <c r="BH47" s="97">
        <f ca="1">ROUNDUP((1-MIN(TblMili[[#This Row],[Smithies]]*smithy_bonus,smithy_bonus_cap) + tech_3_5*TblTech[[#This Row],[3-5]] + tech_5_3*TblTech[[#This Row],[5-3]] + tech_5_5*TblTech[[#This Row],[5-5]])*spec_dp_plat,0)</f>
        <v>275</v>
      </c>
      <c r="BI47" s="97">
        <f ca="1">ROUNDUP(IF(race="Gnome",1,(1-MIN(TblMili[[#This Row],[Smithies]]*smithy_bonus,smithy_bonus_cap) + tech_3_5*TblTech[[#This Row],[3-5]] + tech_5_3*TblTech[[#This Row],[5-3]] + tech_5_5*TblTech[[#This Row],[5-5]]))*spec_dp_ore,0)</f>
        <v>15</v>
      </c>
      <c r="BJ47" s="97">
        <f ca="1">ROUNDUP((1-MIN(TblMili[[#This Row],[Smithies]]*smithy_bonus,smithy_bonus_cap) + tech_3_5*TblTech[[#This Row],[3-5]] + tech_5_3*TblTech[[#This Row],[5-3]] + tech_5_5*TblTech[[#This Row],[5-5]])*elite1_plat,0)</f>
        <v>1000</v>
      </c>
      <c r="BK47" s="97">
        <f ca="1">ROUNDUP(IF(race="Gnome",1,(1-MIN(TblMili[[#This Row],[Smithies]]*smithy_bonus,smithy_bonus_cap) + tech_3_5*TblTech[[#This Row],[3-5]] + tech_5_3*TblTech[[#This Row],[5-3]] + tech_5_5*TblTech[[#This Row],[5-5]]))*elite1_ore,0)</f>
        <v>75</v>
      </c>
      <c r="BL47" s="97">
        <f ca="1">ROUNDUP((1-MIN(TblMili[[#This Row],[Smithies]]*smithy_bonus,smithy_bonus_cap) + tech_3_5*TblTech[[#This Row],[3-5]] + tech_5_3*TblTech[[#This Row],[5-3]] + tech_5_5*TblTech[[#This Row],[5-5]])*elite2_plat,0)</f>
        <v>1200</v>
      </c>
      <c r="BM47" s="97">
        <f ca="1">ROUNDUP(IF(race="Gnome",1,(1-MIN(TblMili[[#This Row],[Smithies]]*smithy_bonus,smithy_bonus_cap) + tech_3_5*TblTech[[#This Row],[3-5]] + tech_5_3*TblTech[[#This Row],[5-3]] + tech_5_5*TblTech[[#This Row],[5-5]]))*elite2_ore,0)</f>
        <v>100</v>
      </c>
      <c r="BN47" s="97">
        <f ca="1">ROUNDUP((1-MIN(ROUND(fh_spy_cost_red*TblMili[[#This Row],[FH''s]],4),fh_spy_cost_cap)+ tech_1_9*TblTech[[#This Row],[1-9]] + tech_9_1*TblTech[[#This Row],[9-1]])*spy_plat,0)</f>
        <v>500</v>
      </c>
      <c r="BO47" s="97">
        <f ca="1">ROUNDUP((1-MIN(ROUND(wg_wiz_cost_bonus*TblMili[[#This Row],[WG''s]],4),wg_wiz_cost_cap) + tech_1_9_2*TblTech[[#This Row],[1-9]] + tech_9_1_2*TblTech[[#This Row],[9-1]])*wizard_plat,0)</f>
        <v>500</v>
      </c>
      <c r="BP47" s="97">
        <f ca="1">ROUNDUP((1-MIN(ROUND(wg_wiz_cost_bonus*TblMili[[#This Row],[WG''s]],4),wg_wiz_cost_cap) + tech_1_9_2*TblTech[[#This Row],[1-9]] + tech_9_1_2*TblTech[[#This Row],[9-1]])*archmage_plat,0)</f>
        <v>1000</v>
      </c>
      <c r="BQ47" s="150"/>
      <c r="BR47" s="165">
        <f ca="1">TblConstr[[#This Row],[Homeland]]/TblConstr[[#This Row],[Land]]</f>
        <v>0.44</v>
      </c>
      <c r="BS47" s="165">
        <f ca="1">TblMili[[#This Row],[WG''s]]</f>
        <v>0</v>
      </c>
      <c r="BT47" s="271">
        <f ca="1">IF(mystic_cap="none",TblMili[[#This Row],[Hill]]/mystic_bonus,MIN(mystic_cap,TblMili[[#This Row],[Hill]]/mystic_bonus))</f>
        <v>2.1999999999999997</v>
      </c>
      <c r="BU47" s="271">
        <f ca="1">IF(druid_op_cap="none",TblMili[[#This Row],[Hill]]/druid_op_bonus,MIN(druid_op_cap,TblMili[[#This Row],[Hill]]/druid_op_bonus))</f>
        <v>2.1999999999999997</v>
      </c>
      <c r="BV47" s="271">
        <f ca="1">IF(druid_dp_cap="none",TblMili[[#This Row],[Hill]]/druid_dp_bonus,MIN(druid_dp_cap,TblMili[[#This Row],[Hill]]/druid_dp_bonus))</f>
        <v>2.1999999999999997</v>
      </c>
      <c r="BW47" s="271">
        <f ca="1">MIN(dryad_cap,TblMili[[#This Row],[Hill]]/dryad_bonus)</f>
        <v>2.1999999999999997</v>
      </c>
      <c r="BX47" s="271">
        <f ca="1">MIN(rocka_cap,TblMili[[#This Row],[Hill]]/rocka_bonus)</f>
        <v>2</v>
      </c>
      <c r="BY47" s="271">
        <f ca="1">MIN(adept_op_cap,TblMili[[#This Row],[WG]]/adept_op_bonus)</f>
        <v>0</v>
      </c>
      <c r="BZ47" s="271">
        <f ca="1">MIN(adept_dp_cap,TblMili[[#This Row],[WG]]/adept_dp_bonus)</f>
        <v>0</v>
      </c>
      <c r="CA47" s="97">
        <f ca="1">MIN(TblMili[[#This Row],[Unit 3]],TblMili[[#This Row],[Unit 4]])*2</f>
        <v>0</v>
      </c>
      <c r="CB47" s="97">
        <f ca="1">MIN(TblMili[[#This Row],[Unit 1]],TblMili[[#This Row],[Unit 4]])*2</f>
        <v>0</v>
      </c>
      <c r="CC47" s="271">
        <f ca="1">MIN(frost_mage_cap,TblMili[[#This Row],[Hill]]/frost_mage_bonus)</f>
        <v>2.1999999999999997</v>
      </c>
      <c r="CD47" s="45">
        <f ca="1">MIN(ice_elem_cap,TblMili[[#This Row],[Raw (2)]]*ice_elem_bonus)</f>
        <v>0.1</v>
      </c>
      <c r="CE47" s="271">
        <f t="shared" si="2"/>
        <v>1</v>
      </c>
      <c r="CF47" s="271">
        <f ca="1">MIN(nox_nightshade_cap,TblConstr[[#This Row],[Homeland]]/TblConstr[[#This Row],[Land]]/nox_nightshade_swamp_bonus)</f>
        <v>3</v>
      </c>
      <c r="CG47" s="272"/>
      <c r="CH47" s="272"/>
      <c r="CI47" s="272"/>
      <c r="CJ47" s="271">
        <f ca="1">MIN(6,TblMili[[#This Row],[Mystic]]+Races!$F$19)*1.8 +  IF(TblMili[[#This Row],[Mystic]]+Races!$F$19&gt;6,(TblMili[[#This Row],[Mystic]]+Races!$F$19-6)*0.2,0) - Races!$I$19</f>
        <v>3.6399999999999997</v>
      </c>
      <c r="CK4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97">
        <f ca="1">TblMili[[#This Row],[Mystic bonus]]*TblMili[[#This Row],[Unit 3]]+TblMili[[#This Row],[Druid bonus]]*TblMili[[#This Row],[Unit 4]]</f>
        <v>0</v>
      </c>
      <c r="CM47" s="163">
        <f ca="1">MIN(6,TblMili[[#This Row],[Dryad]]+Races!$F$35)*1.8 +  IF(TblMili[[#This Row],[Dryad]]+Races!$F$35&gt;6,(TblMili[[#This Row],[Dryad]]+Races!$F$35-6)*0.2,0) - Races!$I$19</f>
        <v>2.1599999999999993</v>
      </c>
      <c r="CN47" s="97">
        <f ca="1">sylvan*(TblMili[[#This Row],[Mystic bonus]]*TblMili[[#This Row],[Unit 3]])</f>
        <v>0</v>
      </c>
      <c r="CO47" s="163">
        <f ca="1">1.8 * MIN(MAX(Races!$E$27,TblMili[[#This Row],[Rockapult]]+Races!$F$27),6)  +  0.45 * MIN(MIN(Races!$E$27,TblMili[[#This Row],[Rockapult]]+Races!$F$27),6)  +  0.2 * ( MAX(Races!$E$27-6,0) + MAX(TblMili[[#This Row],[Rockapult]]+Races!$F$27-6,0) )  -  Races!$I$20</f>
        <v>5.8500000000000005</v>
      </c>
      <c r="CP47" s="97">
        <f ca="1">gnome*(TblMili[[#This Row],[Rockapult bonus]]*TblMili[[#This Row],[Unit 3]])</f>
        <v>0</v>
      </c>
      <c r="CQ47" s="163">
        <f ca="1">1.8 * MIN(MAX(TblMili[[#This Row],[Spellblade]]+Races!$E$47,TblMili[[#This Row],[Adept-DP]]+Races!$F$47),6)  +  0.45 * MIN(MIN(TblMili[[#This Row],[Spellblade]]+Races!$E$47,TblMili[[#This Row],[Adept-DP]]+Races!$F$47),6)  +  0.2 * ( MAX(TblMili[[#This Row],[Spellblade]]+Races!$E$47-6,0) + MAX(TblMili[[#This Row],[Adept-DP]]+Races!$F$47-6,0) )  -  Races!$I$47</f>
        <v>0</v>
      </c>
      <c r="CR47" s="97">
        <f ca="1">dark_elf*(TblMili[[#This Row],[Adept bonus]]*TblMili[[#This Row],[Unit 3]])</f>
        <v>0</v>
      </c>
      <c r="CS47" s="163">
        <f ca="1">1.8 * MIN(MAX(TblMili[[#This Row],[Frost Mage]]+Races!$F$71,Races!$E$71),6)  +  0.45 * MIN(MIN(TblMili[[#This Row],[Frost Mage]]+Races!$F$71,Races!$E$71),6)  +  0.2 * ( MAX(TblMili[[#This Row],[Frost Mage]]+Races!$F$71-6,0) + MAX(Races!$E$71-6,0) )  -  Races!$I$71</f>
        <v>3.9599999999999991</v>
      </c>
      <c r="CT47" s="163">
        <f ca="1">1.8 * MIN(MAX(TblMili[[#This Row],[Ice Elemental]]+Races!$E$71,Races!$F$71),6)  +  0.45 * MIN(MIN(TblMili[[#This Row],[Ice Elemental]]+Races!$E$71,Races!$F$71),6)  +  0.2 * ( MAX(TblMili[[#This Row],[Ice Elemental]]+Races!$E$71-6,0) + MAX(Races!$F$71-6,0) )  -  Races!$I$71</f>
        <v>0.17999999999999972</v>
      </c>
      <c r="CU47" s="97">
        <f ca="1">TblMili[[#This Row],[Frost Mage bonus]]*TblMili[[#This Row],[Unit 3]]+TblMili[[#This Row],[Ice Elemental bonus]]*TblMili[[#This Row],[Unit 4]]</f>
        <v>0</v>
      </c>
      <c r="CV47" s="273"/>
      <c r="CW47" s="151">
        <f ca="1">MIN(SUM(TblConstr[[#This Row],[Plain]:[Water]])/TblMili[[#This Row],[Land]]/favorable_terrain_bonus/100,favorable_terrain_max)</f>
        <v>0.1</v>
      </c>
      <c r="CX47" s="273"/>
      <c r="CY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50"/>
      <c r="DA47" s="274">
        <f ca="1">(TblMili[[#This Row],[Wizards]]+2*TblMili[[#This Row],[Archmages]])/TblConstr[[#This Row],[Land]]</f>
        <v>0.1</v>
      </c>
      <c r="DB47" s="274">
        <f ca="1">TblMili[[#This Row],[Raw (2)]]*(1+race_wizard_strength+IF(TblMili[[#This Row],[Hour]]&gt;72,tech_magical_weaponry_wiz*TblTech[[#This Row],[3-5]],0))</f>
        <v>0.1</v>
      </c>
    </row>
    <row r="48" spans="1:106" x14ac:dyDescent="0.2">
      <c r="A48" s="145">
        <f>TblRezone[[#This Row],[Hour]]</f>
        <v>45</v>
      </c>
      <c r="B48" s="266">
        <f ca="1">SUM(TblMili[[#This Row],[Unit 1]:[Archmages]])+SUM(OFFSET(TblMili[[#This Row],[Train Unit 1]],-8,0):TblMili[[#This Row],[Train Unit 2]]) + SUM(OFFSET(TblMili[[#This Row],[Train Unit 3]],-11,0):TblMili[[#This Row],[Train Arch]]) + TblMili[[#This Row],[Draftees]]</f>
        <v>826</v>
      </c>
      <c r="C48" s="165">
        <f ca="1">TblPop[[#This Row],[Military%]]</f>
        <v>0.35029686174724345</v>
      </c>
      <c r="D48" s="150"/>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f>
        <v>25</v>
      </c>
      <c r="J48" s="45">
        <f ca="1">OFFSET(TblMili[[#This Row],[Wizards]],-1,0) + OFFSET(TblMili[[#This Row],[Train Wiz]],-12,0) - TblMili[[#This Row],[Release Wizards]]-TblMili[[#This Row],[Train Arch]]</f>
        <v>25</v>
      </c>
      <c r="K48" s="45">
        <f ca="1">OFFSET(TblMili[[#This Row],[Archmages]],-1,0) + OFFSET(TblMili[[#This Row],[Train Arch]],-12,0) - TblMili[[#This Row],[Release Arch]]</f>
        <v>0</v>
      </c>
      <c r="L48" s="150"/>
      <c r="M48" s="97">
        <f ca="1">TblProd[[#This Row],[Networth]]</f>
        <v>6450</v>
      </c>
      <c r="N48" s="150"/>
      <c r="O48" s="267">
        <f ca="1">TblMili[[#This Row],[Unit 1]]*spec_op+TblMili[[#This Row],[Unit 3]]*(elite1_base_op)+TblMili[[#This Row],[Unit 4]]*(elite2_base_op+dark_elf*TblMili[[#This Row],[Spellblade]]+icekin*TblMili[[#This Row],[Ice Elemental]]+woodie*TblMili[[#This Row],[Druid (op)]]+orc*TblMili[[#This Row],[Orc]])+kobold*TblMili[[#This Row],[Overlords]]</f>
        <v>0</v>
      </c>
      <c r="P4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8" s="267">
        <f ca="1">TblMili[[#This Row],[Raw]]*(1+TblMili[[#This Row],[Mods_Off]])</f>
        <v>0</v>
      </c>
      <c r="R4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8" s="267">
        <f ca="1">TblMili[[#This Row],[Non Draft]]+TblMili[[#This Row],[Draftees]]</f>
        <v>1076</v>
      </c>
      <c r="T4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269">
        <f ca="1">TblMili[[#This Row],[Non Draft]] * (1 + TblMili[[#This Row],[Mods_Def]])</f>
        <v>450</v>
      </c>
      <c r="V48" s="267">
        <f ca="1">TblMili[[#This Row],[Draft]] * (1 + TblMili[[#This Row],[Mods_Def]])</f>
        <v>1076</v>
      </c>
      <c r="W48" s="267">
        <f ca="1">TblConstr[[#This Row],[Land]]</f>
        <v>250</v>
      </c>
      <c r="X48" s="270"/>
      <c r="Y48" s="275">
        <f ca="1">IF(TblMili[[#This Row],[Set]]&lt;&gt;"",TblMili[[#This Row],[Set]],OFFSET(TblMili[[#This Row],[Draftrate]],-1,0))</f>
        <v>0.35</v>
      </c>
      <c r="Z48" s="97">
        <f ca="1">OFFSET(TblMili[[#This Row],[Draftees]],-1,0)+OFFSET(TblPop[[#This Row],[Draft Growth]],-1,0) - SUM(TblMili[[#This Row],[Train Unit 1]:[Train Wiz]]) - TblMili[[#This Row],[Release Draft]] + SUM(TblMili[[#This Row],[Release Unit 1]:[Release Arch]]) -TblExplore[[#This Row],[Draftees (2)]]</f>
        <v>626</v>
      </c>
      <c r="AA48" s="162"/>
      <c r="AB48" s="188">
        <f ca="1">(TblConstr[[#This Row],[Tot Smi]]+TblConstr[[#This Row],[Dest Smi]])/(TblConstr[[#This Row],[Land]]-TblExplore[[#This Row],[Land Bonus]]*20)</f>
        <v>0</v>
      </c>
      <c r="AC48" s="145"/>
      <c r="AD48" s="266">
        <f>TblMili[[#This Row],[Hour]]</f>
        <v>45</v>
      </c>
      <c r="AE48" s="146">
        <f ca="1">TblExplore[[#This Row],[Time]]</f>
        <v>44812.583333333227</v>
      </c>
      <c r="AF48" s="187"/>
      <c r="AG48" s="187"/>
      <c r="AH48" s="187"/>
      <c r="AI48" s="187"/>
      <c r="AJ48" s="187"/>
      <c r="AK48" s="187"/>
      <c r="AL48" s="187"/>
      <c r="AM48" s="150"/>
      <c r="AN48" s="97">
        <f ca="1">TblProd[[#This Row],[Platinum]]</f>
        <v>342262</v>
      </c>
      <c r="AO48" s="97">
        <f ca="1">INDEX(TblProd[[#Headers],[Lumber]]:TblProd[[#This Row],[Ore]],COUNTA(TblProd[[#Headers],[Lumber]]:TblProd[[#This Row],[Lumber]]),MATCH(Military!$AO$2,TblProd[[#Headers],[Lumber]:[Ore]],0))</f>
        <v>0</v>
      </c>
      <c r="AP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97">
        <f ca="1">TblMili[[#This Row],[Train Unit 1]]*TblMili[[#This Row],[OP Ore]]+TblMili[[#This Row],[Train Unit 2]]*TblMili[[#This Row],[DP Ore]]+TblMili[[#This Row],[Train Unit 3]]*TblMili[[#This Row],[E1 Ore]]+TblMili[[#This Row],[Train Unit 4]]*TblMili[[#This Row],[E2 Ore]]</f>
        <v>0</v>
      </c>
      <c r="AR48" s="150">
        <f>TblMili[[#This Row],[Hour]]</f>
        <v>45</v>
      </c>
      <c r="AS48" s="160">
        <f ca="1">TblMili[[#This Row],[Time]]</f>
        <v>44812.583333333227</v>
      </c>
      <c r="AT48" s="97">
        <f ca="1">TblMili[[#This Row],[Draftees]]</f>
        <v>626</v>
      </c>
      <c r="AU48" s="187"/>
      <c r="AV48" s="187"/>
      <c r="AW48" s="187"/>
      <c r="AX48" s="187"/>
      <c r="AY48" s="187"/>
      <c r="AZ48" s="187"/>
      <c r="BA48" s="187"/>
      <c r="BB48" s="187"/>
      <c r="BC48" s="150"/>
      <c r="BD48" s="165">
        <f ca="1">TblConstr[[#This Row],[Tot WG]]/TblConstr[[#This Row],[Land]]</f>
        <v>0</v>
      </c>
      <c r="BE48" s="165">
        <f ca="1">TblConstr[[#This Row],[Tot Hav]]/TblConstr[[#This Row],[Land]]</f>
        <v>0</v>
      </c>
      <c r="BF48" s="97">
        <f ca="1">ROUNDUP((1-MIN(TblMili[[#This Row],[Smithies]]*smithy_bonus,smithy_bonus_cap) + tech_3_5*TblTech[[#This Row],[3-5]] + tech_5_3*TblTech[[#This Row],[5-3]] + tech_5_5*TblTech[[#This Row],[5-5]])*spec_op_plat,0)</f>
        <v>275</v>
      </c>
      <c r="BG48" s="97">
        <f ca="1">ROUNDUP(IF(race="Gnome",1,(1-MIN(TblMili[[#This Row],[Smithies]]*smithy_bonus,smithy_bonus_cap) + tech_3_5*TblTech[[#This Row],[3-5]] + tech_5_3*TblTech[[#This Row],[5-3]] + tech_5_5*TblTech[[#This Row],[5-5]]))*spec_op_ore,0)</f>
        <v>25</v>
      </c>
      <c r="BH48" s="97">
        <f ca="1">ROUNDUP((1-MIN(TblMili[[#This Row],[Smithies]]*smithy_bonus,smithy_bonus_cap) + tech_3_5*TblTech[[#This Row],[3-5]] + tech_5_3*TblTech[[#This Row],[5-3]] + tech_5_5*TblTech[[#This Row],[5-5]])*spec_dp_plat,0)</f>
        <v>275</v>
      </c>
      <c r="BI48" s="97">
        <f ca="1">ROUNDUP(IF(race="Gnome",1,(1-MIN(TblMili[[#This Row],[Smithies]]*smithy_bonus,smithy_bonus_cap) + tech_3_5*TblTech[[#This Row],[3-5]] + tech_5_3*TblTech[[#This Row],[5-3]] + tech_5_5*TblTech[[#This Row],[5-5]]))*spec_dp_ore,0)</f>
        <v>15</v>
      </c>
      <c r="BJ48" s="97">
        <f ca="1">ROUNDUP((1-MIN(TblMili[[#This Row],[Smithies]]*smithy_bonus,smithy_bonus_cap) + tech_3_5*TblTech[[#This Row],[3-5]] + tech_5_3*TblTech[[#This Row],[5-3]] + tech_5_5*TblTech[[#This Row],[5-5]])*elite1_plat,0)</f>
        <v>1000</v>
      </c>
      <c r="BK48" s="97">
        <f ca="1">ROUNDUP(IF(race="Gnome",1,(1-MIN(TblMili[[#This Row],[Smithies]]*smithy_bonus,smithy_bonus_cap) + tech_3_5*TblTech[[#This Row],[3-5]] + tech_5_3*TblTech[[#This Row],[5-3]] + tech_5_5*TblTech[[#This Row],[5-5]]))*elite1_ore,0)</f>
        <v>75</v>
      </c>
      <c r="BL48" s="97">
        <f ca="1">ROUNDUP((1-MIN(TblMili[[#This Row],[Smithies]]*smithy_bonus,smithy_bonus_cap) + tech_3_5*TblTech[[#This Row],[3-5]] + tech_5_3*TblTech[[#This Row],[5-3]] + tech_5_5*TblTech[[#This Row],[5-5]])*elite2_plat,0)</f>
        <v>1200</v>
      </c>
      <c r="BM48" s="97">
        <f ca="1">ROUNDUP(IF(race="Gnome",1,(1-MIN(TblMili[[#This Row],[Smithies]]*smithy_bonus,smithy_bonus_cap) + tech_3_5*TblTech[[#This Row],[3-5]] + tech_5_3*TblTech[[#This Row],[5-3]] + tech_5_5*TblTech[[#This Row],[5-5]]))*elite2_ore,0)</f>
        <v>100</v>
      </c>
      <c r="BN48" s="97">
        <f ca="1">ROUNDUP((1-MIN(ROUND(fh_spy_cost_red*TblMili[[#This Row],[FH''s]],4),fh_spy_cost_cap)+ tech_1_9*TblTech[[#This Row],[1-9]] + tech_9_1*TblTech[[#This Row],[9-1]])*spy_plat,0)</f>
        <v>500</v>
      </c>
      <c r="BO48" s="97">
        <f ca="1">ROUNDUP((1-MIN(ROUND(wg_wiz_cost_bonus*TblMili[[#This Row],[WG''s]],4),wg_wiz_cost_cap) + tech_1_9_2*TblTech[[#This Row],[1-9]] + tech_9_1_2*TblTech[[#This Row],[9-1]])*wizard_plat,0)</f>
        <v>500</v>
      </c>
      <c r="BP48" s="97">
        <f ca="1">ROUNDUP((1-MIN(ROUND(wg_wiz_cost_bonus*TblMili[[#This Row],[WG''s]],4),wg_wiz_cost_cap) + tech_1_9_2*TblTech[[#This Row],[1-9]] + tech_9_1_2*TblTech[[#This Row],[9-1]])*archmage_plat,0)</f>
        <v>1000</v>
      </c>
      <c r="BQ48" s="150"/>
      <c r="BR48" s="165">
        <f ca="1">TblConstr[[#This Row],[Homeland]]/TblConstr[[#This Row],[Land]]</f>
        <v>0.44</v>
      </c>
      <c r="BS48" s="165">
        <f ca="1">TblMili[[#This Row],[WG''s]]</f>
        <v>0</v>
      </c>
      <c r="BT48" s="271">
        <f ca="1">IF(mystic_cap="none",TblMili[[#This Row],[Hill]]/mystic_bonus,MIN(mystic_cap,TblMili[[#This Row],[Hill]]/mystic_bonus))</f>
        <v>2.1999999999999997</v>
      </c>
      <c r="BU48" s="271">
        <f ca="1">IF(druid_op_cap="none",TblMili[[#This Row],[Hill]]/druid_op_bonus,MIN(druid_op_cap,TblMili[[#This Row],[Hill]]/druid_op_bonus))</f>
        <v>2.1999999999999997</v>
      </c>
      <c r="BV48" s="271">
        <f ca="1">IF(druid_dp_cap="none",TblMili[[#This Row],[Hill]]/druid_dp_bonus,MIN(druid_dp_cap,TblMili[[#This Row],[Hill]]/druid_dp_bonus))</f>
        <v>2.1999999999999997</v>
      </c>
      <c r="BW48" s="271">
        <f ca="1">MIN(dryad_cap,TblMili[[#This Row],[Hill]]/dryad_bonus)</f>
        <v>2.1999999999999997</v>
      </c>
      <c r="BX48" s="271">
        <f ca="1">MIN(rocka_cap,TblMili[[#This Row],[Hill]]/rocka_bonus)</f>
        <v>2</v>
      </c>
      <c r="BY48" s="271">
        <f ca="1">MIN(adept_op_cap,TblMili[[#This Row],[WG]]/adept_op_bonus)</f>
        <v>0</v>
      </c>
      <c r="BZ48" s="271">
        <f ca="1">MIN(adept_dp_cap,TblMili[[#This Row],[WG]]/adept_dp_bonus)</f>
        <v>0</v>
      </c>
      <c r="CA48" s="97">
        <f ca="1">MIN(TblMili[[#This Row],[Unit 3]],TblMili[[#This Row],[Unit 4]])*2</f>
        <v>0</v>
      </c>
      <c r="CB48" s="97">
        <f ca="1">MIN(TblMili[[#This Row],[Unit 1]],TblMili[[#This Row],[Unit 4]])*2</f>
        <v>0</v>
      </c>
      <c r="CC48" s="271">
        <f ca="1">MIN(frost_mage_cap,TblMili[[#This Row],[Hill]]/frost_mage_bonus)</f>
        <v>2.1999999999999997</v>
      </c>
      <c r="CD48" s="45">
        <f ca="1">MIN(ice_elem_cap,TblMili[[#This Row],[Raw (2)]]*ice_elem_bonus)</f>
        <v>0.1</v>
      </c>
      <c r="CE48" s="271">
        <f t="shared" si="2"/>
        <v>1</v>
      </c>
      <c r="CF48" s="271">
        <f ca="1">MIN(nox_nightshade_cap,TblConstr[[#This Row],[Homeland]]/TblConstr[[#This Row],[Land]]/nox_nightshade_swamp_bonus)</f>
        <v>3</v>
      </c>
      <c r="CG48" s="272"/>
      <c r="CH48" s="272"/>
      <c r="CI48" s="272"/>
      <c r="CJ48" s="271">
        <f ca="1">MIN(6,TblMili[[#This Row],[Mystic]]+Races!$F$19)*1.8 +  IF(TblMili[[#This Row],[Mystic]]+Races!$F$19&gt;6,(TblMili[[#This Row],[Mystic]]+Races!$F$19-6)*0.2,0) - Races!$I$19</f>
        <v>3.6399999999999997</v>
      </c>
      <c r="CK4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97">
        <f ca="1">TblMili[[#This Row],[Mystic bonus]]*TblMili[[#This Row],[Unit 3]]+TblMili[[#This Row],[Druid bonus]]*TblMili[[#This Row],[Unit 4]]</f>
        <v>0</v>
      </c>
      <c r="CM48" s="163">
        <f ca="1">MIN(6,TblMili[[#This Row],[Dryad]]+Races!$F$35)*1.8 +  IF(TblMili[[#This Row],[Dryad]]+Races!$F$35&gt;6,(TblMili[[#This Row],[Dryad]]+Races!$F$35-6)*0.2,0) - Races!$I$19</f>
        <v>2.1599999999999993</v>
      </c>
      <c r="CN48" s="97">
        <f ca="1">sylvan*(TblMili[[#This Row],[Mystic bonus]]*TblMili[[#This Row],[Unit 3]])</f>
        <v>0</v>
      </c>
      <c r="CO48" s="163">
        <f ca="1">1.8 * MIN(MAX(Races!$E$27,TblMili[[#This Row],[Rockapult]]+Races!$F$27),6)  +  0.45 * MIN(MIN(Races!$E$27,TblMili[[#This Row],[Rockapult]]+Races!$F$27),6)  +  0.2 * ( MAX(Races!$E$27-6,0) + MAX(TblMili[[#This Row],[Rockapult]]+Races!$F$27-6,0) )  -  Races!$I$20</f>
        <v>5.8500000000000005</v>
      </c>
      <c r="CP48" s="97">
        <f ca="1">gnome*(TblMili[[#This Row],[Rockapult bonus]]*TblMili[[#This Row],[Unit 3]])</f>
        <v>0</v>
      </c>
      <c r="CQ48" s="163">
        <f ca="1">1.8 * MIN(MAX(TblMili[[#This Row],[Spellblade]]+Races!$E$47,TblMili[[#This Row],[Adept-DP]]+Races!$F$47),6)  +  0.45 * MIN(MIN(TblMili[[#This Row],[Spellblade]]+Races!$E$47,TblMili[[#This Row],[Adept-DP]]+Races!$F$47),6)  +  0.2 * ( MAX(TblMili[[#This Row],[Spellblade]]+Races!$E$47-6,0) + MAX(TblMili[[#This Row],[Adept-DP]]+Races!$F$47-6,0) )  -  Races!$I$47</f>
        <v>0</v>
      </c>
      <c r="CR48" s="97">
        <f ca="1">dark_elf*(TblMili[[#This Row],[Adept bonus]]*TblMili[[#This Row],[Unit 3]])</f>
        <v>0</v>
      </c>
      <c r="CS48" s="163">
        <f ca="1">1.8 * MIN(MAX(TblMili[[#This Row],[Frost Mage]]+Races!$F$71,Races!$E$71),6)  +  0.45 * MIN(MIN(TblMili[[#This Row],[Frost Mage]]+Races!$F$71,Races!$E$71),6)  +  0.2 * ( MAX(TblMili[[#This Row],[Frost Mage]]+Races!$F$71-6,0) + MAX(Races!$E$71-6,0) )  -  Races!$I$71</f>
        <v>3.9599999999999991</v>
      </c>
      <c r="CT48" s="163">
        <f ca="1">1.8 * MIN(MAX(TblMili[[#This Row],[Ice Elemental]]+Races!$E$71,Races!$F$71),6)  +  0.45 * MIN(MIN(TblMili[[#This Row],[Ice Elemental]]+Races!$E$71,Races!$F$71),6)  +  0.2 * ( MAX(TblMili[[#This Row],[Ice Elemental]]+Races!$E$71-6,0) + MAX(Races!$F$71-6,0) )  -  Races!$I$71</f>
        <v>0.17999999999999972</v>
      </c>
      <c r="CU48" s="97">
        <f ca="1">TblMili[[#This Row],[Frost Mage bonus]]*TblMili[[#This Row],[Unit 3]]+TblMili[[#This Row],[Ice Elemental bonus]]*TblMili[[#This Row],[Unit 4]]</f>
        <v>0</v>
      </c>
      <c r="CV48" s="273"/>
      <c r="CW48" s="151">
        <f ca="1">MIN(SUM(TblConstr[[#This Row],[Plain]:[Water]])/TblMili[[#This Row],[Land]]/favorable_terrain_bonus/100,favorable_terrain_max)</f>
        <v>0.1</v>
      </c>
      <c r="CX48" s="273"/>
      <c r="CY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50"/>
      <c r="DA48" s="274">
        <f ca="1">(TblMili[[#This Row],[Wizards]]+2*TblMili[[#This Row],[Archmages]])/TblConstr[[#This Row],[Land]]</f>
        <v>0.1</v>
      </c>
      <c r="DB48" s="274">
        <f ca="1">TblMili[[#This Row],[Raw (2)]]*(1+race_wizard_strength+IF(TblMili[[#This Row],[Hour]]&gt;72,tech_magical_weaponry_wiz*TblTech[[#This Row],[3-5]],0))</f>
        <v>0.1</v>
      </c>
    </row>
    <row r="49" spans="1:106" x14ac:dyDescent="0.2">
      <c r="A49" s="145">
        <f>TblRezone[[#This Row],[Hour]]</f>
        <v>46</v>
      </c>
      <c r="B49" s="266">
        <f ca="1">SUM(TblMili[[#This Row],[Unit 1]:[Archmages]])+SUM(OFFSET(TblMili[[#This Row],[Train Unit 1]],-8,0):TblMili[[#This Row],[Train Unit 2]]) + SUM(OFFSET(TblMili[[#This Row],[Train Unit 3]],-11,0):TblMili[[#This Row],[Train Arch]]) + TblMili[[#This Row],[Draftees]]</f>
        <v>826</v>
      </c>
      <c r="C49" s="165">
        <f ca="1">TblPop[[#This Row],[Military%]]</f>
        <v>0.35029686174724345</v>
      </c>
      <c r="D49" s="150"/>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f>
        <v>25</v>
      </c>
      <c r="J49" s="45">
        <f ca="1">OFFSET(TblMili[[#This Row],[Wizards]],-1,0) + OFFSET(TblMili[[#This Row],[Train Wiz]],-12,0) - TblMili[[#This Row],[Release Wizards]]-TblMili[[#This Row],[Train Arch]]</f>
        <v>25</v>
      </c>
      <c r="K49" s="45">
        <f ca="1">OFFSET(TblMili[[#This Row],[Archmages]],-1,0) + OFFSET(TblMili[[#This Row],[Train Arch]],-12,0) - TblMili[[#This Row],[Release Arch]]</f>
        <v>0</v>
      </c>
      <c r="L49" s="150"/>
      <c r="M49" s="97">
        <f ca="1">TblProd[[#This Row],[Networth]]</f>
        <v>6450</v>
      </c>
      <c r="N49" s="150"/>
      <c r="O49" s="267">
        <f ca="1">TblMili[[#This Row],[Unit 1]]*spec_op+TblMili[[#This Row],[Unit 3]]*(elite1_base_op)+TblMili[[#This Row],[Unit 4]]*(elite2_base_op+dark_elf*TblMili[[#This Row],[Spellblade]]+icekin*TblMili[[#This Row],[Ice Elemental]]+woodie*TblMili[[#This Row],[Druid (op)]]+orc*TblMili[[#This Row],[Orc]])+kobold*TblMili[[#This Row],[Overlords]]</f>
        <v>0</v>
      </c>
      <c r="P4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9" s="267">
        <f ca="1">TblMili[[#This Row],[Raw]]*(1+TblMili[[#This Row],[Mods_Off]])</f>
        <v>0</v>
      </c>
      <c r="R4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9" s="267">
        <f ca="1">TblMili[[#This Row],[Non Draft]]+TblMili[[#This Row],[Draftees]]</f>
        <v>1076</v>
      </c>
      <c r="T4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269">
        <f ca="1">TblMili[[#This Row],[Non Draft]] * (1 + TblMili[[#This Row],[Mods_Def]])</f>
        <v>450</v>
      </c>
      <c r="V49" s="267">
        <f ca="1">TblMili[[#This Row],[Draft]] * (1 + TblMili[[#This Row],[Mods_Def]])</f>
        <v>1076</v>
      </c>
      <c r="W49" s="267">
        <f ca="1">TblConstr[[#This Row],[Land]]</f>
        <v>250</v>
      </c>
      <c r="X49" s="270"/>
      <c r="Y49" s="275">
        <f ca="1">IF(TblMili[[#This Row],[Set]]&lt;&gt;"",TblMili[[#This Row],[Set]],OFFSET(TblMili[[#This Row],[Draftrate]],-1,0))</f>
        <v>0.35</v>
      </c>
      <c r="Z49" s="97">
        <f ca="1">OFFSET(TblMili[[#This Row],[Draftees]],-1,0)+OFFSET(TblPop[[#This Row],[Draft Growth]],-1,0) - SUM(TblMili[[#This Row],[Train Unit 1]:[Train Wiz]]) - TblMili[[#This Row],[Release Draft]] + SUM(TblMili[[#This Row],[Release Unit 1]:[Release Arch]]) -TblExplore[[#This Row],[Draftees (2)]]</f>
        <v>626</v>
      </c>
      <c r="AA49" s="162"/>
      <c r="AB49" s="188">
        <f ca="1">(TblConstr[[#This Row],[Tot Smi]]+TblConstr[[#This Row],[Dest Smi]])/(TblConstr[[#This Row],[Land]]-TblExplore[[#This Row],[Land Bonus]]*20)</f>
        <v>0</v>
      </c>
      <c r="AC49" s="145"/>
      <c r="AD49" s="266">
        <f>TblMili[[#This Row],[Hour]]</f>
        <v>46</v>
      </c>
      <c r="AE49" s="146">
        <f ca="1">TblExplore[[#This Row],[Time]]</f>
        <v>44812.624999999891</v>
      </c>
      <c r="AF49" s="187"/>
      <c r="AG49" s="187"/>
      <c r="AH49" s="187"/>
      <c r="AI49" s="187"/>
      <c r="AJ49" s="187"/>
      <c r="AK49" s="187"/>
      <c r="AL49" s="187"/>
      <c r="AM49" s="150"/>
      <c r="AN49" s="97">
        <f ca="1">TblProd[[#This Row],[Platinum]]</f>
        <v>347748</v>
      </c>
      <c r="AO49" s="97">
        <f ca="1">INDEX(TblProd[[#Headers],[Lumber]]:TblProd[[#This Row],[Ore]],COUNTA(TblProd[[#Headers],[Lumber]]:TblProd[[#This Row],[Lumber]]),MATCH(Military!$AO$2,TblProd[[#Headers],[Lumber]:[Ore]],0))</f>
        <v>0</v>
      </c>
      <c r="AP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97">
        <f ca="1">TblMili[[#This Row],[Train Unit 1]]*TblMili[[#This Row],[OP Ore]]+TblMili[[#This Row],[Train Unit 2]]*TblMili[[#This Row],[DP Ore]]+TblMili[[#This Row],[Train Unit 3]]*TblMili[[#This Row],[E1 Ore]]+TblMili[[#This Row],[Train Unit 4]]*TblMili[[#This Row],[E2 Ore]]</f>
        <v>0</v>
      </c>
      <c r="AR49" s="150">
        <f>TblMili[[#This Row],[Hour]]</f>
        <v>46</v>
      </c>
      <c r="AS49" s="160">
        <f ca="1">TblMili[[#This Row],[Time]]</f>
        <v>44812.624999999891</v>
      </c>
      <c r="AT49" s="97">
        <f ca="1">TblMili[[#This Row],[Draftees]]</f>
        <v>626</v>
      </c>
      <c r="AU49" s="187"/>
      <c r="AV49" s="187"/>
      <c r="AW49" s="187"/>
      <c r="AX49" s="187"/>
      <c r="AY49" s="187"/>
      <c r="AZ49" s="187"/>
      <c r="BA49" s="187"/>
      <c r="BB49" s="187"/>
      <c r="BC49" s="150"/>
      <c r="BD49" s="165">
        <f ca="1">TblConstr[[#This Row],[Tot WG]]/TblConstr[[#This Row],[Land]]</f>
        <v>0</v>
      </c>
      <c r="BE49" s="165">
        <f ca="1">TblConstr[[#This Row],[Tot Hav]]/TblConstr[[#This Row],[Land]]</f>
        <v>0</v>
      </c>
      <c r="BF49" s="97">
        <f ca="1">ROUNDUP((1-MIN(TblMili[[#This Row],[Smithies]]*smithy_bonus,smithy_bonus_cap) + tech_3_5*TblTech[[#This Row],[3-5]] + tech_5_3*TblTech[[#This Row],[5-3]] + tech_5_5*TblTech[[#This Row],[5-5]])*spec_op_plat,0)</f>
        <v>275</v>
      </c>
      <c r="BG49" s="97">
        <f ca="1">ROUNDUP(IF(race="Gnome",1,(1-MIN(TblMili[[#This Row],[Smithies]]*smithy_bonus,smithy_bonus_cap) + tech_3_5*TblTech[[#This Row],[3-5]] + tech_5_3*TblTech[[#This Row],[5-3]] + tech_5_5*TblTech[[#This Row],[5-5]]))*spec_op_ore,0)</f>
        <v>25</v>
      </c>
      <c r="BH49" s="97">
        <f ca="1">ROUNDUP((1-MIN(TblMili[[#This Row],[Smithies]]*smithy_bonus,smithy_bonus_cap) + tech_3_5*TblTech[[#This Row],[3-5]] + tech_5_3*TblTech[[#This Row],[5-3]] + tech_5_5*TblTech[[#This Row],[5-5]])*spec_dp_plat,0)</f>
        <v>275</v>
      </c>
      <c r="BI49" s="97">
        <f ca="1">ROUNDUP(IF(race="Gnome",1,(1-MIN(TblMili[[#This Row],[Smithies]]*smithy_bonus,smithy_bonus_cap) + tech_3_5*TblTech[[#This Row],[3-5]] + tech_5_3*TblTech[[#This Row],[5-3]] + tech_5_5*TblTech[[#This Row],[5-5]]))*spec_dp_ore,0)</f>
        <v>15</v>
      </c>
      <c r="BJ49" s="97">
        <f ca="1">ROUNDUP((1-MIN(TblMili[[#This Row],[Smithies]]*smithy_bonus,smithy_bonus_cap) + tech_3_5*TblTech[[#This Row],[3-5]] + tech_5_3*TblTech[[#This Row],[5-3]] + tech_5_5*TblTech[[#This Row],[5-5]])*elite1_plat,0)</f>
        <v>1000</v>
      </c>
      <c r="BK49" s="97">
        <f ca="1">ROUNDUP(IF(race="Gnome",1,(1-MIN(TblMili[[#This Row],[Smithies]]*smithy_bonus,smithy_bonus_cap) + tech_3_5*TblTech[[#This Row],[3-5]] + tech_5_3*TblTech[[#This Row],[5-3]] + tech_5_5*TblTech[[#This Row],[5-5]]))*elite1_ore,0)</f>
        <v>75</v>
      </c>
      <c r="BL49" s="97">
        <f ca="1">ROUNDUP((1-MIN(TblMili[[#This Row],[Smithies]]*smithy_bonus,smithy_bonus_cap) + tech_3_5*TblTech[[#This Row],[3-5]] + tech_5_3*TblTech[[#This Row],[5-3]] + tech_5_5*TblTech[[#This Row],[5-5]])*elite2_plat,0)</f>
        <v>1200</v>
      </c>
      <c r="BM49" s="97">
        <f ca="1">ROUNDUP(IF(race="Gnome",1,(1-MIN(TblMili[[#This Row],[Smithies]]*smithy_bonus,smithy_bonus_cap) + tech_3_5*TblTech[[#This Row],[3-5]] + tech_5_3*TblTech[[#This Row],[5-3]] + tech_5_5*TblTech[[#This Row],[5-5]]))*elite2_ore,0)</f>
        <v>100</v>
      </c>
      <c r="BN49" s="97">
        <f ca="1">ROUNDUP((1-MIN(ROUND(fh_spy_cost_red*TblMili[[#This Row],[FH''s]],4),fh_spy_cost_cap)+ tech_1_9*TblTech[[#This Row],[1-9]] + tech_9_1*TblTech[[#This Row],[9-1]])*spy_plat,0)</f>
        <v>500</v>
      </c>
      <c r="BO49" s="97">
        <f ca="1">ROUNDUP((1-MIN(ROUND(wg_wiz_cost_bonus*TblMili[[#This Row],[WG''s]],4),wg_wiz_cost_cap) + tech_1_9_2*TblTech[[#This Row],[1-9]] + tech_9_1_2*TblTech[[#This Row],[9-1]])*wizard_plat,0)</f>
        <v>500</v>
      </c>
      <c r="BP49" s="97">
        <f ca="1">ROUNDUP((1-MIN(ROUND(wg_wiz_cost_bonus*TblMili[[#This Row],[WG''s]],4),wg_wiz_cost_cap) + tech_1_9_2*TblTech[[#This Row],[1-9]] + tech_9_1_2*TblTech[[#This Row],[9-1]])*archmage_plat,0)</f>
        <v>1000</v>
      </c>
      <c r="BQ49" s="150"/>
      <c r="BR49" s="165">
        <f ca="1">TblConstr[[#This Row],[Homeland]]/TblConstr[[#This Row],[Land]]</f>
        <v>0.44</v>
      </c>
      <c r="BS49" s="165">
        <f ca="1">TblMili[[#This Row],[WG''s]]</f>
        <v>0</v>
      </c>
      <c r="BT49" s="271">
        <f ca="1">IF(mystic_cap="none",TblMili[[#This Row],[Hill]]/mystic_bonus,MIN(mystic_cap,TblMili[[#This Row],[Hill]]/mystic_bonus))</f>
        <v>2.1999999999999997</v>
      </c>
      <c r="BU49" s="271">
        <f ca="1">IF(druid_op_cap="none",TblMili[[#This Row],[Hill]]/druid_op_bonus,MIN(druid_op_cap,TblMili[[#This Row],[Hill]]/druid_op_bonus))</f>
        <v>2.1999999999999997</v>
      </c>
      <c r="BV49" s="271">
        <f ca="1">IF(druid_dp_cap="none",TblMili[[#This Row],[Hill]]/druid_dp_bonus,MIN(druid_dp_cap,TblMili[[#This Row],[Hill]]/druid_dp_bonus))</f>
        <v>2.1999999999999997</v>
      </c>
      <c r="BW49" s="271">
        <f ca="1">MIN(dryad_cap,TblMili[[#This Row],[Hill]]/dryad_bonus)</f>
        <v>2.1999999999999997</v>
      </c>
      <c r="BX49" s="271">
        <f ca="1">MIN(rocka_cap,TblMili[[#This Row],[Hill]]/rocka_bonus)</f>
        <v>2</v>
      </c>
      <c r="BY49" s="271">
        <f ca="1">MIN(adept_op_cap,TblMili[[#This Row],[WG]]/adept_op_bonus)</f>
        <v>0</v>
      </c>
      <c r="BZ49" s="271">
        <f ca="1">MIN(adept_dp_cap,TblMili[[#This Row],[WG]]/adept_dp_bonus)</f>
        <v>0</v>
      </c>
      <c r="CA49" s="97">
        <f ca="1">MIN(TblMili[[#This Row],[Unit 3]],TblMili[[#This Row],[Unit 4]])*2</f>
        <v>0</v>
      </c>
      <c r="CB49" s="97">
        <f ca="1">MIN(TblMili[[#This Row],[Unit 1]],TblMili[[#This Row],[Unit 4]])*2</f>
        <v>0</v>
      </c>
      <c r="CC49" s="271">
        <f ca="1">MIN(frost_mage_cap,TblMili[[#This Row],[Hill]]/frost_mage_bonus)</f>
        <v>2.1999999999999997</v>
      </c>
      <c r="CD49" s="45">
        <f ca="1">MIN(ice_elem_cap,TblMili[[#This Row],[Raw (2)]]*ice_elem_bonus)</f>
        <v>0.1</v>
      </c>
      <c r="CE49" s="271">
        <f t="shared" si="2"/>
        <v>1</v>
      </c>
      <c r="CF49" s="271">
        <f ca="1">MIN(nox_nightshade_cap,TblConstr[[#This Row],[Homeland]]/TblConstr[[#This Row],[Land]]/nox_nightshade_swamp_bonus)</f>
        <v>3</v>
      </c>
      <c r="CG49" s="272"/>
      <c r="CH49" s="272"/>
      <c r="CI49" s="272"/>
      <c r="CJ49" s="271">
        <f ca="1">MIN(6,TblMili[[#This Row],[Mystic]]+Races!$F$19)*1.8 +  IF(TblMili[[#This Row],[Mystic]]+Races!$F$19&gt;6,(TblMili[[#This Row],[Mystic]]+Races!$F$19-6)*0.2,0) - Races!$I$19</f>
        <v>3.6399999999999997</v>
      </c>
      <c r="CK4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97">
        <f ca="1">TblMili[[#This Row],[Mystic bonus]]*TblMili[[#This Row],[Unit 3]]+TblMili[[#This Row],[Druid bonus]]*TblMili[[#This Row],[Unit 4]]</f>
        <v>0</v>
      </c>
      <c r="CM49" s="163">
        <f ca="1">MIN(6,TblMili[[#This Row],[Dryad]]+Races!$F$35)*1.8 +  IF(TblMili[[#This Row],[Dryad]]+Races!$F$35&gt;6,(TblMili[[#This Row],[Dryad]]+Races!$F$35-6)*0.2,0) - Races!$I$19</f>
        <v>2.1599999999999993</v>
      </c>
      <c r="CN49" s="97">
        <f ca="1">sylvan*(TblMili[[#This Row],[Mystic bonus]]*TblMili[[#This Row],[Unit 3]])</f>
        <v>0</v>
      </c>
      <c r="CO49" s="163">
        <f ca="1">1.8 * MIN(MAX(Races!$E$27,TblMili[[#This Row],[Rockapult]]+Races!$F$27),6)  +  0.45 * MIN(MIN(Races!$E$27,TblMili[[#This Row],[Rockapult]]+Races!$F$27),6)  +  0.2 * ( MAX(Races!$E$27-6,0) + MAX(TblMili[[#This Row],[Rockapult]]+Races!$F$27-6,0) )  -  Races!$I$20</f>
        <v>5.8500000000000005</v>
      </c>
      <c r="CP49" s="97">
        <f ca="1">gnome*(TblMili[[#This Row],[Rockapult bonus]]*TblMili[[#This Row],[Unit 3]])</f>
        <v>0</v>
      </c>
      <c r="CQ49" s="163">
        <f ca="1">1.8 * MIN(MAX(TblMili[[#This Row],[Spellblade]]+Races!$E$47,TblMili[[#This Row],[Adept-DP]]+Races!$F$47),6)  +  0.45 * MIN(MIN(TblMili[[#This Row],[Spellblade]]+Races!$E$47,TblMili[[#This Row],[Adept-DP]]+Races!$F$47),6)  +  0.2 * ( MAX(TblMili[[#This Row],[Spellblade]]+Races!$E$47-6,0) + MAX(TblMili[[#This Row],[Adept-DP]]+Races!$F$47-6,0) )  -  Races!$I$47</f>
        <v>0</v>
      </c>
      <c r="CR49" s="97">
        <f ca="1">dark_elf*(TblMili[[#This Row],[Adept bonus]]*TblMili[[#This Row],[Unit 3]])</f>
        <v>0</v>
      </c>
      <c r="CS49" s="163">
        <f ca="1">1.8 * MIN(MAX(TblMili[[#This Row],[Frost Mage]]+Races!$F$71,Races!$E$71),6)  +  0.45 * MIN(MIN(TblMili[[#This Row],[Frost Mage]]+Races!$F$71,Races!$E$71),6)  +  0.2 * ( MAX(TblMili[[#This Row],[Frost Mage]]+Races!$F$71-6,0) + MAX(Races!$E$71-6,0) )  -  Races!$I$71</f>
        <v>3.9599999999999991</v>
      </c>
      <c r="CT49" s="163">
        <f ca="1">1.8 * MIN(MAX(TblMili[[#This Row],[Ice Elemental]]+Races!$E$71,Races!$F$71),6)  +  0.45 * MIN(MIN(TblMili[[#This Row],[Ice Elemental]]+Races!$E$71,Races!$F$71),6)  +  0.2 * ( MAX(TblMili[[#This Row],[Ice Elemental]]+Races!$E$71-6,0) + MAX(Races!$F$71-6,0) )  -  Races!$I$71</f>
        <v>0.17999999999999972</v>
      </c>
      <c r="CU49" s="97">
        <f ca="1">TblMili[[#This Row],[Frost Mage bonus]]*TblMili[[#This Row],[Unit 3]]+TblMili[[#This Row],[Ice Elemental bonus]]*TblMili[[#This Row],[Unit 4]]</f>
        <v>0</v>
      </c>
      <c r="CV49" s="273"/>
      <c r="CW49" s="151">
        <f ca="1">MIN(SUM(TblConstr[[#This Row],[Plain]:[Water]])/TblMili[[#This Row],[Land]]/favorable_terrain_bonus/100,favorable_terrain_max)</f>
        <v>0.1</v>
      </c>
      <c r="CX49" s="273"/>
      <c r="CY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50"/>
      <c r="DA49" s="274">
        <f ca="1">(TblMili[[#This Row],[Wizards]]+2*TblMili[[#This Row],[Archmages]])/TblConstr[[#This Row],[Land]]</f>
        <v>0.1</v>
      </c>
      <c r="DB49" s="274">
        <f ca="1">TblMili[[#This Row],[Raw (2)]]*(1+race_wizard_strength+IF(TblMili[[#This Row],[Hour]]&gt;72,tech_magical_weaponry_wiz*TblTech[[#This Row],[3-5]],0))</f>
        <v>0.1</v>
      </c>
    </row>
    <row r="50" spans="1:106" x14ac:dyDescent="0.2">
      <c r="A50" s="145">
        <f>TblRezone[[#This Row],[Hour]]</f>
        <v>47</v>
      </c>
      <c r="B50" s="266">
        <f ca="1">SUM(TblMili[[#This Row],[Unit 1]:[Archmages]])+SUM(OFFSET(TblMili[[#This Row],[Train Unit 1]],-8,0):TblMili[[#This Row],[Train Unit 2]]) + SUM(OFFSET(TblMili[[#This Row],[Train Unit 3]],-11,0):TblMili[[#This Row],[Train Arch]]) + TblMili[[#This Row],[Draftees]]</f>
        <v>826</v>
      </c>
      <c r="C50" s="165">
        <f ca="1">TblPop[[#This Row],[Military%]]</f>
        <v>0.35029686174724345</v>
      </c>
      <c r="D50" s="150"/>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f>
        <v>25</v>
      </c>
      <c r="J50" s="45">
        <f ca="1">OFFSET(TblMili[[#This Row],[Wizards]],-1,0) + OFFSET(TblMili[[#This Row],[Train Wiz]],-12,0) - TblMili[[#This Row],[Release Wizards]]-TblMili[[#This Row],[Train Arch]]</f>
        <v>25</v>
      </c>
      <c r="K50" s="45">
        <f ca="1">OFFSET(TblMili[[#This Row],[Archmages]],-1,0) + OFFSET(TblMili[[#This Row],[Train Arch]],-12,0) - TblMili[[#This Row],[Release Arch]]</f>
        <v>0</v>
      </c>
      <c r="L50" s="150"/>
      <c r="M50" s="97">
        <f ca="1">TblProd[[#This Row],[Networth]]</f>
        <v>6450</v>
      </c>
      <c r="N50" s="150"/>
      <c r="O50" s="267">
        <f ca="1">TblMili[[#This Row],[Unit 1]]*spec_op+TblMili[[#This Row],[Unit 3]]*(elite1_base_op)+TblMili[[#This Row],[Unit 4]]*(elite2_base_op+dark_elf*TblMili[[#This Row],[Spellblade]]+icekin*TblMili[[#This Row],[Ice Elemental]]+woodie*TblMili[[#This Row],[Druid (op)]]+orc*TblMili[[#This Row],[Orc]])+kobold*TblMili[[#This Row],[Overlords]]</f>
        <v>0</v>
      </c>
      <c r="P5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0" s="267">
        <f ca="1">TblMili[[#This Row],[Raw]]*(1+TblMili[[#This Row],[Mods_Off]])</f>
        <v>0</v>
      </c>
      <c r="R5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0" s="267">
        <f ca="1">TblMili[[#This Row],[Non Draft]]+TblMili[[#This Row],[Draftees]]</f>
        <v>1076</v>
      </c>
      <c r="T5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269">
        <f ca="1">TblMili[[#This Row],[Non Draft]] * (1 + TblMili[[#This Row],[Mods_Def]])</f>
        <v>450</v>
      </c>
      <c r="V50" s="267">
        <f ca="1">TblMili[[#This Row],[Draft]] * (1 + TblMili[[#This Row],[Mods_Def]])</f>
        <v>1076</v>
      </c>
      <c r="W50" s="267">
        <f ca="1">TblConstr[[#This Row],[Land]]</f>
        <v>250</v>
      </c>
      <c r="X50" s="270"/>
      <c r="Y50" s="275">
        <f ca="1">IF(TblMili[[#This Row],[Set]]&lt;&gt;"",TblMili[[#This Row],[Set]],OFFSET(TblMili[[#This Row],[Draftrate]],-1,0))</f>
        <v>0.35</v>
      </c>
      <c r="Z50" s="97">
        <f ca="1">OFFSET(TblMili[[#This Row],[Draftees]],-1,0)+OFFSET(TblPop[[#This Row],[Draft Growth]],-1,0) - SUM(TblMili[[#This Row],[Train Unit 1]:[Train Wiz]]) - TblMili[[#This Row],[Release Draft]] + SUM(TblMili[[#This Row],[Release Unit 1]:[Release Arch]]) -TblExplore[[#This Row],[Draftees (2)]]</f>
        <v>626</v>
      </c>
      <c r="AA50" s="162"/>
      <c r="AB50" s="188">
        <f ca="1">(TblConstr[[#This Row],[Tot Smi]]+TblConstr[[#This Row],[Dest Smi]])/(TblConstr[[#This Row],[Land]]-TblExplore[[#This Row],[Land Bonus]]*20)</f>
        <v>0</v>
      </c>
      <c r="AC50" s="145"/>
      <c r="AD50" s="266">
        <f>TblMili[[#This Row],[Hour]]</f>
        <v>47</v>
      </c>
      <c r="AE50" s="146">
        <f ca="1">TblExplore[[#This Row],[Time]]</f>
        <v>44812.666666666555</v>
      </c>
      <c r="AF50" s="187"/>
      <c r="AG50" s="187"/>
      <c r="AH50" s="187"/>
      <c r="AI50" s="187"/>
      <c r="AJ50" s="187"/>
      <c r="AK50" s="187"/>
      <c r="AL50" s="187"/>
      <c r="AM50" s="150"/>
      <c r="AN50" s="97">
        <f ca="1">TblProd[[#This Row],[Platinum]]</f>
        <v>353234</v>
      </c>
      <c r="AO50" s="97">
        <f ca="1">INDEX(TblProd[[#Headers],[Lumber]]:TblProd[[#This Row],[Ore]],COUNTA(TblProd[[#Headers],[Lumber]]:TblProd[[#This Row],[Lumber]]),MATCH(Military!$AO$2,TblProd[[#Headers],[Lumber]:[Ore]],0))</f>
        <v>0</v>
      </c>
      <c r="AP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97">
        <f ca="1">TblMili[[#This Row],[Train Unit 1]]*TblMili[[#This Row],[OP Ore]]+TblMili[[#This Row],[Train Unit 2]]*TblMili[[#This Row],[DP Ore]]+TblMili[[#This Row],[Train Unit 3]]*TblMili[[#This Row],[E1 Ore]]+TblMili[[#This Row],[Train Unit 4]]*TblMili[[#This Row],[E2 Ore]]</f>
        <v>0</v>
      </c>
      <c r="AR50" s="150">
        <f>TblMili[[#This Row],[Hour]]</f>
        <v>47</v>
      </c>
      <c r="AS50" s="160">
        <f ca="1">TblMili[[#This Row],[Time]]</f>
        <v>44812.666666666555</v>
      </c>
      <c r="AT50" s="97">
        <f ca="1">TblMili[[#This Row],[Draftees]]</f>
        <v>626</v>
      </c>
      <c r="AU50" s="187"/>
      <c r="AV50" s="187"/>
      <c r="AW50" s="187"/>
      <c r="AX50" s="187"/>
      <c r="AY50" s="187"/>
      <c r="AZ50" s="187"/>
      <c r="BA50" s="187"/>
      <c r="BB50" s="187"/>
      <c r="BC50" s="150"/>
      <c r="BD50" s="165">
        <f ca="1">TblConstr[[#This Row],[Tot WG]]/TblConstr[[#This Row],[Land]]</f>
        <v>0</v>
      </c>
      <c r="BE50" s="165">
        <f ca="1">TblConstr[[#This Row],[Tot Hav]]/TblConstr[[#This Row],[Land]]</f>
        <v>0</v>
      </c>
      <c r="BF50" s="97">
        <f ca="1">ROUNDUP((1-MIN(TblMili[[#This Row],[Smithies]]*smithy_bonus,smithy_bonus_cap) + tech_3_5*TblTech[[#This Row],[3-5]] + tech_5_3*TblTech[[#This Row],[5-3]] + tech_5_5*TblTech[[#This Row],[5-5]])*spec_op_plat,0)</f>
        <v>275</v>
      </c>
      <c r="BG50" s="97">
        <f ca="1">ROUNDUP(IF(race="Gnome",1,(1-MIN(TblMili[[#This Row],[Smithies]]*smithy_bonus,smithy_bonus_cap) + tech_3_5*TblTech[[#This Row],[3-5]] + tech_5_3*TblTech[[#This Row],[5-3]] + tech_5_5*TblTech[[#This Row],[5-5]]))*spec_op_ore,0)</f>
        <v>25</v>
      </c>
      <c r="BH50" s="97">
        <f ca="1">ROUNDUP((1-MIN(TblMili[[#This Row],[Smithies]]*smithy_bonus,smithy_bonus_cap) + tech_3_5*TblTech[[#This Row],[3-5]] + tech_5_3*TblTech[[#This Row],[5-3]] + tech_5_5*TblTech[[#This Row],[5-5]])*spec_dp_plat,0)</f>
        <v>275</v>
      </c>
      <c r="BI50" s="97">
        <f ca="1">ROUNDUP(IF(race="Gnome",1,(1-MIN(TblMili[[#This Row],[Smithies]]*smithy_bonus,smithy_bonus_cap) + tech_3_5*TblTech[[#This Row],[3-5]] + tech_5_3*TblTech[[#This Row],[5-3]] + tech_5_5*TblTech[[#This Row],[5-5]]))*spec_dp_ore,0)</f>
        <v>15</v>
      </c>
      <c r="BJ50" s="97">
        <f ca="1">ROUNDUP((1-MIN(TblMili[[#This Row],[Smithies]]*smithy_bonus,smithy_bonus_cap) + tech_3_5*TblTech[[#This Row],[3-5]] + tech_5_3*TblTech[[#This Row],[5-3]] + tech_5_5*TblTech[[#This Row],[5-5]])*elite1_plat,0)</f>
        <v>1000</v>
      </c>
      <c r="BK50" s="97">
        <f ca="1">ROUNDUP(IF(race="Gnome",1,(1-MIN(TblMili[[#This Row],[Smithies]]*smithy_bonus,smithy_bonus_cap) + tech_3_5*TblTech[[#This Row],[3-5]] + tech_5_3*TblTech[[#This Row],[5-3]] + tech_5_5*TblTech[[#This Row],[5-5]]))*elite1_ore,0)</f>
        <v>75</v>
      </c>
      <c r="BL50" s="97">
        <f ca="1">ROUNDUP((1-MIN(TblMili[[#This Row],[Smithies]]*smithy_bonus,smithy_bonus_cap) + tech_3_5*TblTech[[#This Row],[3-5]] + tech_5_3*TblTech[[#This Row],[5-3]] + tech_5_5*TblTech[[#This Row],[5-5]])*elite2_plat,0)</f>
        <v>1200</v>
      </c>
      <c r="BM50" s="97">
        <f ca="1">ROUNDUP(IF(race="Gnome",1,(1-MIN(TblMili[[#This Row],[Smithies]]*smithy_bonus,smithy_bonus_cap) + tech_3_5*TblTech[[#This Row],[3-5]] + tech_5_3*TblTech[[#This Row],[5-3]] + tech_5_5*TblTech[[#This Row],[5-5]]))*elite2_ore,0)</f>
        <v>100</v>
      </c>
      <c r="BN50" s="97">
        <f ca="1">ROUNDUP((1-MIN(ROUND(fh_spy_cost_red*TblMili[[#This Row],[FH''s]],4),fh_spy_cost_cap)+ tech_1_9*TblTech[[#This Row],[1-9]] + tech_9_1*TblTech[[#This Row],[9-1]])*spy_plat,0)</f>
        <v>500</v>
      </c>
      <c r="BO50" s="97">
        <f ca="1">ROUNDUP((1-MIN(ROUND(wg_wiz_cost_bonus*TblMili[[#This Row],[WG''s]],4),wg_wiz_cost_cap) + tech_1_9_2*TblTech[[#This Row],[1-9]] + tech_9_1_2*TblTech[[#This Row],[9-1]])*wizard_plat,0)</f>
        <v>500</v>
      </c>
      <c r="BP50" s="97">
        <f ca="1">ROUNDUP((1-MIN(ROUND(wg_wiz_cost_bonus*TblMili[[#This Row],[WG''s]],4),wg_wiz_cost_cap) + tech_1_9_2*TblTech[[#This Row],[1-9]] + tech_9_1_2*TblTech[[#This Row],[9-1]])*archmage_plat,0)</f>
        <v>1000</v>
      </c>
      <c r="BQ50" s="150"/>
      <c r="BR50" s="165">
        <f ca="1">TblConstr[[#This Row],[Homeland]]/TblConstr[[#This Row],[Land]]</f>
        <v>0.44</v>
      </c>
      <c r="BS50" s="165">
        <f ca="1">TblMili[[#This Row],[WG''s]]</f>
        <v>0</v>
      </c>
      <c r="BT50" s="271">
        <f ca="1">IF(mystic_cap="none",TblMili[[#This Row],[Hill]]/mystic_bonus,MIN(mystic_cap,TblMili[[#This Row],[Hill]]/mystic_bonus))</f>
        <v>2.1999999999999997</v>
      </c>
      <c r="BU50" s="271">
        <f ca="1">IF(druid_op_cap="none",TblMili[[#This Row],[Hill]]/druid_op_bonus,MIN(druid_op_cap,TblMili[[#This Row],[Hill]]/druid_op_bonus))</f>
        <v>2.1999999999999997</v>
      </c>
      <c r="BV50" s="271">
        <f ca="1">IF(druid_dp_cap="none",TblMili[[#This Row],[Hill]]/druid_dp_bonus,MIN(druid_dp_cap,TblMili[[#This Row],[Hill]]/druid_dp_bonus))</f>
        <v>2.1999999999999997</v>
      </c>
      <c r="BW50" s="271">
        <f ca="1">MIN(dryad_cap,TblMili[[#This Row],[Hill]]/dryad_bonus)</f>
        <v>2.1999999999999997</v>
      </c>
      <c r="BX50" s="271">
        <f ca="1">MIN(rocka_cap,TblMili[[#This Row],[Hill]]/rocka_bonus)</f>
        <v>2</v>
      </c>
      <c r="BY50" s="271">
        <f ca="1">MIN(adept_op_cap,TblMili[[#This Row],[WG]]/adept_op_bonus)</f>
        <v>0</v>
      </c>
      <c r="BZ50" s="271">
        <f ca="1">MIN(adept_dp_cap,TblMili[[#This Row],[WG]]/adept_dp_bonus)</f>
        <v>0</v>
      </c>
      <c r="CA50" s="97">
        <f ca="1">MIN(TblMili[[#This Row],[Unit 3]],TblMili[[#This Row],[Unit 4]])*2</f>
        <v>0</v>
      </c>
      <c r="CB50" s="97">
        <f ca="1">MIN(TblMili[[#This Row],[Unit 1]],TblMili[[#This Row],[Unit 4]])*2</f>
        <v>0</v>
      </c>
      <c r="CC50" s="271">
        <f ca="1">MIN(frost_mage_cap,TblMili[[#This Row],[Hill]]/frost_mage_bonus)</f>
        <v>2.1999999999999997</v>
      </c>
      <c r="CD50" s="45">
        <f ca="1">MIN(ice_elem_cap,TblMili[[#This Row],[Raw (2)]]*ice_elem_bonus)</f>
        <v>0.1</v>
      </c>
      <c r="CE50" s="271">
        <f t="shared" si="2"/>
        <v>1</v>
      </c>
      <c r="CF50" s="271">
        <f ca="1">MIN(nox_nightshade_cap,TblConstr[[#This Row],[Homeland]]/TblConstr[[#This Row],[Land]]/nox_nightshade_swamp_bonus)</f>
        <v>3</v>
      </c>
      <c r="CG50" s="272"/>
      <c r="CH50" s="272"/>
      <c r="CI50" s="272"/>
      <c r="CJ50" s="271">
        <f ca="1">MIN(6,TblMili[[#This Row],[Mystic]]+Races!$F$19)*1.8 +  IF(TblMili[[#This Row],[Mystic]]+Races!$F$19&gt;6,(TblMili[[#This Row],[Mystic]]+Races!$F$19-6)*0.2,0) - Races!$I$19</f>
        <v>3.6399999999999997</v>
      </c>
      <c r="CK5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97">
        <f ca="1">TblMili[[#This Row],[Mystic bonus]]*TblMili[[#This Row],[Unit 3]]+TblMili[[#This Row],[Druid bonus]]*TblMili[[#This Row],[Unit 4]]</f>
        <v>0</v>
      </c>
      <c r="CM50" s="163">
        <f ca="1">MIN(6,TblMili[[#This Row],[Dryad]]+Races!$F$35)*1.8 +  IF(TblMili[[#This Row],[Dryad]]+Races!$F$35&gt;6,(TblMili[[#This Row],[Dryad]]+Races!$F$35-6)*0.2,0) - Races!$I$19</f>
        <v>2.1599999999999993</v>
      </c>
      <c r="CN50" s="97">
        <f ca="1">sylvan*(TblMili[[#This Row],[Mystic bonus]]*TblMili[[#This Row],[Unit 3]])</f>
        <v>0</v>
      </c>
      <c r="CO50" s="163">
        <f ca="1">1.8 * MIN(MAX(Races!$E$27,TblMili[[#This Row],[Rockapult]]+Races!$F$27),6)  +  0.45 * MIN(MIN(Races!$E$27,TblMili[[#This Row],[Rockapult]]+Races!$F$27),6)  +  0.2 * ( MAX(Races!$E$27-6,0) + MAX(TblMili[[#This Row],[Rockapult]]+Races!$F$27-6,0) )  -  Races!$I$20</f>
        <v>5.8500000000000005</v>
      </c>
      <c r="CP50" s="97">
        <f ca="1">gnome*(TblMili[[#This Row],[Rockapult bonus]]*TblMili[[#This Row],[Unit 3]])</f>
        <v>0</v>
      </c>
      <c r="CQ50" s="163">
        <f ca="1">1.8 * MIN(MAX(TblMili[[#This Row],[Spellblade]]+Races!$E$47,TblMili[[#This Row],[Adept-DP]]+Races!$F$47),6)  +  0.45 * MIN(MIN(TblMili[[#This Row],[Spellblade]]+Races!$E$47,TblMili[[#This Row],[Adept-DP]]+Races!$F$47),6)  +  0.2 * ( MAX(TblMili[[#This Row],[Spellblade]]+Races!$E$47-6,0) + MAX(TblMili[[#This Row],[Adept-DP]]+Races!$F$47-6,0) )  -  Races!$I$47</f>
        <v>0</v>
      </c>
      <c r="CR50" s="97">
        <f ca="1">dark_elf*(TblMili[[#This Row],[Adept bonus]]*TblMili[[#This Row],[Unit 3]])</f>
        <v>0</v>
      </c>
      <c r="CS50" s="163">
        <f ca="1">1.8 * MIN(MAX(TblMili[[#This Row],[Frost Mage]]+Races!$F$71,Races!$E$71),6)  +  0.45 * MIN(MIN(TblMili[[#This Row],[Frost Mage]]+Races!$F$71,Races!$E$71),6)  +  0.2 * ( MAX(TblMili[[#This Row],[Frost Mage]]+Races!$F$71-6,0) + MAX(Races!$E$71-6,0) )  -  Races!$I$71</f>
        <v>3.9599999999999991</v>
      </c>
      <c r="CT50" s="163">
        <f ca="1">1.8 * MIN(MAX(TblMili[[#This Row],[Ice Elemental]]+Races!$E$71,Races!$F$71),6)  +  0.45 * MIN(MIN(TblMili[[#This Row],[Ice Elemental]]+Races!$E$71,Races!$F$71),6)  +  0.2 * ( MAX(TblMili[[#This Row],[Ice Elemental]]+Races!$E$71-6,0) + MAX(Races!$F$71-6,0) )  -  Races!$I$71</f>
        <v>0.17999999999999972</v>
      </c>
      <c r="CU50" s="97">
        <f ca="1">TblMili[[#This Row],[Frost Mage bonus]]*TblMili[[#This Row],[Unit 3]]+TblMili[[#This Row],[Ice Elemental bonus]]*TblMili[[#This Row],[Unit 4]]</f>
        <v>0</v>
      </c>
      <c r="CV50" s="273"/>
      <c r="CW50" s="151">
        <f ca="1">MIN(SUM(TblConstr[[#This Row],[Plain]:[Water]])/TblMili[[#This Row],[Land]]/favorable_terrain_bonus/100,favorable_terrain_max)</f>
        <v>0.1</v>
      </c>
      <c r="CX50" s="273"/>
      <c r="CY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50"/>
      <c r="DA50" s="274">
        <f ca="1">(TblMili[[#This Row],[Wizards]]+2*TblMili[[#This Row],[Archmages]])/TblConstr[[#This Row],[Land]]</f>
        <v>0.1</v>
      </c>
      <c r="DB50" s="274">
        <f ca="1">TblMili[[#This Row],[Raw (2)]]*(1+race_wizard_strength+IF(TblMili[[#This Row],[Hour]]&gt;72,tech_magical_weaponry_wiz*TblTech[[#This Row],[3-5]],0))</f>
        <v>0.1</v>
      </c>
    </row>
    <row r="51" spans="1:106" x14ac:dyDescent="0.2">
      <c r="A51" s="145">
        <f>TblRezone[[#This Row],[Hour]]</f>
        <v>48</v>
      </c>
      <c r="B51" s="266">
        <f ca="1">SUM(TblMili[[#This Row],[Unit 1]:[Archmages]])+SUM(OFFSET(TblMili[[#This Row],[Train Unit 1]],-8,0):TblMili[[#This Row],[Train Unit 2]]) + SUM(OFFSET(TblMili[[#This Row],[Train Unit 3]],-11,0):TblMili[[#This Row],[Train Arch]]) + TblMili[[#This Row],[Draftees]]</f>
        <v>826</v>
      </c>
      <c r="C51" s="165">
        <f ca="1">TblPop[[#This Row],[Military%]]</f>
        <v>0.35029686174724345</v>
      </c>
      <c r="D51" s="150"/>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f>
        <v>25</v>
      </c>
      <c r="J51" s="45">
        <f ca="1">OFFSET(TblMili[[#This Row],[Wizards]],-1,0) + OFFSET(TblMili[[#This Row],[Train Wiz]],-12,0) - TblMili[[#This Row],[Release Wizards]]-TblMili[[#This Row],[Train Arch]]</f>
        <v>25</v>
      </c>
      <c r="K51" s="45">
        <f ca="1">OFFSET(TblMili[[#This Row],[Archmages]],-1,0) + OFFSET(TblMili[[#This Row],[Train Arch]],-12,0) - TblMili[[#This Row],[Release Arch]]</f>
        <v>0</v>
      </c>
      <c r="L51" s="150"/>
      <c r="M51" s="97">
        <f ca="1">TblProd[[#This Row],[Networth]]</f>
        <v>6450</v>
      </c>
      <c r="N51" s="150"/>
      <c r="O51" s="267">
        <f ca="1">TblMili[[#This Row],[Unit 1]]*spec_op+TblMili[[#This Row],[Unit 3]]*(elite1_base_op)+TblMili[[#This Row],[Unit 4]]*(elite2_base_op+dark_elf*TblMili[[#This Row],[Spellblade]]+icekin*TblMili[[#This Row],[Ice Elemental]]+woodie*TblMili[[#This Row],[Druid (op)]]+orc*TblMili[[#This Row],[Orc]])+kobold*TblMili[[#This Row],[Overlords]]</f>
        <v>0</v>
      </c>
      <c r="P5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1" s="267">
        <f ca="1">TblMili[[#This Row],[Raw]]*(1+TblMili[[#This Row],[Mods_Off]])</f>
        <v>0</v>
      </c>
      <c r="R5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1" s="267">
        <f ca="1">TblMili[[#This Row],[Non Draft]]+TblMili[[#This Row],[Draftees]]</f>
        <v>1076</v>
      </c>
      <c r="T5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269">
        <f ca="1">TblMili[[#This Row],[Non Draft]] * (1 + TblMili[[#This Row],[Mods_Def]])</f>
        <v>450</v>
      </c>
      <c r="V51" s="267">
        <f ca="1">TblMili[[#This Row],[Draft]] * (1 + TblMili[[#This Row],[Mods_Def]])</f>
        <v>1076</v>
      </c>
      <c r="W51" s="267">
        <f ca="1">TblConstr[[#This Row],[Land]]</f>
        <v>250</v>
      </c>
      <c r="X51" s="270"/>
      <c r="Y51" s="275">
        <f ca="1">IF(TblMili[[#This Row],[Set]]&lt;&gt;"",TblMili[[#This Row],[Set]],OFFSET(TblMili[[#This Row],[Draftrate]],-1,0))</f>
        <v>0.35</v>
      </c>
      <c r="Z51" s="97">
        <f ca="1">OFFSET(TblMili[[#This Row],[Draftees]],-1,0)+OFFSET(TblPop[[#This Row],[Draft Growth]],-1,0) - SUM(TblMili[[#This Row],[Train Unit 1]:[Train Wiz]]) - TblMili[[#This Row],[Release Draft]] + SUM(TblMili[[#This Row],[Release Unit 1]:[Release Arch]]) -TblExplore[[#This Row],[Draftees (2)]]</f>
        <v>626</v>
      </c>
      <c r="AA51" s="162"/>
      <c r="AB51" s="188">
        <f ca="1">(TblConstr[[#This Row],[Tot Smi]]+TblConstr[[#This Row],[Dest Smi]])/(TblConstr[[#This Row],[Land]]-TblExplore[[#This Row],[Land Bonus]]*20)</f>
        <v>0</v>
      </c>
      <c r="AC51" s="145"/>
      <c r="AD51" s="266">
        <f>TblMili[[#This Row],[Hour]]</f>
        <v>48</v>
      </c>
      <c r="AE51" s="146">
        <f ca="1">TblExplore[[#This Row],[Time]]</f>
        <v>44812.708333333219</v>
      </c>
      <c r="AF51" s="187"/>
      <c r="AG51" s="187"/>
      <c r="AH51" s="187"/>
      <c r="AI51" s="187"/>
      <c r="AJ51" s="187"/>
      <c r="AK51" s="187"/>
      <c r="AL51" s="187"/>
      <c r="AM51" s="150"/>
      <c r="AN51" s="97">
        <f ca="1">TblProd[[#This Row],[Platinum]]</f>
        <v>358720</v>
      </c>
      <c r="AO51" s="97">
        <f ca="1">INDEX(TblProd[[#Headers],[Lumber]]:TblProd[[#This Row],[Ore]],COUNTA(TblProd[[#Headers],[Lumber]]:TblProd[[#This Row],[Lumber]]),MATCH(Military!$AO$2,TblProd[[#Headers],[Lumber]:[Ore]],0))</f>
        <v>0</v>
      </c>
      <c r="AP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97">
        <f ca="1">TblMili[[#This Row],[Train Unit 1]]*TblMili[[#This Row],[OP Ore]]+TblMili[[#This Row],[Train Unit 2]]*TblMili[[#This Row],[DP Ore]]+TblMili[[#This Row],[Train Unit 3]]*TblMili[[#This Row],[E1 Ore]]+TblMili[[#This Row],[Train Unit 4]]*TblMili[[#This Row],[E2 Ore]]</f>
        <v>0</v>
      </c>
      <c r="AR51" s="150">
        <f>TblMili[[#This Row],[Hour]]</f>
        <v>48</v>
      </c>
      <c r="AS51" s="160">
        <f ca="1">TblMili[[#This Row],[Time]]</f>
        <v>44812.708333333219</v>
      </c>
      <c r="AT51" s="97">
        <f ca="1">TblMili[[#This Row],[Draftees]]</f>
        <v>626</v>
      </c>
      <c r="AU51" s="187"/>
      <c r="AV51" s="187"/>
      <c r="AW51" s="187"/>
      <c r="AX51" s="187"/>
      <c r="AY51" s="187"/>
      <c r="AZ51" s="187"/>
      <c r="BA51" s="187"/>
      <c r="BB51" s="187"/>
      <c r="BC51" s="150"/>
      <c r="BD51" s="165">
        <f ca="1">TblConstr[[#This Row],[Tot WG]]/TblConstr[[#This Row],[Land]]</f>
        <v>0</v>
      </c>
      <c r="BE51" s="165">
        <f ca="1">TblConstr[[#This Row],[Tot Hav]]/TblConstr[[#This Row],[Land]]</f>
        <v>0</v>
      </c>
      <c r="BF51" s="97">
        <f ca="1">ROUNDUP((1-MIN(TblMili[[#This Row],[Smithies]]*smithy_bonus,smithy_bonus_cap) + tech_3_5*TblTech[[#This Row],[3-5]] + tech_5_3*TblTech[[#This Row],[5-3]] + tech_5_5*TblTech[[#This Row],[5-5]])*spec_op_plat,0)</f>
        <v>275</v>
      </c>
      <c r="BG51" s="97">
        <f ca="1">ROUNDUP(IF(race="Gnome",1,(1-MIN(TblMili[[#This Row],[Smithies]]*smithy_bonus,smithy_bonus_cap) + tech_3_5*TblTech[[#This Row],[3-5]] + tech_5_3*TblTech[[#This Row],[5-3]] + tech_5_5*TblTech[[#This Row],[5-5]]))*spec_op_ore,0)</f>
        <v>25</v>
      </c>
      <c r="BH51" s="97">
        <f ca="1">ROUNDUP((1-MIN(TblMili[[#This Row],[Smithies]]*smithy_bonus,smithy_bonus_cap) + tech_3_5*TblTech[[#This Row],[3-5]] + tech_5_3*TblTech[[#This Row],[5-3]] + tech_5_5*TblTech[[#This Row],[5-5]])*spec_dp_plat,0)</f>
        <v>275</v>
      </c>
      <c r="BI51" s="97">
        <f ca="1">ROUNDUP(IF(race="Gnome",1,(1-MIN(TblMili[[#This Row],[Smithies]]*smithy_bonus,smithy_bonus_cap) + tech_3_5*TblTech[[#This Row],[3-5]] + tech_5_3*TblTech[[#This Row],[5-3]] + tech_5_5*TblTech[[#This Row],[5-5]]))*spec_dp_ore,0)</f>
        <v>15</v>
      </c>
      <c r="BJ51" s="97">
        <f ca="1">ROUNDUP((1-MIN(TblMili[[#This Row],[Smithies]]*smithy_bonus,smithy_bonus_cap) + tech_3_5*TblTech[[#This Row],[3-5]] + tech_5_3*TblTech[[#This Row],[5-3]] + tech_5_5*TblTech[[#This Row],[5-5]])*elite1_plat,0)</f>
        <v>1000</v>
      </c>
      <c r="BK51" s="97">
        <f ca="1">ROUNDUP(IF(race="Gnome",1,(1-MIN(TblMili[[#This Row],[Smithies]]*smithy_bonus,smithy_bonus_cap) + tech_3_5*TblTech[[#This Row],[3-5]] + tech_5_3*TblTech[[#This Row],[5-3]] + tech_5_5*TblTech[[#This Row],[5-5]]))*elite1_ore,0)</f>
        <v>75</v>
      </c>
      <c r="BL51" s="97">
        <f ca="1">ROUNDUP((1-MIN(TblMili[[#This Row],[Smithies]]*smithy_bonus,smithy_bonus_cap) + tech_3_5*TblTech[[#This Row],[3-5]] + tech_5_3*TblTech[[#This Row],[5-3]] + tech_5_5*TblTech[[#This Row],[5-5]])*elite2_plat,0)</f>
        <v>1200</v>
      </c>
      <c r="BM51" s="97">
        <f ca="1">ROUNDUP(IF(race="Gnome",1,(1-MIN(TblMili[[#This Row],[Smithies]]*smithy_bonus,smithy_bonus_cap) + tech_3_5*TblTech[[#This Row],[3-5]] + tech_5_3*TblTech[[#This Row],[5-3]] + tech_5_5*TblTech[[#This Row],[5-5]]))*elite2_ore,0)</f>
        <v>100</v>
      </c>
      <c r="BN51" s="97">
        <f ca="1">ROUNDUP((1-MIN(ROUND(fh_spy_cost_red*TblMili[[#This Row],[FH''s]],4),fh_spy_cost_cap)+ tech_1_9*TblTech[[#This Row],[1-9]] + tech_9_1*TblTech[[#This Row],[9-1]])*spy_plat,0)</f>
        <v>500</v>
      </c>
      <c r="BO51" s="97">
        <f ca="1">ROUNDUP((1-MIN(ROUND(wg_wiz_cost_bonus*TblMili[[#This Row],[WG''s]],4),wg_wiz_cost_cap) + tech_1_9_2*TblTech[[#This Row],[1-9]] + tech_9_1_2*TblTech[[#This Row],[9-1]])*wizard_plat,0)</f>
        <v>500</v>
      </c>
      <c r="BP51" s="97">
        <f ca="1">ROUNDUP((1-MIN(ROUND(wg_wiz_cost_bonus*TblMili[[#This Row],[WG''s]],4),wg_wiz_cost_cap) + tech_1_9_2*TblTech[[#This Row],[1-9]] + tech_9_1_2*TblTech[[#This Row],[9-1]])*archmage_plat,0)</f>
        <v>1000</v>
      </c>
      <c r="BQ51" s="150"/>
      <c r="BR51" s="165">
        <f ca="1">TblConstr[[#This Row],[Homeland]]/TblConstr[[#This Row],[Land]]</f>
        <v>0.44</v>
      </c>
      <c r="BS51" s="165">
        <f ca="1">TblMili[[#This Row],[WG''s]]</f>
        <v>0</v>
      </c>
      <c r="BT51" s="271">
        <f ca="1">IF(mystic_cap="none",TblMili[[#This Row],[Hill]]/mystic_bonus,MIN(mystic_cap,TblMili[[#This Row],[Hill]]/mystic_bonus))</f>
        <v>2.1999999999999997</v>
      </c>
      <c r="BU51" s="271">
        <f ca="1">IF(druid_op_cap="none",TblMili[[#This Row],[Hill]]/druid_op_bonus,MIN(druid_op_cap,TblMili[[#This Row],[Hill]]/druid_op_bonus))</f>
        <v>2.1999999999999997</v>
      </c>
      <c r="BV51" s="271">
        <f ca="1">IF(druid_dp_cap="none",TblMili[[#This Row],[Hill]]/druid_dp_bonus,MIN(druid_dp_cap,TblMili[[#This Row],[Hill]]/druid_dp_bonus))</f>
        <v>2.1999999999999997</v>
      </c>
      <c r="BW51" s="271">
        <f ca="1">MIN(dryad_cap,TblMili[[#This Row],[Hill]]/dryad_bonus)</f>
        <v>2.1999999999999997</v>
      </c>
      <c r="BX51" s="271">
        <f ca="1">MIN(rocka_cap,TblMili[[#This Row],[Hill]]/rocka_bonus)</f>
        <v>2</v>
      </c>
      <c r="BY51" s="271">
        <f ca="1">MIN(adept_op_cap,TblMili[[#This Row],[WG]]/adept_op_bonus)</f>
        <v>0</v>
      </c>
      <c r="BZ51" s="271">
        <f ca="1">MIN(adept_dp_cap,TblMili[[#This Row],[WG]]/adept_dp_bonus)</f>
        <v>0</v>
      </c>
      <c r="CA51" s="97">
        <f ca="1">MIN(TblMili[[#This Row],[Unit 3]],TblMili[[#This Row],[Unit 4]])*2</f>
        <v>0</v>
      </c>
      <c r="CB51" s="97">
        <f ca="1">MIN(TblMili[[#This Row],[Unit 1]],TblMili[[#This Row],[Unit 4]])*2</f>
        <v>0</v>
      </c>
      <c r="CC51" s="271">
        <f ca="1">MIN(frost_mage_cap,TblMili[[#This Row],[Hill]]/frost_mage_bonus)</f>
        <v>2.1999999999999997</v>
      </c>
      <c r="CD51" s="45">
        <f ca="1">MIN(ice_elem_cap,TblMili[[#This Row],[Raw (2)]]*ice_elem_bonus)</f>
        <v>0.1</v>
      </c>
      <c r="CE51" s="271">
        <f t="shared" si="2"/>
        <v>1</v>
      </c>
      <c r="CF51" s="271">
        <f ca="1">MIN(nox_nightshade_cap,TblConstr[[#This Row],[Homeland]]/TblConstr[[#This Row],[Land]]/nox_nightshade_swamp_bonus)</f>
        <v>3</v>
      </c>
      <c r="CG51" s="272"/>
      <c r="CH51" s="272"/>
      <c r="CI51" s="272"/>
      <c r="CJ51" s="271">
        <f ca="1">MIN(6,TblMili[[#This Row],[Mystic]]+Races!$F$19)*1.8 +  IF(TblMili[[#This Row],[Mystic]]+Races!$F$19&gt;6,(TblMili[[#This Row],[Mystic]]+Races!$F$19-6)*0.2,0) - Races!$I$19</f>
        <v>3.6399999999999997</v>
      </c>
      <c r="CK5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97">
        <f ca="1">TblMili[[#This Row],[Mystic bonus]]*TblMili[[#This Row],[Unit 3]]+TblMili[[#This Row],[Druid bonus]]*TblMili[[#This Row],[Unit 4]]</f>
        <v>0</v>
      </c>
      <c r="CM51" s="163">
        <f ca="1">MIN(6,TblMili[[#This Row],[Dryad]]+Races!$F$35)*1.8 +  IF(TblMili[[#This Row],[Dryad]]+Races!$F$35&gt;6,(TblMili[[#This Row],[Dryad]]+Races!$F$35-6)*0.2,0) - Races!$I$19</f>
        <v>2.1599999999999993</v>
      </c>
      <c r="CN51" s="97">
        <f ca="1">sylvan*(TblMili[[#This Row],[Mystic bonus]]*TblMili[[#This Row],[Unit 3]])</f>
        <v>0</v>
      </c>
      <c r="CO51" s="163">
        <f ca="1">1.8 * MIN(MAX(Races!$E$27,TblMili[[#This Row],[Rockapult]]+Races!$F$27),6)  +  0.45 * MIN(MIN(Races!$E$27,TblMili[[#This Row],[Rockapult]]+Races!$F$27),6)  +  0.2 * ( MAX(Races!$E$27-6,0) + MAX(TblMili[[#This Row],[Rockapult]]+Races!$F$27-6,0) )  -  Races!$I$20</f>
        <v>5.8500000000000005</v>
      </c>
      <c r="CP51" s="97">
        <f ca="1">gnome*(TblMili[[#This Row],[Rockapult bonus]]*TblMili[[#This Row],[Unit 3]])</f>
        <v>0</v>
      </c>
      <c r="CQ51" s="163">
        <f ca="1">1.8 * MIN(MAX(TblMili[[#This Row],[Spellblade]]+Races!$E$47,TblMili[[#This Row],[Adept-DP]]+Races!$F$47),6)  +  0.45 * MIN(MIN(TblMili[[#This Row],[Spellblade]]+Races!$E$47,TblMili[[#This Row],[Adept-DP]]+Races!$F$47),6)  +  0.2 * ( MAX(TblMili[[#This Row],[Spellblade]]+Races!$E$47-6,0) + MAX(TblMili[[#This Row],[Adept-DP]]+Races!$F$47-6,0) )  -  Races!$I$47</f>
        <v>0</v>
      </c>
      <c r="CR51" s="97">
        <f ca="1">dark_elf*(TblMili[[#This Row],[Adept bonus]]*TblMili[[#This Row],[Unit 3]])</f>
        <v>0</v>
      </c>
      <c r="CS51" s="163">
        <f ca="1">1.8 * MIN(MAX(TblMili[[#This Row],[Frost Mage]]+Races!$F$71,Races!$E$71),6)  +  0.45 * MIN(MIN(TblMili[[#This Row],[Frost Mage]]+Races!$F$71,Races!$E$71),6)  +  0.2 * ( MAX(TblMili[[#This Row],[Frost Mage]]+Races!$F$71-6,0) + MAX(Races!$E$71-6,0) )  -  Races!$I$71</f>
        <v>3.9599999999999991</v>
      </c>
      <c r="CT51" s="163">
        <f ca="1">1.8 * MIN(MAX(TblMili[[#This Row],[Ice Elemental]]+Races!$E$71,Races!$F$71),6)  +  0.45 * MIN(MIN(TblMili[[#This Row],[Ice Elemental]]+Races!$E$71,Races!$F$71),6)  +  0.2 * ( MAX(TblMili[[#This Row],[Ice Elemental]]+Races!$E$71-6,0) + MAX(Races!$F$71-6,0) )  -  Races!$I$71</f>
        <v>0.17999999999999972</v>
      </c>
      <c r="CU51" s="97">
        <f ca="1">TblMili[[#This Row],[Frost Mage bonus]]*TblMili[[#This Row],[Unit 3]]+TblMili[[#This Row],[Ice Elemental bonus]]*TblMili[[#This Row],[Unit 4]]</f>
        <v>0</v>
      </c>
      <c r="CV51" s="273"/>
      <c r="CW51" s="151">
        <f ca="1">MIN(SUM(TblConstr[[#This Row],[Plain]:[Water]])/TblMili[[#This Row],[Land]]/favorable_terrain_bonus/100,favorable_terrain_max)</f>
        <v>0.1</v>
      </c>
      <c r="CX51" s="273"/>
      <c r="CY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50"/>
      <c r="DA51" s="274">
        <f ca="1">(TblMili[[#This Row],[Wizards]]+2*TblMili[[#This Row],[Archmages]])/TblConstr[[#This Row],[Land]]</f>
        <v>0.1</v>
      </c>
      <c r="DB51" s="274">
        <f ca="1">TblMili[[#This Row],[Raw (2)]]*(1+race_wizard_strength+IF(TblMili[[#This Row],[Hour]]&gt;72,tech_magical_weaponry_wiz*TblTech[[#This Row],[3-5]],0))</f>
        <v>0.1</v>
      </c>
    </row>
    <row r="52" spans="1:106" x14ac:dyDescent="0.2">
      <c r="A52" s="145">
        <f>TblRezone[[#This Row],[Hour]]</f>
        <v>49</v>
      </c>
      <c r="B52" s="266">
        <f ca="1">SUM(TblMili[[#This Row],[Unit 1]:[Archmages]])+SUM(OFFSET(TblMili[[#This Row],[Train Unit 1]],-8,0):TblMili[[#This Row],[Train Unit 2]]) + SUM(OFFSET(TblMili[[#This Row],[Train Unit 3]],-11,0):TblMili[[#This Row],[Train Arch]]) + TblMili[[#This Row],[Draftees]]</f>
        <v>826</v>
      </c>
      <c r="C52" s="165">
        <f ca="1">TblPop[[#This Row],[Military%]]</f>
        <v>0.35029686174724345</v>
      </c>
      <c r="D52" s="150"/>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f>
        <v>25</v>
      </c>
      <c r="J52" s="45">
        <f ca="1">OFFSET(TblMili[[#This Row],[Wizards]],-1,0) + OFFSET(TblMili[[#This Row],[Train Wiz]],-12,0) - TblMili[[#This Row],[Release Wizards]]-TblMili[[#This Row],[Train Arch]]</f>
        <v>25</v>
      </c>
      <c r="K52" s="45">
        <f ca="1">OFFSET(TblMili[[#This Row],[Archmages]],-1,0) + OFFSET(TblMili[[#This Row],[Train Arch]],-12,0) - TblMili[[#This Row],[Release Arch]]</f>
        <v>0</v>
      </c>
      <c r="L52" s="150"/>
      <c r="M52" s="97">
        <f ca="1">TblProd[[#This Row],[Networth]]</f>
        <v>6450</v>
      </c>
      <c r="N52" s="150"/>
      <c r="O52" s="267">
        <f ca="1">TblMili[[#This Row],[Unit 1]]*spec_op+TblMili[[#This Row],[Unit 3]]*(elite1_base_op)+TblMili[[#This Row],[Unit 4]]*(elite2_base_op+dark_elf*TblMili[[#This Row],[Spellblade]]+icekin*TblMili[[#This Row],[Ice Elemental]]+woodie*TblMili[[#This Row],[Druid (op)]]+orc*TblMili[[#This Row],[Orc]])+kobold*TblMili[[#This Row],[Overlords]]</f>
        <v>0</v>
      </c>
      <c r="P5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2" s="267">
        <f ca="1">TblMili[[#This Row],[Raw]]*(1+TblMili[[#This Row],[Mods_Off]])</f>
        <v>0</v>
      </c>
      <c r="R5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2" s="267">
        <f ca="1">TblMili[[#This Row],[Non Draft]]+TblMili[[#This Row],[Draftees]]</f>
        <v>1076</v>
      </c>
      <c r="T5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269">
        <f ca="1">TblMili[[#This Row],[Non Draft]] * (1 + TblMili[[#This Row],[Mods_Def]])</f>
        <v>450</v>
      </c>
      <c r="V52" s="267">
        <f ca="1">TblMili[[#This Row],[Draft]] * (1 + TblMili[[#This Row],[Mods_Def]])</f>
        <v>1076</v>
      </c>
      <c r="W52" s="267">
        <f ca="1">TblConstr[[#This Row],[Land]]</f>
        <v>250</v>
      </c>
      <c r="X52" s="270"/>
      <c r="Y52" s="275">
        <f ca="1">IF(TblMili[[#This Row],[Set]]&lt;&gt;"",TblMili[[#This Row],[Set]],OFFSET(TblMili[[#This Row],[Draftrate]],-1,0))</f>
        <v>0.35</v>
      </c>
      <c r="Z52" s="97">
        <f ca="1">OFFSET(TblMili[[#This Row],[Draftees]],-1,0)+OFFSET(TblPop[[#This Row],[Draft Growth]],-1,0) - SUM(TblMili[[#This Row],[Train Unit 1]:[Train Wiz]]) - TblMili[[#This Row],[Release Draft]] + SUM(TblMili[[#This Row],[Release Unit 1]:[Release Arch]]) -TblExplore[[#This Row],[Draftees (2)]]</f>
        <v>626</v>
      </c>
      <c r="AA52" s="162"/>
      <c r="AB52" s="188">
        <f ca="1">(TblConstr[[#This Row],[Tot Smi]]+TblConstr[[#This Row],[Dest Smi]])/(TblConstr[[#This Row],[Land]]-TblExplore[[#This Row],[Land Bonus]]*20)</f>
        <v>0</v>
      </c>
      <c r="AC52" s="276"/>
      <c r="AD52" s="277">
        <f>TblMili[[#This Row],[Hour]]</f>
        <v>49</v>
      </c>
      <c r="AE52" s="146">
        <f ca="1">TblExplore[[#This Row],[Time]]</f>
        <v>44812.749999999884</v>
      </c>
      <c r="AF52" s="187"/>
      <c r="AG52" s="187"/>
      <c r="AH52" s="187"/>
      <c r="AI52" s="187"/>
      <c r="AJ52" s="187"/>
      <c r="AK52" s="187"/>
      <c r="AL52" s="187"/>
      <c r="AM52" s="150"/>
      <c r="AN52" s="97">
        <f ca="1">TblProd[[#This Row],[Platinum]]</f>
        <v>364206</v>
      </c>
      <c r="AO52" s="97">
        <f ca="1">INDEX(TblProd[[#Headers],[Lumber]]:TblProd[[#This Row],[Ore]],COUNTA(TblProd[[#Headers],[Lumber]]:TblProd[[#This Row],[Lumber]]),MATCH(Military!$AO$2,TblProd[[#Headers],[Lumber]:[Ore]],0))</f>
        <v>0</v>
      </c>
      <c r="AP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97">
        <f ca="1">TblMili[[#This Row],[Train Unit 1]]*TblMili[[#This Row],[OP Ore]]+TblMili[[#This Row],[Train Unit 2]]*TblMili[[#This Row],[DP Ore]]+TblMili[[#This Row],[Train Unit 3]]*TblMili[[#This Row],[E1 Ore]]+TblMili[[#This Row],[Train Unit 4]]*TblMili[[#This Row],[E2 Ore]]</f>
        <v>0</v>
      </c>
      <c r="AR52" s="150">
        <f>TblMili[[#This Row],[Hour]]</f>
        <v>49</v>
      </c>
      <c r="AS52" s="160">
        <f ca="1">TblMili[[#This Row],[Time]]</f>
        <v>44812.749999999884</v>
      </c>
      <c r="AT52" s="97">
        <f ca="1">TblMili[[#This Row],[Draftees]]</f>
        <v>626</v>
      </c>
      <c r="AU52" s="187"/>
      <c r="AV52" s="187"/>
      <c r="AW52" s="187"/>
      <c r="AX52" s="187"/>
      <c r="AY52" s="187"/>
      <c r="AZ52" s="187"/>
      <c r="BA52" s="187"/>
      <c r="BB52" s="187"/>
      <c r="BC52" s="150"/>
      <c r="BD52" s="165">
        <f ca="1">TblConstr[[#This Row],[Tot WG]]/TblConstr[[#This Row],[Land]]</f>
        <v>0</v>
      </c>
      <c r="BE52" s="165">
        <f ca="1">TblConstr[[#This Row],[Tot Hav]]/TblConstr[[#This Row],[Land]]</f>
        <v>0</v>
      </c>
      <c r="BF52" s="97">
        <f ca="1">ROUNDUP((1-MIN(TblMili[[#This Row],[Smithies]]*smithy_bonus,smithy_bonus_cap) + tech_3_5*TblTech[[#This Row],[3-5]] + tech_5_3*TblTech[[#This Row],[5-3]] + tech_5_5*TblTech[[#This Row],[5-5]])*spec_op_plat,0)</f>
        <v>275</v>
      </c>
      <c r="BG52" s="97">
        <f ca="1">ROUNDUP(IF(race="Gnome",1,(1-MIN(TblMili[[#This Row],[Smithies]]*smithy_bonus,smithy_bonus_cap) + tech_3_5*TblTech[[#This Row],[3-5]] + tech_5_3*TblTech[[#This Row],[5-3]] + tech_5_5*TblTech[[#This Row],[5-5]]))*spec_op_ore,0)</f>
        <v>25</v>
      </c>
      <c r="BH52" s="97">
        <f ca="1">ROUNDUP((1-MIN(TblMili[[#This Row],[Smithies]]*smithy_bonus,smithy_bonus_cap) + tech_3_5*TblTech[[#This Row],[3-5]] + tech_5_3*TblTech[[#This Row],[5-3]] + tech_5_5*TblTech[[#This Row],[5-5]])*spec_dp_plat,0)</f>
        <v>275</v>
      </c>
      <c r="BI52" s="97">
        <f ca="1">ROUNDUP(IF(race="Gnome",1,(1-MIN(TblMili[[#This Row],[Smithies]]*smithy_bonus,smithy_bonus_cap) + tech_3_5*TblTech[[#This Row],[3-5]] + tech_5_3*TblTech[[#This Row],[5-3]] + tech_5_5*TblTech[[#This Row],[5-5]]))*spec_dp_ore,0)</f>
        <v>15</v>
      </c>
      <c r="BJ52" s="97">
        <f ca="1">ROUNDUP((1-MIN(TblMili[[#This Row],[Smithies]]*smithy_bonus,smithy_bonus_cap) + tech_3_5*TblTech[[#This Row],[3-5]] + tech_5_3*TblTech[[#This Row],[5-3]] + tech_5_5*TblTech[[#This Row],[5-5]])*elite1_plat,0)</f>
        <v>1000</v>
      </c>
      <c r="BK52" s="97">
        <f ca="1">ROUNDUP(IF(race="Gnome",1,(1-MIN(TblMili[[#This Row],[Smithies]]*smithy_bonus,smithy_bonus_cap) + tech_3_5*TblTech[[#This Row],[3-5]] + tech_5_3*TblTech[[#This Row],[5-3]] + tech_5_5*TblTech[[#This Row],[5-5]]))*elite1_ore,0)</f>
        <v>75</v>
      </c>
      <c r="BL52" s="97">
        <f ca="1">ROUNDUP((1-MIN(TblMili[[#This Row],[Smithies]]*smithy_bonus,smithy_bonus_cap) + tech_3_5*TblTech[[#This Row],[3-5]] + tech_5_3*TblTech[[#This Row],[5-3]] + tech_5_5*TblTech[[#This Row],[5-5]])*elite2_plat,0)</f>
        <v>1200</v>
      </c>
      <c r="BM52" s="97">
        <f ca="1">ROUNDUP(IF(race="Gnome",1,(1-MIN(TblMili[[#This Row],[Smithies]]*smithy_bonus,smithy_bonus_cap) + tech_3_5*TblTech[[#This Row],[3-5]] + tech_5_3*TblTech[[#This Row],[5-3]] + tech_5_5*TblTech[[#This Row],[5-5]]))*elite2_ore,0)</f>
        <v>100</v>
      </c>
      <c r="BN52" s="97">
        <f ca="1">ROUNDUP((1-MIN(ROUND(fh_spy_cost_red*TblMili[[#This Row],[FH''s]],4),fh_spy_cost_cap)+ tech_1_9*TblTech[[#This Row],[1-9]] + tech_9_1*TblTech[[#This Row],[9-1]])*spy_plat,0)</f>
        <v>500</v>
      </c>
      <c r="BO52" s="97">
        <f ca="1">ROUNDUP((1-MIN(ROUND(wg_wiz_cost_bonus*TblMili[[#This Row],[WG''s]],4),wg_wiz_cost_cap) + tech_1_9_2*TblTech[[#This Row],[1-9]] + tech_9_1_2*TblTech[[#This Row],[9-1]])*wizard_plat,0)</f>
        <v>500</v>
      </c>
      <c r="BP52" s="97">
        <f ca="1">ROUNDUP((1-MIN(ROUND(wg_wiz_cost_bonus*TblMili[[#This Row],[WG''s]],4),wg_wiz_cost_cap) + tech_1_9_2*TblTech[[#This Row],[1-9]] + tech_9_1_2*TblTech[[#This Row],[9-1]])*archmage_plat,0)</f>
        <v>1000</v>
      </c>
      <c r="BQ52" s="150"/>
      <c r="BR52" s="165">
        <f ca="1">TblConstr[[#This Row],[Homeland]]/TblConstr[[#This Row],[Land]]</f>
        <v>0.44</v>
      </c>
      <c r="BS52" s="165">
        <f ca="1">TblMili[[#This Row],[WG''s]]</f>
        <v>0</v>
      </c>
      <c r="BT52" s="271">
        <f ca="1">IF(mystic_cap="none",TblMili[[#This Row],[Hill]]/mystic_bonus,MIN(mystic_cap,TblMili[[#This Row],[Hill]]/mystic_bonus))</f>
        <v>2.1999999999999997</v>
      </c>
      <c r="BU52" s="271">
        <f ca="1">IF(druid_op_cap="none",TblMili[[#This Row],[Hill]]/druid_op_bonus,MIN(druid_op_cap,TblMili[[#This Row],[Hill]]/druid_op_bonus))</f>
        <v>2.1999999999999997</v>
      </c>
      <c r="BV52" s="271">
        <f ca="1">IF(druid_dp_cap="none",TblMili[[#This Row],[Hill]]/druid_dp_bonus,MIN(druid_dp_cap,TblMili[[#This Row],[Hill]]/druid_dp_bonus))</f>
        <v>2.1999999999999997</v>
      </c>
      <c r="BW52" s="271">
        <f ca="1">MIN(dryad_cap,TblMili[[#This Row],[Hill]]/dryad_bonus)</f>
        <v>2.1999999999999997</v>
      </c>
      <c r="BX52" s="271">
        <f ca="1">MIN(rocka_cap,TblMili[[#This Row],[Hill]]/rocka_bonus)</f>
        <v>2</v>
      </c>
      <c r="BY52" s="271">
        <f ca="1">MIN(adept_op_cap,TblMili[[#This Row],[WG]]/adept_op_bonus)</f>
        <v>0</v>
      </c>
      <c r="BZ52" s="271">
        <f ca="1">MIN(adept_dp_cap,TblMili[[#This Row],[WG]]/adept_dp_bonus)</f>
        <v>0</v>
      </c>
      <c r="CA52" s="97">
        <f ca="1">MIN(TblMili[[#This Row],[Unit 3]],TblMili[[#This Row],[Unit 4]])*2</f>
        <v>0</v>
      </c>
      <c r="CB52" s="97">
        <f ca="1">MIN(TblMili[[#This Row],[Unit 1]],TblMili[[#This Row],[Unit 4]])*2</f>
        <v>0</v>
      </c>
      <c r="CC52" s="271">
        <f ca="1">MIN(frost_mage_cap,TblMili[[#This Row],[Hill]]/frost_mage_bonus)</f>
        <v>2.1999999999999997</v>
      </c>
      <c r="CD52" s="45">
        <f ca="1">MIN(ice_elem_cap,TblMili[[#This Row],[Raw (2)]]*ice_elem_bonus)</f>
        <v>0.1</v>
      </c>
      <c r="CE52" s="271">
        <f t="shared" si="2"/>
        <v>1</v>
      </c>
      <c r="CF52" s="271">
        <f ca="1">MIN(nox_nightshade_cap,TblConstr[[#This Row],[Homeland]]/TblConstr[[#This Row],[Land]]/nox_nightshade_swamp_bonus)</f>
        <v>3</v>
      </c>
      <c r="CG52" s="272"/>
      <c r="CH52" s="272"/>
      <c r="CI52" s="272"/>
      <c r="CJ52" s="271">
        <f ca="1">MIN(6,TblMili[[#This Row],[Mystic]]+Races!$F$19)*1.8 +  IF(TblMili[[#This Row],[Mystic]]+Races!$F$19&gt;6,(TblMili[[#This Row],[Mystic]]+Races!$F$19-6)*0.2,0) - Races!$I$19</f>
        <v>3.6399999999999997</v>
      </c>
      <c r="CK5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97">
        <f ca="1">TblMili[[#This Row],[Mystic bonus]]*TblMili[[#This Row],[Unit 3]]+TblMili[[#This Row],[Druid bonus]]*TblMili[[#This Row],[Unit 4]]</f>
        <v>0</v>
      </c>
      <c r="CM52" s="163">
        <f ca="1">MIN(6,TblMili[[#This Row],[Dryad]]+Races!$F$35)*1.8 +  IF(TblMili[[#This Row],[Dryad]]+Races!$F$35&gt;6,(TblMili[[#This Row],[Dryad]]+Races!$F$35-6)*0.2,0) - Races!$I$19</f>
        <v>2.1599999999999993</v>
      </c>
      <c r="CN52" s="97">
        <f ca="1">sylvan*(TblMili[[#This Row],[Mystic bonus]]*TblMili[[#This Row],[Unit 3]])</f>
        <v>0</v>
      </c>
      <c r="CO52" s="163">
        <f ca="1">1.8 * MIN(MAX(Races!$E$27,TblMili[[#This Row],[Rockapult]]+Races!$F$27),6)  +  0.45 * MIN(MIN(Races!$E$27,TblMili[[#This Row],[Rockapult]]+Races!$F$27),6)  +  0.2 * ( MAX(Races!$E$27-6,0) + MAX(TblMili[[#This Row],[Rockapult]]+Races!$F$27-6,0) )  -  Races!$I$20</f>
        <v>5.8500000000000005</v>
      </c>
      <c r="CP52" s="97">
        <f ca="1">gnome*(TblMili[[#This Row],[Rockapult bonus]]*TblMili[[#This Row],[Unit 3]])</f>
        <v>0</v>
      </c>
      <c r="CQ52" s="163">
        <f ca="1">1.8 * MIN(MAX(TblMili[[#This Row],[Spellblade]]+Races!$E$47,TblMili[[#This Row],[Adept-DP]]+Races!$F$47),6)  +  0.45 * MIN(MIN(TblMili[[#This Row],[Spellblade]]+Races!$E$47,TblMili[[#This Row],[Adept-DP]]+Races!$F$47),6)  +  0.2 * ( MAX(TblMili[[#This Row],[Spellblade]]+Races!$E$47-6,0) + MAX(TblMili[[#This Row],[Adept-DP]]+Races!$F$47-6,0) )  -  Races!$I$47</f>
        <v>0</v>
      </c>
      <c r="CR52" s="97">
        <f ca="1">dark_elf*(TblMili[[#This Row],[Adept bonus]]*TblMili[[#This Row],[Unit 3]])</f>
        <v>0</v>
      </c>
      <c r="CS52" s="163">
        <f ca="1">1.8 * MIN(MAX(TblMili[[#This Row],[Frost Mage]]+Races!$F$71,Races!$E$71),6)  +  0.45 * MIN(MIN(TblMili[[#This Row],[Frost Mage]]+Races!$F$71,Races!$E$71),6)  +  0.2 * ( MAX(TblMili[[#This Row],[Frost Mage]]+Races!$F$71-6,0) + MAX(Races!$E$71-6,0) )  -  Races!$I$71</f>
        <v>3.9599999999999991</v>
      </c>
      <c r="CT52" s="163">
        <f ca="1">1.8 * MIN(MAX(TblMili[[#This Row],[Ice Elemental]]+Races!$E$71,Races!$F$71),6)  +  0.45 * MIN(MIN(TblMili[[#This Row],[Ice Elemental]]+Races!$E$71,Races!$F$71),6)  +  0.2 * ( MAX(TblMili[[#This Row],[Ice Elemental]]+Races!$E$71-6,0) + MAX(Races!$F$71-6,0) )  -  Races!$I$71</f>
        <v>0.17999999999999972</v>
      </c>
      <c r="CU52" s="97">
        <f ca="1">TblMili[[#This Row],[Frost Mage bonus]]*TblMili[[#This Row],[Unit 3]]+TblMili[[#This Row],[Ice Elemental bonus]]*TblMili[[#This Row],[Unit 4]]</f>
        <v>0</v>
      </c>
      <c r="CV52" s="273"/>
      <c r="CW52" s="151">
        <f ca="1">MIN(SUM(TblConstr[[#This Row],[Plain]:[Water]])/TblMili[[#This Row],[Land]]/favorable_terrain_bonus/100,favorable_terrain_max)</f>
        <v>0.1</v>
      </c>
      <c r="CX52" s="273"/>
      <c r="CY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50"/>
      <c r="DA52" s="274">
        <f ca="1">(TblMili[[#This Row],[Wizards]]+2*TblMili[[#This Row],[Archmages]])/TblConstr[[#This Row],[Land]]</f>
        <v>0.1</v>
      </c>
      <c r="DB52" s="274">
        <f ca="1">TblMili[[#This Row],[Raw (2)]]*(1+race_wizard_strength+IF(TblMili[[#This Row],[Hour]]&gt;72,tech_magical_weaponry_wiz*TblTech[[#This Row],[3-5]],0))</f>
        <v>0.1</v>
      </c>
    </row>
    <row r="53" spans="1:106" x14ac:dyDescent="0.2">
      <c r="A53" s="145">
        <f>TblRezone[[#This Row],[Hour]]</f>
        <v>50</v>
      </c>
      <c r="B53" s="266">
        <f ca="1">SUM(TblMili[[#This Row],[Unit 1]:[Archmages]])+SUM(OFFSET(TblMili[[#This Row],[Train Unit 1]],-8,0):TblMili[[#This Row],[Train Unit 2]]) + SUM(OFFSET(TblMili[[#This Row],[Train Unit 3]],-11,0):TblMili[[#This Row],[Train Arch]]) + TblMili[[#This Row],[Draftees]]</f>
        <v>826</v>
      </c>
      <c r="C53" s="165">
        <f ca="1">TblPop[[#This Row],[Military%]]</f>
        <v>0.35029686174724345</v>
      </c>
      <c r="D53" s="150"/>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f>
        <v>25</v>
      </c>
      <c r="J53" s="45">
        <f ca="1">OFFSET(TblMili[[#This Row],[Wizards]],-1,0) + OFFSET(TblMili[[#This Row],[Train Wiz]],-12,0) - TblMili[[#This Row],[Release Wizards]]-TblMili[[#This Row],[Train Arch]]</f>
        <v>25</v>
      </c>
      <c r="K53" s="45">
        <f ca="1">OFFSET(TblMili[[#This Row],[Archmages]],-1,0) + OFFSET(TblMili[[#This Row],[Train Arch]],-12,0) - TblMili[[#This Row],[Release Arch]]</f>
        <v>0</v>
      </c>
      <c r="L53" s="150"/>
      <c r="M53" s="97">
        <f ca="1">TblProd[[#This Row],[Networth]]</f>
        <v>6450</v>
      </c>
      <c r="N53" s="150"/>
      <c r="O53" s="267">
        <f ca="1">TblMili[[#This Row],[Unit 1]]*spec_op+TblMili[[#This Row],[Unit 3]]*(elite1_base_op)+TblMili[[#This Row],[Unit 4]]*(elite2_base_op+dark_elf*TblMili[[#This Row],[Spellblade]]+icekin*TblMili[[#This Row],[Ice Elemental]]+woodie*TblMili[[#This Row],[Druid (op)]]+orc*TblMili[[#This Row],[Orc]])+kobold*TblMili[[#This Row],[Overlords]]</f>
        <v>0</v>
      </c>
      <c r="P5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3" s="267">
        <f ca="1">TblMili[[#This Row],[Raw]]*(1+TblMili[[#This Row],[Mods_Off]])</f>
        <v>0</v>
      </c>
      <c r="R5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3" s="267">
        <f ca="1">TblMili[[#This Row],[Non Draft]]+TblMili[[#This Row],[Draftees]]</f>
        <v>1076</v>
      </c>
      <c r="T5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269">
        <f ca="1">TblMili[[#This Row],[Non Draft]] * (1 + TblMili[[#This Row],[Mods_Def]])</f>
        <v>450</v>
      </c>
      <c r="V53" s="267">
        <f ca="1">TblMili[[#This Row],[Draft]] * (1 + TblMili[[#This Row],[Mods_Def]])</f>
        <v>1076</v>
      </c>
      <c r="W53" s="267">
        <f ca="1">TblConstr[[#This Row],[Land]]</f>
        <v>250</v>
      </c>
      <c r="X53" s="270"/>
      <c r="Y53" s="275">
        <f ca="1">IF(TblMili[[#This Row],[Set]]&lt;&gt;"",TblMili[[#This Row],[Set]],OFFSET(TblMili[[#This Row],[Draftrate]],-1,0))</f>
        <v>0.35</v>
      </c>
      <c r="Z53" s="97">
        <f ca="1">OFFSET(TblMili[[#This Row],[Draftees]],-1,0)+OFFSET(TblPop[[#This Row],[Draft Growth]],-1,0) - SUM(TblMili[[#This Row],[Train Unit 1]:[Train Wiz]]) - TblMili[[#This Row],[Release Draft]] + SUM(TblMili[[#This Row],[Release Unit 1]:[Release Arch]]) -TblExplore[[#This Row],[Draftees (2)]]</f>
        <v>626</v>
      </c>
      <c r="AA53" s="162"/>
      <c r="AB53" s="188">
        <f ca="1">(TblConstr[[#This Row],[Tot Smi]]+TblConstr[[#This Row],[Dest Smi]])/(TblConstr[[#This Row],[Land]]-TblExplore[[#This Row],[Land Bonus]]*20)</f>
        <v>0</v>
      </c>
      <c r="AC53" s="145"/>
      <c r="AD53" s="266">
        <f>TblMili[[#This Row],[Hour]]</f>
        <v>50</v>
      </c>
      <c r="AE53" s="146">
        <f ca="1">TblExplore[[#This Row],[Time]]</f>
        <v>44812.791666666548</v>
      </c>
      <c r="AF53" s="166"/>
      <c r="AG53" s="187"/>
      <c r="AH53" s="166"/>
      <c r="AI53" s="187"/>
      <c r="AJ53" s="187"/>
      <c r="AK53" s="187"/>
      <c r="AL53" s="187"/>
      <c r="AM53" s="150"/>
      <c r="AN53" s="97">
        <f ca="1">TblProd[[#This Row],[Platinum]]</f>
        <v>369692</v>
      </c>
      <c r="AO53" s="97">
        <f ca="1">INDEX(TblProd[[#Headers],[Lumber]]:TblProd[[#This Row],[Ore]],COUNTA(TblProd[[#Headers],[Lumber]]:TblProd[[#This Row],[Lumber]]),MATCH(Military!$AO$2,TblProd[[#Headers],[Lumber]:[Ore]],0))</f>
        <v>0</v>
      </c>
      <c r="AP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97">
        <f ca="1">TblMili[[#This Row],[Train Unit 1]]*TblMili[[#This Row],[OP Ore]]+TblMili[[#This Row],[Train Unit 2]]*TblMili[[#This Row],[DP Ore]]+TblMili[[#This Row],[Train Unit 3]]*TblMili[[#This Row],[E1 Ore]]+TblMili[[#This Row],[Train Unit 4]]*TblMili[[#This Row],[E2 Ore]]</f>
        <v>0</v>
      </c>
      <c r="AR53" s="150">
        <f>TblMili[[#This Row],[Hour]]</f>
        <v>50</v>
      </c>
      <c r="AS53" s="160">
        <f ca="1">TblMili[[#This Row],[Time]]</f>
        <v>44812.791666666548</v>
      </c>
      <c r="AT53" s="97">
        <f ca="1">TblMili[[#This Row],[Draftees]]</f>
        <v>626</v>
      </c>
      <c r="AU53" s="187"/>
      <c r="AV53" s="187"/>
      <c r="AW53" s="187"/>
      <c r="AX53" s="187"/>
      <c r="AY53" s="187"/>
      <c r="AZ53" s="187"/>
      <c r="BA53" s="187"/>
      <c r="BB53" s="187"/>
      <c r="BC53" s="150"/>
      <c r="BD53" s="165">
        <f ca="1">TblConstr[[#This Row],[Tot WG]]/TblConstr[[#This Row],[Land]]</f>
        <v>0</v>
      </c>
      <c r="BE53" s="165">
        <f ca="1">TblConstr[[#This Row],[Tot Hav]]/TblConstr[[#This Row],[Land]]</f>
        <v>0</v>
      </c>
      <c r="BF53" s="97">
        <f ca="1">ROUNDUP((1-MIN(TblMili[[#This Row],[Smithies]]*smithy_bonus,smithy_bonus_cap) + tech_3_5*TblTech[[#This Row],[3-5]] + tech_5_3*TblTech[[#This Row],[5-3]] + tech_5_5*TblTech[[#This Row],[5-5]])*spec_op_plat,0)</f>
        <v>275</v>
      </c>
      <c r="BG53" s="97">
        <f ca="1">ROUNDUP(IF(race="Gnome",1,(1-MIN(TblMili[[#This Row],[Smithies]]*smithy_bonus,smithy_bonus_cap) + tech_3_5*TblTech[[#This Row],[3-5]] + tech_5_3*TblTech[[#This Row],[5-3]] + tech_5_5*TblTech[[#This Row],[5-5]]))*spec_op_ore,0)</f>
        <v>25</v>
      </c>
      <c r="BH53" s="97">
        <f ca="1">ROUNDUP((1-MIN(TblMili[[#This Row],[Smithies]]*smithy_bonus,smithy_bonus_cap) + tech_3_5*TblTech[[#This Row],[3-5]] + tech_5_3*TblTech[[#This Row],[5-3]] + tech_5_5*TblTech[[#This Row],[5-5]])*spec_dp_plat,0)</f>
        <v>275</v>
      </c>
      <c r="BI53" s="97">
        <f ca="1">ROUNDUP(IF(race="Gnome",1,(1-MIN(TblMili[[#This Row],[Smithies]]*smithy_bonus,smithy_bonus_cap) + tech_3_5*TblTech[[#This Row],[3-5]] + tech_5_3*TblTech[[#This Row],[5-3]] + tech_5_5*TblTech[[#This Row],[5-5]]))*spec_dp_ore,0)</f>
        <v>15</v>
      </c>
      <c r="BJ53" s="97">
        <f ca="1">ROUNDUP((1-MIN(TblMili[[#This Row],[Smithies]]*smithy_bonus,smithy_bonus_cap) + tech_3_5*TblTech[[#This Row],[3-5]] + tech_5_3*TblTech[[#This Row],[5-3]] + tech_5_5*TblTech[[#This Row],[5-5]])*elite1_plat,0)</f>
        <v>1000</v>
      </c>
      <c r="BK53" s="97">
        <f ca="1">ROUNDUP(IF(race="Gnome",1,(1-MIN(TblMili[[#This Row],[Smithies]]*smithy_bonus,smithy_bonus_cap) + tech_3_5*TblTech[[#This Row],[3-5]] + tech_5_3*TblTech[[#This Row],[5-3]] + tech_5_5*TblTech[[#This Row],[5-5]]))*elite1_ore,0)</f>
        <v>75</v>
      </c>
      <c r="BL53" s="97">
        <f ca="1">ROUNDUP((1-MIN(TblMili[[#This Row],[Smithies]]*smithy_bonus,smithy_bonus_cap) + tech_3_5*TblTech[[#This Row],[3-5]] + tech_5_3*TblTech[[#This Row],[5-3]] + tech_5_5*TblTech[[#This Row],[5-5]])*elite2_plat,0)</f>
        <v>1200</v>
      </c>
      <c r="BM53" s="97">
        <f ca="1">ROUNDUP(IF(race="Gnome",1,(1-MIN(TblMili[[#This Row],[Smithies]]*smithy_bonus,smithy_bonus_cap) + tech_3_5*TblTech[[#This Row],[3-5]] + tech_5_3*TblTech[[#This Row],[5-3]] + tech_5_5*TblTech[[#This Row],[5-5]]))*elite2_ore,0)</f>
        <v>100</v>
      </c>
      <c r="BN53" s="97">
        <f ca="1">ROUNDUP((1-MIN(ROUND(fh_spy_cost_red*TblMili[[#This Row],[FH''s]],4),fh_spy_cost_cap)+ tech_1_9*TblTech[[#This Row],[1-9]] + tech_9_1*TblTech[[#This Row],[9-1]])*spy_plat,0)</f>
        <v>500</v>
      </c>
      <c r="BO53" s="97">
        <f ca="1">ROUNDUP((1-MIN(ROUND(wg_wiz_cost_bonus*TblMili[[#This Row],[WG''s]],4),wg_wiz_cost_cap) + tech_1_9_2*TblTech[[#This Row],[1-9]] + tech_9_1_2*TblTech[[#This Row],[9-1]])*wizard_plat,0)</f>
        <v>500</v>
      </c>
      <c r="BP53" s="97">
        <f ca="1">ROUNDUP((1-MIN(ROUND(wg_wiz_cost_bonus*TblMili[[#This Row],[WG''s]],4),wg_wiz_cost_cap) + tech_1_9_2*TblTech[[#This Row],[1-9]] + tech_9_1_2*TblTech[[#This Row],[9-1]])*archmage_plat,0)</f>
        <v>1000</v>
      </c>
      <c r="BQ53" s="150"/>
      <c r="BR53" s="165">
        <f ca="1">TblConstr[[#This Row],[Homeland]]/TblConstr[[#This Row],[Land]]</f>
        <v>0.44</v>
      </c>
      <c r="BS53" s="165">
        <f ca="1">TblMili[[#This Row],[WG''s]]</f>
        <v>0</v>
      </c>
      <c r="BT53" s="271">
        <f ca="1">IF(mystic_cap="none",TblMili[[#This Row],[Hill]]/mystic_bonus,MIN(mystic_cap,TblMili[[#This Row],[Hill]]/mystic_bonus))</f>
        <v>2.1999999999999997</v>
      </c>
      <c r="BU53" s="271">
        <f ca="1">IF(druid_op_cap="none",TblMili[[#This Row],[Hill]]/druid_op_bonus,MIN(druid_op_cap,TblMili[[#This Row],[Hill]]/druid_op_bonus))</f>
        <v>2.1999999999999997</v>
      </c>
      <c r="BV53" s="271">
        <f ca="1">IF(druid_dp_cap="none",TblMili[[#This Row],[Hill]]/druid_dp_bonus,MIN(druid_dp_cap,TblMili[[#This Row],[Hill]]/druid_dp_bonus))</f>
        <v>2.1999999999999997</v>
      </c>
      <c r="BW53" s="271">
        <f ca="1">MIN(dryad_cap,TblMili[[#This Row],[Hill]]/dryad_bonus)</f>
        <v>2.1999999999999997</v>
      </c>
      <c r="BX53" s="271">
        <f ca="1">MIN(rocka_cap,TblMili[[#This Row],[Hill]]/rocka_bonus)</f>
        <v>2</v>
      </c>
      <c r="BY53" s="271">
        <f ca="1">MIN(adept_op_cap,TblMili[[#This Row],[WG]]/adept_op_bonus)</f>
        <v>0</v>
      </c>
      <c r="BZ53" s="271">
        <f ca="1">MIN(adept_dp_cap,TblMili[[#This Row],[WG]]/adept_dp_bonus)</f>
        <v>0</v>
      </c>
      <c r="CA53" s="97">
        <f ca="1">MIN(TblMili[[#This Row],[Unit 3]],TblMili[[#This Row],[Unit 4]])*2</f>
        <v>0</v>
      </c>
      <c r="CB53" s="97">
        <f ca="1">MIN(TblMili[[#This Row],[Unit 1]],TblMili[[#This Row],[Unit 4]])*2</f>
        <v>0</v>
      </c>
      <c r="CC53" s="271">
        <f ca="1">MIN(frost_mage_cap,TblMili[[#This Row],[Hill]]/frost_mage_bonus)</f>
        <v>2.1999999999999997</v>
      </c>
      <c r="CD53" s="45">
        <f ca="1">MIN(ice_elem_cap,TblMili[[#This Row],[Raw (2)]]*ice_elem_bonus)</f>
        <v>0.1</v>
      </c>
      <c r="CE53" s="271">
        <f t="shared" si="2"/>
        <v>1</v>
      </c>
      <c r="CF53" s="271">
        <f ca="1">MIN(nox_nightshade_cap,TblConstr[[#This Row],[Homeland]]/TblConstr[[#This Row],[Land]]/nox_nightshade_swamp_bonus)</f>
        <v>3</v>
      </c>
      <c r="CG53" s="272"/>
      <c r="CH53" s="272"/>
      <c r="CI53" s="272"/>
      <c r="CJ53" s="271">
        <f ca="1">MIN(6,TblMili[[#This Row],[Mystic]]+Races!$F$19)*1.8 +  IF(TblMili[[#This Row],[Mystic]]+Races!$F$19&gt;6,(TblMili[[#This Row],[Mystic]]+Races!$F$19-6)*0.2,0) - Races!$I$19</f>
        <v>3.6399999999999997</v>
      </c>
      <c r="CK5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97">
        <f ca="1">TblMili[[#This Row],[Mystic bonus]]*TblMili[[#This Row],[Unit 3]]+TblMili[[#This Row],[Druid bonus]]*TblMili[[#This Row],[Unit 4]]</f>
        <v>0</v>
      </c>
      <c r="CM53" s="163">
        <f ca="1">MIN(6,TblMili[[#This Row],[Dryad]]+Races!$F$35)*1.8 +  IF(TblMili[[#This Row],[Dryad]]+Races!$F$35&gt;6,(TblMili[[#This Row],[Dryad]]+Races!$F$35-6)*0.2,0) - Races!$I$19</f>
        <v>2.1599999999999993</v>
      </c>
      <c r="CN53" s="97">
        <f ca="1">sylvan*(TblMili[[#This Row],[Mystic bonus]]*TblMili[[#This Row],[Unit 3]])</f>
        <v>0</v>
      </c>
      <c r="CO53" s="163">
        <f ca="1">1.8 * MIN(MAX(Races!$E$27,TblMili[[#This Row],[Rockapult]]+Races!$F$27),6)  +  0.45 * MIN(MIN(Races!$E$27,TblMili[[#This Row],[Rockapult]]+Races!$F$27),6)  +  0.2 * ( MAX(Races!$E$27-6,0) + MAX(TblMili[[#This Row],[Rockapult]]+Races!$F$27-6,0) )  -  Races!$I$20</f>
        <v>5.8500000000000005</v>
      </c>
      <c r="CP53" s="97">
        <f ca="1">gnome*(TblMili[[#This Row],[Rockapult bonus]]*TblMili[[#This Row],[Unit 3]])</f>
        <v>0</v>
      </c>
      <c r="CQ53" s="163">
        <f ca="1">1.8 * MIN(MAX(TblMili[[#This Row],[Spellblade]]+Races!$E$47,TblMili[[#This Row],[Adept-DP]]+Races!$F$47),6)  +  0.45 * MIN(MIN(TblMili[[#This Row],[Spellblade]]+Races!$E$47,TblMili[[#This Row],[Adept-DP]]+Races!$F$47),6)  +  0.2 * ( MAX(TblMili[[#This Row],[Spellblade]]+Races!$E$47-6,0) + MAX(TblMili[[#This Row],[Adept-DP]]+Races!$F$47-6,0) )  -  Races!$I$47</f>
        <v>0</v>
      </c>
      <c r="CR53" s="97">
        <f ca="1">dark_elf*(TblMili[[#This Row],[Adept bonus]]*TblMili[[#This Row],[Unit 3]])</f>
        <v>0</v>
      </c>
      <c r="CS53" s="163">
        <f ca="1">1.8 * MIN(MAX(TblMili[[#This Row],[Frost Mage]]+Races!$F$71,Races!$E$71),6)  +  0.45 * MIN(MIN(TblMili[[#This Row],[Frost Mage]]+Races!$F$71,Races!$E$71),6)  +  0.2 * ( MAX(TblMili[[#This Row],[Frost Mage]]+Races!$F$71-6,0) + MAX(Races!$E$71-6,0) )  -  Races!$I$71</f>
        <v>3.9599999999999991</v>
      </c>
      <c r="CT53" s="163">
        <f ca="1">1.8 * MIN(MAX(TblMili[[#This Row],[Ice Elemental]]+Races!$E$71,Races!$F$71),6)  +  0.45 * MIN(MIN(TblMili[[#This Row],[Ice Elemental]]+Races!$E$71,Races!$F$71),6)  +  0.2 * ( MAX(TblMili[[#This Row],[Ice Elemental]]+Races!$E$71-6,0) + MAX(Races!$F$71-6,0) )  -  Races!$I$71</f>
        <v>0.17999999999999972</v>
      </c>
      <c r="CU53" s="97">
        <f ca="1">TblMili[[#This Row],[Frost Mage bonus]]*TblMili[[#This Row],[Unit 3]]+TblMili[[#This Row],[Ice Elemental bonus]]*TblMili[[#This Row],[Unit 4]]</f>
        <v>0</v>
      </c>
      <c r="CV53" s="273"/>
      <c r="CW53" s="151">
        <f ca="1">MIN(SUM(TblConstr[[#This Row],[Plain]:[Water]])/TblMili[[#This Row],[Land]]/favorable_terrain_bonus/100,favorable_terrain_max)</f>
        <v>0.1</v>
      </c>
      <c r="CX53" s="273"/>
      <c r="CY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50"/>
      <c r="DA53" s="274">
        <f ca="1">(TblMili[[#This Row],[Wizards]]+2*TblMili[[#This Row],[Archmages]])/TblConstr[[#This Row],[Land]]</f>
        <v>0.1</v>
      </c>
      <c r="DB53" s="274">
        <f ca="1">TblMili[[#This Row],[Raw (2)]]*(1+race_wizard_strength+IF(TblMili[[#This Row],[Hour]]&gt;72,tech_magical_weaponry_wiz*TblTech[[#This Row],[3-5]],0))</f>
        <v>0.1</v>
      </c>
    </row>
    <row r="54" spans="1:106" x14ac:dyDescent="0.2">
      <c r="A54" s="145">
        <f>TblRezone[[#This Row],[Hour]]</f>
        <v>51</v>
      </c>
      <c r="B54" s="266">
        <f ca="1">SUM(TblMili[[#This Row],[Unit 1]:[Archmages]])+SUM(OFFSET(TblMili[[#This Row],[Train Unit 1]],-8,0):TblMili[[#This Row],[Train Unit 2]]) + SUM(OFFSET(TblMili[[#This Row],[Train Unit 3]],-11,0):TblMili[[#This Row],[Train Arch]]) + TblMili[[#This Row],[Draftees]]</f>
        <v>826</v>
      </c>
      <c r="C54" s="165">
        <f ca="1">TblPop[[#This Row],[Military%]]</f>
        <v>0.35029686174724345</v>
      </c>
      <c r="D54" s="150"/>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f>
        <v>25</v>
      </c>
      <c r="J54" s="45">
        <f ca="1">OFFSET(TblMili[[#This Row],[Wizards]],-1,0) + OFFSET(TblMili[[#This Row],[Train Wiz]],-12,0) - TblMili[[#This Row],[Release Wizards]]-TblMili[[#This Row],[Train Arch]]</f>
        <v>25</v>
      </c>
      <c r="K54" s="45">
        <f ca="1">OFFSET(TblMili[[#This Row],[Archmages]],-1,0) + OFFSET(TblMili[[#This Row],[Train Arch]],-12,0) - TblMili[[#This Row],[Release Arch]]</f>
        <v>0</v>
      </c>
      <c r="L54" s="150"/>
      <c r="M54" s="97">
        <f ca="1">TblProd[[#This Row],[Networth]]</f>
        <v>6450</v>
      </c>
      <c r="N54" s="150"/>
      <c r="O54" s="267">
        <f ca="1">TblMili[[#This Row],[Unit 1]]*spec_op+TblMili[[#This Row],[Unit 3]]*(elite1_base_op)+TblMili[[#This Row],[Unit 4]]*(elite2_base_op+dark_elf*TblMili[[#This Row],[Spellblade]]+icekin*TblMili[[#This Row],[Ice Elemental]]+woodie*TblMili[[#This Row],[Druid (op)]]+orc*TblMili[[#This Row],[Orc]])+kobold*TblMili[[#This Row],[Overlords]]</f>
        <v>0</v>
      </c>
      <c r="P5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4" s="267">
        <f ca="1">TblMili[[#This Row],[Raw]]*(1+TblMili[[#This Row],[Mods_Off]])</f>
        <v>0</v>
      </c>
      <c r="R5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4" s="267">
        <f ca="1">TblMili[[#This Row],[Non Draft]]+TblMili[[#This Row],[Draftees]]</f>
        <v>1076</v>
      </c>
      <c r="T5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269">
        <f ca="1">TblMili[[#This Row],[Non Draft]] * (1 + TblMili[[#This Row],[Mods_Def]])</f>
        <v>450</v>
      </c>
      <c r="V54" s="267">
        <f ca="1">TblMili[[#This Row],[Draft]] * (1 + TblMili[[#This Row],[Mods_Def]])</f>
        <v>1076</v>
      </c>
      <c r="W54" s="267">
        <f ca="1">TblConstr[[#This Row],[Land]]</f>
        <v>250</v>
      </c>
      <c r="X54" s="270"/>
      <c r="Y54" s="275">
        <f ca="1">IF(TblMili[[#This Row],[Set]]&lt;&gt;"",TblMili[[#This Row],[Set]],OFFSET(TblMili[[#This Row],[Draftrate]],-1,0))</f>
        <v>0.35</v>
      </c>
      <c r="Z54" s="97">
        <f ca="1">OFFSET(TblMili[[#This Row],[Draftees]],-1,0)+OFFSET(TblPop[[#This Row],[Draft Growth]],-1,0) - SUM(TblMili[[#This Row],[Train Unit 1]:[Train Wiz]]) - TblMili[[#This Row],[Release Draft]] + SUM(TblMili[[#This Row],[Release Unit 1]:[Release Arch]]) -TblExplore[[#This Row],[Draftees (2)]]</f>
        <v>626</v>
      </c>
      <c r="AA54" s="162"/>
      <c r="AB54" s="188">
        <f ca="1">(TblConstr[[#This Row],[Tot Smi]]+TblConstr[[#This Row],[Dest Smi]])/(TblConstr[[#This Row],[Land]]-TblExplore[[#This Row],[Land Bonus]]*20)</f>
        <v>0</v>
      </c>
      <c r="AC54" s="145"/>
      <c r="AD54" s="266">
        <f>TblMili[[#This Row],[Hour]]</f>
        <v>51</v>
      </c>
      <c r="AE54" s="146">
        <f ca="1">TblExplore[[#This Row],[Time]]</f>
        <v>44812.833333333212</v>
      </c>
      <c r="AF54" s="187"/>
      <c r="AG54" s="187"/>
      <c r="AH54" s="187"/>
      <c r="AI54" s="187"/>
      <c r="AJ54" s="187"/>
      <c r="AK54" s="187"/>
      <c r="AL54" s="187"/>
      <c r="AM54" s="150"/>
      <c r="AN54" s="97">
        <f ca="1">TblProd[[#This Row],[Platinum]]</f>
        <v>375178</v>
      </c>
      <c r="AO54" s="97">
        <f ca="1">INDEX(TblProd[[#Headers],[Lumber]]:TblProd[[#This Row],[Ore]],COUNTA(TblProd[[#Headers],[Lumber]]:TblProd[[#This Row],[Lumber]]),MATCH(Military!$AO$2,TblProd[[#Headers],[Lumber]:[Ore]],0))</f>
        <v>0</v>
      </c>
      <c r="AP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97">
        <f ca="1">TblMili[[#This Row],[Train Unit 1]]*TblMili[[#This Row],[OP Ore]]+TblMili[[#This Row],[Train Unit 2]]*TblMili[[#This Row],[DP Ore]]+TblMili[[#This Row],[Train Unit 3]]*TblMili[[#This Row],[E1 Ore]]+TblMili[[#This Row],[Train Unit 4]]*TblMili[[#This Row],[E2 Ore]]</f>
        <v>0</v>
      </c>
      <c r="AR54" s="150">
        <f>TblMili[[#This Row],[Hour]]</f>
        <v>51</v>
      </c>
      <c r="AS54" s="160">
        <f ca="1">TblMili[[#This Row],[Time]]</f>
        <v>44812.833333333212</v>
      </c>
      <c r="AT54" s="97">
        <f ca="1">TblMili[[#This Row],[Draftees]]</f>
        <v>626</v>
      </c>
      <c r="AU54" s="187"/>
      <c r="AV54" s="187"/>
      <c r="AW54" s="187"/>
      <c r="AX54" s="187"/>
      <c r="AY54" s="187"/>
      <c r="AZ54" s="187"/>
      <c r="BA54" s="187"/>
      <c r="BB54" s="187"/>
      <c r="BC54" s="150"/>
      <c r="BD54" s="165">
        <f ca="1">TblConstr[[#This Row],[Tot WG]]/TblConstr[[#This Row],[Land]]</f>
        <v>0</v>
      </c>
      <c r="BE54" s="165">
        <f ca="1">TblConstr[[#This Row],[Tot Hav]]/TblConstr[[#This Row],[Land]]</f>
        <v>0</v>
      </c>
      <c r="BF54" s="97">
        <f ca="1">ROUNDUP((1-MIN(TblMili[[#This Row],[Smithies]]*smithy_bonus,smithy_bonus_cap) + tech_3_5*TblTech[[#This Row],[3-5]] + tech_5_3*TblTech[[#This Row],[5-3]] + tech_5_5*TblTech[[#This Row],[5-5]])*spec_op_plat,0)</f>
        <v>275</v>
      </c>
      <c r="BG54" s="97">
        <f ca="1">ROUNDUP(IF(race="Gnome",1,(1-MIN(TblMili[[#This Row],[Smithies]]*smithy_bonus,smithy_bonus_cap) + tech_3_5*TblTech[[#This Row],[3-5]] + tech_5_3*TblTech[[#This Row],[5-3]] + tech_5_5*TblTech[[#This Row],[5-5]]))*spec_op_ore,0)</f>
        <v>25</v>
      </c>
      <c r="BH54" s="97">
        <f ca="1">ROUNDUP((1-MIN(TblMili[[#This Row],[Smithies]]*smithy_bonus,smithy_bonus_cap) + tech_3_5*TblTech[[#This Row],[3-5]] + tech_5_3*TblTech[[#This Row],[5-3]] + tech_5_5*TblTech[[#This Row],[5-5]])*spec_dp_plat,0)</f>
        <v>275</v>
      </c>
      <c r="BI54" s="97">
        <f ca="1">ROUNDUP(IF(race="Gnome",1,(1-MIN(TblMili[[#This Row],[Smithies]]*smithy_bonus,smithy_bonus_cap) + tech_3_5*TblTech[[#This Row],[3-5]] + tech_5_3*TblTech[[#This Row],[5-3]] + tech_5_5*TblTech[[#This Row],[5-5]]))*spec_dp_ore,0)</f>
        <v>15</v>
      </c>
      <c r="BJ54" s="97">
        <f ca="1">ROUNDUP((1-MIN(TblMili[[#This Row],[Smithies]]*smithy_bonus,smithy_bonus_cap) + tech_3_5*TblTech[[#This Row],[3-5]] + tech_5_3*TblTech[[#This Row],[5-3]] + tech_5_5*TblTech[[#This Row],[5-5]])*elite1_plat,0)</f>
        <v>1000</v>
      </c>
      <c r="BK54" s="97">
        <f ca="1">ROUNDUP(IF(race="Gnome",1,(1-MIN(TblMili[[#This Row],[Smithies]]*smithy_bonus,smithy_bonus_cap) + tech_3_5*TblTech[[#This Row],[3-5]] + tech_5_3*TblTech[[#This Row],[5-3]] + tech_5_5*TblTech[[#This Row],[5-5]]))*elite1_ore,0)</f>
        <v>75</v>
      </c>
      <c r="BL54" s="97">
        <f ca="1">ROUNDUP((1-MIN(TblMili[[#This Row],[Smithies]]*smithy_bonus,smithy_bonus_cap) + tech_3_5*TblTech[[#This Row],[3-5]] + tech_5_3*TblTech[[#This Row],[5-3]] + tech_5_5*TblTech[[#This Row],[5-5]])*elite2_plat,0)</f>
        <v>1200</v>
      </c>
      <c r="BM54" s="97">
        <f ca="1">ROUNDUP(IF(race="Gnome",1,(1-MIN(TblMili[[#This Row],[Smithies]]*smithy_bonus,smithy_bonus_cap) + tech_3_5*TblTech[[#This Row],[3-5]] + tech_5_3*TblTech[[#This Row],[5-3]] + tech_5_5*TblTech[[#This Row],[5-5]]))*elite2_ore,0)</f>
        <v>100</v>
      </c>
      <c r="BN54" s="97">
        <f ca="1">ROUNDUP((1-MIN(ROUND(fh_spy_cost_red*TblMili[[#This Row],[FH''s]],4),fh_spy_cost_cap)+ tech_1_9*TblTech[[#This Row],[1-9]] + tech_9_1*TblTech[[#This Row],[9-1]])*spy_plat,0)</f>
        <v>500</v>
      </c>
      <c r="BO54" s="97">
        <f ca="1">ROUNDUP((1-MIN(ROUND(wg_wiz_cost_bonus*TblMili[[#This Row],[WG''s]],4),wg_wiz_cost_cap) + tech_1_9_2*TblTech[[#This Row],[1-9]] + tech_9_1_2*TblTech[[#This Row],[9-1]])*wizard_plat,0)</f>
        <v>500</v>
      </c>
      <c r="BP54" s="97">
        <f ca="1">ROUNDUP((1-MIN(ROUND(wg_wiz_cost_bonus*TblMili[[#This Row],[WG''s]],4),wg_wiz_cost_cap) + tech_1_9_2*TblTech[[#This Row],[1-9]] + tech_9_1_2*TblTech[[#This Row],[9-1]])*archmage_plat,0)</f>
        <v>1000</v>
      </c>
      <c r="BQ54" s="150"/>
      <c r="BR54" s="165">
        <f ca="1">TblConstr[[#This Row],[Homeland]]/TblConstr[[#This Row],[Land]]</f>
        <v>0.44</v>
      </c>
      <c r="BS54" s="165">
        <f ca="1">TblMili[[#This Row],[WG''s]]</f>
        <v>0</v>
      </c>
      <c r="BT54" s="271">
        <f ca="1">IF(mystic_cap="none",TblMili[[#This Row],[Hill]]/mystic_bonus,MIN(mystic_cap,TblMili[[#This Row],[Hill]]/mystic_bonus))</f>
        <v>2.1999999999999997</v>
      </c>
      <c r="BU54" s="271">
        <f ca="1">IF(druid_op_cap="none",TblMili[[#This Row],[Hill]]/druid_op_bonus,MIN(druid_op_cap,TblMili[[#This Row],[Hill]]/druid_op_bonus))</f>
        <v>2.1999999999999997</v>
      </c>
      <c r="BV54" s="271">
        <f ca="1">IF(druid_dp_cap="none",TblMili[[#This Row],[Hill]]/druid_dp_bonus,MIN(druid_dp_cap,TblMili[[#This Row],[Hill]]/druid_dp_bonus))</f>
        <v>2.1999999999999997</v>
      </c>
      <c r="BW54" s="271">
        <f ca="1">MIN(dryad_cap,TblMili[[#This Row],[Hill]]/dryad_bonus)</f>
        <v>2.1999999999999997</v>
      </c>
      <c r="BX54" s="271">
        <f ca="1">MIN(rocka_cap,TblMili[[#This Row],[Hill]]/rocka_bonus)</f>
        <v>2</v>
      </c>
      <c r="BY54" s="271">
        <f ca="1">MIN(adept_op_cap,TblMili[[#This Row],[WG]]/adept_op_bonus)</f>
        <v>0</v>
      </c>
      <c r="BZ54" s="271">
        <f ca="1">MIN(adept_dp_cap,TblMili[[#This Row],[WG]]/adept_dp_bonus)</f>
        <v>0</v>
      </c>
      <c r="CA54" s="97">
        <f ca="1">MIN(TblMili[[#This Row],[Unit 3]],TblMili[[#This Row],[Unit 4]])*2</f>
        <v>0</v>
      </c>
      <c r="CB54" s="97">
        <f ca="1">MIN(TblMili[[#This Row],[Unit 1]],TblMili[[#This Row],[Unit 4]])*2</f>
        <v>0</v>
      </c>
      <c r="CC54" s="271">
        <f ca="1">MIN(frost_mage_cap,TblMili[[#This Row],[Hill]]/frost_mage_bonus)</f>
        <v>2.1999999999999997</v>
      </c>
      <c r="CD54" s="45">
        <f ca="1">MIN(ice_elem_cap,TblMili[[#This Row],[Raw (2)]]*ice_elem_bonus)</f>
        <v>0.1</v>
      </c>
      <c r="CE54" s="271">
        <f t="shared" si="2"/>
        <v>1</v>
      </c>
      <c r="CF54" s="271">
        <f ca="1">MIN(nox_nightshade_cap,TblConstr[[#This Row],[Homeland]]/TblConstr[[#This Row],[Land]]/nox_nightshade_swamp_bonus)</f>
        <v>3</v>
      </c>
      <c r="CG54" s="272"/>
      <c r="CH54" s="272"/>
      <c r="CI54" s="272"/>
      <c r="CJ54" s="271">
        <f ca="1">MIN(6,TblMili[[#This Row],[Mystic]]+Races!$F$19)*1.8 +  IF(TblMili[[#This Row],[Mystic]]+Races!$F$19&gt;6,(TblMili[[#This Row],[Mystic]]+Races!$F$19-6)*0.2,0) - Races!$I$19</f>
        <v>3.6399999999999997</v>
      </c>
      <c r="CK5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97">
        <f ca="1">TblMili[[#This Row],[Mystic bonus]]*TblMili[[#This Row],[Unit 3]]+TblMili[[#This Row],[Druid bonus]]*TblMili[[#This Row],[Unit 4]]</f>
        <v>0</v>
      </c>
      <c r="CM54" s="163">
        <f ca="1">MIN(6,TblMili[[#This Row],[Dryad]]+Races!$F$35)*1.8 +  IF(TblMili[[#This Row],[Dryad]]+Races!$F$35&gt;6,(TblMili[[#This Row],[Dryad]]+Races!$F$35-6)*0.2,0) - Races!$I$19</f>
        <v>2.1599999999999993</v>
      </c>
      <c r="CN54" s="97">
        <f ca="1">sylvan*(TblMili[[#This Row],[Mystic bonus]]*TblMili[[#This Row],[Unit 3]])</f>
        <v>0</v>
      </c>
      <c r="CO54" s="163">
        <f ca="1">1.8 * MIN(MAX(Races!$E$27,TblMili[[#This Row],[Rockapult]]+Races!$F$27),6)  +  0.45 * MIN(MIN(Races!$E$27,TblMili[[#This Row],[Rockapult]]+Races!$F$27),6)  +  0.2 * ( MAX(Races!$E$27-6,0) + MAX(TblMili[[#This Row],[Rockapult]]+Races!$F$27-6,0) )  -  Races!$I$20</f>
        <v>5.8500000000000005</v>
      </c>
      <c r="CP54" s="97">
        <f ca="1">gnome*(TblMili[[#This Row],[Rockapult bonus]]*TblMili[[#This Row],[Unit 3]])</f>
        <v>0</v>
      </c>
      <c r="CQ54" s="163">
        <f ca="1">1.8 * MIN(MAX(TblMili[[#This Row],[Spellblade]]+Races!$E$47,TblMili[[#This Row],[Adept-DP]]+Races!$F$47),6)  +  0.45 * MIN(MIN(TblMili[[#This Row],[Spellblade]]+Races!$E$47,TblMili[[#This Row],[Adept-DP]]+Races!$F$47),6)  +  0.2 * ( MAX(TblMili[[#This Row],[Spellblade]]+Races!$E$47-6,0) + MAX(TblMili[[#This Row],[Adept-DP]]+Races!$F$47-6,0) )  -  Races!$I$47</f>
        <v>0</v>
      </c>
      <c r="CR54" s="97">
        <f ca="1">dark_elf*(TblMili[[#This Row],[Adept bonus]]*TblMili[[#This Row],[Unit 3]])</f>
        <v>0</v>
      </c>
      <c r="CS54" s="163">
        <f ca="1">1.8 * MIN(MAX(TblMili[[#This Row],[Frost Mage]]+Races!$F$71,Races!$E$71),6)  +  0.45 * MIN(MIN(TblMili[[#This Row],[Frost Mage]]+Races!$F$71,Races!$E$71),6)  +  0.2 * ( MAX(TblMili[[#This Row],[Frost Mage]]+Races!$F$71-6,0) + MAX(Races!$E$71-6,0) )  -  Races!$I$71</f>
        <v>3.9599999999999991</v>
      </c>
      <c r="CT54" s="163">
        <f ca="1">1.8 * MIN(MAX(TblMili[[#This Row],[Ice Elemental]]+Races!$E$71,Races!$F$71),6)  +  0.45 * MIN(MIN(TblMili[[#This Row],[Ice Elemental]]+Races!$E$71,Races!$F$71),6)  +  0.2 * ( MAX(TblMili[[#This Row],[Ice Elemental]]+Races!$E$71-6,0) + MAX(Races!$F$71-6,0) )  -  Races!$I$71</f>
        <v>0.17999999999999972</v>
      </c>
      <c r="CU54" s="97">
        <f ca="1">TblMili[[#This Row],[Frost Mage bonus]]*TblMili[[#This Row],[Unit 3]]+TblMili[[#This Row],[Ice Elemental bonus]]*TblMili[[#This Row],[Unit 4]]</f>
        <v>0</v>
      </c>
      <c r="CV54" s="273"/>
      <c r="CW54" s="151">
        <f ca="1">MIN(SUM(TblConstr[[#This Row],[Plain]:[Water]])/TblMili[[#This Row],[Land]]/favorable_terrain_bonus/100,favorable_terrain_max)</f>
        <v>0.1</v>
      </c>
      <c r="CX54" s="273"/>
      <c r="CY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50"/>
      <c r="DA54" s="274">
        <f ca="1">(TblMili[[#This Row],[Wizards]]+2*TblMili[[#This Row],[Archmages]])/TblConstr[[#This Row],[Land]]</f>
        <v>0.1</v>
      </c>
      <c r="DB54" s="274">
        <f ca="1">TblMili[[#This Row],[Raw (2)]]*(1+race_wizard_strength+IF(TblMili[[#This Row],[Hour]]&gt;72,tech_magical_weaponry_wiz*TblTech[[#This Row],[3-5]],0))</f>
        <v>0.1</v>
      </c>
    </row>
    <row r="55" spans="1:106" x14ac:dyDescent="0.2">
      <c r="A55" s="145">
        <f>TblRezone[[#This Row],[Hour]]</f>
        <v>52</v>
      </c>
      <c r="B55" s="266">
        <f ca="1">SUM(TblMili[[#This Row],[Unit 1]:[Archmages]])+SUM(OFFSET(TblMili[[#This Row],[Train Unit 1]],-8,0):TblMili[[#This Row],[Train Unit 2]]) + SUM(OFFSET(TblMili[[#This Row],[Train Unit 3]],-11,0):TblMili[[#This Row],[Train Arch]]) + TblMili[[#This Row],[Draftees]]</f>
        <v>826</v>
      </c>
      <c r="C55" s="165">
        <f ca="1">TblPop[[#This Row],[Military%]]</f>
        <v>0.35029686174724345</v>
      </c>
      <c r="D55" s="150"/>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f>
        <v>25</v>
      </c>
      <c r="J55" s="45">
        <f ca="1">OFFSET(TblMili[[#This Row],[Wizards]],-1,0) + OFFSET(TblMili[[#This Row],[Train Wiz]],-12,0) - TblMili[[#This Row],[Release Wizards]]-TblMili[[#This Row],[Train Arch]]</f>
        <v>25</v>
      </c>
      <c r="K55" s="45">
        <f ca="1">OFFSET(TblMili[[#This Row],[Archmages]],-1,0) + OFFSET(TblMili[[#This Row],[Train Arch]],-12,0) - TblMili[[#This Row],[Release Arch]]</f>
        <v>0</v>
      </c>
      <c r="L55" s="150"/>
      <c r="M55" s="97">
        <f ca="1">TblProd[[#This Row],[Networth]]</f>
        <v>6450</v>
      </c>
      <c r="N55" s="150"/>
      <c r="O55" s="267">
        <f ca="1">TblMili[[#This Row],[Unit 1]]*spec_op+TblMili[[#This Row],[Unit 3]]*(elite1_base_op)+TblMili[[#This Row],[Unit 4]]*(elite2_base_op+dark_elf*TblMili[[#This Row],[Spellblade]]+icekin*TblMili[[#This Row],[Ice Elemental]]+woodie*TblMili[[#This Row],[Druid (op)]]+orc*TblMili[[#This Row],[Orc]])+kobold*TblMili[[#This Row],[Overlords]]</f>
        <v>0</v>
      </c>
      <c r="P5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5" s="267">
        <f ca="1">TblMili[[#This Row],[Raw]]*(1+TblMili[[#This Row],[Mods_Off]])</f>
        <v>0</v>
      </c>
      <c r="R5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5" s="267">
        <f ca="1">TblMili[[#This Row],[Non Draft]]+TblMili[[#This Row],[Draftees]]</f>
        <v>1076</v>
      </c>
      <c r="T5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269">
        <f ca="1">TblMili[[#This Row],[Non Draft]] * (1 + TblMili[[#This Row],[Mods_Def]])</f>
        <v>450</v>
      </c>
      <c r="V55" s="267">
        <f ca="1">TblMili[[#This Row],[Draft]] * (1 + TblMili[[#This Row],[Mods_Def]])</f>
        <v>1076</v>
      </c>
      <c r="W55" s="267">
        <f ca="1">TblConstr[[#This Row],[Land]]</f>
        <v>250</v>
      </c>
      <c r="X55" s="270"/>
      <c r="Y55" s="275">
        <f ca="1">IF(TblMili[[#This Row],[Set]]&lt;&gt;"",TblMili[[#This Row],[Set]],OFFSET(TblMili[[#This Row],[Draftrate]],-1,0))</f>
        <v>0.35</v>
      </c>
      <c r="Z55" s="97">
        <f ca="1">OFFSET(TblMili[[#This Row],[Draftees]],-1,0)+OFFSET(TblPop[[#This Row],[Draft Growth]],-1,0) - SUM(TblMili[[#This Row],[Train Unit 1]:[Train Wiz]]) - TblMili[[#This Row],[Release Draft]] + SUM(TblMili[[#This Row],[Release Unit 1]:[Release Arch]]) -TblExplore[[#This Row],[Draftees (2)]]</f>
        <v>626</v>
      </c>
      <c r="AA55" s="162"/>
      <c r="AB55" s="188">
        <f ca="1">(TblConstr[[#This Row],[Tot Smi]]+TblConstr[[#This Row],[Dest Smi]])/(TblConstr[[#This Row],[Land]]-TblExplore[[#This Row],[Land Bonus]]*20)</f>
        <v>0</v>
      </c>
      <c r="AC55" s="145"/>
      <c r="AD55" s="266">
        <f>TblMili[[#This Row],[Hour]]</f>
        <v>52</v>
      </c>
      <c r="AE55" s="146">
        <f ca="1">TblExplore[[#This Row],[Time]]</f>
        <v>44812.874999999876</v>
      </c>
      <c r="AF55" s="187"/>
      <c r="AG55" s="187"/>
      <c r="AH55" s="187"/>
      <c r="AI55" s="187"/>
      <c r="AJ55" s="187"/>
      <c r="AK55" s="187"/>
      <c r="AL55" s="187"/>
      <c r="AM55" s="150"/>
      <c r="AN55" s="97">
        <f ca="1">TblProd[[#This Row],[Platinum]]</f>
        <v>380664</v>
      </c>
      <c r="AO55" s="97">
        <f ca="1">INDEX(TblProd[[#Headers],[Lumber]]:TblProd[[#This Row],[Ore]],COUNTA(TblProd[[#Headers],[Lumber]]:TblProd[[#This Row],[Lumber]]),MATCH(Military!$AO$2,TblProd[[#Headers],[Lumber]:[Ore]],0))</f>
        <v>0</v>
      </c>
      <c r="AP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97">
        <f ca="1">TblMili[[#This Row],[Train Unit 1]]*TblMili[[#This Row],[OP Ore]]+TblMili[[#This Row],[Train Unit 2]]*TblMili[[#This Row],[DP Ore]]+TblMili[[#This Row],[Train Unit 3]]*TblMili[[#This Row],[E1 Ore]]+TblMili[[#This Row],[Train Unit 4]]*TblMili[[#This Row],[E2 Ore]]</f>
        <v>0</v>
      </c>
      <c r="AR55" s="150">
        <f>TblMili[[#This Row],[Hour]]</f>
        <v>52</v>
      </c>
      <c r="AS55" s="160">
        <f ca="1">TblMili[[#This Row],[Time]]</f>
        <v>44812.874999999876</v>
      </c>
      <c r="AT55" s="97">
        <f ca="1">TblMili[[#This Row],[Draftees]]</f>
        <v>626</v>
      </c>
      <c r="AU55" s="187"/>
      <c r="AV55" s="187"/>
      <c r="AW55" s="187"/>
      <c r="AX55" s="187"/>
      <c r="AY55" s="187"/>
      <c r="AZ55" s="187"/>
      <c r="BA55" s="187"/>
      <c r="BB55" s="187"/>
      <c r="BC55" s="150"/>
      <c r="BD55" s="165">
        <f ca="1">TblConstr[[#This Row],[Tot WG]]/TblConstr[[#This Row],[Land]]</f>
        <v>0</v>
      </c>
      <c r="BE55" s="165">
        <f ca="1">TblConstr[[#This Row],[Tot Hav]]/TblConstr[[#This Row],[Land]]</f>
        <v>0</v>
      </c>
      <c r="BF55" s="97">
        <f ca="1">ROUNDUP((1-MIN(TblMili[[#This Row],[Smithies]]*smithy_bonus,smithy_bonus_cap) + tech_3_5*TblTech[[#This Row],[3-5]] + tech_5_3*TblTech[[#This Row],[5-3]] + tech_5_5*TblTech[[#This Row],[5-5]])*spec_op_plat,0)</f>
        <v>275</v>
      </c>
      <c r="BG55" s="97">
        <f ca="1">ROUNDUP(IF(race="Gnome",1,(1-MIN(TblMili[[#This Row],[Smithies]]*smithy_bonus,smithy_bonus_cap) + tech_3_5*TblTech[[#This Row],[3-5]] + tech_5_3*TblTech[[#This Row],[5-3]] + tech_5_5*TblTech[[#This Row],[5-5]]))*spec_op_ore,0)</f>
        <v>25</v>
      </c>
      <c r="BH55" s="97">
        <f ca="1">ROUNDUP((1-MIN(TblMili[[#This Row],[Smithies]]*smithy_bonus,smithy_bonus_cap) + tech_3_5*TblTech[[#This Row],[3-5]] + tech_5_3*TblTech[[#This Row],[5-3]] + tech_5_5*TblTech[[#This Row],[5-5]])*spec_dp_plat,0)</f>
        <v>275</v>
      </c>
      <c r="BI55" s="97">
        <f ca="1">ROUNDUP(IF(race="Gnome",1,(1-MIN(TblMili[[#This Row],[Smithies]]*smithy_bonus,smithy_bonus_cap) + tech_3_5*TblTech[[#This Row],[3-5]] + tech_5_3*TblTech[[#This Row],[5-3]] + tech_5_5*TblTech[[#This Row],[5-5]]))*spec_dp_ore,0)</f>
        <v>15</v>
      </c>
      <c r="BJ55" s="97">
        <f ca="1">ROUNDUP((1-MIN(TblMili[[#This Row],[Smithies]]*smithy_bonus,smithy_bonus_cap) + tech_3_5*TblTech[[#This Row],[3-5]] + tech_5_3*TblTech[[#This Row],[5-3]] + tech_5_5*TblTech[[#This Row],[5-5]])*elite1_plat,0)</f>
        <v>1000</v>
      </c>
      <c r="BK55" s="97">
        <f ca="1">ROUNDUP(IF(race="Gnome",1,(1-MIN(TblMili[[#This Row],[Smithies]]*smithy_bonus,smithy_bonus_cap) + tech_3_5*TblTech[[#This Row],[3-5]] + tech_5_3*TblTech[[#This Row],[5-3]] + tech_5_5*TblTech[[#This Row],[5-5]]))*elite1_ore,0)</f>
        <v>75</v>
      </c>
      <c r="BL55" s="97">
        <f ca="1">ROUNDUP((1-MIN(TblMili[[#This Row],[Smithies]]*smithy_bonus,smithy_bonus_cap) + tech_3_5*TblTech[[#This Row],[3-5]] + tech_5_3*TblTech[[#This Row],[5-3]] + tech_5_5*TblTech[[#This Row],[5-5]])*elite2_plat,0)</f>
        <v>1200</v>
      </c>
      <c r="BM55" s="97">
        <f ca="1">ROUNDUP(IF(race="Gnome",1,(1-MIN(TblMili[[#This Row],[Smithies]]*smithy_bonus,smithy_bonus_cap) + tech_3_5*TblTech[[#This Row],[3-5]] + tech_5_3*TblTech[[#This Row],[5-3]] + tech_5_5*TblTech[[#This Row],[5-5]]))*elite2_ore,0)</f>
        <v>100</v>
      </c>
      <c r="BN55" s="97">
        <f ca="1">ROUNDUP((1-MIN(ROUND(fh_spy_cost_red*TblMili[[#This Row],[FH''s]],4),fh_spy_cost_cap)+ tech_1_9*TblTech[[#This Row],[1-9]] + tech_9_1*TblTech[[#This Row],[9-1]])*spy_plat,0)</f>
        <v>500</v>
      </c>
      <c r="BO55" s="97">
        <f ca="1">ROUNDUP((1-MIN(ROUND(wg_wiz_cost_bonus*TblMili[[#This Row],[WG''s]],4),wg_wiz_cost_cap) + tech_1_9_2*TblTech[[#This Row],[1-9]] + tech_9_1_2*TblTech[[#This Row],[9-1]])*wizard_plat,0)</f>
        <v>500</v>
      </c>
      <c r="BP55" s="97">
        <f ca="1">ROUNDUP((1-MIN(ROUND(wg_wiz_cost_bonus*TblMili[[#This Row],[WG''s]],4),wg_wiz_cost_cap) + tech_1_9_2*TblTech[[#This Row],[1-9]] + tech_9_1_2*TblTech[[#This Row],[9-1]])*archmage_plat,0)</f>
        <v>1000</v>
      </c>
      <c r="BQ55" s="150"/>
      <c r="BR55" s="165">
        <f ca="1">TblConstr[[#This Row],[Homeland]]/TblConstr[[#This Row],[Land]]</f>
        <v>0.44</v>
      </c>
      <c r="BS55" s="165">
        <f ca="1">TblMili[[#This Row],[WG''s]]</f>
        <v>0</v>
      </c>
      <c r="BT55" s="271">
        <f ca="1">IF(mystic_cap="none",TblMili[[#This Row],[Hill]]/mystic_bonus,MIN(mystic_cap,TblMili[[#This Row],[Hill]]/mystic_bonus))</f>
        <v>2.1999999999999997</v>
      </c>
      <c r="BU55" s="271">
        <f ca="1">IF(druid_op_cap="none",TblMili[[#This Row],[Hill]]/druid_op_bonus,MIN(druid_op_cap,TblMili[[#This Row],[Hill]]/druid_op_bonus))</f>
        <v>2.1999999999999997</v>
      </c>
      <c r="BV55" s="271">
        <f ca="1">IF(druid_dp_cap="none",TblMili[[#This Row],[Hill]]/druid_dp_bonus,MIN(druid_dp_cap,TblMili[[#This Row],[Hill]]/druid_dp_bonus))</f>
        <v>2.1999999999999997</v>
      </c>
      <c r="BW55" s="271">
        <f ca="1">MIN(dryad_cap,TblMili[[#This Row],[Hill]]/dryad_bonus)</f>
        <v>2.1999999999999997</v>
      </c>
      <c r="BX55" s="271">
        <f ca="1">MIN(rocka_cap,TblMili[[#This Row],[Hill]]/rocka_bonus)</f>
        <v>2</v>
      </c>
      <c r="BY55" s="271">
        <f ca="1">MIN(adept_op_cap,TblMili[[#This Row],[WG]]/adept_op_bonus)</f>
        <v>0</v>
      </c>
      <c r="BZ55" s="271">
        <f ca="1">MIN(adept_dp_cap,TblMili[[#This Row],[WG]]/adept_dp_bonus)</f>
        <v>0</v>
      </c>
      <c r="CA55" s="97">
        <f ca="1">MIN(TblMili[[#This Row],[Unit 3]],TblMili[[#This Row],[Unit 4]])*2</f>
        <v>0</v>
      </c>
      <c r="CB55" s="97">
        <f ca="1">MIN(TblMili[[#This Row],[Unit 1]],TblMili[[#This Row],[Unit 4]])*2</f>
        <v>0</v>
      </c>
      <c r="CC55" s="271">
        <f ca="1">MIN(frost_mage_cap,TblMili[[#This Row],[Hill]]/frost_mage_bonus)</f>
        <v>2.1999999999999997</v>
      </c>
      <c r="CD55" s="45">
        <f ca="1">MIN(ice_elem_cap,TblMili[[#This Row],[Raw (2)]]*ice_elem_bonus)</f>
        <v>0.1</v>
      </c>
      <c r="CE55" s="271">
        <f t="shared" si="2"/>
        <v>1</v>
      </c>
      <c r="CF55" s="271">
        <f ca="1">MIN(nox_nightshade_cap,TblConstr[[#This Row],[Homeland]]/TblConstr[[#This Row],[Land]]/nox_nightshade_swamp_bonus)</f>
        <v>3</v>
      </c>
      <c r="CG55" s="272"/>
      <c r="CH55" s="272"/>
      <c r="CI55" s="272"/>
      <c r="CJ55" s="271">
        <f ca="1">MIN(6,TblMili[[#This Row],[Mystic]]+Races!$F$19)*1.8 +  IF(TblMili[[#This Row],[Mystic]]+Races!$F$19&gt;6,(TblMili[[#This Row],[Mystic]]+Races!$F$19-6)*0.2,0) - Races!$I$19</f>
        <v>3.6399999999999997</v>
      </c>
      <c r="CK5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97">
        <f ca="1">TblMili[[#This Row],[Mystic bonus]]*TblMili[[#This Row],[Unit 3]]+TblMili[[#This Row],[Druid bonus]]*TblMili[[#This Row],[Unit 4]]</f>
        <v>0</v>
      </c>
      <c r="CM55" s="163">
        <f ca="1">MIN(6,TblMili[[#This Row],[Dryad]]+Races!$F$35)*1.8 +  IF(TblMili[[#This Row],[Dryad]]+Races!$F$35&gt;6,(TblMili[[#This Row],[Dryad]]+Races!$F$35-6)*0.2,0) - Races!$I$19</f>
        <v>2.1599999999999993</v>
      </c>
      <c r="CN55" s="97">
        <f ca="1">sylvan*(TblMili[[#This Row],[Mystic bonus]]*TblMili[[#This Row],[Unit 3]])</f>
        <v>0</v>
      </c>
      <c r="CO55" s="163">
        <f ca="1">1.8 * MIN(MAX(Races!$E$27,TblMili[[#This Row],[Rockapult]]+Races!$F$27),6)  +  0.45 * MIN(MIN(Races!$E$27,TblMili[[#This Row],[Rockapult]]+Races!$F$27),6)  +  0.2 * ( MAX(Races!$E$27-6,0) + MAX(TblMili[[#This Row],[Rockapult]]+Races!$F$27-6,0) )  -  Races!$I$20</f>
        <v>5.8500000000000005</v>
      </c>
      <c r="CP55" s="97">
        <f ca="1">gnome*(TblMili[[#This Row],[Rockapult bonus]]*TblMili[[#This Row],[Unit 3]])</f>
        <v>0</v>
      </c>
      <c r="CQ55" s="163">
        <f ca="1">1.8 * MIN(MAX(TblMili[[#This Row],[Spellblade]]+Races!$E$47,TblMili[[#This Row],[Adept-DP]]+Races!$F$47),6)  +  0.45 * MIN(MIN(TblMili[[#This Row],[Spellblade]]+Races!$E$47,TblMili[[#This Row],[Adept-DP]]+Races!$F$47),6)  +  0.2 * ( MAX(TblMili[[#This Row],[Spellblade]]+Races!$E$47-6,0) + MAX(TblMili[[#This Row],[Adept-DP]]+Races!$F$47-6,0) )  -  Races!$I$47</f>
        <v>0</v>
      </c>
      <c r="CR55" s="97">
        <f ca="1">dark_elf*(TblMili[[#This Row],[Adept bonus]]*TblMili[[#This Row],[Unit 3]])</f>
        <v>0</v>
      </c>
      <c r="CS55" s="163">
        <f ca="1">1.8 * MIN(MAX(TblMili[[#This Row],[Frost Mage]]+Races!$F$71,Races!$E$71),6)  +  0.45 * MIN(MIN(TblMili[[#This Row],[Frost Mage]]+Races!$F$71,Races!$E$71),6)  +  0.2 * ( MAX(TblMili[[#This Row],[Frost Mage]]+Races!$F$71-6,0) + MAX(Races!$E$71-6,0) )  -  Races!$I$71</f>
        <v>3.9599999999999991</v>
      </c>
      <c r="CT55" s="163">
        <f ca="1">1.8 * MIN(MAX(TblMili[[#This Row],[Ice Elemental]]+Races!$E$71,Races!$F$71),6)  +  0.45 * MIN(MIN(TblMili[[#This Row],[Ice Elemental]]+Races!$E$71,Races!$F$71),6)  +  0.2 * ( MAX(TblMili[[#This Row],[Ice Elemental]]+Races!$E$71-6,0) + MAX(Races!$F$71-6,0) )  -  Races!$I$71</f>
        <v>0.17999999999999972</v>
      </c>
      <c r="CU55" s="97">
        <f ca="1">TblMili[[#This Row],[Frost Mage bonus]]*TblMili[[#This Row],[Unit 3]]+TblMili[[#This Row],[Ice Elemental bonus]]*TblMili[[#This Row],[Unit 4]]</f>
        <v>0</v>
      </c>
      <c r="CV55" s="273"/>
      <c r="CW55" s="151">
        <f ca="1">MIN(SUM(TblConstr[[#This Row],[Plain]:[Water]])/TblMili[[#This Row],[Land]]/favorable_terrain_bonus/100,favorable_terrain_max)</f>
        <v>0.1</v>
      </c>
      <c r="CX55" s="273"/>
      <c r="CY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50"/>
      <c r="DA55" s="274">
        <f ca="1">(TblMili[[#This Row],[Wizards]]+2*TblMili[[#This Row],[Archmages]])/TblConstr[[#This Row],[Land]]</f>
        <v>0.1</v>
      </c>
      <c r="DB55" s="274">
        <f ca="1">TblMili[[#This Row],[Raw (2)]]*(1+race_wizard_strength+IF(TblMili[[#This Row],[Hour]]&gt;72,tech_magical_weaponry_wiz*TblTech[[#This Row],[3-5]],0))</f>
        <v>0.1</v>
      </c>
    </row>
    <row r="56" spans="1:106" x14ac:dyDescent="0.2">
      <c r="A56" s="145">
        <f>TblRezone[[#This Row],[Hour]]</f>
        <v>53</v>
      </c>
      <c r="B56" s="266">
        <f ca="1">SUM(TblMili[[#This Row],[Unit 1]:[Archmages]])+SUM(OFFSET(TblMili[[#This Row],[Train Unit 1]],-8,0):TblMili[[#This Row],[Train Unit 2]]) + SUM(OFFSET(TblMili[[#This Row],[Train Unit 3]],-11,0):TblMili[[#This Row],[Train Arch]]) + TblMili[[#This Row],[Draftees]]</f>
        <v>826</v>
      </c>
      <c r="C56" s="165">
        <f ca="1">TblPop[[#This Row],[Military%]]</f>
        <v>0.35029686174724345</v>
      </c>
      <c r="D56" s="150"/>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f>
        <v>25</v>
      </c>
      <c r="J56" s="45">
        <f ca="1">OFFSET(TblMili[[#This Row],[Wizards]],-1,0) + OFFSET(TblMili[[#This Row],[Train Wiz]],-12,0) - TblMili[[#This Row],[Release Wizards]]-TblMili[[#This Row],[Train Arch]]</f>
        <v>25</v>
      </c>
      <c r="K56" s="45">
        <f ca="1">OFFSET(TblMili[[#This Row],[Archmages]],-1,0) + OFFSET(TblMili[[#This Row],[Train Arch]],-12,0) - TblMili[[#This Row],[Release Arch]]</f>
        <v>0</v>
      </c>
      <c r="L56" s="150"/>
      <c r="M56" s="97">
        <f ca="1">TblProd[[#This Row],[Networth]]</f>
        <v>6450</v>
      </c>
      <c r="N56" s="150"/>
      <c r="O56" s="267">
        <f ca="1">TblMili[[#This Row],[Unit 1]]*spec_op+TblMili[[#This Row],[Unit 3]]*(elite1_base_op)+TblMili[[#This Row],[Unit 4]]*(elite2_base_op+dark_elf*TblMili[[#This Row],[Spellblade]]+icekin*TblMili[[#This Row],[Ice Elemental]]+woodie*TblMili[[#This Row],[Druid (op)]]+orc*TblMili[[#This Row],[Orc]])+kobold*TblMili[[#This Row],[Overlords]]</f>
        <v>0</v>
      </c>
      <c r="P5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6" s="267">
        <f ca="1">TblMili[[#This Row],[Raw]]*(1+TblMili[[#This Row],[Mods_Off]])</f>
        <v>0</v>
      </c>
      <c r="R5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6" s="267">
        <f ca="1">TblMili[[#This Row],[Non Draft]]+TblMili[[#This Row],[Draftees]]</f>
        <v>1076</v>
      </c>
      <c r="T5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269">
        <f ca="1">TblMili[[#This Row],[Non Draft]] * (1 + TblMili[[#This Row],[Mods_Def]])</f>
        <v>450</v>
      </c>
      <c r="V56" s="267">
        <f ca="1">TblMili[[#This Row],[Draft]] * (1 + TblMili[[#This Row],[Mods_Def]])</f>
        <v>1076</v>
      </c>
      <c r="W56" s="267">
        <f ca="1">TblConstr[[#This Row],[Land]]</f>
        <v>250</v>
      </c>
      <c r="X56" s="270"/>
      <c r="Y56" s="275">
        <f ca="1">IF(TblMili[[#This Row],[Set]]&lt;&gt;"",TblMili[[#This Row],[Set]],OFFSET(TblMili[[#This Row],[Draftrate]],-1,0))</f>
        <v>0.35</v>
      </c>
      <c r="Z56" s="97">
        <f ca="1">OFFSET(TblMili[[#This Row],[Draftees]],-1,0)+OFFSET(TblPop[[#This Row],[Draft Growth]],-1,0) - SUM(TblMili[[#This Row],[Train Unit 1]:[Train Wiz]]) - TblMili[[#This Row],[Release Draft]] + SUM(TblMili[[#This Row],[Release Unit 1]:[Release Arch]]) -TblExplore[[#This Row],[Draftees (2)]]</f>
        <v>626</v>
      </c>
      <c r="AA56" s="162"/>
      <c r="AB56" s="188">
        <f ca="1">(TblConstr[[#This Row],[Tot Smi]]+TblConstr[[#This Row],[Dest Smi]])/(TblConstr[[#This Row],[Land]]-TblExplore[[#This Row],[Land Bonus]]*20)</f>
        <v>0</v>
      </c>
      <c r="AC56" s="145"/>
      <c r="AD56" s="266">
        <f>TblMili[[#This Row],[Hour]]</f>
        <v>53</v>
      </c>
      <c r="AE56" s="146">
        <f ca="1">TblExplore[[#This Row],[Time]]</f>
        <v>44812.916666666541</v>
      </c>
      <c r="AF56" s="187"/>
      <c r="AG56" s="187"/>
      <c r="AH56" s="187"/>
      <c r="AI56" s="187"/>
      <c r="AJ56" s="187"/>
      <c r="AK56" s="187"/>
      <c r="AL56" s="187"/>
      <c r="AM56" s="150"/>
      <c r="AN56" s="97">
        <f ca="1">TblProd[[#This Row],[Platinum]]</f>
        <v>386150</v>
      </c>
      <c r="AO56" s="97">
        <f ca="1">INDEX(TblProd[[#Headers],[Lumber]]:TblProd[[#This Row],[Ore]],COUNTA(TblProd[[#Headers],[Lumber]]:TblProd[[#This Row],[Lumber]]),MATCH(Military!$AO$2,TblProd[[#Headers],[Lumber]:[Ore]],0))</f>
        <v>0</v>
      </c>
      <c r="AP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97">
        <f ca="1">TblMili[[#This Row],[Train Unit 1]]*TblMili[[#This Row],[OP Ore]]+TblMili[[#This Row],[Train Unit 2]]*TblMili[[#This Row],[DP Ore]]+TblMili[[#This Row],[Train Unit 3]]*TblMili[[#This Row],[E1 Ore]]+TblMili[[#This Row],[Train Unit 4]]*TblMili[[#This Row],[E2 Ore]]</f>
        <v>0</v>
      </c>
      <c r="AR56" s="150">
        <f>TblMili[[#This Row],[Hour]]</f>
        <v>53</v>
      </c>
      <c r="AS56" s="160">
        <f ca="1">TblMili[[#This Row],[Time]]</f>
        <v>44812.916666666541</v>
      </c>
      <c r="AT56" s="97">
        <f ca="1">TblMili[[#This Row],[Draftees]]</f>
        <v>626</v>
      </c>
      <c r="AU56" s="187"/>
      <c r="AV56" s="187"/>
      <c r="AW56" s="187"/>
      <c r="AX56" s="187"/>
      <c r="AY56" s="187"/>
      <c r="AZ56" s="187"/>
      <c r="BA56" s="187"/>
      <c r="BB56" s="187"/>
      <c r="BC56" s="150"/>
      <c r="BD56" s="165">
        <f ca="1">TblConstr[[#This Row],[Tot WG]]/TblConstr[[#This Row],[Land]]</f>
        <v>0</v>
      </c>
      <c r="BE56" s="165">
        <f ca="1">TblConstr[[#This Row],[Tot Hav]]/TblConstr[[#This Row],[Land]]</f>
        <v>0</v>
      </c>
      <c r="BF56" s="97">
        <f ca="1">ROUNDUP((1-MIN(TblMili[[#This Row],[Smithies]]*smithy_bonus,smithy_bonus_cap) + tech_3_5*TblTech[[#This Row],[3-5]] + tech_5_3*TblTech[[#This Row],[5-3]] + tech_5_5*TblTech[[#This Row],[5-5]])*spec_op_plat,0)</f>
        <v>275</v>
      </c>
      <c r="BG56" s="97">
        <f ca="1">ROUNDUP(IF(race="Gnome",1,(1-MIN(TblMili[[#This Row],[Smithies]]*smithy_bonus,smithy_bonus_cap) + tech_3_5*TblTech[[#This Row],[3-5]] + tech_5_3*TblTech[[#This Row],[5-3]] + tech_5_5*TblTech[[#This Row],[5-5]]))*spec_op_ore,0)</f>
        <v>25</v>
      </c>
      <c r="BH56" s="97">
        <f ca="1">ROUNDUP((1-MIN(TblMili[[#This Row],[Smithies]]*smithy_bonus,smithy_bonus_cap) + tech_3_5*TblTech[[#This Row],[3-5]] + tech_5_3*TblTech[[#This Row],[5-3]] + tech_5_5*TblTech[[#This Row],[5-5]])*spec_dp_plat,0)</f>
        <v>275</v>
      </c>
      <c r="BI56" s="97">
        <f ca="1">ROUNDUP(IF(race="Gnome",1,(1-MIN(TblMili[[#This Row],[Smithies]]*smithy_bonus,smithy_bonus_cap) + tech_3_5*TblTech[[#This Row],[3-5]] + tech_5_3*TblTech[[#This Row],[5-3]] + tech_5_5*TblTech[[#This Row],[5-5]]))*spec_dp_ore,0)</f>
        <v>15</v>
      </c>
      <c r="BJ56" s="97">
        <f ca="1">ROUNDUP((1-MIN(TblMili[[#This Row],[Smithies]]*smithy_bonus,smithy_bonus_cap) + tech_3_5*TblTech[[#This Row],[3-5]] + tech_5_3*TblTech[[#This Row],[5-3]] + tech_5_5*TblTech[[#This Row],[5-5]])*elite1_plat,0)</f>
        <v>1000</v>
      </c>
      <c r="BK56" s="97">
        <f ca="1">ROUNDUP(IF(race="Gnome",1,(1-MIN(TblMili[[#This Row],[Smithies]]*smithy_bonus,smithy_bonus_cap) + tech_3_5*TblTech[[#This Row],[3-5]] + tech_5_3*TblTech[[#This Row],[5-3]] + tech_5_5*TblTech[[#This Row],[5-5]]))*elite1_ore,0)</f>
        <v>75</v>
      </c>
      <c r="BL56" s="97">
        <f ca="1">ROUNDUP((1-MIN(TblMili[[#This Row],[Smithies]]*smithy_bonus,smithy_bonus_cap) + tech_3_5*TblTech[[#This Row],[3-5]] + tech_5_3*TblTech[[#This Row],[5-3]] + tech_5_5*TblTech[[#This Row],[5-5]])*elite2_plat,0)</f>
        <v>1200</v>
      </c>
      <c r="BM56" s="97">
        <f ca="1">ROUNDUP(IF(race="Gnome",1,(1-MIN(TblMili[[#This Row],[Smithies]]*smithy_bonus,smithy_bonus_cap) + tech_3_5*TblTech[[#This Row],[3-5]] + tech_5_3*TblTech[[#This Row],[5-3]] + tech_5_5*TblTech[[#This Row],[5-5]]))*elite2_ore,0)</f>
        <v>100</v>
      </c>
      <c r="BN56" s="97">
        <f ca="1">ROUNDUP((1-MIN(ROUND(fh_spy_cost_red*TblMili[[#This Row],[FH''s]],4),fh_spy_cost_cap)+ tech_1_9*TblTech[[#This Row],[1-9]] + tech_9_1*TblTech[[#This Row],[9-1]])*spy_plat,0)</f>
        <v>500</v>
      </c>
      <c r="BO56" s="97">
        <f ca="1">ROUNDUP((1-MIN(ROUND(wg_wiz_cost_bonus*TblMili[[#This Row],[WG''s]],4),wg_wiz_cost_cap) + tech_1_9_2*TblTech[[#This Row],[1-9]] + tech_9_1_2*TblTech[[#This Row],[9-1]])*wizard_plat,0)</f>
        <v>500</v>
      </c>
      <c r="BP56" s="97">
        <f ca="1">ROUNDUP((1-MIN(ROUND(wg_wiz_cost_bonus*TblMili[[#This Row],[WG''s]],4),wg_wiz_cost_cap) + tech_1_9_2*TblTech[[#This Row],[1-9]] + tech_9_1_2*TblTech[[#This Row],[9-1]])*archmage_plat,0)</f>
        <v>1000</v>
      </c>
      <c r="BQ56" s="150"/>
      <c r="BR56" s="165">
        <f ca="1">TblConstr[[#This Row],[Homeland]]/TblConstr[[#This Row],[Land]]</f>
        <v>0.44</v>
      </c>
      <c r="BS56" s="165">
        <f ca="1">TblMili[[#This Row],[WG''s]]</f>
        <v>0</v>
      </c>
      <c r="BT56" s="271">
        <f ca="1">IF(mystic_cap="none",TblMili[[#This Row],[Hill]]/mystic_bonus,MIN(mystic_cap,TblMili[[#This Row],[Hill]]/mystic_bonus))</f>
        <v>2.1999999999999997</v>
      </c>
      <c r="BU56" s="271">
        <f ca="1">IF(druid_op_cap="none",TblMili[[#This Row],[Hill]]/druid_op_bonus,MIN(druid_op_cap,TblMili[[#This Row],[Hill]]/druid_op_bonus))</f>
        <v>2.1999999999999997</v>
      </c>
      <c r="BV56" s="271">
        <f ca="1">IF(druid_dp_cap="none",TblMili[[#This Row],[Hill]]/druid_dp_bonus,MIN(druid_dp_cap,TblMili[[#This Row],[Hill]]/druid_dp_bonus))</f>
        <v>2.1999999999999997</v>
      </c>
      <c r="BW56" s="271">
        <f ca="1">MIN(dryad_cap,TblMili[[#This Row],[Hill]]/dryad_bonus)</f>
        <v>2.1999999999999997</v>
      </c>
      <c r="BX56" s="271">
        <f ca="1">MIN(rocka_cap,TblMili[[#This Row],[Hill]]/rocka_bonus)</f>
        <v>2</v>
      </c>
      <c r="BY56" s="271">
        <f ca="1">MIN(adept_op_cap,TblMili[[#This Row],[WG]]/adept_op_bonus)</f>
        <v>0</v>
      </c>
      <c r="BZ56" s="271">
        <f ca="1">MIN(adept_dp_cap,TblMili[[#This Row],[WG]]/adept_dp_bonus)</f>
        <v>0</v>
      </c>
      <c r="CA56" s="97">
        <f ca="1">MIN(TblMili[[#This Row],[Unit 3]],TblMili[[#This Row],[Unit 4]])*2</f>
        <v>0</v>
      </c>
      <c r="CB56" s="97">
        <f ca="1">MIN(TblMili[[#This Row],[Unit 1]],TblMili[[#This Row],[Unit 4]])*2</f>
        <v>0</v>
      </c>
      <c r="CC56" s="271">
        <f ca="1">MIN(frost_mage_cap,TblMili[[#This Row],[Hill]]/frost_mage_bonus)</f>
        <v>2.1999999999999997</v>
      </c>
      <c r="CD56" s="45">
        <f ca="1">MIN(ice_elem_cap,TblMili[[#This Row],[Raw (2)]]*ice_elem_bonus)</f>
        <v>0.1</v>
      </c>
      <c r="CE56" s="271">
        <f t="shared" si="2"/>
        <v>1</v>
      </c>
      <c r="CF56" s="271">
        <f ca="1">MIN(nox_nightshade_cap,TblConstr[[#This Row],[Homeland]]/TblConstr[[#This Row],[Land]]/nox_nightshade_swamp_bonus)</f>
        <v>3</v>
      </c>
      <c r="CG56" s="272"/>
      <c r="CH56" s="272"/>
      <c r="CI56" s="272"/>
      <c r="CJ56" s="271">
        <f ca="1">MIN(6,TblMili[[#This Row],[Mystic]]+Races!$F$19)*1.8 +  IF(TblMili[[#This Row],[Mystic]]+Races!$F$19&gt;6,(TblMili[[#This Row],[Mystic]]+Races!$F$19-6)*0.2,0) - Races!$I$19</f>
        <v>3.6399999999999997</v>
      </c>
      <c r="CK5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97">
        <f ca="1">TblMili[[#This Row],[Mystic bonus]]*TblMili[[#This Row],[Unit 3]]+TblMili[[#This Row],[Druid bonus]]*TblMili[[#This Row],[Unit 4]]</f>
        <v>0</v>
      </c>
      <c r="CM56" s="163">
        <f ca="1">MIN(6,TblMili[[#This Row],[Dryad]]+Races!$F$35)*1.8 +  IF(TblMili[[#This Row],[Dryad]]+Races!$F$35&gt;6,(TblMili[[#This Row],[Dryad]]+Races!$F$35-6)*0.2,0) - Races!$I$19</f>
        <v>2.1599999999999993</v>
      </c>
      <c r="CN56" s="97">
        <f ca="1">sylvan*(TblMili[[#This Row],[Mystic bonus]]*TblMili[[#This Row],[Unit 3]])</f>
        <v>0</v>
      </c>
      <c r="CO56" s="163">
        <f ca="1">1.8 * MIN(MAX(Races!$E$27,TblMili[[#This Row],[Rockapult]]+Races!$F$27),6)  +  0.45 * MIN(MIN(Races!$E$27,TblMili[[#This Row],[Rockapult]]+Races!$F$27),6)  +  0.2 * ( MAX(Races!$E$27-6,0) + MAX(TblMili[[#This Row],[Rockapult]]+Races!$F$27-6,0) )  -  Races!$I$20</f>
        <v>5.8500000000000005</v>
      </c>
      <c r="CP56" s="97">
        <f ca="1">gnome*(TblMili[[#This Row],[Rockapult bonus]]*TblMili[[#This Row],[Unit 3]])</f>
        <v>0</v>
      </c>
      <c r="CQ56" s="163">
        <f ca="1">1.8 * MIN(MAX(TblMili[[#This Row],[Spellblade]]+Races!$E$47,TblMili[[#This Row],[Adept-DP]]+Races!$F$47),6)  +  0.45 * MIN(MIN(TblMili[[#This Row],[Spellblade]]+Races!$E$47,TblMili[[#This Row],[Adept-DP]]+Races!$F$47),6)  +  0.2 * ( MAX(TblMili[[#This Row],[Spellblade]]+Races!$E$47-6,0) + MAX(TblMili[[#This Row],[Adept-DP]]+Races!$F$47-6,0) )  -  Races!$I$47</f>
        <v>0</v>
      </c>
      <c r="CR56" s="97">
        <f ca="1">dark_elf*(TblMili[[#This Row],[Adept bonus]]*TblMili[[#This Row],[Unit 3]])</f>
        <v>0</v>
      </c>
      <c r="CS56" s="163">
        <f ca="1">1.8 * MIN(MAX(TblMili[[#This Row],[Frost Mage]]+Races!$F$71,Races!$E$71),6)  +  0.45 * MIN(MIN(TblMili[[#This Row],[Frost Mage]]+Races!$F$71,Races!$E$71),6)  +  0.2 * ( MAX(TblMili[[#This Row],[Frost Mage]]+Races!$F$71-6,0) + MAX(Races!$E$71-6,0) )  -  Races!$I$71</f>
        <v>3.9599999999999991</v>
      </c>
      <c r="CT56" s="163">
        <f ca="1">1.8 * MIN(MAX(TblMili[[#This Row],[Ice Elemental]]+Races!$E$71,Races!$F$71),6)  +  0.45 * MIN(MIN(TblMili[[#This Row],[Ice Elemental]]+Races!$E$71,Races!$F$71),6)  +  0.2 * ( MAX(TblMili[[#This Row],[Ice Elemental]]+Races!$E$71-6,0) + MAX(Races!$F$71-6,0) )  -  Races!$I$71</f>
        <v>0.17999999999999972</v>
      </c>
      <c r="CU56" s="97">
        <f ca="1">TblMili[[#This Row],[Frost Mage bonus]]*TblMili[[#This Row],[Unit 3]]+TblMili[[#This Row],[Ice Elemental bonus]]*TblMili[[#This Row],[Unit 4]]</f>
        <v>0</v>
      </c>
      <c r="CV56" s="273"/>
      <c r="CW56" s="151">
        <f ca="1">MIN(SUM(TblConstr[[#This Row],[Plain]:[Water]])/TblMili[[#This Row],[Land]]/favorable_terrain_bonus/100,favorable_terrain_max)</f>
        <v>0.1</v>
      </c>
      <c r="CX56" s="273"/>
      <c r="CY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50"/>
      <c r="DA56" s="274">
        <f ca="1">(TblMili[[#This Row],[Wizards]]+2*TblMili[[#This Row],[Archmages]])/TblConstr[[#This Row],[Land]]</f>
        <v>0.1</v>
      </c>
      <c r="DB56" s="274">
        <f ca="1">TblMili[[#This Row],[Raw (2)]]*(1+race_wizard_strength+IF(TblMili[[#This Row],[Hour]]&gt;72,tech_magical_weaponry_wiz*TblTech[[#This Row],[3-5]],0))</f>
        <v>0.1</v>
      </c>
    </row>
    <row r="57" spans="1:106" x14ac:dyDescent="0.2">
      <c r="A57" s="145">
        <f>TblRezone[[#This Row],[Hour]]</f>
        <v>54</v>
      </c>
      <c r="B57" s="266">
        <f ca="1">SUM(TblMili[[#This Row],[Unit 1]:[Archmages]])+SUM(OFFSET(TblMili[[#This Row],[Train Unit 1]],-8,0):TblMili[[#This Row],[Train Unit 2]]) + SUM(OFFSET(TblMili[[#This Row],[Train Unit 3]],-11,0):TblMili[[#This Row],[Train Arch]]) + TblMili[[#This Row],[Draftees]]</f>
        <v>826</v>
      </c>
      <c r="C57" s="165">
        <f ca="1">TblPop[[#This Row],[Military%]]</f>
        <v>0.35029686174724345</v>
      </c>
      <c r="D57" s="150"/>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f>
        <v>25</v>
      </c>
      <c r="J57" s="45">
        <f ca="1">OFFSET(TblMili[[#This Row],[Wizards]],-1,0) + OFFSET(TblMili[[#This Row],[Train Wiz]],-12,0) - TblMili[[#This Row],[Release Wizards]]-TblMili[[#This Row],[Train Arch]]</f>
        <v>25</v>
      </c>
      <c r="K57" s="45">
        <f ca="1">OFFSET(TblMili[[#This Row],[Archmages]],-1,0) + OFFSET(TblMili[[#This Row],[Train Arch]],-12,0) - TblMili[[#This Row],[Release Arch]]</f>
        <v>0</v>
      </c>
      <c r="L57" s="150"/>
      <c r="M57" s="97">
        <f ca="1">TblProd[[#This Row],[Networth]]</f>
        <v>6450</v>
      </c>
      <c r="N57" s="150"/>
      <c r="O57" s="267">
        <f ca="1">TblMili[[#This Row],[Unit 1]]*spec_op+TblMili[[#This Row],[Unit 3]]*(elite1_base_op)+TblMili[[#This Row],[Unit 4]]*(elite2_base_op+dark_elf*TblMili[[#This Row],[Spellblade]]+icekin*TblMili[[#This Row],[Ice Elemental]]+woodie*TblMili[[#This Row],[Druid (op)]]+orc*TblMili[[#This Row],[Orc]])+kobold*TblMili[[#This Row],[Overlords]]</f>
        <v>0</v>
      </c>
      <c r="P5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7" s="267">
        <f ca="1">TblMili[[#This Row],[Raw]]*(1+TblMili[[#This Row],[Mods_Off]])</f>
        <v>0</v>
      </c>
      <c r="R5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7" s="267">
        <f ca="1">TblMili[[#This Row],[Non Draft]]+TblMili[[#This Row],[Draftees]]</f>
        <v>1076</v>
      </c>
      <c r="T5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269">
        <f ca="1">TblMili[[#This Row],[Non Draft]] * (1 + TblMili[[#This Row],[Mods_Def]])</f>
        <v>450</v>
      </c>
      <c r="V57" s="267">
        <f ca="1">TblMili[[#This Row],[Draft]] * (1 + TblMili[[#This Row],[Mods_Def]])</f>
        <v>1076</v>
      </c>
      <c r="W57" s="267">
        <f ca="1">TblConstr[[#This Row],[Land]]</f>
        <v>250</v>
      </c>
      <c r="X57" s="270"/>
      <c r="Y57" s="275">
        <f ca="1">IF(TblMili[[#This Row],[Set]]&lt;&gt;"",TblMili[[#This Row],[Set]],OFFSET(TblMili[[#This Row],[Draftrate]],-1,0))</f>
        <v>0.35</v>
      </c>
      <c r="Z57" s="97">
        <f ca="1">OFFSET(TblMili[[#This Row],[Draftees]],-1,0)+OFFSET(TblPop[[#This Row],[Draft Growth]],-1,0) - SUM(TblMili[[#This Row],[Train Unit 1]:[Train Wiz]]) - TblMili[[#This Row],[Release Draft]] + SUM(TblMili[[#This Row],[Release Unit 1]:[Release Arch]]) -TblExplore[[#This Row],[Draftees (2)]]</f>
        <v>626</v>
      </c>
      <c r="AA57" s="162"/>
      <c r="AB57" s="188">
        <f ca="1">(TblConstr[[#This Row],[Tot Smi]]+TblConstr[[#This Row],[Dest Smi]])/(TblConstr[[#This Row],[Land]]-TblExplore[[#This Row],[Land Bonus]]*20)</f>
        <v>0</v>
      </c>
      <c r="AC57" s="145"/>
      <c r="AD57" s="266">
        <f>TblMili[[#This Row],[Hour]]</f>
        <v>54</v>
      </c>
      <c r="AE57" s="146">
        <f ca="1">TblExplore[[#This Row],[Time]]</f>
        <v>44812.958333333205</v>
      </c>
      <c r="AF57" s="187"/>
      <c r="AG57" s="187"/>
      <c r="AH57" s="187"/>
      <c r="AI57" s="187"/>
      <c r="AJ57" s="187"/>
      <c r="AK57" s="187"/>
      <c r="AL57" s="187"/>
      <c r="AM57" s="150"/>
      <c r="AN57" s="97">
        <f ca="1">TblProd[[#This Row],[Platinum]]</f>
        <v>391636</v>
      </c>
      <c r="AO57" s="97">
        <f ca="1">INDEX(TblProd[[#Headers],[Lumber]]:TblProd[[#This Row],[Ore]],COUNTA(TblProd[[#Headers],[Lumber]]:TblProd[[#This Row],[Lumber]]),MATCH(Military!$AO$2,TblProd[[#Headers],[Lumber]:[Ore]],0))</f>
        <v>0</v>
      </c>
      <c r="AP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97">
        <f ca="1">TblMili[[#This Row],[Train Unit 1]]*TblMili[[#This Row],[OP Ore]]+TblMili[[#This Row],[Train Unit 2]]*TblMili[[#This Row],[DP Ore]]+TblMili[[#This Row],[Train Unit 3]]*TblMili[[#This Row],[E1 Ore]]+TblMili[[#This Row],[Train Unit 4]]*TblMili[[#This Row],[E2 Ore]]</f>
        <v>0</v>
      </c>
      <c r="AR57" s="150">
        <f>TblMili[[#This Row],[Hour]]</f>
        <v>54</v>
      </c>
      <c r="AS57" s="160">
        <f ca="1">TblMili[[#This Row],[Time]]</f>
        <v>44812.958333333205</v>
      </c>
      <c r="AT57" s="97">
        <f ca="1">TblMili[[#This Row],[Draftees]]</f>
        <v>626</v>
      </c>
      <c r="AU57" s="187"/>
      <c r="AV57" s="187"/>
      <c r="AW57" s="187"/>
      <c r="AX57" s="187"/>
      <c r="AY57" s="187"/>
      <c r="AZ57" s="187"/>
      <c r="BA57" s="187"/>
      <c r="BB57" s="187"/>
      <c r="BC57" s="150"/>
      <c r="BD57" s="165">
        <f ca="1">TblConstr[[#This Row],[Tot WG]]/TblConstr[[#This Row],[Land]]</f>
        <v>0</v>
      </c>
      <c r="BE57" s="165">
        <f ca="1">TblConstr[[#This Row],[Tot Hav]]/TblConstr[[#This Row],[Land]]</f>
        <v>0</v>
      </c>
      <c r="BF57" s="97">
        <f ca="1">ROUNDUP((1-MIN(TblMili[[#This Row],[Smithies]]*smithy_bonus,smithy_bonus_cap) + tech_3_5*TblTech[[#This Row],[3-5]] + tech_5_3*TblTech[[#This Row],[5-3]] + tech_5_5*TblTech[[#This Row],[5-5]])*spec_op_plat,0)</f>
        <v>275</v>
      </c>
      <c r="BG57" s="97">
        <f ca="1">ROUNDUP(IF(race="Gnome",1,(1-MIN(TblMili[[#This Row],[Smithies]]*smithy_bonus,smithy_bonus_cap) + tech_3_5*TblTech[[#This Row],[3-5]] + tech_5_3*TblTech[[#This Row],[5-3]] + tech_5_5*TblTech[[#This Row],[5-5]]))*spec_op_ore,0)</f>
        <v>25</v>
      </c>
      <c r="BH57" s="97">
        <f ca="1">ROUNDUP((1-MIN(TblMili[[#This Row],[Smithies]]*smithy_bonus,smithy_bonus_cap) + tech_3_5*TblTech[[#This Row],[3-5]] + tech_5_3*TblTech[[#This Row],[5-3]] + tech_5_5*TblTech[[#This Row],[5-5]])*spec_dp_plat,0)</f>
        <v>275</v>
      </c>
      <c r="BI57" s="97">
        <f ca="1">ROUNDUP(IF(race="Gnome",1,(1-MIN(TblMili[[#This Row],[Smithies]]*smithy_bonus,smithy_bonus_cap) + tech_3_5*TblTech[[#This Row],[3-5]] + tech_5_3*TblTech[[#This Row],[5-3]] + tech_5_5*TblTech[[#This Row],[5-5]]))*spec_dp_ore,0)</f>
        <v>15</v>
      </c>
      <c r="BJ57" s="97">
        <f ca="1">ROUNDUP((1-MIN(TblMili[[#This Row],[Smithies]]*smithy_bonus,smithy_bonus_cap) + tech_3_5*TblTech[[#This Row],[3-5]] + tech_5_3*TblTech[[#This Row],[5-3]] + tech_5_5*TblTech[[#This Row],[5-5]])*elite1_plat,0)</f>
        <v>1000</v>
      </c>
      <c r="BK57" s="97">
        <f ca="1">ROUNDUP(IF(race="Gnome",1,(1-MIN(TblMili[[#This Row],[Smithies]]*smithy_bonus,smithy_bonus_cap) + tech_3_5*TblTech[[#This Row],[3-5]] + tech_5_3*TblTech[[#This Row],[5-3]] + tech_5_5*TblTech[[#This Row],[5-5]]))*elite1_ore,0)</f>
        <v>75</v>
      </c>
      <c r="BL57" s="97">
        <f ca="1">ROUNDUP((1-MIN(TblMili[[#This Row],[Smithies]]*smithy_bonus,smithy_bonus_cap) + tech_3_5*TblTech[[#This Row],[3-5]] + tech_5_3*TblTech[[#This Row],[5-3]] + tech_5_5*TblTech[[#This Row],[5-5]])*elite2_plat,0)</f>
        <v>1200</v>
      </c>
      <c r="BM57" s="97">
        <f ca="1">ROUNDUP(IF(race="Gnome",1,(1-MIN(TblMili[[#This Row],[Smithies]]*smithy_bonus,smithy_bonus_cap) + tech_3_5*TblTech[[#This Row],[3-5]] + tech_5_3*TblTech[[#This Row],[5-3]] + tech_5_5*TblTech[[#This Row],[5-5]]))*elite2_ore,0)</f>
        <v>100</v>
      </c>
      <c r="BN57" s="97">
        <f ca="1">ROUNDUP((1-MIN(ROUND(fh_spy_cost_red*TblMili[[#This Row],[FH''s]],4),fh_spy_cost_cap)+ tech_1_9*TblTech[[#This Row],[1-9]] + tech_9_1*TblTech[[#This Row],[9-1]])*spy_plat,0)</f>
        <v>500</v>
      </c>
      <c r="BO57" s="97">
        <f ca="1">ROUNDUP((1-MIN(ROUND(wg_wiz_cost_bonus*TblMili[[#This Row],[WG''s]],4),wg_wiz_cost_cap) + tech_1_9_2*TblTech[[#This Row],[1-9]] + tech_9_1_2*TblTech[[#This Row],[9-1]])*wizard_plat,0)</f>
        <v>500</v>
      </c>
      <c r="BP57" s="97">
        <f ca="1">ROUNDUP((1-MIN(ROUND(wg_wiz_cost_bonus*TblMili[[#This Row],[WG''s]],4),wg_wiz_cost_cap) + tech_1_9_2*TblTech[[#This Row],[1-9]] + tech_9_1_2*TblTech[[#This Row],[9-1]])*archmage_plat,0)</f>
        <v>1000</v>
      </c>
      <c r="BQ57" s="150"/>
      <c r="BR57" s="165">
        <f ca="1">TblConstr[[#This Row],[Homeland]]/TblConstr[[#This Row],[Land]]</f>
        <v>0.44</v>
      </c>
      <c r="BS57" s="165">
        <f ca="1">TblMili[[#This Row],[WG''s]]</f>
        <v>0</v>
      </c>
      <c r="BT57" s="271">
        <f ca="1">IF(mystic_cap="none",TblMili[[#This Row],[Hill]]/mystic_bonus,MIN(mystic_cap,TblMili[[#This Row],[Hill]]/mystic_bonus))</f>
        <v>2.1999999999999997</v>
      </c>
      <c r="BU57" s="271">
        <f ca="1">IF(druid_op_cap="none",TblMili[[#This Row],[Hill]]/druid_op_bonus,MIN(druid_op_cap,TblMili[[#This Row],[Hill]]/druid_op_bonus))</f>
        <v>2.1999999999999997</v>
      </c>
      <c r="BV57" s="271">
        <f ca="1">IF(druid_dp_cap="none",TblMili[[#This Row],[Hill]]/druid_dp_bonus,MIN(druid_dp_cap,TblMili[[#This Row],[Hill]]/druid_dp_bonus))</f>
        <v>2.1999999999999997</v>
      </c>
      <c r="BW57" s="271">
        <f ca="1">MIN(dryad_cap,TblMili[[#This Row],[Hill]]/dryad_bonus)</f>
        <v>2.1999999999999997</v>
      </c>
      <c r="BX57" s="271">
        <f ca="1">MIN(rocka_cap,TblMili[[#This Row],[Hill]]/rocka_bonus)</f>
        <v>2</v>
      </c>
      <c r="BY57" s="271">
        <f ca="1">MIN(adept_op_cap,TblMili[[#This Row],[WG]]/adept_op_bonus)</f>
        <v>0</v>
      </c>
      <c r="BZ57" s="271">
        <f ca="1">MIN(adept_dp_cap,TblMili[[#This Row],[WG]]/adept_dp_bonus)</f>
        <v>0</v>
      </c>
      <c r="CA57" s="97">
        <f ca="1">MIN(TblMili[[#This Row],[Unit 3]],TblMili[[#This Row],[Unit 4]])*2</f>
        <v>0</v>
      </c>
      <c r="CB57" s="97">
        <f ca="1">MIN(TblMili[[#This Row],[Unit 1]],TblMili[[#This Row],[Unit 4]])*2</f>
        <v>0</v>
      </c>
      <c r="CC57" s="271">
        <f ca="1">MIN(frost_mage_cap,TblMili[[#This Row],[Hill]]/frost_mage_bonus)</f>
        <v>2.1999999999999997</v>
      </c>
      <c r="CD57" s="45">
        <f ca="1">MIN(ice_elem_cap,TblMili[[#This Row],[Raw (2)]]*ice_elem_bonus)</f>
        <v>0.1</v>
      </c>
      <c r="CE57" s="271">
        <f t="shared" si="2"/>
        <v>1</v>
      </c>
      <c r="CF57" s="271">
        <f ca="1">MIN(nox_nightshade_cap,TblConstr[[#This Row],[Homeland]]/TblConstr[[#This Row],[Land]]/nox_nightshade_swamp_bonus)</f>
        <v>3</v>
      </c>
      <c r="CG57" s="272"/>
      <c r="CH57" s="272"/>
      <c r="CI57" s="272"/>
      <c r="CJ57" s="271">
        <f ca="1">MIN(6,TblMili[[#This Row],[Mystic]]+Races!$F$19)*1.8 +  IF(TblMili[[#This Row],[Mystic]]+Races!$F$19&gt;6,(TblMili[[#This Row],[Mystic]]+Races!$F$19-6)*0.2,0) - Races!$I$19</f>
        <v>3.6399999999999997</v>
      </c>
      <c r="CK5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97">
        <f ca="1">TblMili[[#This Row],[Mystic bonus]]*TblMili[[#This Row],[Unit 3]]+TblMili[[#This Row],[Druid bonus]]*TblMili[[#This Row],[Unit 4]]</f>
        <v>0</v>
      </c>
      <c r="CM57" s="163">
        <f ca="1">MIN(6,TblMili[[#This Row],[Dryad]]+Races!$F$35)*1.8 +  IF(TblMili[[#This Row],[Dryad]]+Races!$F$35&gt;6,(TblMili[[#This Row],[Dryad]]+Races!$F$35-6)*0.2,0) - Races!$I$19</f>
        <v>2.1599999999999993</v>
      </c>
      <c r="CN57" s="97">
        <f ca="1">sylvan*(TblMili[[#This Row],[Mystic bonus]]*TblMili[[#This Row],[Unit 3]])</f>
        <v>0</v>
      </c>
      <c r="CO57" s="163">
        <f ca="1">1.8 * MIN(MAX(Races!$E$27,TblMili[[#This Row],[Rockapult]]+Races!$F$27),6)  +  0.45 * MIN(MIN(Races!$E$27,TblMili[[#This Row],[Rockapult]]+Races!$F$27),6)  +  0.2 * ( MAX(Races!$E$27-6,0) + MAX(TblMili[[#This Row],[Rockapult]]+Races!$F$27-6,0) )  -  Races!$I$20</f>
        <v>5.8500000000000005</v>
      </c>
      <c r="CP57" s="97">
        <f ca="1">gnome*(TblMili[[#This Row],[Rockapult bonus]]*TblMili[[#This Row],[Unit 3]])</f>
        <v>0</v>
      </c>
      <c r="CQ57" s="163">
        <f ca="1">1.8 * MIN(MAX(TblMili[[#This Row],[Spellblade]]+Races!$E$47,TblMili[[#This Row],[Adept-DP]]+Races!$F$47),6)  +  0.45 * MIN(MIN(TblMili[[#This Row],[Spellblade]]+Races!$E$47,TblMili[[#This Row],[Adept-DP]]+Races!$F$47),6)  +  0.2 * ( MAX(TblMili[[#This Row],[Spellblade]]+Races!$E$47-6,0) + MAX(TblMili[[#This Row],[Adept-DP]]+Races!$F$47-6,0) )  -  Races!$I$47</f>
        <v>0</v>
      </c>
      <c r="CR57" s="97">
        <f ca="1">dark_elf*(TblMili[[#This Row],[Adept bonus]]*TblMili[[#This Row],[Unit 3]])</f>
        <v>0</v>
      </c>
      <c r="CS57" s="163">
        <f ca="1">1.8 * MIN(MAX(TblMili[[#This Row],[Frost Mage]]+Races!$F$71,Races!$E$71),6)  +  0.45 * MIN(MIN(TblMili[[#This Row],[Frost Mage]]+Races!$F$71,Races!$E$71),6)  +  0.2 * ( MAX(TblMili[[#This Row],[Frost Mage]]+Races!$F$71-6,0) + MAX(Races!$E$71-6,0) )  -  Races!$I$71</f>
        <v>3.9599999999999991</v>
      </c>
      <c r="CT57" s="163">
        <f ca="1">1.8 * MIN(MAX(TblMili[[#This Row],[Ice Elemental]]+Races!$E$71,Races!$F$71),6)  +  0.45 * MIN(MIN(TblMili[[#This Row],[Ice Elemental]]+Races!$E$71,Races!$F$71),6)  +  0.2 * ( MAX(TblMili[[#This Row],[Ice Elemental]]+Races!$E$71-6,0) + MAX(Races!$F$71-6,0) )  -  Races!$I$71</f>
        <v>0.17999999999999972</v>
      </c>
      <c r="CU57" s="97">
        <f ca="1">TblMili[[#This Row],[Frost Mage bonus]]*TblMili[[#This Row],[Unit 3]]+TblMili[[#This Row],[Ice Elemental bonus]]*TblMili[[#This Row],[Unit 4]]</f>
        <v>0</v>
      </c>
      <c r="CV57" s="273"/>
      <c r="CW57" s="151">
        <f ca="1">MIN(SUM(TblConstr[[#This Row],[Plain]:[Water]])/TblMili[[#This Row],[Land]]/favorable_terrain_bonus/100,favorable_terrain_max)</f>
        <v>0.1</v>
      </c>
      <c r="CX57" s="273"/>
      <c r="CY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50"/>
      <c r="DA57" s="274">
        <f ca="1">(TblMili[[#This Row],[Wizards]]+2*TblMili[[#This Row],[Archmages]])/TblConstr[[#This Row],[Land]]</f>
        <v>0.1</v>
      </c>
      <c r="DB57" s="274">
        <f ca="1">TblMili[[#This Row],[Raw (2)]]*(1+race_wizard_strength+IF(TblMili[[#This Row],[Hour]]&gt;72,tech_magical_weaponry_wiz*TblTech[[#This Row],[3-5]],0))</f>
        <v>0.1</v>
      </c>
    </row>
    <row r="58" spans="1:106" x14ac:dyDescent="0.2">
      <c r="A58" s="145">
        <f>TblRezone[[#This Row],[Hour]]</f>
        <v>55</v>
      </c>
      <c r="B58" s="266">
        <f ca="1">SUM(TblMili[[#This Row],[Unit 1]:[Archmages]])+SUM(OFFSET(TblMili[[#This Row],[Train Unit 1]],-8,0):TblMili[[#This Row],[Train Unit 2]]) + SUM(OFFSET(TblMili[[#This Row],[Train Unit 3]],-11,0):TblMili[[#This Row],[Train Arch]]) + TblMili[[#This Row],[Draftees]]</f>
        <v>826</v>
      </c>
      <c r="C58" s="165">
        <f ca="1">TblPop[[#This Row],[Military%]]</f>
        <v>0.35029686174724345</v>
      </c>
      <c r="D58" s="150"/>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f>
        <v>25</v>
      </c>
      <c r="J58" s="45">
        <f ca="1">OFFSET(TblMili[[#This Row],[Wizards]],-1,0) + OFFSET(TblMili[[#This Row],[Train Wiz]],-12,0) - TblMili[[#This Row],[Release Wizards]]-TblMili[[#This Row],[Train Arch]]</f>
        <v>25</v>
      </c>
      <c r="K58" s="45">
        <f ca="1">OFFSET(TblMili[[#This Row],[Archmages]],-1,0) + OFFSET(TblMili[[#This Row],[Train Arch]],-12,0) - TblMili[[#This Row],[Release Arch]]</f>
        <v>0</v>
      </c>
      <c r="L58" s="150"/>
      <c r="M58" s="97">
        <f ca="1">TblProd[[#This Row],[Networth]]</f>
        <v>6450</v>
      </c>
      <c r="N58" s="150"/>
      <c r="O58" s="267">
        <f ca="1">TblMili[[#This Row],[Unit 1]]*spec_op+TblMili[[#This Row],[Unit 3]]*(elite1_base_op)+TblMili[[#This Row],[Unit 4]]*(elite2_base_op+dark_elf*TblMili[[#This Row],[Spellblade]]+icekin*TblMili[[#This Row],[Ice Elemental]]+woodie*TblMili[[#This Row],[Druid (op)]]+orc*TblMili[[#This Row],[Orc]])+kobold*TblMili[[#This Row],[Overlords]]</f>
        <v>0</v>
      </c>
      <c r="P5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8" s="267">
        <f ca="1">TblMili[[#This Row],[Raw]]*(1+TblMili[[#This Row],[Mods_Off]])</f>
        <v>0</v>
      </c>
      <c r="R5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8" s="267">
        <f ca="1">TblMili[[#This Row],[Non Draft]]+TblMili[[#This Row],[Draftees]]</f>
        <v>1076</v>
      </c>
      <c r="T5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269">
        <f ca="1">TblMili[[#This Row],[Non Draft]] * (1 + TblMili[[#This Row],[Mods_Def]])</f>
        <v>450</v>
      </c>
      <c r="V58" s="267">
        <f ca="1">TblMili[[#This Row],[Draft]] * (1 + TblMili[[#This Row],[Mods_Def]])</f>
        <v>1076</v>
      </c>
      <c r="W58" s="267">
        <f ca="1">TblConstr[[#This Row],[Land]]</f>
        <v>250</v>
      </c>
      <c r="X58" s="270"/>
      <c r="Y58" s="275">
        <f ca="1">IF(TblMili[[#This Row],[Set]]&lt;&gt;"",TblMili[[#This Row],[Set]],OFFSET(TblMili[[#This Row],[Draftrate]],-1,0))</f>
        <v>0.35</v>
      </c>
      <c r="Z58" s="97">
        <f ca="1">OFFSET(TblMili[[#This Row],[Draftees]],-1,0)+OFFSET(TblPop[[#This Row],[Draft Growth]],-1,0) - SUM(TblMili[[#This Row],[Train Unit 1]:[Train Wiz]]) - TblMili[[#This Row],[Release Draft]] + SUM(TblMili[[#This Row],[Release Unit 1]:[Release Arch]]) -TblExplore[[#This Row],[Draftees (2)]]</f>
        <v>626</v>
      </c>
      <c r="AA58" s="162"/>
      <c r="AB58" s="188">
        <f ca="1">(TblConstr[[#This Row],[Tot Smi]]+TblConstr[[#This Row],[Dest Smi]])/(TblConstr[[#This Row],[Land]]-TblExplore[[#This Row],[Land Bonus]]*20)</f>
        <v>0</v>
      </c>
      <c r="AC58" s="145"/>
      <c r="AD58" s="266">
        <f>TblMili[[#This Row],[Hour]]</f>
        <v>55</v>
      </c>
      <c r="AE58" s="146">
        <f ca="1">TblExplore[[#This Row],[Time]]</f>
        <v>44812.999999999869</v>
      </c>
      <c r="AF58" s="187"/>
      <c r="AG58" s="187"/>
      <c r="AH58" s="187"/>
      <c r="AI58" s="187"/>
      <c r="AJ58" s="187"/>
      <c r="AK58" s="187"/>
      <c r="AL58" s="187"/>
      <c r="AM58" s="150"/>
      <c r="AN58" s="97">
        <f ca="1">TblProd[[#This Row],[Platinum]]</f>
        <v>397122</v>
      </c>
      <c r="AO58" s="97">
        <f ca="1">INDEX(TblProd[[#Headers],[Lumber]]:TblProd[[#This Row],[Ore]],COUNTA(TblProd[[#Headers],[Lumber]]:TblProd[[#This Row],[Lumber]]),MATCH(Military!$AO$2,TblProd[[#Headers],[Lumber]:[Ore]],0))</f>
        <v>0</v>
      </c>
      <c r="AP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97">
        <f ca="1">TblMili[[#This Row],[Train Unit 1]]*TblMili[[#This Row],[OP Ore]]+TblMili[[#This Row],[Train Unit 2]]*TblMili[[#This Row],[DP Ore]]+TblMili[[#This Row],[Train Unit 3]]*TblMili[[#This Row],[E1 Ore]]+TblMili[[#This Row],[Train Unit 4]]*TblMili[[#This Row],[E2 Ore]]</f>
        <v>0</v>
      </c>
      <c r="AR58" s="150">
        <f>TblMili[[#This Row],[Hour]]</f>
        <v>55</v>
      </c>
      <c r="AS58" s="160">
        <f ca="1">TblMili[[#This Row],[Time]]</f>
        <v>44812.999999999869</v>
      </c>
      <c r="AT58" s="97">
        <f ca="1">TblMili[[#This Row],[Draftees]]</f>
        <v>626</v>
      </c>
      <c r="AU58" s="187"/>
      <c r="AV58" s="187"/>
      <c r="AW58" s="187"/>
      <c r="AX58" s="187"/>
      <c r="AY58" s="187"/>
      <c r="AZ58" s="187"/>
      <c r="BA58" s="187"/>
      <c r="BB58" s="187"/>
      <c r="BC58" s="150"/>
      <c r="BD58" s="165">
        <f ca="1">TblConstr[[#This Row],[Tot WG]]/TblConstr[[#This Row],[Land]]</f>
        <v>0</v>
      </c>
      <c r="BE58" s="165">
        <f ca="1">TblConstr[[#This Row],[Tot Hav]]/TblConstr[[#This Row],[Land]]</f>
        <v>0</v>
      </c>
      <c r="BF58" s="97">
        <f ca="1">ROUNDUP((1-MIN(TblMili[[#This Row],[Smithies]]*smithy_bonus,smithy_bonus_cap) + tech_3_5*TblTech[[#This Row],[3-5]] + tech_5_3*TblTech[[#This Row],[5-3]] + tech_5_5*TblTech[[#This Row],[5-5]])*spec_op_plat,0)</f>
        <v>275</v>
      </c>
      <c r="BG58" s="97">
        <f ca="1">ROUNDUP(IF(race="Gnome",1,(1-MIN(TblMili[[#This Row],[Smithies]]*smithy_bonus,smithy_bonus_cap) + tech_3_5*TblTech[[#This Row],[3-5]] + tech_5_3*TblTech[[#This Row],[5-3]] + tech_5_5*TblTech[[#This Row],[5-5]]))*spec_op_ore,0)</f>
        <v>25</v>
      </c>
      <c r="BH58" s="97">
        <f ca="1">ROUNDUP((1-MIN(TblMili[[#This Row],[Smithies]]*smithy_bonus,smithy_bonus_cap) + tech_3_5*TblTech[[#This Row],[3-5]] + tech_5_3*TblTech[[#This Row],[5-3]] + tech_5_5*TblTech[[#This Row],[5-5]])*spec_dp_plat,0)</f>
        <v>275</v>
      </c>
      <c r="BI58" s="97">
        <f ca="1">ROUNDUP(IF(race="Gnome",1,(1-MIN(TblMili[[#This Row],[Smithies]]*smithy_bonus,smithy_bonus_cap) + tech_3_5*TblTech[[#This Row],[3-5]] + tech_5_3*TblTech[[#This Row],[5-3]] + tech_5_5*TblTech[[#This Row],[5-5]]))*spec_dp_ore,0)</f>
        <v>15</v>
      </c>
      <c r="BJ58" s="97">
        <f ca="1">ROUNDUP((1-MIN(TblMili[[#This Row],[Smithies]]*smithy_bonus,smithy_bonus_cap) + tech_3_5*TblTech[[#This Row],[3-5]] + tech_5_3*TblTech[[#This Row],[5-3]] + tech_5_5*TblTech[[#This Row],[5-5]])*elite1_plat,0)</f>
        <v>1000</v>
      </c>
      <c r="BK58" s="97">
        <f ca="1">ROUNDUP(IF(race="Gnome",1,(1-MIN(TblMili[[#This Row],[Smithies]]*smithy_bonus,smithy_bonus_cap) + tech_3_5*TblTech[[#This Row],[3-5]] + tech_5_3*TblTech[[#This Row],[5-3]] + tech_5_5*TblTech[[#This Row],[5-5]]))*elite1_ore,0)</f>
        <v>75</v>
      </c>
      <c r="BL58" s="97">
        <f ca="1">ROUNDUP((1-MIN(TblMili[[#This Row],[Smithies]]*smithy_bonus,smithy_bonus_cap) + tech_3_5*TblTech[[#This Row],[3-5]] + tech_5_3*TblTech[[#This Row],[5-3]] + tech_5_5*TblTech[[#This Row],[5-5]])*elite2_plat,0)</f>
        <v>1200</v>
      </c>
      <c r="BM58" s="97">
        <f ca="1">ROUNDUP(IF(race="Gnome",1,(1-MIN(TblMili[[#This Row],[Smithies]]*smithy_bonus,smithy_bonus_cap) + tech_3_5*TblTech[[#This Row],[3-5]] + tech_5_3*TblTech[[#This Row],[5-3]] + tech_5_5*TblTech[[#This Row],[5-5]]))*elite2_ore,0)</f>
        <v>100</v>
      </c>
      <c r="BN58" s="97">
        <f ca="1">ROUNDUP((1-MIN(ROUND(fh_spy_cost_red*TblMili[[#This Row],[FH''s]],4),fh_spy_cost_cap)+ tech_1_9*TblTech[[#This Row],[1-9]] + tech_9_1*TblTech[[#This Row],[9-1]])*spy_plat,0)</f>
        <v>500</v>
      </c>
      <c r="BO58" s="97">
        <f ca="1">ROUNDUP((1-MIN(ROUND(wg_wiz_cost_bonus*TblMili[[#This Row],[WG''s]],4),wg_wiz_cost_cap) + tech_1_9_2*TblTech[[#This Row],[1-9]] + tech_9_1_2*TblTech[[#This Row],[9-1]])*wizard_plat,0)</f>
        <v>500</v>
      </c>
      <c r="BP58" s="97">
        <f ca="1">ROUNDUP((1-MIN(ROUND(wg_wiz_cost_bonus*TblMili[[#This Row],[WG''s]],4),wg_wiz_cost_cap) + tech_1_9_2*TblTech[[#This Row],[1-9]] + tech_9_1_2*TblTech[[#This Row],[9-1]])*archmage_plat,0)</f>
        <v>1000</v>
      </c>
      <c r="BQ58" s="150"/>
      <c r="BR58" s="165">
        <f ca="1">TblConstr[[#This Row],[Homeland]]/TblConstr[[#This Row],[Land]]</f>
        <v>0.44</v>
      </c>
      <c r="BS58" s="165">
        <f ca="1">TblMili[[#This Row],[WG''s]]</f>
        <v>0</v>
      </c>
      <c r="BT58" s="271">
        <f ca="1">IF(mystic_cap="none",TblMili[[#This Row],[Hill]]/mystic_bonus,MIN(mystic_cap,TblMili[[#This Row],[Hill]]/mystic_bonus))</f>
        <v>2.1999999999999997</v>
      </c>
      <c r="BU58" s="271">
        <f ca="1">IF(druid_op_cap="none",TblMili[[#This Row],[Hill]]/druid_op_bonus,MIN(druid_op_cap,TblMili[[#This Row],[Hill]]/druid_op_bonus))</f>
        <v>2.1999999999999997</v>
      </c>
      <c r="BV58" s="271">
        <f ca="1">IF(druid_dp_cap="none",TblMili[[#This Row],[Hill]]/druid_dp_bonus,MIN(druid_dp_cap,TblMili[[#This Row],[Hill]]/druid_dp_bonus))</f>
        <v>2.1999999999999997</v>
      </c>
      <c r="BW58" s="271">
        <f ca="1">MIN(dryad_cap,TblMili[[#This Row],[Hill]]/dryad_bonus)</f>
        <v>2.1999999999999997</v>
      </c>
      <c r="BX58" s="271">
        <f ca="1">MIN(rocka_cap,TblMili[[#This Row],[Hill]]/rocka_bonus)</f>
        <v>2</v>
      </c>
      <c r="BY58" s="271">
        <f ca="1">MIN(adept_op_cap,TblMili[[#This Row],[WG]]/adept_op_bonus)</f>
        <v>0</v>
      </c>
      <c r="BZ58" s="271">
        <f ca="1">MIN(adept_dp_cap,TblMili[[#This Row],[WG]]/adept_dp_bonus)</f>
        <v>0</v>
      </c>
      <c r="CA58" s="97">
        <f ca="1">MIN(TblMili[[#This Row],[Unit 3]],TblMili[[#This Row],[Unit 4]])*2</f>
        <v>0</v>
      </c>
      <c r="CB58" s="97">
        <f ca="1">MIN(TblMili[[#This Row],[Unit 1]],TblMili[[#This Row],[Unit 4]])*2</f>
        <v>0</v>
      </c>
      <c r="CC58" s="271">
        <f ca="1">MIN(frost_mage_cap,TblMili[[#This Row],[Hill]]/frost_mage_bonus)</f>
        <v>2.1999999999999997</v>
      </c>
      <c r="CD58" s="45">
        <f ca="1">MIN(ice_elem_cap,TblMili[[#This Row],[Raw (2)]]*ice_elem_bonus)</f>
        <v>0.1</v>
      </c>
      <c r="CE58" s="271">
        <f t="shared" si="2"/>
        <v>1</v>
      </c>
      <c r="CF58" s="271">
        <f ca="1">MIN(nox_nightshade_cap,TblConstr[[#This Row],[Homeland]]/TblConstr[[#This Row],[Land]]/nox_nightshade_swamp_bonus)</f>
        <v>3</v>
      </c>
      <c r="CG58" s="272"/>
      <c r="CH58" s="272"/>
      <c r="CI58" s="272"/>
      <c r="CJ58" s="271">
        <f ca="1">MIN(6,TblMili[[#This Row],[Mystic]]+Races!$F$19)*1.8 +  IF(TblMili[[#This Row],[Mystic]]+Races!$F$19&gt;6,(TblMili[[#This Row],[Mystic]]+Races!$F$19-6)*0.2,0) - Races!$I$19</f>
        <v>3.6399999999999997</v>
      </c>
      <c r="CK5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97">
        <f ca="1">TblMili[[#This Row],[Mystic bonus]]*TblMili[[#This Row],[Unit 3]]+TblMili[[#This Row],[Druid bonus]]*TblMili[[#This Row],[Unit 4]]</f>
        <v>0</v>
      </c>
      <c r="CM58" s="163">
        <f ca="1">MIN(6,TblMili[[#This Row],[Dryad]]+Races!$F$35)*1.8 +  IF(TblMili[[#This Row],[Dryad]]+Races!$F$35&gt;6,(TblMili[[#This Row],[Dryad]]+Races!$F$35-6)*0.2,0) - Races!$I$19</f>
        <v>2.1599999999999993</v>
      </c>
      <c r="CN58" s="97">
        <f ca="1">sylvan*(TblMili[[#This Row],[Mystic bonus]]*TblMili[[#This Row],[Unit 3]])</f>
        <v>0</v>
      </c>
      <c r="CO58" s="163">
        <f ca="1">1.8 * MIN(MAX(Races!$E$27,TblMili[[#This Row],[Rockapult]]+Races!$F$27),6)  +  0.45 * MIN(MIN(Races!$E$27,TblMili[[#This Row],[Rockapult]]+Races!$F$27),6)  +  0.2 * ( MAX(Races!$E$27-6,0) + MAX(TblMili[[#This Row],[Rockapult]]+Races!$F$27-6,0) )  -  Races!$I$20</f>
        <v>5.8500000000000005</v>
      </c>
      <c r="CP58" s="97">
        <f ca="1">gnome*(TblMili[[#This Row],[Rockapult bonus]]*TblMili[[#This Row],[Unit 3]])</f>
        <v>0</v>
      </c>
      <c r="CQ58" s="163">
        <f ca="1">1.8 * MIN(MAX(TblMili[[#This Row],[Spellblade]]+Races!$E$47,TblMili[[#This Row],[Adept-DP]]+Races!$F$47),6)  +  0.45 * MIN(MIN(TblMili[[#This Row],[Spellblade]]+Races!$E$47,TblMili[[#This Row],[Adept-DP]]+Races!$F$47),6)  +  0.2 * ( MAX(TblMili[[#This Row],[Spellblade]]+Races!$E$47-6,0) + MAX(TblMili[[#This Row],[Adept-DP]]+Races!$F$47-6,0) )  -  Races!$I$47</f>
        <v>0</v>
      </c>
      <c r="CR58" s="97">
        <f ca="1">dark_elf*(TblMili[[#This Row],[Adept bonus]]*TblMili[[#This Row],[Unit 3]])</f>
        <v>0</v>
      </c>
      <c r="CS58" s="163">
        <f ca="1">1.8 * MIN(MAX(TblMili[[#This Row],[Frost Mage]]+Races!$F$71,Races!$E$71),6)  +  0.45 * MIN(MIN(TblMili[[#This Row],[Frost Mage]]+Races!$F$71,Races!$E$71),6)  +  0.2 * ( MAX(TblMili[[#This Row],[Frost Mage]]+Races!$F$71-6,0) + MAX(Races!$E$71-6,0) )  -  Races!$I$71</f>
        <v>3.9599999999999991</v>
      </c>
      <c r="CT58" s="163">
        <f ca="1">1.8 * MIN(MAX(TblMili[[#This Row],[Ice Elemental]]+Races!$E$71,Races!$F$71),6)  +  0.45 * MIN(MIN(TblMili[[#This Row],[Ice Elemental]]+Races!$E$71,Races!$F$71),6)  +  0.2 * ( MAX(TblMili[[#This Row],[Ice Elemental]]+Races!$E$71-6,0) + MAX(Races!$F$71-6,0) )  -  Races!$I$71</f>
        <v>0.17999999999999972</v>
      </c>
      <c r="CU58" s="97">
        <f ca="1">TblMili[[#This Row],[Frost Mage bonus]]*TblMili[[#This Row],[Unit 3]]+TblMili[[#This Row],[Ice Elemental bonus]]*TblMili[[#This Row],[Unit 4]]</f>
        <v>0</v>
      </c>
      <c r="CV58" s="273"/>
      <c r="CW58" s="151">
        <f ca="1">MIN(SUM(TblConstr[[#This Row],[Plain]:[Water]])/TblMili[[#This Row],[Land]]/favorable_terrain_bonus/100,favorable_terrain_max)</f>
        <v>0.1</v>
      </c>
      <c r="CX58" s="273"/>
      <c r="CY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50"/>
      <c r="DA58" s="274">
        <f ca="1">(TblMili[[#This Row],[Wizards]]+2*TblMili[[#This Row],[Archmages]])/TblConstr[[#This Row],[Land]]</f>
        <v>0.1</v>
      </c>
      <c r="DB58" s="274">
        <f ca="1">TblMili[[#This Row],[Raw (2)]]*(1+race_wizard_strength+IF(TblMili[[#This Row],[Hour]]&gt;72,tech_magical_weaponry_wiz*TblTech[[#This Row],[3-5]],0))</f>
        <v>0.1</v>
      </c>
    </row>
    <row r="59" spans="1:106" x14ac:dyDescent="0.2">
      <c r="A59" s="145">
        <f>TblRezone[[#This Row],[Hour]]</f>
        <v>56</v>
      </c>
      <c r="B59" s="266">
        <f ca="1">SUM(TblMili[[#This Row],[Unit 1]:[Archmages]])+SUM(OFFSET(TblMili[[#This Row],[Train Unit 1]],-8,0):TblMili[[#This Row],[Train Unit 2]]) + SUM(OFFSET(TblMili[[#This Row],[Train Unit 3]],-11,0):TblMili[[#This Row],[Train Arch]]) + TblMili[[#This Row],[Draftees]]</f>
        <v>826</v>
      </c>
      <c r="C59" s="165">
        <f ca="1">TblPop[[#This Row],[Military%]]</f>
        <v>0.35029686174724345</v>
      </c>
      <c r="D59" s="150"/>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f>
        <v>25</v>
      </c>
      <c r="J59" s="45">
        <f ca="1">OFFSET(TblMili[[#This Row],[Wizards]],-1,0) + OFFSET(TblMili[[#This Row],[Train Wiz]],-12,0) - TblMili[[#This Row],[Release Wizards]]-TblMili[[#This Row],[Train Arch]]</f>
        <v>25</v>
      </c>
      <c r="K59" s="45">
        <f ca="1">OFFSET(TblMili[[#This Row],[Archmages]],-1,0) + OFFSET(TblMili[[#This Row],[Train Arch]],-12,0) - TblMili[[#This Row],[Release Arch]]</f>
        <v>0</v>
      </c>
      <c r="L59" s="150"/>
      <c r="M59" s="97">
        <f ca="1">TblProd[[#This Row],[Networth]]</f>
        <v>6450</v>
      </c>
      <c r="N59" s="150"/>
      <c r="O59" s="267">
        <f ca="1">TblMili[[#This Row],[Unit 1]]*spec_op+TblMili[[#This Row],[Unit 3]]*(elite1_base_op)+TblMili[[#This Row],[Unit 4]]*(elite2_base_op+dark_elf*TblMili[[#This Row],[Spellblade]]+icekin*TblMili[[#This Row],[Ice Elemental]]+woodie*TblMili[[#This Row],[Druid (op)]]+orc*TblMili[[#This Row],[Orc]])+kobold*TblMili[[#This Row],[Overlords]]</f>
        <v>0</v>
      </c>
      <c r="P5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9" s="267">
        <f ca="1">TblMili[[#This Row],[Raw]]*(1+TblMili[[#This Row],[Mods_Off]])</f>
        <v>0</v>
      </c>
      <c r="R5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9" s="267">
        <f ca="1">TblMili[[#This Row],[Non Draft]]+TblMili[[#This Row],[Draftees]]</f>
        <v>1076</v>
      </c>
      <c r="T5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269">
        <f ca="1">TblMili[[#This Row],[Non Draft]] * (1 + TblMili[[#This Row],[Mods_Def]])</f>
        <v>450</v>
      </c>
      <c r="V59" s="267">
        <f ca="1">TblMili[[#This Row],[Draft]] * (1 + TblMili[[#This Row],[Mods_Def]])</f>
        <v>1076</v>
      </c>
      <c r="W59" s="267">
        <f ca="1">TblConstr[[#This Row],[Land]]</f>
        <v>250</v>
      </c>
      <c r="X59" s="270"/>
      <c r="Y59" s="275">
        <f ca="1">IF(TblMili[[#This Row],[Set]]&lt;&gt;"",TblMili[[#This Row],[Set]],OFFSET(TblMili[[#This Row],[Draftrate]],-1,0))</f>
        <v>0.35</v>
      </c>
      <c r="Z59" s="97">
        <f ca="1">OFFSET(TblMili[[#This Row],[Draftees]],-1,0)+OFFSET(TblPop[[#This Row],[Draft Growth]],-1,0) - SUM(TblMili[[#This Row],[Train Unit 1]:[Train Wiz]]) - TblMili[[#This Row],[Release Draft]] + SUM(TblMili[[#This Row],[Release Unit 1]:[Release Arch]]) -TblExplore[[#This Row],[Draftees (2)]]</f>
        <v>626</v>
      </c>
      <c r="AA59" s="162"/>
      <c r="AB59" s="188">
        <f ca="1">(TblConstr[[#This Row],[Tot Smi]]+TblConstr[[#This Row],[Dest Smi]])/(TblConstr[[#This Row],[Land]]-TblExplore[[#This Row],[Land Bonus]]*20)</f>
        <v>0</v>
      </c>
      <c r="AC59" s="145"/>
      <c r="AD59" s="266">
        <f>TblMili[[#This Row],[Hour]]</f>
        <v>56</v>
      </c>
      <c r="AE59" s="146">
        <f ca="1">TblExplore[[#This Row],[Time]]</f>
        <v>44813.041666666533</v>
      </c>
      <c r="AF59" s="187"/>
      <c r="AG59" s="187"/>
      <c r="AH59" s="187"/>
      <c r="AI59" s="187"/>
      <c r="AJ59" s="187"/>
      <c r="AK59" s="187"/>
      <c r="AL59" s="187"/>
      <c r="AM59" s="150"/>
      <c r="AN59" s="97">
        <f ca="1">TblProd[[#This Row],[Platinum]]</f>
        <v>402608</v>
      </c>
      <c r="AO59" s="97">
        <f ca="1">INDEX(TblProd[[#Headers],[Lumber]]:TblProd[[#This Row],[Ore]],COUNTA(TblProd[[#Headers],[Lumber]]:TblProd[[#This Row],[Lumber]]),MATCH(Military!$AO$2,TblProd[[#Headers],[Lumber]:[Ore]],0))</f>
        <v>0</v>
      </c>
      <c r="AP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97">
        <f ca="1">TblMili[[#This Row],[Train Unit 1]]*TblMili[[#This Row],[OP Ore]]+TblMili[[#This Row],[Train Unit 2]]*TblMili[[#This Row],[DP Ore]]+TblMili[[#This Row],[Train Unit 3]]*TblMili[[#This Row],[E1 Ore]]+TblMili[[#This Row],[Train Unit 4]]*TblMili[[#This Row],[E2 Ore]]</f>
        <v>0</v>
      </c>
      <c r="AR59" s="150">
        <f>TblMili[[#This Row],[Hour]]</f>
        <v>56</v>
      </c>
      <c r="AS59" s="160">
        <f ca="1">TblMili[[#This Row],[Time]]</f>
        <v>44813.041666666533</v>
      </c>
      <c r="AT59" s="97">
        <f ca="1">TblMili[[#This Row],[Draftees]]</f>
        <v>626</v>
      </c>
      <c r="AU59" s="187"/>
      <c r="AV59" s="187"/>
      <c r="AW59" s="187"/>
      <c r="AX59" s="187"/>
      <c r="AY59" s="187"/>
      <c r="AZ59" s="187"/>
      <c r="BA59" s="187"/>
      <c r="BB59" s="187"/>
      <c r="BC59" s="150"/>
      <c r="BD59" s="165">
        <f ca="1">TblConstr[[#This Row],[Tot WG]]/TblConstr[[#This Row],[Land]]</f>
        <v>0</v>
      </c>
      <c r="BE59" s="165">
        <f ca="1">TblConstr[[#This Row],[Tot Hav]]/TblConstr[[#This Row],[Land]]</f>
        <v>0</v>
      </c>
      <c r="BF59" s="97">
        <f ca="1">ROUNDUP((1-MIN(TblMili[[#This Row],[Smithies]]*smithy_bonus,smithy_bonus_cap) + tech_3_5*TblTech[[#This Row],[3-5]] + tech_5_3*TblTech[[#This Row],[5-3]] + tech_5_5*TblTech[[#This Row],[5-5]])*spec_op_plat,0)</f>
        <v>275</v>
      </c>
      <c r="BG59" s="97">
        <f ca="1">ROUNDUP(IF(race="Gnome",1,(1-MIN(TblMili[[#This Row],[Smithies]]*smithy_bonus,smithy_bonus_cap) + tech_3_5*TblTech[[#This Row],[3-5]] + tech_5_3*TblTech[[#This Row],[5-3]] + tech_5_5*TblTech[[#This Row],[5-5]]))*spec_op_ore,0)</f>
        <v>25</v>
      </c>
      <c r="BH59" s="97">
        <f ca="1">ROUNDUP((1-MIN(TblMili[[#This Row],[Smithies]]*smithy_bonus,smithy_bonus_cap) + tech_3_5*TblTech[[#This Row],[3-5]] + tech_5_3*TblTech[[#This Row],[5-3]] + tech_5_5*TblTech[[#This Row],[5-5]])*spec_dp_plat,0)</f>
        <v>275</v>
      </c>
      <c r="BI59" s="97">
        <f ca="1">ROUNDUP(IF(race="Gnome",1,(1-MIN(TblMili[[#This Row],[Smithies]]*smithy_bonus,smithy_bonus_cap) + tech_3_5*TblTech[[#This Row],[3-5]] + tech_5_3*TblTech[[#This Row],[5-3]] + tech_5_5*TblTech[[#This Row],[5-5]]))*spec_dp_ore,0)</f>
        <v>15</v>
      </c>
      <c r="BJ59" s="97">
        <f ca="1">ROUNDUP((1-MIN(TblMili[[#This Row],[Smithies]]*smithy_bonus,smithy_bonus_cap) + tech_3_5*TblTech[[#This Row],[3-5]] + tech_5_3*TblTech[[#This Row],[5-3]] + tech_5_5*TblTech[[#This Row],[5-5]])*elite1_plat,0)</f>
        <v>1000</v>
      </c>
      <c r="BK59" s="97">
        <f ca="1">ROUNDUP(IF(race="Gnome",1,(1-MIN(TblMili[[#This Row],[Smithies]]*smithy_bonus,smithy_bonus_cap) + tech_3_5*TblTech[[#This Row],[3-5]] + tech_5_3*TblTech[[#This Row],[5-3]] + tech_5_5*TblTech[[#This Row],[5-5]]))*elite1_ore,0)</f>
        <v>75</v>
      </c>
      <c r="BL59" s="97">
        <f ca="1">ROUNDUP((1-MIN(TblMili[[#This Row],[Smithies]]*smithy_bonus,smithy_bonus_cap) + tech_3_5*TblTech[[#This Row],[3-5]] + tech_5_3*TblTech[[#This Row],[5-3]] + tech_5_5*TblTech[[#This Row],[5-5]])*elite2_plat,0)</f>
        <v>1200</v>
      </c>
      <c r="BM59" s="97">
        <f ca="1">ROUNDUP(IF(race="Gnome",1,(1-MIN(TblMili[[#This Row],[Smithies]]*smithy_bonus,smithy_bonus_cap) + tech_3_5*TblTech[[#This Row],[3-5]] + tech_5_3*TblTech[[#This Row],[5-3]] + tech_5_5*TblTech[[#This Row],[5-5]]))*elite2_ore,0)</f>
        <v>100</v>
      </c>
      <c r="BN59" s="97">
        <f ca="1">ROUNDUP((1-MIN(ROUND(fh_spy_cost_red*TblMili[[#This Row],[FH''s]],4),fh_spy_cost_cap)+ tech_1_9*TblTech[[#This Row],[1-9]] + tech_9_1*TblTech[[#This Row],[9-1]])*spy_plat,0)</f>
        <v>500</v>
      </c>
      <c r="BO59" s="97">
        <f ca="1">ROUNDUP((1-MIN(ROUND(wg_wiz_cost_bonus*TblMili[[#This Row],[WG''s]],4),wg_wiz_cost_cap) + tech_1_9_2*TblTech[[#This Row],[1-9]] + tech_9_1_2*TblTech[[#This Row],[9-1]])*wizard_plat,0)</f>
        <v>500</v>
      </c>
      <c r="BP59" s="97">
        <f ca="1">ROUNDUP((1-MIN(ROUND(wg_wiz_cost_bonus*TblMili[[#This Row],[WG''s]],4),wg_wiz_cost_cap) + tech_1_9_2*TblTech[[#This Row],[1-9]] + tech_9_1_2*TblTech[[#This Row],[9-1]])*archmage_plat,0)</f>
        <v>1000</v>
      </c>
      <c r="BQ59" s="150"/>
      <c r="BR59" s="165">
        <f ca="1">TblConstr[[#This Row],[Homeland]]/TblConstr[[#This Row],[Land]]</f>
        <v>0.44</v>
      </c>
      <c r="BS59" s="165">
        <f ca="1">TblMili[[#This Row],[WG''s]]</f>
        <v>0</v>
      </c>
      <c r="BT59" s="271">
        <f ca="1">IF(mystic_cap="none",TblMili[[#This Row],[Hill]]/mystic_bonus,MIN(mystic_cap,TblMili[[#This Row],[Hill]]/mystic_bonus))</f>
        <v>2.1999999999999997</v>
      </c>
      <c r="BU59" s="271">
        <f ca="1">IF(druid_op_cap="none",TblMili[[#This Row],[Hill]]/druid_op_bonus,MIN(druid_op_cap,TblMili[[#This Row],[Hill]]/druid_op_bonus))</f>
        <v>2.1999999999999997</v>
      </c>
      <c r="BV59" s="271">
        <f ca="1">IF(druid_dp_cap="none",TblMili[[#This Row],[Hill]]/druid_dp_bonus,MIN(druid_dp_cap,TblMili[[#This Row],[Hill]]/druid_dp_bonus))</f>
        <v>2.1999999999999997</v>
      </c>
      <c r="BW59" s="271">
        <f ca="1">MIN(dryad_cap,TblMili[[#This Row],[Hill]]/dryad_bonus)</f>
        <v>2.1999999999999997</v>
      </c>
      <c r="BX59" s="271">
        <f ca="1">MIN(rocka_cap,TblMili[[#This Row],[Hill]]/rocka_bonus)</f>
        <v>2</v>
      </c>
      <c r="BY59" s="271">
        <f ca="1">MIN(adept_op_cap,TblMili[[#This Row],[WG]]/adept_op_bonus)</f>
        <v>0</v>
      </c>
      <c r="BZ59" s="271">
        <f ca="1">MIN(adept_dp_cap,TblMili[[#This Row],[WG]]/adept_dp_bonus)</f>
        <v>0</v>
      </c>
      <c r="CA59" s="97">
        <f ca="1">MIN(TblMili[[#This Row],[Unit 3]],TblMili[[#This Row],[Unit 4]])*2</f>
        <v>0</v>
      </c>
      <c r="CB59" s="97">
        <f ca="1">MIN(TblMili[[#This Row],[Unit 1]],TblMili[[#This Row],[Unit 4]])*2</f>
        <v>0</v>
      </c>
      <c r="CC59" s="271">
        <f ca="1">MIN(frost_mage_cap,TblMili[[#This Row],[Hill]]/frost_mage_bonus)</f>
        <v>2.1999999999999997</v>
      </c>
      <c r="CD59" s="45">
        <f ca="1">MIN(ice_elem_cap,TblMili[[#This Row],[Raw (2)]]*ice_elem_bonus)</f>
        <v>0.1</v>
      </c>
      <c r="CE59" s="271">
        <f t="shared" si="2"/>
        <v>1</v>
      </c>
      <c r="CF59" s="271">
        <f ca="1">MIN(nox_nightshade_cap,TblConstr[[#This Row],[Homeland]]/TblConstr[[#This Row],[Land]]/nox_nightshade_swamp_bonus)</f>
        <v>3</v>
      </c>
      <c r="CG59" s="272"/>
      <c r="CH59" s="272"/>
      <c r="CI59" s="272"/>
      <c r="CJ59" s="271">
        <f ca="1">MIN(6,TblMili[[#This Row],[Mystic]]+Races!$F$19)*1.8 +  IF(TblMili[[#This Row],[Mystic]]+Races!$F$19&gt;6,(TblMili[[#This Row],[Mystic]]+Races!$F$19-6)*0.2,0) - Races!$I$19</f>
        <v>3.6399999999999997</v>
      </c>
      <c r="CK5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97">
        <f ca="1">TblMili[[#This Row],[Mystic bonus]]*TblMili[[#This Row],[Unit 3]]+TblMili[[#This Row],[Druid bonus]]*TblMili[[#This Row],[Unit 4]]</f>
        <v>0</v>
      </c>
      <c r="CM59" s="163">
        <f ca="1">MIN(6,TblMili[[#This Row],[Dryad]]+Races!$F$35)*1.8 +  IF(TblMili[[#This Row],[Dryad]]+Races!$F$35&gt;6,(TblMili[[#This Row],[Dryad]]+Races!$F$35-6)*0.2,0) - Races!$I$19</f>
        <v>2.1599999999999993</v>
      </c>
      <c r="CN59" s="97">
        <f ca="1">sylvan*(TblMili[[#This Row],[Mystic bonus]]*TblMili[[#This Row],[Unit 3]])</f>
        <v>0</v>
      </c>
      <c r="CO59" s="163">
        <f ca="1">1.8 * MIN(MAX(Races!$E$27,TblMili[[#This Row],[Rockapult]]+Races!$F$27),6)  +  0.45 * MIN(MIN(Races!$E$27,TblMili[[#This Row],[Rockapult]]+Races!$F$27),6)  +  0.2 * ( MAX(Races!$E$27-6,0) + MAX(TblMili[[#This Row],[Rockapult]]+Races!$F$27-6,0) )  -  Races!$I$20</f>
        <v>5.8500000000000005</v>
      </c>
      <c r="CP59" s="97">
        <f ca="1">gnome*(TblMili[[#This Row],[Rockapult bonus]]*TblMili[[#This Row],[Unit 3]])</f>
        <v>0</v>
      </c>
      <c r="CQ59" s="163">
        <f ca="1">1.8 * MIN(MAX(TblMili[[#This Row],[Spellblade]]+Races!$E$47,TblMili[[#This Row],[Adept-DP]]+Races!$F$47),6)  +  0.45 * MIN(MIN(TblMili[[#This Row],[Spellblade]]+Races!$E$47,TblMili[[#This Row],[Adept-DP]]+Races!$F$47),6)  +  0.2 * ( MAX(TblMili[[#This Row],[Spellblade]]+Races!$E$47-6,0) + MAX(TblMili[[#This Row],[Adept-DP]]+Races!$F$47-6,0) )  -  Races!$I$47</f>
        <v>0</v>
      </c>
      <c r="CR59" s="97">
        <f ca="1">dark_elf*(TblMili[[#This Row],[Adept bonus]]*TblMili[[#This Row],[Unit 3]])</f>
        <v>0</v>
      </c>
      <c r="CS59" s="163">
        <f ca="1">1.8 * MIN(MAX(TblMili[[#This Row],[Frost Mage]]+Races!$F$71,Races!$E$71),6)  +  0.45 * MIN(MIN(TblMili[[#This Row],[Frost Mage]]+Races!$F$71,Races!$E$71),6)  +  0.2 * ( MAX(TblMili[[#This Row],[Frost Mage]]+Races!$F$71-6,0) + MAX(Races!$E$71-6,0) )  -  Races!$I$71</f>
        <v>3.9599999999999991</v>
      </c>
      <c r="CT59" s="163">
        <f ca="1">1.8 * MIN(MAX(TblMili[[#This Row],[Ice Elemental]]+Races!$E$71,Races!$F$71),6)  +  0.45 * MIN(MIN(TblMili[[#This Row],[Ice Elemental]]+Races!$E$71,Races!$F$71),6)  +  0.2 * ( MAX(TblMili[[#This Row],[Ice Elemental]]+Races!$E$71-6,0) + MAX(Races!$F$71-6,0) )  -  Races!$I$71</f>
        <v>0.17999999999999972</v>
      </c>
      <c r="CU59" s="97">
        <f ca="1">TblMili[[#This Row],[Frost Mage bonus]]*TblMili[[#This Row],[Unit 3]]+TblMili[[#This Row],[Ice Elemental bonus]]*TblMili[[#This Row],[Unit 4]]</f>
        <v>0</v>
      </c>
      <c r="CV59" s="273"/>
      <c r="CW59" s="151">
        <f ca="1">MIN(SUM(TblConstr[[#This Row],[Plain]:[Water]])/TblMili[[#This Row],[Land]]/favorable_terrain_bonus/100,favorable_terrain_max)</f>
        <v>0.1</v>
      </c>
      <c r="CX59" s="273"/>
      <c r="CY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50"/>
      <c r="DA59" s="274">
        <f ca="1">(TblMili[[#This Row],[Wizards]]+2*TblMili[[#This Row],[Archmages]])/TblConstr[[#This Row],[Land]]</f>
        <v>0.1</v>
      </c>
      <c r="DB59" s="274">
        <f ca="1">TblMili[[#This Row],[Raw (2)]]*(1+race_wizard_strength+IF(TblMili[[#This Row],[Hour]]&gt;72,tech_magical_weaponry_wiz*TblTech[[#This Row],[3-5]],0))</f>
        <v>0.1</v>
      </c>
    </row>
    <row r="60" spans="1:106" x14ac:dyDescent="0.2">
      <c r="A60" s="145">
        <f>TblRezone[[#This Row],[Hour]]</f>
        <v>57</v>
      </c>
      <c r="B60" s="266">
        <f ca="1">SUM(TblMili[[#This Row],[Unit 1]:[Archmages]])+SUM(OFFSET(TblMili[[#This Row],[Train Unit 1]],-8,0):TblMili[[#This Row],[Train Unit 2]]) + SUM(OFFSET(TblMili[[#This Row],[Train Unit 3]],-11,0):TblMili[[#This Row],[Train Arch]]) + TblMili[[#This Row],[Draftees]]</f>
        <v>826</v>
      </c>
      <c r="C60" s="165">
        <f ca="1">TblPop[[#This Row],[Military%]]</f>
        <v>0.35029686174724345</v>
      </c>
      <c r="D60" s="150"/>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f>
        <v>25</v>
      </c>
      <c r="J60" s="45">
        <f ca="1">OFFSET(TblMili[[#This Row],[Wizards]],-1,0) + OFFSET(TblMili[[#This Row],[Train Wiz]],-12,0) - TblMili[[#This Row],[Release Wizards]]-TblMili[[#This Row],[Train Arch]]</f>
        <v>25</v>
      </c>
      <c r="K60" s="45">
        <f ca="1">OFFSET(TblMili[[#This Row],[Archmages]],-1,0) + OFFSET(TblMili[[#This Row],[Train Arch]],-12,0) - TblMili[[#This Row],[Release Arch]]</f>
        <v>0</v>
      </c>
      <c r="L60" s="150"/>
      <c r="M60" s="97">
        <f ca="1">TblProd[[#This Row],[Networth]]</f>
        <v>6450</v>
      </c>
      <c r="N60" s="150"/>
      <c r="O60" s="267">
        <f ca="1">TblMili[[#This Row],[Unit 1]]*spec_op+TblMili[[#This Row],[Unit 3]]*(elite1_base_op)+TblMili[[#This Row],[Unit 4]]*(elite2_base_op+dark_elf*TblMili[[#This Row],[Spellblade]]+icekin*TblMili[[#This Row],[Ice Elemental]]+woodie*TblMili[[#This Row],[Druid (op)]]+orc*TblMili[[#This Row],[Orc]])+kobold*TblMili[[#This Row],[Overlords]]</f>
        <v>0</v>
      </c>
      <c r="P6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0" s="267">
        <f ca="1">TblMili[[#This Row],[Raw]]*(1+TblMili[[#This Row],[Mods_Off]])</f>
        <v>0</v>
      </c>
      <c r="R6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0" s="267">
        <f ca="1">TblMili[[#This Row],[Non Draft]]+TblMili[[#This Row],[Draftees]]</f>
        <v>1076</v>
      </c>
      <c r="T6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269">
        <f ca="1">TblMili[[#This Row],[Non Draft]] * (1 + TblMili[[#This Row],[Mods_Def]])</f>
        <v>450</v>
      </c>
      <c r="V60" s="267">
        <f ca="1">TblMili[[#This Row],[Draft]] * (1 + TblMili[[#This Row],[Mods_Def]])</f>
        <v>1076</v>
      </c>
      <c r="W60" s="267">
        <f ca="1">TblConstr[[#This Row],[Land]]</f>
        <v>250</v>
      </c>
      <c r="X60" s="270"/>
      <c r="Y60" s="275">
        <f ca="1">IF(TblMili[[#This Row],[Set]]&lt;&gt;"",TblMili[[#This Row],[Set]],OFFSET(TblMili[[#This Row],[Draftrate]],-1,0))</f>
        <v>0.35</v>
      </c>
      <c r="Z60" s="97">
        <f ca="1">OFFSET(TblMili[[#This Row],[Draftees]],-1,0)+OFFSET(TblPop[[#This Row],[Draft Growth]],-1,0) - SUM(TblMili[[#This Row],[Train Unit 1]:[Train Wiz]]) - TblMili[[#This Row],[Release Draft]] + SUM(TblMili[[#This Row],[Release Unit 1]:[Release Arch]]) -TblExplore[[#This Row],[Draftees (2)]]</f>
        <v>626</v>
      </c>
      <c r="AA60" s="162"/>
      <c r="AB60" s="188">
        <f ca="1">(TblConstr[[#This Row],[Tot Smi]]+TblConstr[[#This Row],[Dest Smi]])/(TblConstr[[#This Row],[Land]]-TblExplore[[#This Row],[Land Bonus]]*20)</f>
        <v>0</v>
      </c>
      <c r="AC60" s="145"/>
      <c r="AD60" s="266">
        <f>TblMili[[#This Row],[Hour]]</f>
        <v>57</v>
      </c>
      <c r="AE60" s="146">
        <f ca="1">TblExplore[[#This Row],[Time]]</f>
        <v>44813.083333333198</v>
      </c>
      <c r="AF60" s="187"/>
      <c r="AG60" s="187"/>
      <c r="AH60" s="187"/>
      <c r="AI60" s="187"/>
      <c r="AJ60" s="187"/>
      <c r="AK60" s="187"/>
      <c r="AL60" s="187"/>
      <c r="AM60" s="150"/>
      <c r="AN60" s="97">
        <f ca="1">TblProd[[#This Row],[Platinum]]</f>
        <v>408094</v>
      </c>
      <c r="AO60" s="97">
        <f ca="1">INDEX(TblProd[[#Headers],[Lumber]]:TblProd[[#This Row],[Ore]],COUNTA(TblProd[[#Headers],[Lumber]]:TblProd[[#This Row],[Lumber]]),MATCH(Military!$AO$2,TblProd[[#Headers],[Lumber]:[Ore]],0))</f>
        <v>0</v>
      </c>
      <c r="AP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97">
        <f ca="1">TblMili[[#This Row],[Train Unit 1]]*TblMili[[#This Row],[OP Ore]]+TblMili[[#This Row],[Train Unit 2]]*TblMili[[#This Row],[DP Ore]]+TblMili[[#This Row],[Train Unit 3]]*TblMili[[#This Row],[E1 Ore]]+TblMili[[#This Row],[Train Unit 4]]*TblMili[[#This Row],[E2 Ore]]</f>
        <v>0</v>
      </c>
      <c r="AR60" s="150">
        <f>TblMili[[#This Row],[Hour]]</f>
        <v>57</v>
      </c>
      <c r="AS60" s="160">
        <f ca="1">TblMili[[#This Row],[Time]]</f>
        <v>44813.083333333198</v>
      </c>
      <c r="AT60" s="97">
        <f ca="1">TblMili[[#This Row],[Draftees]]</f>
        <v>626</v>
      </c>
      <c r="AU60" s="187"/>
      <c r="AV60" s="187"/>
      <c r="AW60" s="187"/>
      <c r="AX60" s="187"/>
      <c r="AY60" s="187"/>
      <c r="AZ60" s="187"/>
      <c r="BA60" s="187"/>
      <c r="BB60" s="187"/>
      <c r="BC60" s="150"/>
      <c r="BD60" s="165">
        <f ca="1">TblConstr[[#This Row],[Tot WG]]/TblConstr[[#This Row],[Land]]</f>
        <v>0</v>
      </c>
      <c r="BE60" s="165">
        <f ca="1">TblConstr[[#This Row],[Tot Hav]]/TblConstr[[#This Row],[Land]]</f>
        <v>0</v>
      </c>
      <c r="BF60" s="97">
        <f ca="1">ROUNDUP((1-MIN(TblMili[[#This Row],[Smithies]]*smithy_bonus,smithy_bonus_cap) + tech_3_5*TblTech[[#This Row],[3-5]] + tech_5_3*TblTech[[#This Row],[5-3]] + tech_5_5*TblTech[[#This Row],[5-5]])*spec_op_plat,0)</f>
        <v>275</v>
      </c>
      <c r="BG60" s="97">
        <f ca="1">ROUNDUP(IF(race="Gnome",1,(1-MIN(TblMili[[#This Row],[Smithies]]*smithy_bonus,smithy_bonus_cap) + tech_3_5*TblTech[[#This Row],[3-5]] + tech_5_3*TblTech[[#This Row],[5-3]] + tech_5_5*TblTech[[#This Row],[5-5]]))*spec_op_ore,0)</f>
        <v>25</v>
      </c>
      <c r="BH60" s="97">
        <f ca="1">ROUNDUP((1-MIN(TblMili[[#This Row],[Smithies]]*smithy_bonus,smithy_bonus_cap) + tech_3_5*TblTech[[#This Row],[3-5]] + tech_5_3*TblTech[[#This Row],[5-3]] + tech_5_5*TblTech[[#This Row],[5-5]])*spec_dp_plat,0)</f>
        <v>275</v>
      </c>
      <c r="BI60" s="97">
        <f ca="1">ROUNDUP(IF(race="Gnome",1,(1-MIN(TblMili[[#This Row],[Smithies]]*smithy_bonus,smithy_bonus_cap) + tech_3_5*TblTech[[#This Row],[3-5]] + tech_5_3*TblTech[[#This Row],[5-3]] + tech_5_5*TblTech[[#This Row],[5-5]]))*spec_dp_ore,0)</f>
        <v>15</v>
      </c>
      <c r="BJ60" s="97">
        <f ca="1">ROUNDUP((1-MIN(TblMili[[#This Row],[Smithies]]*smithy_bonus,smithy_bonus_cap) + tech_3_5*TblTech[[#This Row],[3-5]] + tech_5_3*TblTech[[#This Row],[5-3]] + tech_5_5*TblTech[[#This Row],[5-5]])*elite1_plat,0)</f>
        <v>1000</v>
      </c>
      <c r="BK60" s="97">
        <f ca="1">ROUNDUP(IF(race="Gnome",1,(1-MIN(TblMili[[#This Row],[Smithies]]*smithy_bonus,smithy_bonus_cap) + tech_3_5*TblTech[[#This Row],[3-5]] + tech_5_3*TblTech[[#This Row],[5-3]] + tech_5_5*TblTech[[#This Row],[5-5]]))*elite1_ore,0)</f>
        <v>75</v>
      </c>
      <c r="BL60" s="97">
        <f ca="1">ROUNDUP((1-MIN(TblMili[[#This Row],[Smithies]]*smithy_bonus,smithy_bonus_cap) + tech_3_5*TblTech[[#This Row],[3-5]] + tech_5_3*TblTech[[#This Row],[5-3]] + tech_5_5*TblTech[[#This Row],[5-5]])*elite2_plat,0)</f>
        <v>1200</v>
      </c>
      <c r="BM60" s="97">
        <f ca="1">ROUNDUP(IF(race="Gnome",1,(1-MIN(TblMili[[#This Row],[Smithies]]*smithy_bonus,smithy_bonus_cap) + tech_3_5*TblTech[[#This Row],[3-5]] + tech_5_3*TblTech[[#This Row],[5-3]] + tech_5_5*TblTech[[#This Row],[5-5]]))*elite2_ore,0)</f>
        <v>100</v>
      </c>
      <c r="BN60" s="97">
        <f ca="1">ROUNDUP((1-MIN(ROUND(fh_spy_cost_red*TblMili[[#This Row],[FH''s]],4),fh_spy_cost_cap)+ tech_1_9*TblTech[[#This Row],[1-9]] + tech_9_1*TblTech[[#This Row],[9-1]])*spy_plat,0)</f>
        <v>500</v>
      </c>
      <c r="BO60" s="97">
        <f ca="1">ROUNDUP((1-MIN(ROUND(wg_wiz_cost_bonus*TblMili[[#This Row],[WG''s]],4),wg_wiz_cost_cap) + tech_1_9_2*TblTech[[#This Row],[1-9]] + tech_9_1_2*TblTech[[#This Row],[9-1]])*wizard_plat,0)</f>
        <v>500</v>
      </c>
      <c r="BP60" s="97">
        <f ca="1">ROUNDUP((1-MIN(ROUND(wg_wiz_cost_bonus*TblMili[[#This Row],[WG''s]],4),wg_wiz_cost_cap) + tech_1_9_2*TblTech[[#This Row],[1-9]] + tech_9_1_2*TblTech[[#This Row],[9-1]])*archmage_plat,0)</f>
        <v>1000</v>
      </c>
      <c r="BQ60" s="150"/>
      <c r="BR60" s="165">
        <f ca="1">TblConstr[[#This Row],[Homeland]]/TblConstr[[#This Row],[Land]]</f>
        <v>0.44</v>
      </c>
      <c r="BS60" s="165">
        <f ca="1">TblMili[[#This Row],[WG''s]]</f>
        <v>0</v>
      </c>
      <c r="BT60" s="271">
        <f ca="1">IF(mystic_cap="none",TblMili[[#This Row],[Hill]]/mystic_bonus,MIN(mystic_cap,TblMili[[#This Row],[Hill]]/mystic_bonus))</f>
        <v>2.1999999999999997</v>
      </c>
      <c r="BU60" s="271">
        <f ca="1">IF(druid_op_cap="none",TblMili[[#This Row],[Hill]]/druid_op_bonus,MIN(druid_op_cap,TblMili[[#This Row],[Hill]]/druid_op_bonus))</f>
        <v>2.1999999999999997</v>
      </c>
      <c r="BV60" s="271">
        <f ca="1">IF(druid_dp_cap="none",TblMili[[#This Row],[Hill]]/druid_dp_bonus,MIN(druid_dp_cap,TblMili[[#This Row],[Hill]]/druid_dp_bonus))</f>
        <v>2.1999999999999997</v>
      </c>
      <c r="BW60" s="271">
        <f ca="1">MIN(dryad_cap,TblMili[[#This Row],[Hill]]/dryad_bonus)</f>
        <v>2.1999999999999997</v>
      </c>
      <c r="BX60" s="271">
        <f ca="1">MIN(rocka_cap,TblMili[[#This Row],[Hill]]/rocka_bonus)</f>
        <v>2</v>
      </c>
      <c r="BY60" s="271">
        <f ca="1">MIN(adept_op_cap,TblMili[[#This Row],[WG]]/adept_op_bonus)</f>
        <v>0</v>
      </c>
      <c r="BZ60" s="271">
        <f ca="1">MIN(adept_dp_cap,TblMili[[#This Row],[WG]]/adept_dp_bonus)</f>
        <v>0</v>
      </c>
      <c r="CA60" s="97">
        <f ca="1">MIN(TblMili[[#This Row],[Unit 3]],TblMili[[#This Row],[Unit 4]])*2</f>
        <v>0</v>
      </c>
      <c r="CB60" s="97">
        <f ca="1">MIN(TblMili[[#This Row],[Unit 1]],TblMili[[#This Row],[Unit 4]])*2</f>
        <v>0</v>
      </c>
      <c r="CC60" s="271">
        <f ca="1">MIN(frost_mage_cap,TblMili[[#This Row],[Hill]]/frost_mage_bonus)</f>
        <v>2.1999999999999997</v>
      </c>
      <c r="CD60" s="45">
        <f ca="1">MIN(ice_elem_cap,TblMili[[#This Row],[Raw (2)]]*ice_elem_bonus)</f>
        <v>0.1</v>
      </c>
      <c r="CE60" s="271">
        <f t="shared" si="2"/>
        <v>1</v>
      </c>
      <c r="CF60" s="271">
        <f ca="1">MIN(nox_nightshade_cap,TblConstr[[#This Row],[Homeland]]/TblConstr[[#This Row],[Land]]/nox_nightshade_swamp_bonus)</f>
        <v>3</v>
      </c>
      <c r="CG60" s="272"/>
      <c r="CH60" s="272"/>
      <c r="CI60" s="272"/>
      <c r="CJ60" s="271">
        <f ca="1">MIN(6,TblMili[[#This Row],[Mystic]]+Races!$F$19)*1.8 +  IF(TblMili[[#This Row],[Mystic]]+Races!$F$19&gt;6,(TblMili[[#This Row],[Mystic]]+Races!$F$19-6)*0.2,0) - Races!$I$19</f>
        <v>3.6399999999999997</v>
      </c>
      <c r="CK6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97">
        <f ca="1">TblMili[[#This Row],[Mystic bonus]]*TblMili[[#This Row],[Unit 3]]+TblMili[[#This Row],[Druid bonus]]*TblMili[[#This Row],[Unit 4]]</f>
        <v>0</v>
      </c>
      <c r="CM60" s="163">
        <f ca="1">MIN(6,TblMili[[#This Row],[Dryad]]+Races!$F$35)*1.8 +  IF(TblMili[[#This Row],[Dryad]]+Races!$F$35&gt;6,(TblMili[[#This Row],[Dryad]]+Races!$F$35-6)*0.2,0) - Races!$I$19</f>
        <v>2.1599999999999993</v>
      </c>
      <c r="CN60" s="97">
        <f ca="1">sylvan*(TblMili[[#This Row],[Mystic bonus]]*TblMili[[#This Row],[Unit 3]])</f>
        <v>0</v>
      </c>
      <c r="CO60" s="163">
        <f ca="1">1.8 * MIN(MAX(Races!$E$27,TblMili[[#This Row],[Rockapult]]+Races!$F$27),6)  +  0.45 * MIN(MIN(Races!$E$27,TblMili[[#This Row],[Rockapult]]+Races!$F$27),6)  +  0.2 * ( MAX(Races!$E$27-6,0) + MAX(TblMili[[#This Row],[Rockapult]]+Races!$F$27-6,0) )  -  Races!$I$20</f>
        <v>5.8500000000000005</v>
      </c>
      <c r="CP60" s="97">
        <f ca="1">gnome*(TblMili[[#This Row],[Rockapult bonus]]*TblMili[[#This Row],[Unit 3]])</f>
        <v>0</v>
      </c>
      <c r="CQ60" s="163">
        <f ca="1">1.8 * MIN(MAX(TblMili[[#This Row],[Spellblade]]+Races!$E$47,TblMili[[#This Row],[Adept-DP]]+Races!$F$47),6)  +  0.45 * MIN(MIN(TblMili[[#This Row],[Spellblade]]+Races!$E$47,TblMili[[#This Row],[Adept-DP]]+Races!$F$47),6)  +  0.2 * ( MAX(TblMili[[#This Row],[Spellblade]]+Races!$E$47-6,0) + MAX(TblMili[[#This Row],[Adept-DP]]+Races!$F$47-6,0) )  -  Races!$I$47</f>
        <v>0</v>
      </c>
      <c r="CR60" s="97">
        <f ca="1">dark_elf*(TblMili[[#This Row],[Adept bonus]]*TblMili[[#This Row],[Unit 3]])</f>
        <v>0</v>
      </c>
      <c r="CS60" s="163">
        <f ca="1">1.8 * MIN(MAX(TblMili[[#This Row],[Frost Mage]]+Races!$F$71,Races!$E$71),6)  +  0.45 * MIN(MIN(TblMili[[#This Row],[Frost Mage]]+Races!$F$71,Races!$E$71),6)  +  0.2 * ( MAX(TblMili[[#This Row],[Frost Mage]]+Races!$F$71-6,0) + MAX(Races!$E$71-6,0) )  -  Races!$I$71</f>
        <v>3.9599999999999991</v>
      </c>
      <c r="CT60" s="163">
        <f ca="1">1.8 * MIN(MAX(TblMili[[#This Row],[Ice Elemental]]+Races!$E$71,Races!$F$71),6)  +  0.45 * MIN(MIN(TblMili[[#This Row],[Ice Elemental]]+Races!$E$71,Races!$F$71),6)  +  0.2 * ( MAX(TblMili[[#This Row],[Ice Elemental]]+Races!$E$71-6,0) + MAX(Races!$F$71-6,0) )  -  Races!$I$71</f>
        <v>0.17999999999999972</v>
      </c>
      <c r="CU60" s="97">
        <f ca="1">TblMili[[#This Row],[Frost Mage bonus]]*TblMili[[#This Row],[Unit 3]]+TblMili[[#This Row],[Ice Elemental bonus]]*TblMili[[#This Row],[Unit 4]]</f>
        <v>0</v>
      </c>
      <c r="CV60" s="273"/>
      <c r="CW60" s="151">
        <f ca="1">MIN(SUM(TblConstr[[#This Row],[Plain]:[Water]])/TblMili[[#This Row],[Land]]/favorable_terrain_bonus/100,favorable_terrain_max)</f>
        <v>0.1</v>
      </c>
      <c r="CX60" s="273"/>
      <c r="CY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50"/>
      <c r="DA60" s="274">
        <f ca="1">(TblMili[[#This Row],[Wizards]]+2*TblMili[[#This Row],[Archmages]])/TblConstr[[#This Row],[Land]]</f>
        <v>0.1</v>
      </c>
      <c r="DB60" s="274">
        <f ca="1">TblMili[[#This Row],[Raw (2)]]*(1+race_wizard_strength+IF(TblMili[[#This Row],[Hour]]&gt;72,tech_magical_weaponry_wiz*TblTech[[#This Row],[3-5]],0))</f>
        <v>0.1</v>
      </c>
    </row>
    <row r="61" spans="1:106" x14ac:dyDescent="0.2">
      <c r="A61" s="145">
        <f>TblRezone[[#This Row],[Hour]]</f>
        <v>58</v>
      </c>
      <c r="B61" s="266">
        <f ca="1">SUM(TblMili[[#This Row],[Unit 1]:[Archmages]])+SUM(OFFSET(TblMili[[#This Row],[Train Unit 1]],-8,0):TblMili[[#This Row],[Train Unit 2]]) + SUM(OFFSET(TblMili[[#This Row],[Train Unit 3]],-11,0):TblMili[[#This Row],[Train Arch]]) + TblMili[[#This Row],[Draftees]]</f>
        <v>826</v>
      </c>
      <c r="C61" s="165">
        <f ca="1">TblPop[[#This Row],[Military%]]</f>
        <v>0.35029686174724345</v>
      </c>
      <c r="D61" s="150"/>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f>
        <v>25</v>
      </c>
      <c r="J61" s="45">
        <f ca="1">OFFSET(TblMili[[#This Row],[Wizards]],-1,0) + OFFSET(TblMili[[#This Row],[Train Wiz]],-12,0) - TblMili[[#This Row],[Release Wizards]]-TblMili[[#This Row],[Train Arch]]</f>
        <v>25</v>
      </c>
      <c r="K61" s="45">
        <f ca="1">OFFSET(TblMili[[#This Row],[Archmages]],-1,0) + OFFSET(TblMili[[#This Row],[Train Arch]],-12,0) - TblMili[[#This Row],[Release Arch]]</f>
        <v>0</v>
      </c>
      <c r="L61" s="150"/>
      <c r="M61" s="97">
        <f ca="1">TblProd[[#This Row],[Networth]]</f>
        <v>6450</v>
      </c>
      <c r="N61" s="150"/>
      <c r="O61" s="267">
        <f ca="1">TblMili[[#This Row],[Unit 1]]*spec_op+TblMili[[#This Row],[Unit 3]]*(elite1_base_op)+TblMili[[#This Row],[Unit 4]]*(elite2_base_op+dark_elf*TblMili[[#This Row],[Spellblade]]+icekin*TblMili[[#This Row],[Ice Elemental]]+woodie*TblMili[[#This Row],[Druid (op)]]+orc*TblMili[[#This Row],[Orc]])+kobold*TblMili[[#This Row],[Overlords]]</f>
        <v>0</v>
      </c>
      <c r="P6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1" s="267">
        <f ca="1">TblMili[[#This Row],[Raw]]*(1+TblMili[[#This Row],[Mods_Off]])</f>
        <v>0</v>
      </c>
      <c r="R6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1" s="267">
        <f ca="1">TblMili[[#This Row],[Non Draft]]+TblMili[[#This Row],[Draftees]]</f>
        <v>1076</v>
      </c>
      <c r="T6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269">
        <f ca="1">TblMili[[#This Row],[Non Draft]] * (1 + TblMili[[#This Row],[Mods_Def]])</f>
        <v>450</v>
      </c>
      <c r="V61" s="267">
        <f ca="1">TblMili[[#This Row],[Draft]] * (1 + TblMili[[#This Row],[Mods_Def]])</f>
        <v>1076</v>
      </c>
      <c r="W61" s="267">
        <f ca="1">TblConstr[[#This Row],[Land]]</f>
        <v>250</v>
      </c>
      <c r="X61" s="270"/>
      <c r="Y61" s="275">
        <f ca="1">IF(TblMili[[#This Row],[Set]]&lt;&gt;"",TblMili[[#This Row],[Set]],OFFSET(TblMili[[#This Row],[Draftrate]],-1,0))</f>
        <v>0.35</v>
      </c>
      <c r="Z61" s="97">
        <f ca="1">OFFSET(TblMili[[#This Row],[Draftees]],-1,0)+OFFSET(TblPop[[#This Row],[Draft Growth]],-1,0) - SUM(TblMili[[#This Row],[Train Unit 1]:[Train Wiz]]) - TblMili[[#This Row],[Release Draft]] + SUM(TblMili[[#This Row],[Release Unit 1]:[Release Arch]]) -TblExplore[[#This Row],[Draftees (2)]]</f>
        <v>626</v>
      </c>
      <c r="AA61" s="162"/>
      <c r="AB61" s="188">
        <f ca="1">(TblConstr[[#This Row],[Tot Smi]]+TblConstr[[#This Row],[Dest Smi]])/(TblConstr[[#This Row],[Land]]-TblExplore[[#This Row],[Land Bonus]]*20)</f>
        <v>0</v>
      </c>
      <c r="AC61" s="145"/>
      <c r="AD61" s="266">
        <f>TblMili[[#This Row],[Hour]]</f>
        <v>58</v>
      </c>
      <c r="AE61" s="146">
        <f ca="1">TblExplore[[#This Row],[Time]]</f>
        <v>44813.124999999862</v>
      </c>
      <c r="AF61" s="187"/>
      <c r="AG61" s="187"/>
      <c r="AH61" s="187"/>
      <c r="AI61" s="187"/>
      <c r="AJ61" s="187"/>
      <c r="AK61" s="187"/>
      <c r="AL61" s="187"/>
      <c r="AM61" s="150"/>
      <c r="AN61" s="97">
        <f ca="1">TblProd[[#This Row],[Platinum]]</f>
        <v>413580</v>
      </c>
      <c r="AO61" s="97">
        <f ca="1">INDEX(TblProd[[#Headers],[Lumber]]:TblProd[[#This Row],[Ore]],COUNTA(TblProd[[#Headers],[Lumber]]:TblProd[[#This Row],[Lumber]]),MATCH(Military!$AO$2,TblProd[[#Headers],[Lumber]:[Ore]],0))</f>
        <v>0</v>
      </c>
      <c r="AP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97">
        <f ca="1">TblMili[[#This Row],[Train Unit 1]]*TblMili[[#This Row],[OP Ore]]+TblMili[[#This Row],[Train Unit 2]]*TblMili[[#This Row],[DP Ore]]+TblMili[[#This Row],[Train Unit 3]]*TblMili[[#This Row],[E1 Ore]]+TblMili[[#This Row],[Train Unit 4]]*TblMili[[#This Row],[E2 Ore]]</f>
        <v>0</v>
      </c>
      <c r="AR61" s="150">
        <f>TblMili[[#This Row],[Hour]]</f>
        <v>58</v>
      </c>
      <c r="AS61" s="160">
        <f ca="1">TblMili[[#This Row],[Time]]</f>
        <v>44813.124999999862</v>
      </c>
      <c r="AT61" s="97">
        <f ca="1">TblMili[[#This Row],[Draftees]]</f>
        <v>626</v>
      </c>
      <c r="AU61" s="187"/>
      <c r="AV61" s="187"/>
      <c r="AW61" s="187"/>
      <c r="AX61" s="187"/>
      <c r="AY61" s="187"/>
      <c r="AZ61" s="187"/>
      <c r="BA61" s="187"/>
      <c r="BB61" s="187"/>
      <c r="BC61" s="150"/>
      <c r="BD61" s="165">
        <f ca="1">TblConstr[[#This Row],[Tot WG]]/TblConstr[[#This Row],[Land]]</f>
        <v>0</v>
      </c>
      <c r="BE61" s="165">
        <f ca="1">TblConstr[[#This Row],[Tot Hav]]/TblConstr[[#This Row],[Land]]</f>
        <v>0</v>
      </c>
      <c r="BF61" s="97">
        <f ca="1">ROUNDUP((1-MIN(TblMili[[#This Row],[Smithies]]*smithy_bonus,smithy_bonus_cap) + tech_3_5*TblTech[[#This Row],[3-5]] + tech_5_3*TblTech[[#This Row],[5-3]] + tech_5_5*TblTech[[#This Row],[5-5]])*spec_op_plat,0)</f>
        <v>275</v>
      </c>
      <c r="BG61" s="97">
        <f ca="1">ROUNDUP(IF(race="Gnome",1,(1-MIN(TblMili[[#This Row],[Smithies]]*smithy_bonus,smithy_bonus_cap) + tech_3_5*TblTech[[#This Row],[3-5]] + tech_5_3*TblTech[[#This Row],[5-3]] + tech_5_5*TblTech[[#This Row],[5-5]]))*spec_op_ore,0)</f>
        <v>25</v>
      </c>
      <c r="BH61" s="97">
        <f ca="1">ROUNDUP((1-MIN(TblMili[[#This Row],[Smithies]]*smithy_bonus,smithy_bonus_cap) + tech_3_5*TblTech[[#This Row],[3-5]] + tech_5_3*TblTech[[#This Row],[5-3]] + tech_5_5*TblTech[[#This Row],[5-5]])*spec_dp_plat,0)</f>
        <v>275</v>
      </c>
      <c r="BI61" s="97">
        <f ca="1">ROUNDUP(IF(race="Gnome",1,(1-MIN(TblMili[[#This Row],[Smithies]]*smithy_bonus,smithy_bonus_cap) + tech_3_5*TblTech[[#This Row],[3-5]] + tech_5_3*TblTech[[#This Row],[5-3]] + tech_5_5*TblTech[[#This Row],[5-5]]))*spec_dp_ore,0)</f>
        <v>15</v>
      </c>
      <c r="BJ61" s="97">
        <f ca="1">ROUNDUP((1-MIN(TblMili[[#This Row],[Smithies]]*smithy_bonus,smithy_bonus_cap) + tech_3_5*TblTech[[#This Row],[3-5]] + tech_5_3*TblTech[[#This Row],[5-3]] + tech_5_5*TblTech[[#This Row],[5-5]])*elite1_plat,0)</f>
        <v>1000</v>
      </c>
      <c r="BK61" s="97">
        <f ca="1">ROUNDUP(IF(race="Gnome",1,(1-MIN(TblMili[[#This Row],[Smithies]]*smithy_bonus,smithy_bonus_cap) + tech_3_5*TblTech[[#This Row],[3-5]] + tech_5_3*TblTech[[#This Row],[5-3]] + tech_5_5*TblTech[[#This Row],[5-5]]))*elite1_ore,0)</f>
        <v>75</v>
      </c>
      <c r="BL61" s="97">
        <f ca="1">ROUNDUP((1-MIN(TblMili[[#This Row],[Smithies]]*smithy_bonus,smithy_bonus_cap) + tech_3_5*TblTech[[#This Row],[3-5]] + tech_5_3*TblTech[[#This Row],[5-3]] + tech_5_5*TblTech[[#This Row],[5-5]])*elite2_plat,0)</f>
        <v>1200</v>
      </c>
      <c r="BM61" s="97">
        <f ca="1">ROUNDUP(IF(race="Gnome",1,(1-MIN(TblMili[[#This Row],[Smithies]]*smithy_bonus,smithy_bonus_cap) + tech_3_5*TblTech[[#This Row],[3-5]] + tech_5_3*TblTech[[#This Row],[5-3]] + tech_5_5*TblTech[[#This Row],[5-5]]))*elite2_ore,0)</f>
        <v>100</v>
      </c>
      <c r="BN61" s="97">
        <f ca="1">ROUNDUP((1-MIN(ROUND(fh_spy_cost_red*TblMili[[#This Row],[FH''s]],4),fh_spy_cost_cap)+ tech_1_9*TblTech[[#This Row],[1-9]] + tech_9_1*TblTech[[#This Row],[9-1]])*spy_plat,0)</f>
        <v>500</v>
      </c>
      <c r="BO61" s="97">
        <f ca="1">ROUNDUP((1-MIN(ROUND(wg_wiz_cost_bonus*TblMili[[#This Row],[WG''s]],4),wg_wiz_cost_cap) + tech_1_9_2*TblTech[[#This Row],[1-9]] + tech_9_1_2*TblTech[[#This Row],[9-1]])*wizard_plat,0)</f>
        <v>500</v>
      </c>
      <c r="BP61" s="97">
        <f ca="1">ROUNDUP((1-MIN(ROUND(wg_wiz_cost_bonus*TblMili[[#This Row],[WG''s]],4),wg_wiz_cost_cap) + tech_1_9_2*TblTech[[#This Row],[1-9]] + tech_9_1_2*TblTech[[#This Row],[9-1]])*archmage_plat,0)</f>
        <v>1000</v>
      </c>
      <c r="BQ61" s="150"/>
      <c r="BR61" s="165">
        <f ca="1">TblConstr[[#This Row],[Homeland]]/TblConstr[[#This Row],[Land]]</f>
        <v>0.44</v>
      </c>
      <c r="BS61" s="165">
        <f ca="1">TblMili[[#This Row],[WG''s]]</f>
        <v>0</v>
      </c>
      <c r="BT61" s="271">
        <f ca="1">IF(mystic_cap="none",TblMili[[#This Row],[Hill]]/mystic_bonus,MIN(mystic_cap,TblMili[[#This Row],[Hill]]/mystic_bonus))</f>
        <v>2.1999999999999997</v>
      </c>
      <c r="BU61" s="271">
        <f ca="1">IF(druid_op_cap="none",TblMili[[#This Row],[Hill]]/druid_op_bonus,MIN(druid_op_cap,TblMili[[#This Row],[Hill]]/druid_op_bonus))</f>
        <v>2.1999999999999997</v>
      </c>
      <c r="BV61" s="271">
        <f ca="1">IF(druid_dp_cap="none",TblMili[[#This Row],[Hill]]/druid_dp_bonus,MIN(druid_dp_cap,TblMili[[#This Row],[Hill]]/druid_dp_bonus))</f>
        <v>2.1999999999999997</v>
      </c>
      <c r="BW61" s="271">
        <f ca="1">MIN(dryad_cap,TblMili[[#This Row],[Hill]]/dryad_bonus)</f>
        <v>2.1999999999999997</v>
      </c>
      <c r="BX61" s="271">
        <f ca="1">MIN(rocka_cap,TblMili[[#This Row],[Hill]]/rocka_bonus)</f>
        <v>2</v>
      </c>
      <c r="BY61" s="271">
        <f ca="1">MIN(adept_op_cap,TblMili[[#This Row],[WG]]/adept_op_bonus)</f>
        <v>0</v>
      </c>
      <c r="BZ61" s="271">
        <f ca="1">MIN(adept_dp_cap,TblMili[[#This Row],[WG]]/adept_dp_bonus)</f>
        <v>0</v>
      </c>
      <c r="CA61" s="97">
        <f ca="1">MIN(TblMili[[#This Row],[Unit 3]],TblMili[[#This Row],[Unit 4]])*2</f>
        <v>0</v>
      </c>
      <c r="CB61" s="97">
        <f ca="1">MIN(TblMili[[#This Row],[Unit 1]],TblMili[[#This Row],[Unit 4]])*2</f>
        <v>0</v>
      </c>
      <c r="CC61" s="271">
        <f ca="1">MIN(frost_mage_cap,TblMili[[#This Row],[Hill]]/frost_mage_bonus)</f>
        <v>2.1999999999999997</v>
      </c>
      <c r="CD61" s="45">
        <f ca="1">MIN(ice_elem_cap,TblMili[[#This Row],[Raw (2)]]*ice_elem_bonus)</f>
        <v>0.1</v>
      </c>
      <c r="CE61" s="271">
        <f t="shared" si="2"/>
        <v>1</v>
      </c>
      <c r="CF61" s="271">
        <f ca="1">MIN(nox_nightshade_cap,TblConstr[[#This Row],[Homeland]]/TblConstr[[#This Row],[Land]]/nox_nightshade_swamp_bonus)</f>
        <v>3</v>
      </c>
      <c r="CG61" s="272"/>
      <c r="CH61" s="272"/>
      <c r="CI61" s="272"/>
      <c r="CJ61" s="271">
        <f ca="1">MIN(6,TblMili[[#This Row],[Mystic]]+Races!$F$19)*1.8 +  IF(TblMili[[#This Row],[Mystic]]+Races!$F$19&gt;6,(TblMili[[#This Row],[Mystic]]+Races!$F$19-6)*0.2,0) - Races!$I$19</f>
        <v>3.6399999999999997</v>
      </c>
      <c r="CK6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97">
        <f ca="1">TblMili[[#This Row],[Mystic bonus]]*TblMili[[#This Row],[Unit 3]]+TblMili[[#This Row],[Druid bonus]]*TblMili[[#This Row],[Unit 4]]</f>
        <v>0</v>
      </c>
      <c r="CM61" s="163">
        <f ca="1">MIN(6,TblMili[[#This Row],[Dryad]]+Races!$F$35)*1.8 +  IF(TblMili[[#This Row],[Dryad]]+Races!$F$35&gt;6,(TblMili[[#This Row],[Dryad]]+Races!$F$35-6)*0.2,0) - Races!$I$19</f>
        <v>2.1599999999999993</v>
      </c>
      <c r="CN61" s="97">
        <f ca="1">sylvan*(TblMili[[#This Row],[Mystic bonus]]*TblMili[[#This Row],[Unit 3]])</f>
        <v>0</v>
      </c>
      <c r="CO61" s="163">
        <f ca="1">1.8 * MIN(MAX(Races!$E$27,TblMili[[#This Row],[Rockapult]]+Races!$F$27),6)  +  0.45 * MIN(MIN(Races!$E$27,TblMili[[#This Row],[Rockapult]]+Races!$F$27),6)  +  0.2 * ( MAX(Races!$E$27-6,0) + MAX(TblMili[[#This Row],[Rockapult]]+Races!$F$27-6,0) )  -  Races!$I$20</f>
        <v>5.8500000000000005</v>
      </c>
      <c r="CP61" s="97">
        <f ca="1">gnome*(TblMili[[#This Row],[Rockapult bonus]]*TblMili[[#This Row],[Unit 3]])</f>
        <v>0</v>
      </c>
      <c r="CQ61" s="163">
        <f ca="1">1.8 * MIN(MAX(TblMili[[#This Row],[Spellblade]]+Races!$E$47,TblMili[[#This Row],[Adept-DP]]+Races!$F$47),6)  +  0.45 * MIN(MIN(TblMili[[#This Row],[Spellblade]]+Races!$E$47,TblMili[[#This Row],[Adept-DP]]+Races!$F$47),6)  +  0.2 * ( MAX(TblMili[[#This Row],[Spellblade]]+Races!$E$47-6,0) + MAX(TblMili[[#This Row],[Adept-DP]]+Races!$F$47-6,0) )  -  Races!$I$47</f>
        <v>0</v>
      </c>
      <c r="CR61" s="97">
        <f ca="1">dark_elf*(TblMili[[#This Row],[Adept bonus]]*TblMili[[#This Row],[Unit 3]])</f>
        <v>0</v>
      </c>
      <c r="CS61" s="163">
        <f ca="1">1.8 * MIN(MAX(TblMili[[#This Row],[Frost Mage]]+Races!$F$71,Races!$E$71),6)  +  0.45 * MIN(MIN(TblMili[[#This Row],[Frost Mage]]+Races!$F$71,Races!$E$71),6)  +  0.2 * ( MAX(TblMili[[#This Row],[Frost Mage]]+Races!$F$71-6,0) + MAX(Races!$E$71-6,0) )  -  Races!$I$71</f>
        <v>3.9599999999999991</v>
      </c>
      <c r="CT61" s="163">
        <f ca="1">1.8 * MIN(MAX(TblMili[[#This Row],[Ice Elemental]]+Races!$E$71,Races!$F$71),6)  +  0.45 * MIN(MIN(TblMili[[#This Row],[Ice Elemental]]+Races!$E$71,Races!$F$71),6)  +  0.2 * ( MAX(TblMili[[#This Row],[Ice Elemental]]+Races!$E$71-6,0) + MAX(Races!$F$71-6,0) )  -  Races!$I$71</f>
        <v>0.17999999999999972</v>
      </c>
      <c r="CU61" s="97">
        <f ca="1">TblMili[[#This Row],[Frost Mage bonus]]*TblMili[[#This Row],[Unit 3]]+TblMili[[#This Row],[Ice Elemental bonus]]*TblMili[[#This Row],[Unit 4]]</f>
        <v>0</v>
      </c>
      <c r="CV61" s="273"/>
      <c r="CW61" s="151">
        <f ca="1">MIN(SUM(TblConstr[[#This Row],[Plain]:[Water]])/TblMili[[#This Row],[Land]]/favorable_terrain_bonus/100,favorable_terrain_max)</f>
        <v>0.1</v>
      </c>
      <c r="CX61" s="273"/>
      <c r="CY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50"/>
      <c r="DA61" s="274">
        <f ca="1">(TblMili[[#This Row],[Wizards]]+2*TblMili[[#This Row],[Archmages]])/TblConstr[[#This Row],[Land]]</f>
        <v>0.1</v>
      </c>
      <c r="DB61" s="274">
        <f ca="1">TblMili[[#This Row],[Raw (2)]]*(1+race_wizard_strength+IF(TblMili[[#This Row],[Hour]]&gt;72,tech_magical_weaponry_wiz*TblTech[[#This Row],[3-5]],0))</f>
        <v>0.1</v>
      </c>
    </row>
    <row r="62" spans="1:106" x14ac:dyDescent="0.2">
      <c r="A62" s="145">
        <f>TblRezone[[#This Row],[Hour]]</f>
        <v>59</v>
      </c>
      <c r="B62" s="266">
        <f ca="1">SUM(TblMili[[#This Row],[Unit 1]:[Archmages]])+SUM(OFFSET(TblMili[[#This Row],[Train Unit 1]],-8,0):TblMili[[#This Row],[Train Unit 2]]) + SUM(OFFSET(TblMili[[#This Row],[Train Unit 3]],-11,0):TblMili[[#This Row],[Train Arch]]) + TblMili[[#This Row],[Draftees]]</f>
        <v>826</v>
      </c>
      <c r="C62" s="165">
        <f ca="1">TblPop[[#This Row],[Military%]]</f>
        <v>0.35029686174724345</v>
      </c>
      <c r="D62" s="150"/>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f>
        <v>25</v>
      </c>
      <c r="J62" s="45">
        <f ca="1">OFFSET(TblMili[[#This Row],[Wizards]],-1,0) + OFFSET(TblMili[[#This Row],[Train Wiz]],-12,0) - TblMili[[#This Row],[Release Wizards]]-TblMili[[#This Row],[Train Arch]]</f>
        <v>25</v>
      </c>
      <c r="K62" s="45">
        <f ca="1">OFFSET(TblMili[[#This Row],[Archmages]],-1,0) + OFFSET(TblMili[[#This Row],[Train Arch]],-12,0) - TblMili[[#This Row],[Release Arch]]</f>
        <v>0</v>
      </c>
      <c r="L62" s="150"/>
      <c r="M62" s="97">
        <f ca="1">TblProd[[#This Row],[Networth]]</f>
        <v>6450</v>
      </c>
      <c r="N62" s="150"/>
      <c r="O62" s="267">
        <f ca="1">TblMili[[#This Row],[Unit 1]]*spec_op+TblMili[[#This Row],[Unit 3]]*(elite1_base_op)+TblMili[[#This Row],[Unit 4]]*(elite2_base_op+dark_elf*TblMili[[#This Row],[Spellblade]]+icekin*TblMili[[#This Row],[Ice Elemental]]+woodie*TblMili[[#This Row],[Druid (op)]]+orc*TblMili[[#This Row],[Orc]])+kobold*TblMili[[#This Row],[Overlords]]</f>
        <v>0</v>
      </c>
      <c r="P6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2" s="267">
        <f ca="1">TblMili[[#This Row],[Raw]]*(1+TblMili[[#This Row],[Mods_Off]])</f>
        <v>0</v>
      </c>
      <c r="R6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2" s="267">
        <f ca="1">TblMili[[#This Row],[Non Draft]]+TblMili[[#This Row],[Draftees]]</f>
        <v>1076</v>
      </c>
      <c r="T6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269">
        <f ca="1">TblMili[[#This Row],[Non Draft]] * (1 + TblMili[[#This Row],[Mods_Def]])</f>
        <v>450</v>
      </c>
      <c r="V62" s="267">
        <f ca="1">TblMili[[#This Row],[Draft]] * (1 + TblMili[[#This Row],[Mods_Def]])</f>
        <v>1076</v>
      </c>
      <c r="W62" s="267">
        <f ca="1">TblConstr[[#This Row],[Land]]</f>
        <v>250</v>
      </c>
      <c r="X62" s="270"/>
      <c r="Y62" s="275">
        <f ca="1">IF(TblMili[[#This Row],[Set]]&lt;&gt;"",TblMili[[#This Row],[Set]],OFFSET(TblMili[[#This Row],[Draftrate]],-1,0))</f>
        <v>0.35</v>
      </c>
      <c r="Z62" s="97">
        <f ca="1">OFFSET(TblMili[[#This Row],[Draftees]],-1,0)+OFFSET(TblPop[[#This Row],[Draft Growth]],-1,0) - SUM(TblMili[[#This Row],[Train Unit 1]:[Train Wiz]]) - TblMili[[#This Row],[Release Draft]] + SUM(TblMili[[#This Row],[Release Unit 1]:[Release Arch]]) -TblExplore[[#This Row],[Draftees (2)]]</f>
        <v>626</v>
      </c>
      <c r="AA62" s="162"/>
      <c r="AB62" s="188">
        <f ca="1">(TblConstr[[#This Row],[Tot Smi]]+TblConstr[[#This Row],[Dest Smi]])/(TblConstr[[#This Row],[Land]]-TblExplore[[#This Row],[Land Bonus]]*20)</f>
        <v>0</v>
      </c>
      <c r="AC62" s="145"/>
      <c r="AD62" s="266">
        <f>TblMili[[#This Row],[Hour]]</f>
        <v>59</v>
      </c>
      <c r="AE62" s="146">
        <f ca="1">TblExplore[[#This Row],[Time]]</f>
        <v>44813.166666666526</v>
      </c>
      <c r="AF62" s="187"/>
      <c r="AG62" s="187"/>
      <c r="AH62" s="187"/>
      <c r="AI62" s="187"/>
      <c r="AJ62" s="187"/>
      <c r="AK62" s="187"/>
      <c r="AL62" s="187"/>
      <c r="AM62" s="150"/>
      <c r="AN62" s="97">
        <f ca="1">TblProd[[#This Row],[Platinum]]</f>
        <v>419066</v>
      </c>
      <c r="AO62" s="97">
        <f ca="1">INDEX(TblProd[[#Headers],[Lumber]]:TblProd[[#This Row],[Ore]],COUNTA(TblProd[[#Headers],[Lumber]]:TblProd[[#This Row],[Lumber]]),MATCH(Military!$AO$2,TblProd[[#Headers],[Lumber]:[Ore]],0))</f>
        <v>0</v>
      </c>
      <c r="AP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97">
        <f ca="1">TblMili[[#This Row],[Train Unit 1]]*TblMili[[#This Row],[OP Ore]]+TblMili[[#This Row],[Train Unit 2]]*TblMili[[#This Row],[DP Ore]]+TblMili[[#This Row],[Train Unit 3]]*TblMili[[#This Row],[E1 Ore]]+TblMili[[#This Row],[Train Unit 4]]*TblMili[[#This Row],[E2 Ore]]</f>
        <v>0</v>
      </c>
      <c r="AR62" s="150">
        <f>TblMili[[#This Row],[Hour]]</f>
        <v>59</v>
      </c>
      <c r="AS62" s="160">
        <f ca="1">TblMili[[#This Row],[Time]]</f>
        <v>44813.166666666526</v>
      </c>
      <c r="AT62" s="97">
        <f ca="1">TblMili[[#This Row],[Draftees]]</f>
        <v>626</v>
      </c>
      <c r="AU62" s="187"/>
      <c r="AV62" s="187"/>
      <c r="AW62" s="187"/>
      <c r="AX62" s="187"/>
      <c r="AY62" s="187"/>
      <c r="AZ62" s="187"/>
      <c r="BA62" s="187"/>
      <c r="BB62" s="187"/>
      <c r="BC62" s="150"/>
      <c r="BD62" s="165">
        <f ca="1">TblConstr[[#This Row],[Tot WG]]/TblConstr[[#This Row],[Land]]</f>
        <v>0</v>
      </c>
      <c r="BE62" s="165">
        <f ca="1">TblConstr[[#This Row],[Tot Hav]]/TblConstr[[#This Row],[Land]]</f>
        <v>0</v>
      </c>
      <c r="BF62" s="97">
        <f ca="1">ROUNDUP((1-MIN(TblMili[[#This Row],[Smithies]]*smithy_bonus,smithy_bonus_cap) + tech_3_5*TblTech[[#This Row],[3-5]] + tech_5_3*TblTech[[#This Row],[5-3]] + tech_5_5*TblTech[[#This Row],[5-5]])*spec_op_plat,0)</f>
        <v>275</v>
      </c>
      <c r="BG62" s="97">
        <f ca="1">ROUNDUP(IF(race="Gnome",1,(1-MIN(TblMili[[#This Row],[Smithies]]*smithy_bonus,smithy_bonus_cap) + tech_3_5*TblTech[[#This Row],[3-5]] + tech_5_3*TblTech[[#This Row],[5-3]] + tech_5_5*TblTech[[#This Row],[5-5]]))*spec_op_ore,0)</f>
        <v>25</v>
      </c>
      <c r="BH62" s="97">
        <f ca="1">ROUNDUP((1-MIN(TblMili[[#This Row],[Smithies]]*smithy_bonus,smithy_bonus_cap) + tech_3_5*TblTech[[#This Row],[3-5]] + tech_5_3*TblTech[[#This Row],[5-3]] + tech_5_5*TblTech[[#This Row],[5-5]])*spec_dp_plat,0)</f>
        <v>275</v>
      </c>
      <c r="BI62" s="97">
        <f ca="1">ROUNDUP(IF(race="Gnome",1,(1-MIN(TblMili[[#This Row],[Smithies]]*smithy_bonus,smithy_bonus_cap) + tech_3_5*TblTech[[#This Row],[3-5]] + tech_5_3*TblTech[[#This Row],[5-3]] + tech_5_5*TblTech[[#This Row],[5-5]]))*spec_dp_ore,0)</f>
        <v>15</v>
      </c>
      <c r="BJ62" s="97">
        <f ca="1">ROUNDUP((1-MIN(TblMili[[#This Row],[Smithies]]*smithy_bonus,smithy_bonus_cap) + tech_3_5*TblTech[[#This Row],[3-5]] + tech_5_3*TblTech[[#This Row],[5-3]] + tech_5_5*TblTech[[#This Row],[5-5]])*elite1_plat,0)</f>
        <v>1000</v>
      </c>
      <c r="BK62" s="97">
        <f ca="1">ROUNDUP(IF(race="Gnome",1,(1-MIN(TblMili[[#This Row],[Smithies]]*smithy_bonus,smithy_bonus_cap) + tech_3_5*TblTech[[#This Row],[3-5]] + tech_5_3*TblTech[[#This Row],[5-3]] + tech_5_5*TblTech[[#This Row],[5-5]]))*elite1_ore,0)</f>
        <v>75</v>
      </c>
      <c r="BL62" s="97">
        <f ca="1">ROUNDUP((1-MIN(TblMili[[#This Row],[Smithies]]*smithy_bonus,smithy_bonus_cap) + tech_3_5*TblTech[[#This Row],[3-5]] + tech_5_3*TblTech[[#This Row],[5-3]] + tech_5_5*TblTech[[#This Row],[5-5]])*elite2_plat,0)</f>
        <v>1200</v>
      </c>
      <c r="BM62" s="97">
        <f ca="1">ROUNDUP(IF(race="Gnome",1,(1-MIN(TblMili[[#This Row],[Smithies]]*smithy_bonus,smithy_bonus_cap) + tech_3_5*TblTech[[#This Row],[3-5]] + tech_5_3*TblTech[[#This Row],[5-3]] + tech_5_5*TblTech[[#This Row],[5-5]]))*elite2_ore,0)</f>
        <v>100</v>
      </c>
      <c r="BN62" s="97">
        <f ca="1">ROUNDUP((1-MIN(ROUND(fh_spy_cost_red*TblMili[[#This Row],[FH''s]],4),fh_spy_cost_cap)+ tech_1_9*TblTech[[#This Row],[1-9]] + tech_9_1*TblTech[[#This Row],[9-1]])*spy_plat,0)</f>
        <v>500</v>
      </c>
      <c r="BO62" s="97">
        <f ca="1">ROUNDUP((1-MIN(ROUND(wg_wiz_cost_bonus*TblMili[[#This Row],[WG''s]],4),wg_wiz_cost_cap) + tech_1_9_2*TblTech[[#This Row],[1-9]] + tech_9_1_2*TblTech[[#This Row],[9-1]])*wizard_plat,0)</f>
        <v>500</v>
      </c>
      <c r="BP62" s="97">
        <f ca="1">ROUNDUP((1-MIN(ROUND(wg_wiz_cost_bonus*TblMili[[#This Row],[WG''s]],4),wg_wiz_cost_cap) + tech_1_9_2*TblTech[[#This Row],[1-9]] + tech_9_1_2*TblTech[[#This Row],[9-1]])*archmage_plat,0)</f>
        <v>1000</v>
      </c>
      <c r="BQ62" s="150"/>
      <c r="BR62" s="165">
        <f ca="1">TblConstr[[#This Row],[Homeland]]/TblConstr[[#This Row],[Land]]</f>
        <v>0.44</v>
      </c>
      <c r="BS62" s="165">
        <f ca="1">TblMili[[#This Row],[WG''s]]</f>
        <v>0</v>
      </c>
      <c r="BT62" s="271">
        <f ca="1">IF(mystic_cap="none",TblMili[[#This Row],[Hill]]/mystic_bonus,MIN(mystic_cap,TblMili[[#This Row],[Hill]]/mystic_bonus))</f>
        <v>2.1999999999999997</v>
      </c>
      <c r="BU62" s="271">
        <f ca="1">IF(druid_op_cap="none",TblMili[[#This Row],[Hill]]/druid_op_bonus,MIN(druid_op_cap,TblMili[[#This Row],[Hill]]/druid_op_bonus))</f>
        <v>2.1999999999999997</v>
      </c>
      <c r="BV62" s="271">
        <f ca="1">IF(druid_dp_cap="none",TblMili[[#This Row],[Hill]]/druid_dp_bonus,MIN(druid_dp_cap,TblMili[[#This Row],[Hill]]/druid_dp_bonus))</f>
        <v>2.1999999999999997</v>
      </c>
      <c r="BW62" s="271">
        <f ca="1">MIN(dryad_cap,TblMili[[#This Row],[Hill]]/dryad_bonus)</f>
        <v>2.1999999999999997</v>
      </c>
      <c r="BX62" s="271">
        <f ca="1">MIN(rocka_cap,TblMili[[#This Row],[Hill]]/rocka_bonus)</f>
        <v>2</v>
      </c>
      <c r="BY62" s="271">
        <f ca="1">MIN(adept_op_cap,TblMili[[#This Row],[WG]]/adept_op_bonus)</f>
        <v>0</v>
      </c>
      <c r="BZ62" s="271">
        <f ca="1">MIN(adept_dp_cap,TblMili[[#This Row],[WG]]/adept_dp_bonus)</f>
        <v>0</v>
      </c>
      <c r="CA62" s="97">
        <f ca="1">MIN(TblMili[[#This Row],[Unit 3]],TblMili[[#This Row],[Unit 4]])*2</f>
        <v>0</v>
      </c>
      <c r="CB62" s="97">
        <f ca="1">MIN(TblMili[[#This Row],[Unit 1]],TblMili[[#This Row],[Unit 4]])*2</f>
        <v>0</v>
      </c>
      <c r="CC62" s="271">
        <f ca="1">MIN(frost_mage_cap,TblMili[[#This Row],[Hill]]/frost_mage_bonus)</f>
        <v>2.1999999999999997</v>
      </c>
      <c r="CD62" s="45">
        <f ca="1">MIN(ice_elem_cap,TblMili[[#This Row],[Raw (2)]]*ice_elem_bonus)</f>
        <v>0.1</v>
      </c>
      <c r="CE62" s="271">
        <f t="shared" si="2"/>
        <v>1</v>
      </c>
      <c r="CF62" s="271">
        <f ca="1">MIN(nox_nightshade_cap,TblConstr[[#This Row],[Homeland]]/TblConstr[[#This Row],[Land]]/nox_nightshade_swamp_bonus)</f>
        <v>3</v>
      </c>
      <c r="CG62" s="272"/>
      <c r="CH62" s="272"/>
      <c r="CI62" s="272"/>
      <c r="CJ62" s="271">
        <f ca="1">MIN(6,TblMili[[#This Row],[Mystic]]+Races!$F$19)*1.8 +  IF(TblMili[[#This Row],[Mystic]]+Races!$F$19&gt;6,(TblMili[[#This Row],[Mystic]]+Races!$F$19-6)*0.2,0) - Races!$I$19</f>
        <v>3.6399999999999997</v>
      </c>
      <c r="CK6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97">
        <f ca="1">TblMili[[#This Row],[Mystic bonus]]*TblMili[[#This Row],[Unit 3]]+TblMili[[#This Row],[Druid bonus]]*TblMili[[#This Row],[Unit 4]]</f>
        <v>0</v>
      </c>
      <c r="CM62" s="163">
        <f ca="1">MIN(6,TblMili[[#This Row],[Dryad]]+Races!$F$35)*1.8 +  IF(TblMili[[#This Row],[Dryad]]+Races!$F$35&gt;6,(TblMili[[#This Row],[Dryad]]+Races!$F$35-6)*0.2,0) - Races!$I$19</f>
        <v>2.1599999999999993</v>
      </c>
      <c r="CN62" s="97">
        <f ca="1">sylvan*(TblMili[[#This Row],[Mystic bonus]]*TblMili[[#This Row],[Unit 3]])</f>
        <v>0</v>
      </c>
      <c r="CO62" s="163">
        <f ca="1">1.8 * MIN(MAX(Races!$E$27,TblMili[[#This Row],[Rockapult]]+Races!$F$27),6)  +  0.45 * MIN(MIN(Races!$E$27,TblMili[[#This Row],[Rockapult]]+Races!$F$27),6)  +  0.2 * ( MAX(Races!$E$27-6,0) + MAX(TblMili[[#This Row],[Rockapult]]+Races!$F$27-6,0) )  -  Races!$I$20</f>
        <v>5.8500000000000005</v>
      </c>
      <c r="CP62" s="97">
        <f ca="1">gnome*(TblMili[[#This Row],[Rockapult bonus]]*TblMili[[#This Row],[Unit 3]])</f>
        <v>0</v>
      </c>
      <c r="CQ62" s="163">
        <f ca="1">1.8 * MIN(MAX(TblMili[[#This Row],[Spellblade]]+Races!$E$47,TblMili[[#This Row],[Adept-DP]]+Races!$F$47),6)  +  0.45 * MIN(MIN(TblMili[[#This Row],[Spellblade]]+Races!$E$47,TblMili[[#This Row],[Adept-DP]]+Races!$F$47),6)  +  0.2 * ( MAX(TblMili[[#This Row],[Spellblade]]+Races!$E$47-6,0) + MAX(TblMili[[#This Row],[Adept-DP]]+Races!$F$47-6,0) )  -  Races!$I$47</f>
        <v>0</v>
      </c>
      <c r="CR62" s="97">
        <f ca="1">dark_elf*(TblMili[[#This Row],[Adept bonus]]*TblMili[[#This Row],[Unit 3]])</f>
        <v>0</v>
      </c>
      <c r="CS62" s="163">
        <f ca="1">1.8 * MIN(MAX(TblMili[[#This Row],[Frost Mage]]+Races!$F$71,Races!$E$71),6)  +  0.45 * MIN(MIN(TblMili[[#This Row],[Frost Mage]]+Races!$F$71,Races!$E$71),6)  +  0.2 * ( MAX(TblMili[[#This Row],[Frost Mage]]+Races!$F$71-6,0) + MAX(Races!$E$71-6,0) )  -  Races!$I$71</f>
        <v>3.9599999999999991</v>
      </c>
      <c r="CT62" s="163">
        <f ca="1">1.8 * MIN(MAX(TblMili[[#This Row],[Ice Elemental]]+Races!$E$71,Races!$F$71),6)  +  0.45 * MIN(MIN(TblMili[[#This Row],[Ice Elemental]]+Races!$E$71,Races!$F$71),6)  +  0.2 * ( MAX(TblMili[[#This Row],[Ice Elemental]]+Races!$E$71-6,0) + MAX(Races!$F$71-6,0) )  -  Races!$I$71</f>
        <v>0.17999999999999972</v>
      </c>
      <c r="CU62" s="97">
        <f ca="1">TblMili[[#This Row],[Frost Mage bonus]]*TblMili[[#This Row],[Unit 3]]+TblMili[[#This Row],[Ice Elemental bonus]]*TblMili[[#This Row],[Unit 4]]</f>
        <v>0</v>
      </c>
      <c r="CV62" s="273"/>
      <c r="CW62" s="151">
        <f ca="1">MIN(SUM(TblConstr[[#This Row],[Plain]:[Water]])/TblMili[[#This Row],[Land]]/favorable_terrain_bonus/100,favorable_terrain_max)</f>
        <v>0.1</v>
      </c>
      <c r="CX62" s="273"/>
      <c r="CY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50"/>
      <c r="DA62" s="274">
        <f ca="1">(TblMili[[#This Row],[Wizards]]+2*TblMili[[#This Row],[Archmages]])/TblConstr[[#This Row],[Land]]</f>
        <v>0.1</v>
      </c>
      <c r="DB62" s="274">
        <f ca="1">TblMili[[#This Row],[Raw (2)]]*(1+race_wizard_strength+IF(TblMili[[#This Row],[Hour]]&gt;72,tech_magical_weaponry_wiz*TblTech[[#This Row],[3-5]],0))</f>
        <v>0.1</v>
      </c>
    </row>
    <row r="63" spans="1:106" x14ac:dyDescent="0.2">
      <c r="A63" s="145">
        <f>TblRezone[[#This Row],[Hour]]</f>
        <v>60</v>
      </c>
      <c r="B63" s="266">
        <f ca="1">SUM(TblMili[[#This Row],[Unit 1]:[Archmages]])+SUM(OFFSET(TblMili[[#This Row],[Train Unit 1]],-8,0):TblMili[[#This Row],[Train Unit 2]]) + SUM(OFFSET(TblMili[[#This Row],[Train Unit 3]],-11,0):TblMili[[#This Row],[Train Arch]]) + TblMili[[#This Row],[Draftees]]</f>
        <v>826</v>
      </c>
      <c r="C63" s="165">
        <f ca="1">TblPop[[#This Row],[Military%]]</f>
        <v>0.35029686174724345</v>
      </c>
      <c r="D63" s="150"/>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f>
        <v>25</v>
      </c>
      <c r="J63" s="45">
        <f ca="1">OFFSET(TblMili[[#This Row],[Wizards]],-1,0) + OFFSET(TblMili[[#This Row],[Train Wiz]],-12,0) - TblMili[[#This Row],[Release Wizards]]-TblMili[[#This Row],[Train Arch]]</f>
        <v>25</v>
      </c>
      <c r="K63" s="45">
        <f ca="1">OFFSET(TblMili[[#This Row],[Archmages]],-1,0) + OFFSET(TblMili[[#This Row],[Train Arch]],-12,0) - TblMili[[#This Row],[Release Arch]]</f>
        <v>0</v>
      </c>
      <c r="L63" s="150"/>
      <c r="M63" s="97">
        <f ca="1">TblProd[[#This Row],[Networth]]</f>
        <v>6450</v>
      </c>
      <c r="N63" s="150"/>
      <c r="O63" s="267">
        <f ca="1">TblMili[[#This Row],[Unit 1]]*spec_op+TblMili[[#This Row],[Unit 3]]*(elite1_base_op)+TblMili[[#This Row],[Unit 4]]*(elite2_base_op+dark_elf*TblMili[[#This Row],[Spellblade]]+icekin*TblMili[[#This Row],[Ice Elemental]]+woodie*TblMili[[#This Row],[Druid (op)]]+orc*TblMili[[#This Row],[Orc]])+kobold*TblMili[[#This Row],[Overlords]]</f>
        <v>0</v>
      </c>
      <c r="P6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3" s="267">
        <f ca="1">TblMili[[#This Row],[Raw]]*(1+TblMili[[#This Row],[Mods_Off]])</f>
        <v>0</v>
      </c>
      <c r="R6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3" s="267">
        <f ca="1">TblMili[[#This Row],[Non Draft]]+TblMili[[#This Row],[Draftees]]</f>
        <v>1076</v>
      </c>
      <c r="T6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269">
        <f ca="1">TblMili[[#This Row],[Non Draft]] * (1 + TblMili[[#This Row],[Mods_Def]])</f>
        <v>450</v>
      </c>
      <c r="V63" s="267">
        <f ca="1">TblMili[[#This Row],[Draft]] * (1 + TblMili[[#This Row],[Mods_Def]])</f>
        <v>1076</v>
      </c>
      <c r="W63" s="267">
        <f ca="1">TblConstr[[#This Row],[Land]]</f>
        <v>250</v>
      </c>
      <c r="X63" s="270"/>
      <c r="Y63" s="275">
        <f ca="1">IF(TblMili[[#This Row],[Set]]&lt;&gt;"",TblMili[[#This Row],[Set]],OFFSET(TblMili[[#This Row],[Draftrate]],-1,0))</f>
        <v>0.35</v>
      </c>
      <c r="Z63" s="97">
        <f ca="1">OFFSET(TblMili[[#This Row],[Draftees]],-1,0)+OFFSET(TblPop[[#This Row],[Draft Growth]],-1,0) - SUM(TblMili[[#This Row],[Train Unit 1]:[Train Wiz]]) - TblMili[[#This Row],[Release Draft]] + SUM(TblMili[[#This Row],[Release Unit 1]:[Release Arch]]) -TblExplore[[#This Row],[Draftees (2)]]</f>
        <v>626</v>
      </c>
      <c r="AA63" s="162"/>
      <c r="AB63" s="188">
        <f ca="1">(TblConstr[[#This Row],[Tot Smi]]+TblConstr[[#This Row],[Dest Smi]])/(TblConstr[[#This Row],[Land]]-TblExplore[[#This Row],[Land Bonus]]*20)</f>
        <v>0</v>
      </c>
      <c r="AC63" s="145"/>
      <c r="AD63" s="266">
        <f>TblMili[[#This Row],[Hour]]</f>
        <v>60</v>
      </c>
      <c r="AE63" s="146">
        <f ca="1">TblExplore[[#This Row],[Time]]</f>
        <v>44813.20833333319</v>
      </c>
      <c r="AF63" s="187"/>
      <c r="AG63" s="187"/>
      <c r="AH63" s="187"/>
      <c r="AI63" s="187"/>
      <c r="AJ63" s="187"/>
      <c r="AK63" s="187"/>
      <c r="AL63" s="187"/>
      <c r="AM63" s="150"/>
      <c r="AN63" s="97">
        <f ca="1">TblProd[[#This Row],[Platinum]]</f>
        <v>424552</v>
      </c>
      <c r="AO63" s="97">
        <f ca="1">INDEX(TblProd[[#Headers],[Lumber]]:TblProd[[#This Row],[Ore]],COUNTA(TblProd[[#Headers],[Lumber]]:TblProd[[#This Row],[Lumber]]),MATCH(Military!$AO$2,TblProd[[#Headers],[Lumber]:[Ore]],0))</f>
        <v>0</v>
      </c>
      <c r="AP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97">
        <f ca="1">TblMili[[#This Row],[Train Unit 1]]*TblMili[[#This Row],[OP Ore]]+TblMili[[#This Row],[Train Unit 2]]*TblMili[[#This Row],[DP Ore]]+TblMili[[#This Row],[Train Unit 3]]*TblMili[[#This Row],[E1 Ore]]+TblMili[[#This Row],[Train Unit 4]]*TblMili[[#This Row],[E2 Ore]]</f>
        <v>0</v>
      </c>
      <c r="AR63" s="150">
        <f>TblMili[[#This Row],[Hour]]</f>
        <v>60</v>
      </c>
      <c r="AS63" s="160">
        <f ca="1">TblMili[[#This Row],[Time]]</f>
        <v>44813.20833333319</v>
      </c>
      <c r="AT63" s="97">
        <f ca="1">TblMili[[#This Row],[Draftees]]</f>
        <v>626</v>
      </c>
      <c r="AU63" s="187"/>
      <c r="AV63" s="187"/>
      <c r="AW63" s="187"/>
      <c r="AX63" s="187"/>
      <c r="AY63" s="187"/>
      <c r="AZ63" s="187"/>
      <c r="BA63" s="187"/>
      <c r="BB63" s="187"/>
      <c r="BC63" s="150"/>
      <c r="BD63" s="165">
        <f ca="1">TblConstr[[#This Row],[Tot WG]]/TblConstr[[#This Row],[Land]]</f>
        <v>0</v>
      </c>
      <c r="BE63" s="165">
        <f ca="1">TblConstr[[#This Row],[Tot Hav]]/TblConstr[[#This Row],[Land]]</f>
        <v>0</v>
      </c>
      <c r="BF63" s="97">
        <f ca="1">ROUNDUP((1-MIN(TblMili[[#This Row],[Smithies]]*smithy_bonus,smithy_bonus_cap) + tech_3_5*TblTech[[#This Row],[3-5]] + tech_5_3*TblTech[[#This Row],[5-3]] + tech_5_5*TblTech[[#This Row],[5-5]])*spec_op_plat,0)</f>
        <v>275</v>
      </c>
      <c r="BG63" s="97">
        <f ca="1">ROUNDUP(IF(race="Gnome",1,(1-MIN(TblMili[[#This Row],[Smithies]]*smithy_bonus,smithy_bonus_cap) + tech_3_5*TblTech[[#This Row],[3-5]] + tech_5_3*TblTech[[#This Row],[5-3]] + tech_5_5*TblTech[[#This Row],[5-5]]))*spec_op_ore,0)</f>
        <v>25</v>
      </c>
      <c r="BH63" s="97">
        <f ca="1">ROUNDUP((1-MIN(TblMili[[#This Row],[Smithies]]*smithy_bonus,smithy_bonus_cap) + tech_3_5*TblTech[[#This Row],[3-5]] + tech_5_3*TblTech[[#This Row],[5-3]] + tech_5_5*TblTech[[#This Row],[5-5]])*spec_dp_plat,0)</f>
        <v>275</v>
      </c>
      <c r="BI63" s="97">
        <f ca="1">ROUNDUP(IF(race="Gnome",1,(1-MIN(TblMili[[#This Row],[Smithies]]*smithy_bonus,smithy_bonus_cap) + tech_3_5*TblTech[[#This Row],[3-5]] + tech_5_3*TblTech[[#This Row],[5-3]] + tech_5_5*TblTech[[#This Row],[5-5]]))*spec_dp_ore,0)</f>
        <v>15</v>
      </c>
      <c r="BJ63" s="97">
        <f ca="1">ROUNDUP((1-MIN(TblMili[[#This Row],[Smithies]]*smithy_bonus,smithy_bonus_cap) + tech_3_5*TblTech[[#This Row],[3-5]] + tech_5_3*TblTech[[#This Row],[5-3]] + tech_5_5*TblTech[[#This Row],[5-5]])*elite1_plat,0)</f>
        <v>1000</v>
      </c>
      <c r="BK63" s="97">
        <f ca="1">ROUNDUP(IF(race="Gnome",1,(1-MIN(TblMili[[#This Row],[Smithies]]*smithy_bonus,smithy_bonus_cap) + tech_3_5*TblTech[[#This Row],[3-5]] + tech_5_3*TblTech[[#This Row],[5-3]] + tech_5_5*TblTech[[#This Row],[5-5]]))*elite1_ore,0)</f>
        <v>75</v>
      </c>
      <c r="BL63" s="97">
        <f ca="1">ROUNDUP((1-MIN(TblMili[[#This Row],[Smithies]]*smithy_bonus,smithy_bonus_cap) + tech_3_5*TblTech[[#This Row],[3-5]] + tech_5_3*TblTech[[#This Row],[5-3]] + tech_5_5*TblTech[[#This Row],[5-5]])*elite2_plat,0)</f>
        <v>1200</v>
      </c>
      <c r="BM63" s="97">
        <f ca="1">ROUNDUP(IF(race="Gnome",1,(1-MIN(TblMili[[#This Row],[Smithies]]*smithy_bonus,smithy_bonus_cap) + tech_3_5*TblTech[[#This Row],[3-5]] + tech_5_3*TblTech[[#This Row],[5-3]] + tech_5_5*TblTech[[#This Row],[5-5]]))*elite2_ore,0)</f>
        <v>100</v>
      </c>
      <c r="BN63" s="97">
        <f ca="1">ROUNDUP((1-MIN(ROUND(fh_spy_cost_red*TblMili[[#This Row],[FH''s]],4),fh_spy_cost_cap)+ tech_1_9*TblTech[[#This Row],[1-9]] + tech_9_1*TblTech[[#This Row],[9-1]])*spy_plat,0)</f>
        <v>500</v>
      </c>
      <c r="BO63" s="97">
        <f ca="1">ROUNDUP((1-MIN(ROUND(wg_wiz_cost_bonus*TblMili[[#This Row],[WG''s]],4),wg_wiz_cost_cap) + tech_1_9_2*TblTech[[#This Row],[1-9]] + tech_9_1_2*TblTech[[#This Row],[9-1]])*wizard_plat,0)</f>
        <v>500</v>
      </c>
      <c r="BP63" s="97">
        <f ca="1">ROUNDUP((1-MIN(ROUND(wg_wiz_cost_bonus*TblMili[[#This Row],[WG''s]],4),wg_wiz_cost_cap) + tech_1_9_2*TblTech[[#This Row],[1-9]] + tech_9_1_2*TblTech[[#This Row],[9-1]])*archmage_plat,0)</f>
        <v>1000</v>
      </c>
      <c r="BQ63" s="150"/>
      <c r="BR63" s="165">
        <f ca="1">TblConstr[[#This Row],[Homeland]]/TblConstr[[#This Row],[Land]]</f>
        <v>0.44</v>
      </c>
      <c r="BS63" s="165">
        <f ca="1">TblMili[[#This Row],[WG''s]]</f>
        <v>0</v>
      </c>
      <c r="BT63" s="271">
        <f ca="1">IF(mystic_cap="none",TblMili[[#This Row],[Hill]]/mystic_bonus,MIN(mystic_cap,TblMili[[#This Row],[Hill]]/mystic_bonus))</f>
        <v>2.1999999999999997</v>
      </c>
      <c r="BU63" s="271">
        <f ca="1">IF(druid_op_cap="none",TblMili[[#This Row],[Hill]]/druid_op_bonus,MIN(druid_op_cap,TblMili[[#This Row],[Hill]]/druid_op_bonus))</f>
        <v>2.1999999999999997</v>
      </c>
      <c r="BV63" s="271">
        <f ca="1">IF(druid_dp_cap="none",TblMili[[#This Row],[Hill]]/druid_dp_bonus,MIN(druid_dp_cap,TblMili[[#This Row],[Hill]]/druid_dp_bonus))</f>
        <v>2.1999999999999997</v>
      </c>
      <c r="BW63" s="271">
        <f ca="1">MIN(dryad_cap,TblMili[[#This Row],[Hill]]/dryad_bonus)</f>
        <v>2.1999999999999997</v>
      </c>
      <c r="BX63" s="271">
        <f ca="1">MIN(rocka_cap,TblMili[[#This Row],[Hill]]/rocka_bonus)</f>
        <v>2</v>
      </c>
      <c r="BY63" s="271">
        <f ca="1">MIN(adept_op_cap,TblMili[[#This Row],[WG]]/adept_op_bonus)</f>
        <v>0</v>
      </c>
      <c r="BZ63" s="271">
        <f ca="1">MIN(adept_dp_cap,TblMili[[#This Row],[WG]]/adept_dp_bonus)</f>
        <v>0</v>
      </c>
      <c r="CA63" s="97">
        <f ca="1">MIN(TblMili[[#This Row],[Unit 3]],TblMili[[#This Row],[Unit 4]])*2</f>
        <v>0</v>
      </c>
      <c r="CB63" s="97">
        <f ca="1">MIN(TblMili[[#This Row],[Unit 1]],TblMili[[#This Row],[Unit 4]])*2</f>
        <v>0</v>
      </c>
      <c r="CC63" s="271">
        <f ca="1">MIN(frost_mage_cap,TblMili[[#This Row],[Hill]]/frost_mage_bonus)</f>
        <v>2.1999999999999997</v>
      </c>
      <c r="CD63" s="45">
        <f ca="1">MIN(ice_elem_cap,TblMili[[#This Row],[Raw (2)]]*ice_elem_bonus)</f>
        <v>0.1</v>
      </c>
      <c r="CE63" s="271">
        <f t="shared" si="2"/>
        <v>1</v>
      </c>
      <c r="CF63" s="271">
        <f ca="1">MIN(nox_nightshade_cap,TblConstr[[#This Row],[Homeland]]/TblConstr[[#This Row],[Land]]/nox_nightshade_swamp_bonus)</f>
        <v>3</v>
      </c>
      <c r="CG63" s="272"/>
      <c r="CH63" s="272"/>
      <c r="CI63" s="272"/>
      <c r="CJ63" s="271">
        <f ca="1">MIN(6,TblMili[[#This Row],[Mystic]]+Races!$F$19)*1.8 +  IF(TblMili[[#This Row],[Mystic]]+Races!$F$19&gt;6,(TblMili[[#This Row],[Mystic]]+Races!$F$19-6)*0.2,0) - Races!$I$19</f>
        <v>3.6399999999999997</v>
      </c>
      <c r="CK6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97">
        <f ca="1">TblMili[[#This Row],[Mystic bonus]]*TblMili[[#This Row],[Unit 3]]+TblMili[[#This Row],[Druid bonus]]*TblMili[[#This Row],[Unit 4]]</f>
        <v>0</v>
      </c>
      <c r="CM63" s="163">
        <f ca="1">MIN(6,TblMili[[#This Row],[Dryad]]+Races!$F$35)*1.8 +  IF(TblMili[[#This Row],[Dryad]]+Races!$F$35&gt;6,(TblMili[[#This Row],[Dryad]]+Races!$F$35-6)*0.2,0) - Races!$I$19</f>
        <v>2.1599999999999993</v>
      </c>
      <c r="CN63" s="97">
        <f ca="1">sylvan*(TblMili[[#This Row],[Mystic bonus]]*TblMili[[#This Row],[Unit 3]])</f>
        <v>0</v>
      </c>
      <c r="CO63" s="163">
        <f ca="1">1.8 * MIN(MAX(Races!$E$27,TblMili[[#This Row],[Rockapult]]+Races!$F$27),6)  +  0.45 * MIN(MIN(Races!$E$27,TblMili[[#This Row],[Rockapult]]+Races!$F$27),6)  +  0.2 * ( MAX(Races!$E$27-6,0) + MAX(TblMili[[#This Row],[Rockapult]]+Races!$F$27-6,0) )  -  Races!$I$20</f>
        <v>5.8500000000000005</v>
      </c>
      <c r="CP63" s="97">
        <f ca="1">gnome*(TblMili[[#This Row],[Rockapult bonus]]*TblMili[[#This Row],[Unit 3]])</f>
        <v>0</v>
      </c>
      <c r="CQ63" s="163">
        <f ca="1">1.8 * MIN(MAX(TblMili[[#This Row],[Spellblade]]+Races!$E$47,TblMili[[#This Row],[Adept-DP]]+Races!$F$47),6)  +  0.45 * MIN(MIN(TblMili[[#This Row],[Spellblade]]+Races!$E$47,TblMili[[#This Row],[Adept-DP]]+Races!$F$47),6)  +  0.2 * ( MAX(TblMili[[#This Row],[Spellblade]]+Races!$E$47-6,0) + MAX(TblMili[[#This Row],[Adept-DP]]+Races!$F$47-6,0) )  -  Races!$I$47</f>
        <v>0</v>
      </c>
      <c r="CR63" s="97">
        <f ca="1">dark_elf*(TblMili[[#This Row],[Adept bonus]]*TblMili[[#This Row],[Unit 3]])</f>
        <v>0</v>
      </c>
      <c r="CS63" s="163">
        <f ca="1">1.8 * MIN(MAX(TblMili[[#This Row],[Frost Mage]]+Races!$F$71,Races!$E$71),6)  +  0.45 * MIN(MIN(TblMili[[#This Row],[Frost Mage]]+Races!$F$71,Races!$E$71),6)  +  0.2 * ( MAX(TblMili[[#This Row],[Frost Mage]]+Races!$F$71-6,0) + MAX(Races!$E$71-6,0) )  -  Races!$I$71</f>
        <v>3.9599999999999991</v>
      </c>
      <c r="CT63" s="163">
        <f ca="1">1.8 * MIN(MAX(TblMili[[#This Row],[Ice Elemental]]+Races!$E$71,Races!$F$71),6)  +  0.45 * MIN(MIN(TblMili[[#This Row],[Ice Elemental]]+Races!$E$71,Races!$F$71),6)  +  0.2 * ( MAX(TblMili[[#This Row],[Ice Elemental]]+Races!$E$71-6,0) + MAX(Races!$F$71-6,0) )  -  Races!$I$71</f>
        <v>0.17999999999999972</v>
      </c>
      <c r="CU63" s="97">
        <f ca="1">TblMili[[#This Row],[Frost Mage bonus]]*TblMili[[#This Row],[Unit 3]]+TblMili[[#This Row],[Ice Elemental bonus]]*TblMili[[#This Row],[Unit 4]]</f>
        <v>0</v>
      </c>
      <c r="CV63" s="273"/>
      <c r="CW63" s="151">
        <f ca="1">MIN(SUM(TblConstr[[#This Row],[Plain]:[Water]])/TblMili[[#This Row],[Land]]/favorable_terrain_bonus/100,favorable_terrain_max)</f>
        <v>0.1</v>
      </c>
      <c r="CX63" s="273"/>
      <c r="CY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50"/>
      <c r="DA63" s="274">
        <f ca="1">(TblMili[[#This Row],[Wizards]]+2*TblMili[[#This Row],[Archmages]])/TblConstr[[#This Row],[Land]]</f>
        <v>0.1</v>
      </c>
      <c r="DB63" s="274">
        <f ca="1">TblMili[[#This Row],[Raw (2)]]*(1+race_wizard_strength+IF(TblMili[[#This Row],[Hour]]&gt;72,tech_magical_weaponry_wiz*TblTech[[#This Row],[3-5]],0))</f>
        <v>0.1</v>
      </c>
    </row>
    <row r="64" spans="1:106" x14ac:dyDescent="0.2">
      <c r="A64" s="145">
        <f>TblRezone[[#This Row],[Hour]]</f>
        <v>61</v>
      </c>
      <c r="B64" s="266">
        <f ca="1">SUM(TblMili[[#This Row],[Unit 1]:[Archmages]])+SUM(OFFSET(TblMili[[#This Row],[Train Unit 1]],-8,0):TblMili[[#This Row],[Train Unit 2]]) + SUM(OFFSET(TblMili[[#This Row],[Train Unit 3]],-11,0):TblMili[[#This Row],[Train Arch]]) + TblMili[[#This Row],[Draftees]]</f>
        <v>826</v>
      </c>
      <c r="C64" s="165">
        <f ca="1">TblPop[[#This Row],[Military%]]</f>
        <v>0.35029686174724345</v>
      </c>
      <c r="D64" s="150"/>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f>
        <v>25</v>
      </c>
      <c r="J64" s="45">
        <f ca="1">OFFSET(TblMili[[#This Row],[Wizards]],-1,0) + OFFSET(TblMili[[#This Row],[Train Wiz]],-12,0) - TblMili[[#This Row],[Release Wizards]]-TblMili[[#This Row],[Train Arch]]</f>
        <v>25</v>
      </c>
      <c r="K64" s="45">
        <f ca="1">OFFSET(TblMili[[#This Row],[Archmages]],-1,0) + OFFSET(TblMili[[#This Row],[Train Arch]],-12,0) - TblMili[[#This Row],[Release Arch]]</f>
        <v>0</v>
      </c>
      <c r="L64" s="150"/>
      <c r="M64" s="97">
        <f ca="1">TblProd[[#This Row],[Networth]]</f>
        <v>6450</v>
      </c>
      <c r="N64" s="150"/>
      <c r="O64" s="267">
        <f ca="1">TblMili[[#This Row],[Unit 1]]*spec_op+TblMili[[#This Row],[Unit 3]]*(elite1_base_op)+TblMili[[#This Row],[Unit 4]]*(elite2_base_op+dark_elf*TblMili[[#This Row],[Spellblade]]+icekin*TblMili[[#This Row],[Ice Elemental]]+woodie*TblMili[[#This Row],[Druid (op)]]+orc*TblMili[[#This Row],[Orc]])+kobold*TblMili[[#This Row],[Overlords]]</f>
        <v>0</v>
      </c>
      <c r="P6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4" s="267">
        <f ca="1">TblMili[[#This Row],[Raw]]*(1+TblMili[[#This Row],[Mods_Off]])</f>
        <v>0</v>
      </c>
      <c r="R6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4" s="267">
        <f ca="1">TblMili[[#This Row],[Non Draft]]+TblMili[[#This Row],[Draftees]]</f>
        <v>1076</v>
      </c>
      <c r="T6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269">
        <f ca="1">TblMili[[#This Row],[Non Draft]] * (1 + TblMili[[#This Row],[Mods_Def]])</f>
        <v>450</v>
      </c>
      <c r="V64" s="267">
        <f ca="1">TblMili[[#This Row],[Draft]] * (1 + TblMili[[#This Row],[Mods_Def]])</f>
        <v>1076</v>
      </c>
      <c r="W64" s="267">
        <f ca="1">TblConstr[[#This Row],[Land]]</f>
        <v>250</v>
      </c>
      <c r="X64" s="270"/>
      <c r="Y64" s="275">
        <f ca="1">IF(TblMili[[#This Row],[Set]]&lt;&gt;"",TblMili[[#This Row],[Set]],OFFSET(TblMili[[#This Row],[Draftrate]],-1,0))</f>
        <v>0.35</v>
      </c>
      <c r="Z64" s="97">
        <f ca="1">OFFSET(TblMili[[#This Row],[Draftees]],-1,0)+OFFSET(TblPop[[#This Row],[Draft Growth]],-1,0) - SUM(TblMili[[#This Row],[Train Unit 1]:[Train Wiz]]) - TblMili[[#This Row],[Release Draft]] + SUM(TblMili[[#This Row],[Release Unit 1]:[Release Arch]]) -TblExplore[[#This Row],[Draftees (2)]]</f>
        <v>626</v>
      </c>
      <c r="AA64" s="162"/>
      <c r="AB64" s="188">
        <f ca="1">(TblConstr[[#This Row],[Tot Smi]]+TblConstr[[#This Row],[Dest Smi]])/(TblConstr[[#This Row],[Land]]-TblExplore[[#This Row],[Land Bonus]]*20)</f>
        <v>0</v>
      </c>
      <c r="AC64" s="266"/>
      <c r="AD64" s="266">
        <f>TblMili[[#This Row],[Hour]]</f>
        <v>61</v>
      </c>
      <c r="AE64" s="146">
        <f ca="1">TblExplore[[#This Row],[Time]]</f>
        <v>44813.249999999854</v>
      </c>
      <c r="AF64" s="187"/>
      <c r="AG64" s="166"/>
      <c r="AH64" s="187"/>
      <c r="AI64" s="166"/>
      <c r="AJ64" s="166"/>
      <c r="AK64" s="166"/>
      <c r="AL64" s="187"/>
      <c r="AM64" s="150"/>
      <c r="AN64" s="97">
        <f ca="1">TblProd[[#This Row],[Platinum]]</f>
        <v>430038</v>
      </c>
      <c r="AO64" s="97">
        <f ca="1">INDEX(TblProd[[#Headers],[Lumber]]:TblProd[[#This Row],[Ore]],COUNTA(TblProd[[#Headers],[Lumber]]:TblProd[[#This Row],[Lumber]]),MATCH(Military!$AO$2,TblProd[[#Headers],[Lumber]:[Ore]],0))</f>
        <v>0</v>
      </c>
      <c r="AP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97">
        <f ca="1">TblMili[[#This Row],[Train Unit 1]]*TblMili[[#This Row],[OP Ore]]+TblMili[[#This Row],[Train Unit 2]]*TblMili[[#This Row],[DP Ore]]+TblMili[[#This Row],[Train Unit 3]]*TblMili[[#This Row],[E1 Ore]]+TblMili[[#This Row],[Train Unit 4]]*TblMili[[#This Row],[E2 Ore]]</f>
        <v>0</v>
      </c>
      <c r="AR64" s="150">
        <f>TblMili[[#This Row],[Hour]]</f>
        <v>61</v>
      </c>
      <c r="AS64" s="160">
        <f ca="1">TblMili[[#This Row],[Time]]</f>
        <v>44813.249999999854</v>
      </c>
      <c r="AT64" s="97">
        <f ca="1">TblMili[[#This Row],[Draftees]]</f>
        <v>626</v>
      </c>
      <c r="AU64" s="187"/>
      <c r="AV64" s="187"/>
      <c r="AW64" s="187"/>
      <c r="AX64" s="187"/>
      <c r="AY64" s="187"/>
      <c r="AZ64" s="187"/>
      <c r="BA64" s="187"/>
      <c r="BB64" s="187"/>
      <c r="BC64" s="150"/>
      <c r="BD64" s="165">
        <f ca="1">TblConstr[[#This Row],[Tot WG]]/TblConstr[[#This Row],[Land]]</f>
        <v>0</v>
      </c>
      <c r="BE64" s="165">
        <f ca="1">TblConstr[[#This Row],[Tot Hav]]/TblConstr[[#This Row],[Land]]</f>
        <v>0</v>
      </c>
      <c r="BF64" s="97">
        <f ca="1">ROUNDUP((1-MIN(TblMili[[#This Row],[Smithies]]*smithy_bonus,smithy_bonus_cap) + tech_3_5*TblTech[[#This Row],[3-5]] + tech_5_3*TblTech[[#This Row],[5-3]] + tech_5_5*TblTech[[#This Row],[5-5]])*spec_op_plat,0)</f>
        <v>275</v>
      </c>
      <c r="BG64" s="97">
        <f ca="1">ROUNDUP(IF(race="Gnome",1,(1-MIN(TblMili[[#This Row],[Smithies]]*smithy_bonus,smithy_bonus_cap) + tech_3_5*TblTech[[#This Row],[3-5]] + tech_5_3*TblTech[[#This Row],[5-3]] + tech_5_5*TblTech[[#This Row],[5-5]]))*spec_op_ore,0)</f>
        <v>25</v>
      </c>
      <c r="BH64" s="97">
        <f ca="1">ROUNDUP((1-MIN(TblMili[[#This Row],[Smithies]]*smithy_bonus,smithy_bonus_cap) + tech_3_5*TblTech[[#This Row],[3-5]] + tech_5_3*TblTech[[#This Row],[5-3]] + tech_5_5*TblTech[[#This Row],[5-5]])*spec_dp_plat,0)</f>
        <v>275</v>
      </c>
      <c r="BI64" s="97">
        <f ca="1">ROUNDUP(IF(race="Gnome",1,(1-MIN(TblMili[[#This Row],[Smithies]]*smithy_bonus,smithy_bonus_cap) + tech_3_5*TblTech[[#This Row],[3-5]] + tech_5_3*TblTech[[#This Row],[5-3]] + tech_5_5*TblTech[[#This Row],[5-5]]))*spec_dp_ore,0)</f>
        <v>15</v>
      </c>
      <c r="BJ64" s="97">
        <f ca="1">ROUNDUP((1-MIN(TblMili[[#This Row],[Smithies]]*smithy_bonus,smithy_bonus_cap) + tech_3_5*TblTech[[#This Row],[3-5]] + tech_5_3*TblTech[[#This Row],[5-3]] + tech_5_5*TblTech[[#This Row],[5-5]])*elite1_plat,0)</f>
        <v>1000</v>
      </c>
      <c r="BK64" s="97">
        <f ca="1">ROUNDUP(IF(race="Gnome",1,(1-MIN(TblMili[[#This Row],[Smithies]]*smithy_bonus,smithy_bonus_cap) + tech_3_5*TblTech[[#This Row],[3-5]] + tech_5_3*TblTech[[#This Row],[5-3]] + tech_5_5*TblTech[[#This Row],[5-5]]))*elite1_ore,0)</f>
        <v>75</v>
      </c>
      <c r="BL64" s="97">
        <f ca="1">ROUNDUP((1-MIN(TblMili[[#This Row],[Smithies]]*smithy_bonus,smithy_bonus_cap) + tech_3_5*TblTech[[#This Row],[3-5]] + tech_5_3*TblTech[[#This Row],[5-3]] + tech_5_5*TblTech[[#This Row],[5-5]])*elite2_plat,0)</f>
        <v>1200</v>
      </c>
      <c r="BM64" s="97">
        <f ca="1">ROUNDUP(IF(race="Gnome",1,(1-MIN(TblMili[[#This Row],[Smithies]]*smithy_bonus,smithy_bonus_cap) + tech_3_5*TblTech[[#This Row],[3-5]] + tech_5_3*TblTech[[#This Row],[5-3]] + tech_5_5*TblTech[[#This Row],[5-5]]))*elite2_ore,0)</f>
        <v>100</v>
      </c>
      <c r="BN64" s="97">
        <f ca="1">ROUNDUP((1-MIN(ROUND(fh_spy_cost_red*TblMili[[#This Row],[FH''s]],4),fh_spy_cost_cap)+ tech_1_9*TblTech[[#This Row],[1-9]] + tech_9_1*TblTech[[#This Row],[9-1]])*spy_plat,0)</f>
        <v>500</v>
      </c>
      <c r="BO64" s="97">
        <f ca="1">ROUNDUP((1-MIN(ROUND(wg_wiz_cost_bonus*TblMili[[#This Row],[WG''s]],4),wg_wiz_cost_cap) + tech_1_9_2*TblTech[[#This Row],[1-9]] + tech_9_1_2*TblTech[[#This Row],[9-1]])*wizard_plat,0)</f>
        <v>500</v>
      </c>
      <c r="BP64" s="97">
        <f ca="1">ROUNDUP((1-MIN(ROUND(wg_wiz_cost_bonus*TblMili[[#This Row],[WG''s]],4),wg_wiz_cost_cap) + tech_1_9_2*TblTech[[#This Row],[1-9]] + tech_9_1_2*TblTech[[#This Row],[9-1]])*archmage_plat,0)</f>
        <v>1000</v>
      </c>
      <c r="BQ64" s="150"/>
      <c r="BR64" s="165">
        <f ca="1">TblConstr[[#This Row],[Homeland]]/TblConstr[[#This Row],[Land]]</f>
        <v>0.44</v>
      </c>
      <c r="BS64" s="165">
        <f ca="1">TblMili[[#This Row],[WG''s]]</f>
        <v>0</v>
      </c>
      <c r="BT64" s="271">
        <f ca="1">IF(mystic_cap="none",TblMili[[#This Row],[Hill]]/mystic_bonus,MIN(mystic_cap,TblMili[[#This Row],[Hill]]/mystic_bonus))</f>
        <v>2.1999999999999997</v>
      </c>
      <c r="BU64" s="271">
        <f ca="1">IF(druid_op_cap="none",TblMili[[#This Row],[Hill]]/druid_op_bonus,MIN(druid_op_cap,TblMili[[#This Row],[Hill]]/druid_op_bonus))</f>
        <v>2.1999999999999997</v>
      </c>
      <c r="BV64" s="271">
        <f ca="1">IF(druid_dp_cap="none",TblMili[[#This Row],[Hill]]/druid_dp_bonus,MIN(druid_dp_cap,TblMili[[#This Row],[Hill]]/druid_dp_bonus))</f>
        <v>2.1999999999999997</v>
      </c>
      <c r="BW64" s="271">
        <f ca="1">MIN(dryad_cap,TblMili[[#This Row],[Hill]]/dryad_bonus)</f>
        <v>2.1999999999999997</v>
      </c>
      <c r="BX64" s="271">
        <f ca="1">MIN(rocka_cap,TblMili[[#This Row],[Hill]]/rocka_bonus)</f>
        <v>2</v>
      </c>
      <c r="BY64" s="271">
        <f ca="1">MIN(adept_op_cap,TblMili[[#This Row],[WG]]/adept_op_bonus)</f>
        <v>0</v>
      </c>
      <c r="BZ64" s="271">
        <f ca="1">MIN(adept_dp_cap,TblMili[[#This Row],[WG]]/adept_dp_bonus)</f>
        <v>0</v>
      </c>
      <c r="CA64" s="97">
        <f ca="1">MIN(TblMili[[#This Row],[Unit 3]],TblMili[[#This Row],[Unit 4]])*2</f>
        <v>0</v>
      </c>
      <c r="CB64" s="97">
        <f ca="1">MIN(TblMili[[#This Row],[Unit 1]],TblMili[[#This Row],[Unit 4]])*2</f>
        <v>0</v>
      </c>
      <c r="CC64" s="271">
        <f ca="1">MIN(frost_mage_cap,TblMili[[#This Row],[Hill]]/frost_mage_bonus)</f>
        <v>2.1999999999999997</v>
      </c>
      <c r="CD64" s="45">
        <f ca="1">MIN(ice_elem_cap,TblMili[[#This Row],[Raw (2)]]*ice_elem_bonus)</f>
        <v>0.1</v>
      </c>
      <c r="CE64" s="271">
        <f t="shared" si="2"/>
        <v>1</v>
      </c>
      <c r="CF64" s="271">
        <f ca="1">MIN(nox_nightshade_cap,TblConstr[[#This Row],[Homeland]]/TblConstr[[#This Row],[Land]]/nox_nightshade_swamp_bonus)</f>
        <v>3</v>
      </c>
      <c r="CG64" s="272"/>
      <c r="CH64" s="272"/>
      <c r="CI64" s="272"/>
      <c r="CJ64" s="271">
        <f ca="1">MIN(6,TblMili[[#This Row],[Mystic]]+Races!$F$19)*1.8 +  IF(TblMili[[#This Row],[Mystic]]+Races!$F$19&gt;6,(TblMili[[#This Row],[Mystic]]+Races!$F$19-6)*0.2,0) - Races!$I$19</f>
        <v>3.6399999999999997</v>
      </c>
      <c r="CK6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97">
        <f ca="1">TblMili[[#This Row],[Mystic bonus]]*TblMili[[#This Row],[Unit 3]]+TblMili[[#This Row],[Druid bonus]]*TblMili[[#This Row],[Unit 4]]</f>
        <v>0</v>
      </c>
      <c r="CM64" s="163">
        <f ca="1">MIN(6,TblMili[[#This Row],[Dryad]]+Races!$F$35)*1.8 +  IF(TblMili[[#This Row],[Dryad]]+Races!$F$35&gt;6,(TblMili[[#This Row],[Dryad]]+Races!$F$35-6)*0.2,0) - Races!$I$19</f>
        <v>2.1599999999999993</v>
      </c>
      <c r="CN64" s="97">
        <f ca="1">sylvan*(TblMili[[#This Row],[Mystic bonus]]*TblMili[[#This Row],[Unit 3]])</f>
        <v>0</v>
      </c>
      <c r="CO64" s="163">
        <f ca="1">1.8 * MIN(MAX(Races!$E$27,TblMili[[#This Row],[Rockapult]]+Races!$F$27),6)  +  0.45 * MIN(MIN(Races!$E$27,TblMili[[#This Row],[Rockapult]]+Races!$F$27),6)  +  0.2 * ( MAX(Races!$E$27-6,0) + MAX(TblMili[[#This Row],[Rockapult]]+Races!$F$27-6,0) )  -  Races!$I$20</f>
        <v>5.8500000000000005</v>
      </c>
      <c r="CP64" s="97">
        <f ca="1">gnome*(TblMili[[#This Row],[Rockapult bonus]]*TblMili[[#This Row],[Unit 3]])</f>
        <v>0</v>
      </c>
      <c r="CQ64" s="163">
        <f ca="1">1.8 * MIN(MAX(TblMili[[#This Row],[Spellblade]]+Races!$E$47,TblMili[[#This Row],[Adept-DP]]+Races!$F$47),6)  +  0.45 * MIN(MIN(TblMili[[#This Row],[Spellblade]]+Races!$E$47,TblMili[[#This Row],[Adept-DP]]+Races!$F$47),6)  +  0.2 * ( MAX(TblMili[[#This Row],[Spellblade]]+Races!$E$47-6,0) + MAX(TblMili[[#This Row],[Adept-DP]]+Races!$F$47-6,0) )  -  Races!$I$47</f>
        <v>0</v>
      </c>
      <c r="CR64" s="97">
        <f ca="1">dark_elf*(TblMili[[#This Row],[Adept bonus]]*TblMili[[#This Row],[Unit 3]])</f>
        <v>0</v>
      </c>
      <c r="CS64" s="163">
        <f ca="1">1.8 * MIN(MAX(TblMili[[#This Row],[Frost Mage]]+Races!$F$71,Races!$E$71),6)  +  0.45 * MIN(MIN(TblMili[[#This Row],[Frost Mage]]+Races!$F$71,Races!$E$71),6)  +  0.2 * ( MAX(TblMili[[#This Row],[Frost Mage]]+Races!$F$71-6,0) + MAX(Races!$E$71-6,0) )  -  Races!$I$71</f>
        <v>3.9599999999999991</v>
      </c>
      <c r="CT64" s="163">
        <f ca="1">1.8 * MIN(MAX(TblMili[[#This Row],[Ice Elemental]]+Races!$E$71,Races!$F$71),6)  +  0.45 * MIN(MIN(TblMili[[#This Row],[Ice Elemental]]+Races!$E$71,Races!$F$71),6)  +  0.2 * ( MAX(TblMili[[#This Row],[Ice Elemental]]+Races!$E$71-6,0) + MAX(Races!$F$71-6,0) )  -  Races!$I$71</f>
        <v>0.17999999999999972</v>
      </c>
      <c r="CU64" s="97">
        <f ca="1">TblMili[[#This Row],[Frost Mage bonus]]*TblMili[[#This Row],[Unit 3]]+TblMili[[#This Row],[Ice Elemental bonus]]*TblMili[[#This Row],[Unit 4]]</f>
        <v>0</v>
      </c>
      <c r="CV64" s="273"/>
      <c r="CW64" s="151">
        <f ca="1">MIN(SUM(TblConstr[[#This Row],[Plain]:[Water]])/TblMili[[#This Row],[Land]]/favorable_terrain_bonus/100,favorable_terrain_max)</f>
        <v>0.1</v>
      </c>
      <c r="CX64" s="273"/>
      <c r="CY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50"/>
      <c r="DA64" s="274">
        <f ca="1">(TblMili[[#This Row],[Wizards]]+2*TblMili[[#This Row],[Archmages]])/TblConstr[[#This Row],[Land]]</f>
        <v>0.1</v>
      </c>
      <c r="DB64" s="274">
        <f ca="1">TblMili[[#This Row],[Raw (2)]]*(1+race_wizard_strength+IF(TblMili[[#This Row],[Hour]]&gt;72,tech_magical_weaponry_wiz*TblTech[[#This Row],[3-5]],0))</f>
        <v>0.1</v>
      </c>
    </row>
    <row r="65" spans="1:106" x14ac:dyDescent="0.2">
      <c r="A65" s="145">
        <f>TblRezone[[#This Row],[Hour]]</f>
        <v>62</v>
      </c>
      <c r="B65" s="266">
        <f ca="1">SUM(TblMili[[#This Row],[Unit 1]:[Archmages]])+SUM(OFFSET(TblMili[[#This Row],[Train Unit 1]],-8,0):TblMili[[#This Row],[Train Unit 2]]) + SUM(OFFSET(TblMili[[#This Row],[Train Unit 3]],-11,0):TblMili[[#This Row],[Train Arch]]) + TblMili[[#This Row],[Draftees]]</f>
        <v>826</v>
      </c>
      <c r="C65" s="165">
        <f ca="1">TblPop[[#This Row],[Military%]]</f>
        <v>0.35029686174724345</v>
      </c>
      <c r="D65" s="150"/>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f>
        <v>25</v>
      </c>
      <c r="J65" s="45">
        <f ca="1">OFFSET(TblMili[[#This Row],[Wizards]],-1,0) + OFFSET(TblMili[[#This Row],[Train Wiz]],-12,0) - TblMili[[#This Row],[Release Wizards]]-TblMili[[#This Row],[Train Arch]]</f>
        <v>25</v>
      </c>
      <c r="K65" s="45">
        <f ca="1">OFFSET(TblMili[[#This Row],[Archmages]],-1,0) + OFFSET(TblMili[[#This Row],[Train Arch]],-12,0) - TblMili[[#This Row],[Release Arch]]</f>
        <v>0</v>
      </c>
      <c r="L65" s="150"/>
      <c r="M65" s="97">
        <f ca="1">TblProd[[#This Row],[Networth]]</f>
        <v>6450</v>
      </c>
      <c r="N65" s="150"/>
      <c r="O65" s="267">
        <f ca="1">TblMili[[#This Row],[Unit 1]]*spec_op+TblMili[[#This Row],[Unit 3]]*(elite1_base_op)+TblMili[[#This Row],[Unit 4]]*(elite2_base_op+dark_elf*TblMili[[#This Row],[Spellblade]]+icekin*TblMili[[#This Row],[Ice Elemental]]+woodie*TblMili[[#This Row],[Druid (op)]]+orc*TblMili[[#This Row],[Orc]])+kobold*TblMili[[#This Row],[Overlords]]</f>
        <v>0</v>
      </c>
      <c r="P6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5" s="267">
        <f ca="1">TblMili[[#This Row],[Raw]]*(1+TblMili[[#This Row],[Mods_Off]])</f>
        <v>0</v>
      </c>
      <c r="R6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5" s="267">
        <f ca="1">TblMili[[#This Row],[Non Draft]]+TblMili[[#This Row],[Draftees]]</f>
        <v>1076</v>
      </c>
      <c r="T6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269">
        <f ca="1">TblMili[[#This Row],[Non Draft]] * (1 + TblMili[[#This Row],[Mods_Def]])</f>
        <v>450</v>
      </c>
      <c r="V65" s="267">
        <f ca="1">TblMili[[#This Row],[Draft]] * (1 + TblMili[[#This Row],[Mods_Def]])</f>
        <v>1076</v>
      </c>
      <c r="W65" s="267">
        <f ca="1">TblConstr[[#This Row],[Land]]</f>
        <v>250</v>
      </c>
      <c r="X65" s="270"/>
      <c r="Y65" s="275">
        <f ca="1">IF(TblMili[[#This Row],[Set]]&lt;&gt;"",TblMili[[#This Row],[Set]],OFFSET(TblMili[[#This Row],[Draftrate]],-1,0))</f>
        <v>0.35</v>
      </c>
      <c r="Z65" s="97">
        <f ca="1">OFFSET(TblMili[[#This Row],[Draftees]],-1,0)+OFFSET(TblPop[[#This Row],[Draft Growth]],-1,0) - SUM(TblMili[[#This Row],[Train Unit 1]:[Train Wiz]]) - TblMili[[#This Row],[Release Draft]] + SUM(TblMili[[#This Row],[Release Unit 1]:[Release Arch]]) -TblExplore[[#This Row],[Draftees (2)]]</f>
        <v>626</v>
      </c>
      <c r="AA65" s="162"/>
      <c r="AB65" s="188">
        <f ca="1">(TblConstr[[#This Row],[Tot Smi]]+TblConstr[[#This Row],[Dest Smi]])/(TblConstr[[#This Row],[Land]]-TblExplore[[#This Row],[Land Bonus]]*20)</f>
        <v>0</v>
      </c>
      <c r="AC65" s="145"/>
      <c r="AD65" s="266">
        <f>TblMili[[#This Row],[Hour]]</f>
        <v>62</v>
      </c>
      <c r="AE65" s="146">
        <f ca="1">TblExplore[[#This Row],[Time]]</f>
        <v>44813.291666666519</v>
      </c>
      <c r="AF65" s="166"/>
      <c r="AG65" s="187"/>
      <c r="AH65" s="187"/>
      <c r="AI65" s="187"/>
      <c r="AJ65" s="187"/>
      <c r="AK65" s="187"/>
      <c r="AL65" s="187"/>
      <c r="AM65" s="150"/>
      <c r="AN65" s="97">
        <f ca="1">TblProd[[#This Row],[Platinum]]</f>
        <v>435524</v>
      </c>
      <c r="AO65" s="97">
        <f ca="1">INDEX(TblProd[[#Headers],[Lumber]]:TblProd[[#This Row],[Ore]],COUNTA(TblProd[[#Headers],[Lumber]]:TblProd[[#This Row],[Lumber]]),MATCH(Military!$AO$2,TblProd[[#Headers],[Lumber]:[Ore]],0))</f>
        <v>0</v>
      </c>
      <c r="AP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97">
        <f ca="1">TblMili[[#This Row],[Train Unit 1]]*TblMili[[#This Row],[OP Ore]]+TblMili[[#This Row],[Train Unit 2]]*TblMili[[#This Row],[DP Ore]]+TblMili[[#This Row],[Train Unit 3]]*TblMili[[#This Row],[E1 Ore]]+TblMili[[#This Row],[Train Unit 4]]*TblMili[[#This Row],[E2 Ore]]</f>
        <v>0</v>
      </c>
      <c r="AR65" s="150">
        <f>TblMili[[#This Row],[Hour]]</f>
        <v>62</v>
      </c>
      <c r="AS65" s="160">
        <f ca="1">TblMili[[#This Row],[Time]]</f>
        <v>44813.291666666519</v>
      </c>
      <c r="AT65" s="97">
        <f ca="1">TblMili[[#This Row],[Draftees]]</f>
        <v>626</v>
      </c>
      <c r="AU65" s="166"/>
      <c r="AV65" s="187"/>
      <c r="AW65" s="187"/>
      <c r="AX65" s="187"/>
      <c r="AY65" s="187"/>
      <c r="AZ65" s="187"/>
      <c r="BA65" s="187"/>
      <c r="BB65" s="187"/>
      <c r="BC65" s="150"/>
      <c r="BD65" s="165">
        <f ca="1">TblConstr[[#This Row],[Tot WG]]/TblConstr[[#This Row],[Land]]</f>
        <v>0</v>
      </c>
      <c r="BE65" s="165">
        <f ca="1">TblConstr[[#This Row],[Tot Hav]]/TblConstr[[#This Row],[Land]]</f>
        <v>0</v>
      </c>
      <c r="BF65" s="97">
        <f ca="1">ROUNDUP((1-MIN(TblMili[[#This Row],[Smithies]]*smithy_bonus,smithy_bonus_cap) + tech_3_5*TblTech[[#This Row],[3-5]] + tech_5_3*TblTech[[#This Row],[5-3]] + tech_5_5*TblTech[[#This Row],[5-5]])*spec_op_plat,0)</f>
        <v>275</v>
      </c>
      <c r="BG65" s="97">
        <f ca="1">ROUNDUP(IF(race="Gnome",1,(1-MIN(TblMili[[#This Row],[Smithies]]*smithy_bonus,smithy_bonus_cap) + tech_3_5*TblTech[[#This Row],[3-5]] + tech_5_3*TblTech[[#This Row],[5-3]] + tech_5_5*TblTech[[#This Row],[5-5]]))*spec_op_ore,0)</f>
        <v>25</v>
      </c>
      <c r="BH65" s="97">
        <f ca="1">ROUNDUP((1-MIN(TblMili[[#This Row],[Smithies]]*smithy_bonus,smithy_bonus_cap) + tech_3_5*TblTech[[#This Row],[3-5]] + tech_5_3*TblTech[[#This Row],[5-3]] + tech_5_5*TblTech[[#This Row],[5-5]])*spec_dp_plat,0)</f>
        <v>275</v>
      </c>
      <c r="BI65" s="97">
        <f ca="1">ROUNDUP(IF(race="Gnome",1,(1-MIN(TblMili[[#This Row],[Smithies]]*smithy_bonus,smithy_bonus_cap) + tech_3_5*TblTech[[#This Row],[3-5]] + tech_5_3*TblTech[[#This Row],[5-3]] + tech_5_5*TblTech[[#This Row],[5-5]]))*spec_dp_ore,0)</f>
        <v>15</v>
      </c>
      <c r="BJ65" s="97">
        <f ca="1">ROUNDUP((1-MIN(TblMili[[#This Row],[Smithies]]*smithy_bonus,smithy_bonus_cap) + tech_3_5*TblTech[[#This Row],[3-5]] + tech_5_3*TblTech[[#This Row],[5-3]] + tech_5_5*TblTech[[#This Row],[5-5]])*elite1_plat,0)</f>
        <v>1000</v>
      </c>
      <c r="BK65" s="97">
        <f ca="1">ROUNDUP(IF(race="Gnome",1,(1-MIN(TblMili[[#This Row],[Smithies]]*smithy_bonus,smithy_bonus_cap) + tech_3_5*TblTech[[#This Row],[3-5]] + tech_5_3*TblTech[[#This Row],[5-3]] + tech_5_5*TblTech[[#This Row],[5-5]]))*elite1_ore,0)</f>
        <v>75</v>
      </c>
      <c r="BL65" s="97">
        <f ca="1">ROUNDUP((1-MIN(TblMili[[#This Row],[Smithies]]*smithy_bonus,smithy_bonus_cap) + tech_3_5*TblTech[[#This Row],[3-5]] + tech_5_3*TblTech[[#This Row],[5-3]] + tech_5_5*TblTech[[#This Row],[5-5]])*elite2_plat,0)</f>
        <v>1200</v>
      </c>
      <c r="BM65" s="97">
        <f ca="1">ROUNDUP(IF(race="Gnome",1,(1-MIN(TblMili[[#This Row],[Smithies]]*smithy_bonus,smithy_bonus_cap) + tech_3_5*TblTech[[#This Row],[3-5]] + tech_5_3*TblTech[[#This Row],[5-3]] + tech_5_5*TblTech[[#This Row],[5-5]]))*elite2_ore,0)</f>
        <v>100</v>
      </c>
      <c r="BN65" s="97">
        <f ca="1">ROUNDUP((1-MIN(ROUND(fh_spy_cost_red*TblMili[[#This Row],[FH''s]],4),fh_spy_cost_cap)+ tech_1_9*TblTech[[#This Row],[1-9]] + tech_9_1*TblTech[[#This Row],[9-1]])*spy_plat,0)</f>
        <v>500</v>
      </c>
      <c r="BO65" s="97">
        <f ca="1">ROUNDUP((1-MIN(ROUND(wg_wiz_cost_bonus*TblMili[[#This Row],[WG''s]],4),wg_wiz_cost_cap) + tech_1_9_2*TblTech[[#This Row],[1-9]] + tech_9_1_2*TblTech[[#This Row],[9-1]])*wizard_plat,0)</f>
        <v>500</v>
      </c>
      <c r="BP65" s="97">
        <f ca="1">ROUNDUP((1-MIN(ROUND(wg_wiz_cost_bonus*TblMili[[#This Row],[WG''s]],4),wg_wiz_cost_cap) + tech_1_9_2*TblTech[[#This Row],[1-9]] + tech_9_1_2*TblTech[[#This Row],[9-1]])*archmage_plat,0)</f>
        <v>1000</v>
      </c>
      <c r="BQ65" s="150"/>
      <c r="BR65" s="165">
        <f ca="1">TblConstr[[#This Row],[Homeland]]/TblConstr[[#This Row],[Land]]</f>
        <v>0.44</v>
      </c>
      <c r="BS65" s="165">
        <f ca="1">TblMili[[#This Row],[WG''s]]</f>
        <v>0</v>
      </c>
      <c r="BT65" s="271">
        <f ca="1">IF(mystic_cap="none",TblMili[[#This Row],[Hill]]/mystic_bonus,MIN(mystic_cap,TblMili[[#This Row],[Hill]]/mystic_bonus))</f>
        <v>2.1999999999999997</v>
      </c>
      <c r="BU65" s="271">
        <f ca="1">IF(druid_op_cap="none",TblMili[[#This Row],[Hill]]/druid_op_bonus,MIN(druid_op_cap,TblMili[[#This Row],[Hill]]/druid_op_bonus))</f>
        <v>2.1999999999999997</v>
      </c>
      <c r="BV65" s="271">
        <f ca="1">IF(druid_dp_cap="none",TblMili[[#This Row],[Hill]]/druid_dp_bonus,MIN(druid_dp_cap,TblMili[[#This Row],[Hill]]/druid_dp_bonus))</f>
        <v>2.1999999999999997</v>
      </c>
      <c r="BW65" s="271">
        <f ca="1">MIN(dryad_cap,TblMili[[#This Row],[Hill]]/dryad_bonus)</f>
        <v>2.1999999999999997</v>
      </c>
      <c r="BX65" s="271">
        <f ca="1">MIN(rocka_cap,TblMili[[#This Row],[Hill]]/rocka_bonus)</f>
        <v>2</v>
      </c>
      <c r="BY65" s="271">
        <f ca="1">MIN(adept_op_cap,TblMili[[#This Row],[WG]]/adept_op_bonus)</f>
        <v>0</v>
      </c>
      <c r="BZ65" s="271">
        <f ca="1">MIN(adept_dp_cap,TblMili[[#This Row],[WG]]/adept_dp_bonus)</f>
        <v>0</v>
      </c>
      <c r="CA65" s="97">
        <f ca="1">MIN(TblMili[[#This Row],[Unit 3]],TblMili[[#This Row],[Unit 4]])*2</f>
        <v>0</v>
      </c>
      <c r="CB65" s="97">
        <f ca="1">MIN(TblMili[[#This Row],[Unit 1]],TblMili[[#This Row],[Unit 4]])*2</f>
        <v>0</v>
      </c>
      <c r="CC65" s="271">
        <f ca="1">MIN(frost_mage_cap,TblMili[[#This Row],[Hill]]/frost_mage_bonus)</f>
        <v>2.1999999999999997</v>
      </c>
      <c r="CD65" s="45">
        <f ca="1">MIN(ice_elem_cap,TblMili[[#This Row],[Raw (2)]]*ice_elem_bonus)</f>
        <v>0.1</v>
      </c>
      <c r="CE65" s="271">
        <f t="shared" si="2"/>
        <v>1</v>
      </c>
      <c r="CF65" s="271">
        <f ca="1">MIN(nox_nightshade_cap,TblConstr[[#This Row],[Homeland]]/TblConstr[[#This Row],[Land]]/nox_nightshade_swamp_bonus)</f>
        <v>3</v>
      </c>
      <c r="CG65" s="272"/>
      <c r="CH65" s="272"/>
      <c r="CI65" s="272"/>
      <c r="CJ65" s="271">
        <f ca="1">MIN(6,TblMili[[#This Row],[Mystic]]+Races!$F$19)*1.8 +  IF(TblMili[[#This Row],[Mystic]]+Races!$F$19&gt;6,(TblMili[[#This Row],[Mystic]]+Races!$F$19-6)*0.2,0) - Races!$I$19</f>
        <v>3.6399999999999997</v>
      </c>
      <c r="CK6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97">
        <f ca="1">TblMili[[#This Row],[Mystic bonus]]*TblMili[[#This Row],[Unit 3]]+TblMili[[#This Row],[Druid bonus]]*TblMili[[#This Row],[Unit 4]]</f>
        <v>0</v>
      </c>
      <c r="CM65" s="163">
        <f ca="1">MIN(6,TblMili[[#This Row],[Dryad]]+Races!$F$35)*1.8 +  IF(TblMili[[#This Row],[Dryad]]+Races!$F$35&gt;6,(TblMili[[#This Row],[Dryad]]+Races!$F$35-6)*0.2,0) - Races!$I$19</f>
        <v>2.1599999999999993</v>
      </c>
      <c r="CN65" s="97">
        <f ca="1">sylvan*(TblMili[[#This Row],[Mystic bonus]]*TblMili[[#This Row],[Unit 3]])</f>
        <v>0</v>
      </c>
      <c r="CO65" s="163">
        <f ca="1">1.8 * MIN(MAX(Races!$E$27,TblMili[[#This Row],[Rockapult]]+Races!$F$27),6)  +  0.45 * MIN(MIN(Races!$E$27,TblMili[[#This Row],[Rockapult]]+Races!$F$27),6)  +  0.2 * ( MAX(Races!$E$27-6,0) + MAX(TblMili[[#This Row],[Rockapult]]+Races!$F$27-6,0) )  -  Races!$I$20</f>
        <v>5.8500000000000005</v>
      </c>
      <c r="CP65" s="97">
        <f ca="1">gnome*(TblMili[[#This Row],[Rockapult bonus]]*TblMili[[#This Row],[Unit 3]])</f>
        <v>0</v>
      </c>
      <c r="CQ65" s="163">
        <f ca="1">1.8 * MIN(MAX(TblMili[[#This Row],[Spellblade]]+Races!$E$47,TblMili[[#This Row],[Adept-DP]]+Races!$F$47),6)  +  0.45 * MIN(MIN(TblMili[[#This Row],[Spellblade]]+Races!$E$47,TblMili[[#This Row],[Adept-DP]]+Races!$F$47),6)  +  0.2 * ( MAX(TblMili[[#This Row],[Spellblade]]+Races!$E$47-6,0) + MAX(TblMili[[#This Row],[Adept-DP]]+Races!$F$47-6,0) )  -  Races!$I$47</f>
        <v>0</v>
      </c>
      <c r="CR65" s="97">
        <f ca="1">dark_elf*(TblMili[[#This Row],[Adept bonus]]*TblMili[[#This Row],[Unit 3]])</f>
        <v>0</v>
      </c>
      <c r="CS65" s="163">
        <f ca="1">1.8 * MIN(MAX(TblMili[[#This Row],[Frost Mage]]+Races!$F$71,Races!$E$71),6)  +  0.45 * MIN(MIN(TblMili[[#This Row],[Frost Mage]]+Races!$F$71,Races!$E$71),6)  +  0.2 * ( MAX(TblMili[[#This Row],[Frost Mage]]+Races!$F$71-6,0) + MAX(Races!$E$71-6,0) )  -  Races!$I$71</f>
        <v>3.9599999999999991</v>
      </c>
      <c r="CT65" s="163">
        <f ca="1">1.8 * MIN(MAX(TblMili[[#This Row],[Ice Elemental]]+Races!$E$71,Races!$F$71),6)  +  0.45 * MIN(MIN(TblMili[[#This Row],[Ice Elemental]]+Races!$E$71,Races!$F$71),6)  +  0.2 * ( MAX(TblMili[[#This Row],[Ice Elemental]]+Races!$E$71-6,0) + MAX(Races!$F$71-6,0) )  -  Races!$I$71</f>
        <v>0.17999999999999972</v>
      </c>
      <c r="CU65" s="97">
        <f ca="1">TblMili[[#This Row],[Frost Mage bonus]]*TblMili[[#This Row],[Unit 3]]+TblMili[[#This Row],[Ice Elemental bonus]]*TblMili[[#This Row],[Unit 4]]</f>
        <v>0</v>
      </c>
      <c r="CV65" s="273"/>
      <c r="CW65" s="151">
        <f ca="1">MIN(SUM(TblConstr[[#This Row],[Plain]:[Water]])/TblMili[[#This Row],[Land]]/favorable_terrain_bonus/100,favorable_terrain_max)</f>
        <v>0.1</v>
      </c>
      <c r="CX65" s="273"/>
      <c r="CY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50"/>
      <c r="DA65" s="274">
        <f ca="1">(TblMili[[#This Row],[Wizards]]+2*TblMili[[#This Row],[Archmages]])/TblConstr[[#This Row],[Land]]</f>
        <v>0.1</v>
      </c>
      <c r="DB65" s="274">
        <f ca="1">TblMili[[#This Row],[Raw (2)]]*(1+race_wizard_strength+IF(TblMili[[#This Row],[Hour]]&gt;72,tech_magical_weaponry_wiz*TblTech[[#This Row],[3-5]],0))</f>
        <v>0.1</v>
      </c>
    </row>
    <row r="66" spans="1:106" x14ac:dyDescent="0.2">
      <c r="A66" s="145">
        <f>TblRezone[[#This Row],[Hour]]</f>
        <v>63</v>
      </c>
      <c r="B66" s="266">
        <f ca="1">SUM(TblMili[[#This Row],[Unit 1]:[Archmages]])+SUM(OFFSET(TblMili[[#This Row],[Train Unit 1]],-8,0):TblMili[[#This Row],[Train Unit 2]]) + SUM(OFFSET(TblMili[[#This Row],[Train Unit 3]],-11,0):TblMili[[#This Row],[Train Arch]]) + TblMili[[#This Row],[Draftees]]</f>
        <v>826</v>
      </c>
      <c r="C66" s="165">
        <f ca="1">TblPop[[#This Row],[Military%]]</f>
        <v>0.35029686174724345</v>
      </c>
      <c r="D66" s="150"/>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f>
        <v>25</v>
      </c>
      <c r="J66" s="45">
        <f ca="1">OFFSET(TblMili[[#This Row],[Wizards]],-1,0) + OFFSET(TblMili[[#This Row],[Train Wiz]],-12,0) - TblMili[[#This Row],[Release Wizards]]-TblMili[[#This Row],[Train Arch]]</f>
        <v>25</v>
      </c>
      <c r="K66" s="45">
        <f ca="1">OFFSET(TblMili[[#This Row],[Archmages]],-1,0) + OFFSET(TblMili[[#This Row],[Train Arch]],-12,0) - TblMili[[#This Row],[Release Arch]]</f>
        <v>0</v>
      </c>
      <c r="L66" s="150"/>
      <c r="M66" s="97">
        <f ca="1">TblProd[[#This Row],[Networth]]</f>
        <v>6450</v>
      </c>
      <c r="N66" s="150"/>
      <c r="O66" s="267">
        <f ca="1">TblMili[[#This Row],[Unit 1]]*spec_op+TblMili[[#This Row],[Unit 3]]*(elite1_base_op)+TblMili[[#This Row],[Unit 4]]*(elite2_base_op+dark_elf*TblMili[[#This Row],[Spellblade]]+icekin*TblMili[[#This Row],[Ice Elemental]]+woodie*TblMili[[#This Row],[Druid (op)]]+orc*TblMili[[#This Row],[Orc]])+kobold*TblMili[[#This Row],[Overlords]]</f>
        <v>0</v>
      </c>
      <c r="P6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6" s="267">
        <f ca="1">TblMili[[#This Row],[Raw]]*(1+TblMili[[#This Row],[Mods_Off]])</f>
        <v>0</v>
      </c>
      <c r="R6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6" s="267">
        <f ca="1">TblMili[[#This Row],[Non Draft]]+TblMili[[#This Row],[Draftees]]</f>
        <v>1076</v>
      </c>
      <c r="T6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269">
        <f ca="1">TblMili[[#This Row],[Non Draft]] * (1 + TblMili[[#This Row],[Mods_Def]])</f>
        <v>450</v>
      </c>
      <c r="V66" s="267">
        <f ca="1">TblMili[[#This Row],[Draft]] * (1 + TblMili[[#This Row],[Mods_Def]])</f>
        <v>1076</v>
      </c>
      <c r="W66" s="267">
        <f ca="1">TblConstr[[#This Row],[Land]]</f>
        <v>250</v>
      </c>
      <c r="X66" s="270"/>
      <c r="Y66" s="275">
        <f ca="1">IF(TblMili[[#This Row],[Set]]&lt;&gt;"",TblMili[[#This Row],[Set]],OFFSET(TblMili[[#This Row],[Draftrate]],-1,0))</f>
        <v>0.35</v>
      </c>
      <c r="Z66" s="97">
        <f ca="1">OFFSET(TblMili[[#This Row],[Draftees]],-1,0)+OFFSET(TblPop[[#This Row],[Draft Growth]],-1,0) - SUM(TblMili[[#This Row],[Train Unit 1]:[Train Wiz]]) - TblMili[[#This Row],[Release Draft]] + SUM(TblMili[[#This Row],[Release Unit 1]:[Release Arch]]) -TblExplore[[#This Row],[Draftees (2)]]</f>
        <v>626</v>
      </c>
      <c r="AA66" s="162"/>
      <c r="AB66" s="188">
        <f ca="1">(TblConstr[[#This Row],[Tot Smi]]+TblConstr[[#This Row],[Dest Smi]])/(TblConstr[[#This Row],[Land]]-TblExplore[[#This Row],[Land Bonus]]*20)</f>
        <v>0</v>
      </c>
      <c r="AC66" s="145"/>
      <c r="AD66" s="266">
        <f>TblMili[[#This Row],[Hour]]</f>
        <v>63</v>
      </c>
      <c r="AE66" s="146">
        <f ca="1">TblExplore[[#This Row],[Time]]</f>
        <v>44813.333333333183</v>
      </c>
      <c r="AF66" s="187"/>
      <c r="AG66" s="187"/>
      <c r="AH66" s="187"/>
      <c r="AI66" s="187"/>
      <c r="AJ66" s="187"/>
      <c r="AK66" s="187"/>
      <c r="AL66" s="187"/>
      <c r="AM66" s="150"/>
      <c r="AN66" s="97">
        <f ca="1">TblProd[[#This Row],[Platinum]]</f>
        <v>441010</v>
      </c>
      <c r="AO66" s="97">
        <f ca="1">INDEX(TblProd[[#Headers],[Lumber]]:TblProd[[#This Row],[Ore]],COUNTA(TblProd[[#Headers],[Lumber]]:TblProd[[#This Row],[Lumber]]),MATCH(Military!$AO$2,TblProd[[#Headers],[Lumber]:[Ore]],0))</f>
        <v>0</v>
      </c>
      <c r="AP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97">
        <f ca="1">TblMili[[#This Row],[Train Unit 1]]*TblMili[[#This Row],[OP Ore]]+TblMili[[#This Row],[Train Unit 2]]*TblMili[[#This Row],[DP Ore]]+TblMili[[#This Row],[Train Unit 3]]*TblMili[[#This Row],[E1 Ore]]+TblMili[[#This Row],[Train Unit 4]]*TblMili[[#This Row],[E2 Ore]]</f>
        <v>0</v>
      </c>
      <c r="AR66" s="150">
        <f>TblMili[[#This Row],[Hour]]</f>
        <v>63</v>
      </c>
      <c r="AS66" s="160">
        <f ca="1">TblMili[[#This Row],[Time]]</f>
        <v>44813.333333333183</v>
      </c>
      <c r="AT66" s="97">
        <f ca="1">TblMili[[#This Row],[Draftees]]</f>
        <v>626</v>
      </c>
      <c r="AU66" s="187"/>
      <c r="AV66" s="187"/>
      <c r="AW66" s="187"/>
      <c r="AX66" s="187"/>
      <c r="AY66" s="187"/>
      <c r="AZ66" s="187"/>
      <c r="BA66" s="187"/>
      <c r="BB66" s="187"/>
      <c r="BC66" s="150"/>
      <c r="BD66" s="165">
        <f ca="1">TblConstr[[#This Row],[Tot WG]]/TblConstr[[#This Row],[Land]]</f>
        <v>0</v>
      </c>
      <c r="BE66" s="165">
        <f ca="1">TblConstr[[#This Row],[Tot Hav]]/TblConstr[[#This Row],[Land]]</f>
        <v>0</v>
      </c>
      <c r="BF66" s="97">
        <f ca="1">ROUNDUP((1-MIN(TblMili[[#This Row],[Smithies]]*smithy_bonus,smithy_bonus_cap) + tech_3_5*TblTech[[#This Row],[3-5]] + tech_5_3*TblTech[[#This Row],[5-3]] + tech_5_5*TblTech[[#This Row],[5-5]])*spec_op_plat,0)</f>
        <v>275</v>
      </c>
      <c r="BG66" s="97">
        <f ca="1">ROUNDUP(IF(race="Gnome",1,(1-MIN(TblMili[[#This Row],[Smithies]]*smithy_bonus,smithy_bonus_cap) + tech_3_5*TblTech[[#This Row],[3-5]] + tech_5_3*TblTech[[#This Row],[5-3]] + tech_5_5*TblTech[[#This Row],[5-5]]))*spec_op_ore,0)</f>
        <v>25</v>
      </c>
      <c r="BH66" s="97">
        <f ca="1">ROUNDUP((1-MIN(TblMili[[#This Row],[Smithies]]*smithy_bonus,smithy_bonus_cap) + tech_3_5*TblTech[[#This Row],[3-5]] + tech_5_3*TblTech[[#This Row],[5-3]] + tech_5_5*TblTech[[#This Row],[5-5]])*spec_dp_plat,0)</f>
        <v>275</v>
      </c>
      <c r="BI66" s="97">
        <f ca="1">ROUNDUP(IF(race="Gnome",1,(1-MIN(TblMili[[#This Row],[Smithies]]*smithy_bonus,smithy_bonus_cap) + tech_3_5*TblTech[[#This Row],[3-5]] + tech_5_3*TblTech[[#This Row],[5-3]] + tech_5_5*TblTech[[#This Row],[5-5]]))*spec_dp_ore,0)</f>
        <v>15</v>
      </c>
      <c r="BJ66" s="97">
        <f ca="1">ROUNDUP((1-MIN(TblMili[[#This Row],[Smithies]]*smithy_bonus,smithy_bonus_cap) + tech_3_5*TblTech[[#This Row],[3-5]] + tech_5_3*TblTech[[#This Row],[5-3]] + tech_5_5*TblTech[[#This Row],[5-5]])*elite1_plat,0)</f>
        <v>1000</v>
      </c>
      <c r="BK66" s="97">
        <f ca="1">ROUNDUP(IF(race="Gnome",1,(1-MIN(TblMili[[#This Row],[Smithies]]*smithy_bonus,smithy_bonus_cap) + tech_3_5*TblTech[[#This Row],[3-5]] + tech_5_3*TblTech[[#This Row],[5-3]] + tech_5_5*TblTech[[#This Row],[5-5]]))*elite1_ore,0)</f>
        <v>75</v>
      </c>
      <c r="BL66" s="97">
        <f ca="1">ROUNDUP((1-MIN(TblMili[[#This Row],[Smithies]]*smithy_bonus,smithy_bonus_cap) + tech_3_5*TblTech[[#This Row],[3-5]] + tech_5_3*TblTech[[#This Row],[5-3]] + tech_5_5*TblTech[[#This Row],[5-5]])*elite2_plat,0)</f>
        <v>1200</v>
      </c>
      <c r="BM66" s="97">
        <f ca="1">ROUNDUP(IF(race="Gnome",1,(1-MIN(TblMili[[#This Row],[Smithies]]*smithy_bonus,smithy_bonus_cap) + tech_3_5*TblTech[[#This Row],[3-5]] + tech_5_3*TblTech[[#This Row],[5-3]] + tech_5_5*TblTech[[#This Row],[5-5]]))*elite2_ore,0)</f>
        <v>100</v>
      </c>
      <c r="BN66" s="97">
        <f ca="1">ROUNDUP((1-MIN(ROUND(fh_spy_cost_red*TblMili[[#This Row],[FH''s]],4),fh_spy_cost_cap)+ tech_1_9*TblTech[[#This Row],[1-9]] + tech_9_1*TblTech[[#This Row],[9-1]])*spy_plat,0)</f>
        <v>500</v>
      </c>
      <c r="BO66" s="97">
        <f ca="1">ROUNDUP((1-MIN(ROUND(wg_wiz_cost_bonus*TblMili[[#This Row],[WG''s]],4),wg_wiz_cost_cap) + tech_1_9_2*TblTech[[#This Row],[1-9]] + tech_9_1_2*TblTech[[#This Row],[9-1]])*wizard_plat,0)</f>
        <v>500</v>
      </c>
      <c r="BP66" s="97">
        <f ca="1">ROUNDUP((1-MIN(ROUND(wg_wiz_cost_bonus*TblMili[[#This Row],[WG''s]],4),wg_wiz_cost_cap) + tech_1_9_2*TblTech[[#This Row],[1-9]] + tech_9_1_2*TblTech[[#This Row],[9-1]])*archmage_plat,0)</f>
        <v>1000</v>
      </c>
      <c r="BQ66" s="150"/>
      <c r="BR66" s="165">
        <f ca="1">TblConstr[[#This Row],[Homeland]]/TblConstr[[#This Row],[Land]]</f>
        <v>0.44</v>
      </c>
      <c r="BS66" s="165">
        <f ca="1">TblMili[[#This Row],[WG''s]]</f>
        <v>0</v>
      </c>
      <c r="BT66" s="271">
        <f ca="1">IF(mystic_cap="none",TblMili[[#This Row],[Hill]]/mystic_bonus,MIN(mystic_cap,TblMili[[#This Row],[Hill]]/mystic_bonus))</f>
        <v>2.1999999999999997</v>
      </c>
      <c r="BU66" s="271">
        <f ca="1">IF(druid_op_cap="none",TblMili[[#This Row],[Hill]]/druid_op_bonus,MIN(druid_op_cap,TblMili[[#This Row],[Hill]]/druid_op_bonus))</f>
        <v>2.1999999999999997</v>
      </c>
      <c r="BV66" s="271">
        <f ca="1">IF(druid_dp_cap="none",TblMili[[#This Row],[Hill]]/druid_dp_bonus,MIN(druid_dp_cap,TblMili[[#This Row],[Hill]]/druid_dp_bonus))</f>
        <v>2.1999999999999997</v>
      </c>
      <c r="BW66" s="271">
        <f ca="1">MIN(dryad_cap,TblMili[[#This Row],[Hill]]/dryad_bonus)</f>
        <v>2.1999999999999997</v>
      </c>
      <c r="BX66" s="271">
        <f ca="1">MIN(rocka_cap,TblMili[[#This Row],[Hill]]/rocka_bonus)</f>
        <v>2</v>
      </c>
      <c r="BY66" s="271">
        <f ca="1">MIN(adept_op_cap,TblMili[[#This Row],[WG]]/adept_op_bonus)</f>
        <v>0</v>
      </c>
      <c r="BZ66" s="271">
        <f ca="1">MIN(adept_dp_cap,TblMili[[#This Row],[WG]]/adept_dp_bonus)</f>
        <v>0</v>
      </c>
      <c r="CA66" s="97">
        <f ca="1">MIN(TblMili[[#This Row],[Unit 3]],TblMili[[#This Row],[Unit 4]])*2</f>
        <v>0</v>
      </c>
      <c r="CB66" s="97">
        <f ca="1">MIN(TblMili[[#This Row],[Unit 1]],TblMili[[#This Row],[Unit 4]])*2</f>
        <v>0</v>
      </c>
      <c r="CC66" s="271">
        <f ca="1">MIN(frost_mage_cap,TblMili[[#This Row],[Hill]]/frost_mage_bonus)</f>
        <v>2.1999999999999997</v>
      </c>
      <c r="CD66" s="45">
        <f ca="1">MIN(ice_elem_cap,TblMili[[#This Row],[Raw (2)]]*ice_elem_bonus)</f>
        <v>0.1</v>
      </c>
      <c r="CE66" s="271">
        <f t="shared" si="2"/>
        <v>1</v>
      </c>
      <c r="CF66" s="271">
        <f ca="1">MIN(nox_nightshade_cap,TblConstr[[#This Row],[Homeland]]/TblConstr[[#This Row],[Land]]/nox_nightshade_swamp_bonus)</f>
        <v>3</v>
      </c>
      <c r="CG66" s="272"/>
      <c r="CH66" s="272"/>
      <c r="CI66" s="272"/>
      <c r="CJ66" s="271">
        <f ca="1">MIN(6,TblMili[[#This Row],[Mystic]]+Races!$F$19)*1.8 +  IF(TblMili[[#This Row],[Mystic]]+Races!$F$19&gt;6,(TblMili[[#This Row],[Mystic]]+Races!$F$19-6)*0.2,0) - Races!$I$19</f>
        <v>3.6399999999999997</v>
      </c>
      <c r="CK6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97">
        <f ca="1">TblMili[[#This Row],[Mystic bonus]]*TblMili[[#This Row],[Unit 3]]+TblMili[[#This Row],[Druid bonus]]*TblMili[[#This Row],[Unit 4]]</f>
        <v>0</v>
      </c>
      <c r="CM66" s="163">
        <f ca="1">MIN(6,TblMili[[#This Row],[Dryad]]+Races!$F$35)*1.8 +  IF(TblMili[[#This Row],[Dryad]]+Races!$F$35&gt;6,(TblMili[[#This Row],[Dryad]]+Races!$F$35-6)*0.2,0) - Races!$I$19</f>
        <v>2.1599999999999993</v>
      </c>
      <c r="CN66" s="97">
        <f ca="1">sylvan*(TblMili[[#This Row],[Mystic bonus]]*TblMili[[#This Row],[Unit 3]])</f>
        <v>0</v>
      </c>
      <c r="CO66" s="163">
        <f ca="1">1.8 * MIN(MAX(Races!$E$27,TblMili[[#This Row],[Rockapult]]+Races!$F$27),6)  +  0.45 * MIN(MIN(Races!$E$27,TblMili[[#This Row],[Rockapult]]+Races!$F$27),6)  +  0.2 * ( MAX(Races!$E$27-6,0) + MAX(TblMili[[#This Row],[Rockapult]]+Races!$F$27-6,0) )  -  Races!$I$20</f>
        <v>5.8500000000000005</v>
      </c>
      <c r="CP66" s="97">
        <f ca="1">gnome*(TblMili[[#This Row],[Rockapult bonus]]*TblMili[[#This Row],[Unit 3]])</f>
        <v>0</v>
      </c>
      <c r="CQ66" s="163">
        <f ca="1">1.8 * MIN(MAX(TblMili[[#This Row],[Spellblade]]+Races!$E$47,TblMili[[#This Row],[Adept-DP]]+Races!$F$47),6)  +  0.45 * MIN(MIN(TblMili[[#This Row],[Spellblade]]+Races!$E$47,TblMili[[#This Row],[Adept-DP]]+Races!$F$47),6)  +  0.2 * ( MAX(TblMili[[#This Row],[Spellblade]]+Races!$E$47-6,0) + MAX(TblMili[[#This Row],[Adept-DP]]+Races!$F$47-6,0) )  -  Races!$I$47</f>
        <v>0</v>
      </c>
      <c r="CR66" s="97">
        <f ca="1">dark_elf*(TblMili[[#This Row],[Adept bonus]]*TblMili[[#This Row],[Unit 3]])</f>
        <v>0</v>
      </c>
      <c r="CS66" s="163">
        <f ca="1">1.8 * MIN(MAX(TblMili[[#This Row],[Frost Mage]]+Races!$F$71,Races!$E$71),6)  +  0.45 * MIN(MIN(TblMili[[#This Row],[Frost Mage]]+Races!$F$71,Races!$E$71),6)  +  0.2 * ( MAX(TblMili[[#This Row],[Frost Mage]]+Races!$F$71-6,0) + MAX(Races!$E$71-6,0) )  -  Races!$I$71</f>
        <v>3.9599999999999991</v>
      </c>
      <c r="CT66" s="163">
        <f ca="1">1.8 * MIN(MAX(TblMili[[#This Row],[Ice Elemental]]+Races!$E$71,Races!$F$71),6)  +  0.45 * MIN(MIN(TblMili[[#This Row],[Ice Elemental]]+Races!$E$71,Races!$F$71),6)  +  0.2 * ( MAX(TblMili[[#This Row],[Ice Elemental]]+Races!$E$71-6,0) + MAX(Races!$F$71-6,0) )  -  Races!$I$71</f>
        <v>0.17999999999999972</v>
      </c>
      <c r="CU66" s="97">
        <f ca="1">TblMili[[#This Row],[Frost Mage bonus]]*TblMili[[#This Row],[Unit 3]]+TblMili[[#This Row],[Ice Elemental bonus]]*TblMili[[#This Row],[Unit 4]]</f>
        <v>0</v>
      </c>
      <c r="CV66" s="273"/>
      <c r="CW66" s="151">
        <f ca="1">MIN(SUM(TblConstr[[#This Row],[Plain]:[Water]])/TblMili[[#This Row],[Land]]/favorable_terrain_bonus/100,favorable_terrain_max)</f>
        <v>0.1</v>
      </c>
      <c r="CX66" s="273"/>
      <c r="CY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50"/>
      <c r="DA66" s="274">
        <f ca="1">(TblMili[[#This Row],[Wizards]]+2*TblMili[[#This Row],[Archmages]])/TblConstr[[#This Row],[Land]]</f>
        <v>0.1</v>
      </c>
      <c r="DB66" s="274">
        <f ca="1">TblMili[[#This Row],[Raw (2)]]*(1+race_wizard_strength+IF(TblMili[[#This Row],[Hour]]&gt;72,tech_magical_weaponry_wiz*TblTech[[#This Row],[3-5]],0))</f>
        <v>0.1</v>
      </c>
    </row>
    <row r="67" spans="1:106" x14ac:dyDescent="0.2">
      <c r="A67" s="145">
        <f>TblRezone[[#This Row],[Hour]]</f>
        <v>64</v>
      </c>
      <c r="B67" s="266">
        <f ca="1">SUM(TblMili[[#This Row],[Unit 1]:[Archmages]])+SUM(OFFSET(TblMili[[#This Row],[Train Unit 1]],-8,0):TblMili[[#This Row],[Train Unit 2]]) + SUM(OFFSET(TblMili[[#This Row],[Train Unit 3]],-11,0):TblMili[[#This Row],[Train Arch]]) + TblMili[[#This Row],[Draftees]]</f>
        <v>826</v>
      </c>
      <c r="C67" s="165">
        <f ca="1">TblPop[[#This Row],[Military%]]</f>
        <v>0.35029686174724345</v>
      </c>
      <c r="D67" s="150"/>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f>
        <v>25</v>
      </c>
      <c r="J67" s="45">
        <f ca="1">OFFSET(TblMili[[#This Row],[Wizards]],-1,0) + OFFSET(TblMili[[#This Row],[Train Wiz]],-12,0) - TblMili[[#This Row],[Release Wizards]]-TblMili[[#This Row],[Train Arch]]</f>
        <v>25</v>
      </c>
      <c r="K67" s="45">
        <f ca="1">OFFSET(TblMili[[#This Row],[Archmages]],-1,0) + OFFSET(TblMili[[#This Row],[Train Arch]],-12,0) - TblMili[[#This Row],[Release Arch]]</f>
        <v>0</v>
      </c>
      <c r="L67" s="150"/>
      <c r="M67" s="97">
        <f ca="1">TblProd[[#This Row],[Networth]]</f>
        <v>6450</v>
      </c>
      <c r="N67" s="150"/>
      <c r="O67" s="267">
        <f ca="1">TblMili[[#This Row],[Unit 1]]*spec_op+TblMili[[#This Row],[Unit 3]]*(elite1_base_op)+TblMili[[#This Row],[Unit 4]]*(elite2_base_op+dark_elf*TblMili[[#This Row],[Spellblade]]+icekin*TblMili[[#This Row],[Ice Elemental]]+woodie*TblMili[[#This Row],[Druid (op)]]+orc*TblMili[[#This Row],[Orc]])+kobold*TblMili[[#This Row],[Overlords]]</f>
        <v>0</v>
      </c>
      <c r="P6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7" s="267">
        <f ca="1">TblMili[[#This Row],[Raw]]*(1+TblMili[[#This Row],[Mods_Off]])</f>
        <v>0</v>
      </c>
      <c r="R6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7" s="267">
        <f ca="1">TblMili[[#This Row],[Non Draft]]+TblMili[[#This Row],[Draftees]]</f>
        <v>1076</v>
      </c>
      <c r="T6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269">
        <f ca="1">TblMili[[#This Row],[Non Draft]] * (1 + TblMili[[#This Row],[Mods_Def]])</f>
        <v>450</v>
      </c>
      <c r="V67" s="267">
        <f ca="1">TblMili[[#This Row],[Draft]] * (1 + TblMili[[#This Row],[Mods_Def]])</f>
        <v>1076</v>
      </c>
      <c r="W67" s="267">
        <f ca="1">TblConstr[[#This Row],[Land]]</f>
        <v>250</v>
      </c>
      <c r="X67" s="270"/>
      <c r="Y67" s="275">
        <f ca="1">IF(TblMili[[#This Row],[Set]]&lt;&gt;"",TblMili[[#This Row],[Set]],OFFSET(TblMili[[#This Row],[Draftrate]],-1,0))</f>
        <v>0.35</v>
      </c>
      <c r="Z67" s="97">
        <f ca="1">OFFSET(TblMili[[#This Row],[Draftees]],-1,0)+OFFSET(TblPop[[#This Row],[Draft Growth]],-1,0) - SUM(TblMili[[#This Row],[Train Unit 1]:[Train Wiz]]) - TblMili[[#This Row],[Release Draft]] + SUM(TblMili[[#This Row],[Release Unit 1]:[Release Arch]]) -TblExplore[[#This Row],[Draftees (2)]]</f>
        <v>626</v>
      </c>
      <c r="AA67" s="162"/>
      <c r="AB67" s="188">
        <f ca="1">(TblConstr[[#This Row],[Tot Smi]]+TblConstr[[#This Row],[Dest Smi]])/(TblConstr[[#This Row],[Land]]-TblExplore[[#This Row],[Land Bonus]]*20)</f>
        <v>0</v>
      </c>
      <c r="AC67" s="145"/>
      <c r="AD67" s="266">
        <f>TblMili[[#This Row],[Hour]]</f>
        <v>64</v>
      </c>
      <c r="AE67" s="146">
        <f ca="1">TblExplore[[#This Row],[Time]]</f>
        <v>44813.374999999847</v>
      </c>
      <c r="AF67" s="166"/>
      <c r="AG67" s="166"/>
      <c r="AH67" s="187"/>
      <c r="AI67" s="187"/>
      <c r="AJ67" s="187"/>
      <c r="AK67" s="187"/>
      <c r="AL67" s="187"/>
      <c r="AM67" s="150"/>
      <c r="AN67" s="97">
        <f ca="1">TblProd[[#This Row],[Platinum]]</f>
        <v>446496</v>
      </c>
      <c r="AO67" s="97">
        <f ca="1">INDEX(TblProd[[#Headers],[Lumber]]:TblProd[[#This Row],[Ore]],COUNTA(TblProd[[#Headers],[Lumber]]:TblProd[[#This Row],[Lumber]]),MATCH(Military!$AO$2,TblProd[[#Headers],[Lumber]:[Ore]],0))</f>
        <v>0</v>
      </c>
      <c r="AP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97">
        <f ca="1">TblMili[[#This Row],[Train Unit 1]]*TblMili[[#This Row],[OP Ore]]+TblMili[[#This Row],[Train Unit 2]]*TblMili[[#This Row],[DP Ore]]+TblMili[[#This Row],[Train Unit 3]]*TblMili[[#This Row],[E1 Ore]]+TblMili[[#This Row],[Train Unit 4]]*TblMili[[#This Row],[E2 Ore]]</f>
        <v>0</v>
      </c>
      <c r="AR67" s="150">
        <f>TblMili[[#This Row],[Hour]]</f>
        <v>64</v>
      </c>
      <c r="AS67" s="160">
        <f ca="1">TblMili[[#This Row],[Time]]</f>
        <v>44813.374999999847</v>
      </c>
      <c r="AT67" s="97">
        <f ca="1">TblMili[[#This Row],[Draftees]]</f>
        <v>626</v>
      </c>
      <c r="AU67" s="187"/>
      <c r="AV67" s="187"/>
      <c r="AW67" s="187"/>
      <c r="AX67" s="187"/>
      <c r="AY67" s="187"/>
      <c r="AZ67" s="187"/>
      <c r="BA67" s="187"/>
      <c r="BB67" s="187"/>
      <c r="BC67" s="150"/>
      <c r="BD67" s="165">
        <f ca="1">TblConstr[[#This Row],[Tot WG]]/TblConstr[[#This Row],[Land]]</f>
        <v>0</v>
      </c>
      <c r="BE67" s="165">
        <f ca="1">TblConstr[[#This Row],[Tot Hav]]/TblConstr[[#This Row],[Land]]</f>
        <v>0</v>
      </c>
      <c r="BF67" s="97">
        <f ca="1">ROUNDUP((1-MIN(TblMili[[#This Row],[Smithies]]*smithy_bonus,smithy_bonus_cap) + tech_3_5*TblTech[[#This Row],[3-5]] + tech_5_3*TblTech[[#This Row],[5-3]] + tech_5_5*TblTech[[#This Row],[5-5]])*spec_op_plat,0)</f>
        <v>275</v>
      </c>
      <c r="BG67" s="97">
        <f ca="1">ROUNDUP(IF(race="Gnome",1,(1-MIN(TblMili[[#This Row],[Smithies]]*smithy_bonus,smithy_bonus_cap) + tech_3_5*TblTech[[#This Row],[3-5]] + tech_5_3*TblTech[[#This Row],[5-3]] + tech_5_5*TblTech[[#This Row],[5-5]]))*spec_op_ore,0)</f>
        <v>25</v>
      </c>
      <c r="BH67" s="97">
        <f ca="1">ROUNDUP((1-MIN(TblMili[[#This Row],[Smithies]]*smithy_bonus,smithy_bonus_cap) + tech_3_5*TblTech[[#This Row],[3-5]] + tech_5_3*TblTech[[#This Row],[5-3]] + tech_5_5*TblTech[[#This Row],[5-5]])*spec_dp_plat,0)</f>
        <v>275</v>
      </c>
      <c r="BI67" s="97">
        <f ca="1">ROUNDUP(IF(race="Gnome",1,(1-MIN(TblMili[[#This Row],[Smithies]]*smithy_bonus,smithy_bonus_cap) + tech_3_5*TblTech[[#This Row],[3-5]] + tech_5_3*TblTech[[#This Row],[5-3]] + tech_5_5*TblTech[[#This Row],[5-5]]))*spec_dp_ore,0)</f>
        <v>15</v>
      </c>
      <c r="BJ67" s="97">
        <f ca="1">ROUNDUP((1-MIN(TblMili[[#This Row],[Smithies]]*smithy_bonus,smithy_bonus_cap) + tech_3_5*TblTech[[#This Row],[3-5]] + tech_5_3*TblTech[[#This Row],[5-3]] + tech_5_5*TblTech[[#This Row],[5-5]])*elite1_plat,0)</f>
        <v>1000</v>
      </c>
      <c r="BK67" s="97">
        <f ca="1">ROUNDUP(IF(race="Gnome",1,(1-MIN(TblMili[[#This Row],[Smithies]]*smithy_bonus,smithy_bonus_cap) + tech_3_5*TblTech[[#This Row],[3-5]] + tech_5_3*TblTech[[#This Row],[5-3]] + tech_5_5*TblTech[[#This Row],[5-5]]))*elite1_ore,0)</f>
        <v>75</v>
      </c>
      <c r="BL67" s="97">
        <f ca="1">ROUNDUP((1-MIN(TblMili[[#This Row],[Smithies]]*smithy_bonus,smithy_bonus_cap) + tech_3_5*TblTech[[#This Row],[3-5]] + tech_5_3*TblTech[[#This Row],[5-3]] + tech_5_5*TblTech[[#This Row],[5-5]])*elite2_plat,0)</f>
        <v>1200</v>
      </c>
      <c r="BM67" s="97">
        <f ca="1">ROUNDUP(IF(race="Gnome",1,(1-MIN(TblMili[[#This Row],[Smithies]]*smithy_bonus,smithy_bonus_cap) + tech_3_5*TblTech[[#This Row],[3-5]] + tech_5_3*TblTech[[#This Row],[5-3]] + tech_5_5*TblTech[[#This Row],[5-5]]))*elite2_ore,0)</f>
        <v>100</v>
      </c>
      <c r="BN67" s="97">
        <f ca="1">ROUNDUP((1-MIN(ROUND(fh_spy_cost_red*TblMili[[#This Row],[FH''s]],4),fh_spy_cost_cap)+ tech_1_9*TblTech[[#This Row],[1-9]] + tech_9_1*TblTech[[#This Row],[9-1]])*spy_plat,0)</f>
        <v>500</v>
      </c>
      <c r="BO67" s="97">
        <f ca="1">ROUNDUP((1-MIN(ROUND(wg_wiz_cost_bonus*TblMili[[#This Row],[WG''s]],4),wg_wiz_cost_cap) + tech_1_9_2*TblTech[[#This Row],[1-9]] + tech_9_1_2*TblTech[[#This Row],[9-1]])*wizard_plat,0)</f>
        <v>500</v>
      </c>
      <c r="BP67" s="97">
        <f ca="1">ROUNDUP((1-MIN(ROUND(wg_wiz_cost_bonus*TblMili[[#This Row],[WG''s]],4),wg_wiz_cost_cap) + tech_1_9_2*TblTech[[#This Row],[1-9]] + tech_9_1_2*TblTech[[#This Row],[9-1]])*archmage_plat,0)</f>
        <v>1000</v>
      </c>
      <c r="BQ67" s="150"/>
      <c r="BR67" s="165">
        <f ca="1">TblConstr[[#This Row],[Homeland]]/TblConstr[[#This Row],[Land]]</f>
        <v>0.44</v>
      </c>
      <c r="BS67" s="165">
        <f ca="1">TblMili[[#This Row],[WG''s]]</f>
        <v>0</v>
      </c>
      <c r="BT67" s="271">
        <f ca="1">IF(mystic_cap="none",TblMili[[#This Row],[Hill]]/mystic_bonus,MIN(mystic_cap,TblMili[[#This Row],[Hill]]/mystic_bonus))</f>
        <v>2.1999999999999997</v>
      </c>
      <c r="BU67" s="271">
        <f ca="1">IF(druid_op_cap="none",TblMili[[#This Row],[Hill]]/druid_op_bonus,MIN(druid_op_cap,TblMili[[#This Row],[Hill]]/druid_op_bonus))</f>
        <v>2.1999999999999997</v>
      </c>
      <c r="BV67" s="271">
        <f ca="1">IF(druid_dp_cap="none",TblMili[[#This Row],[Hill]]/druid_dp_bonus,MIN(druid_dp_cap,TblMili[[#This Row],[Hill]]/druid_dp_bonus))</f>
        <v>2.1999999999999997</v>
      </c>
      <c r="BW67" s="271">
        <f ca="1">MIN(dryad_cap,TblMili[[#This Row],[Hill]]/dryad_bonus)</f>
        <v>2.1999999999999997</v>
      </c>
      <c r="BX67" s="271">
        <f ca="1">MIN(rocka_cap,TblMili[[#This Row],[Hill]]/rocka_bonus)</f>
        <v>2</v>
      </c>
      <c r="BY67" s="271">
        <f ca="1">MIN(adept_op_cap,TblMili[[#This Row],[WG]]/adept_op_bonus)</f>
        <v>0</v>
      </c>
      <c r="BZ67" s="271">
        <f ca="1">MIN(adept_dp_cap,TblMili[[#This Row],[WG]]/adept_dp_bonus)</f>
        <v>0</v>
      </c>
      <c r="CA67" s="97">
        <f ca="1">MIN(TblMili[[#This Row],[Unit 3]],TblMili[[#This Row],[Unit 4]])*2</f>
        <v>0</v>
      </c>
      <c r="CB67" s="97">
        <f ca="1">MIN(TblMili[[#This Row],[Unit 1]],TblMili[[#This Row],[Unit 4]])*2</f>
        <v>0</v>
      </c>
      <c r="CC67" s="271">
        <f ca="1">MIN(frost_mage_cap,TblMili[[#This Row],[Hill]]/frost_mage_bonus)</f>
        <v>2.1999999999999997</v>
      </c>
      <c r="CD67" s="45">
        <f ca="1">MIN(ice_elem_cap,TblMili[[#This Row],[Raw (2)]]*ice_elem_bonus)</f>
        <v>0.1</v>
      </c>
      <c r="CE67" s="271">
        <f t="shared" si="2"/>
        <v>1</v>
      </c>
      <c r="CF67" s="271">
        <f ca="1">MIN(nox_nightshade_cap,TblConstr[[#This Row],[Homeland]]/TblConstr[[#This Row],[Land]]/nox_nightshade_swamp_bonus)</f>
        <v>3</v>
      </c>
      <c r="CG67" s="272"/>
      <c r="CH67" s="272"/>
      <c r="CI67" s="272"/>
      <c r="CJ67" s="271">
        <f ca="1">MIN(6,TblMili[[#This Row],[Mystic]]+Races!$F$19)*1.8 +  IF(TblMili[[#This Row],[Mystic]]+Races!$F$19&gt;6,(TblMili[[#This Row],[Mystic]]+Races!$F$19-6)*0.2,0) - Races!$I$19</f>
        <v>3.6399999999999997</v>
      </c>
      <c r="CK6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97">
        <f ca="1">TblMili[[#This Row],[Mystic bonus]]*TblMili[[#This Row],[Unit 3]]+TblMili[[#This Row],[Druid bonus]]*TblMili[[#This Row],[Unit 4]]</f>
        <v>0</v>
      </c>
      <c r="CM67" s="163">
        <f ca="1">MIN(6,TblMili[[#This Row],[Dryad]]+Races!$F$35)*1.8 +  IF(TblMili[[#This Row],[Dryad]]+Races!$F$35&gt;6,(TblMili[[#This Row],[Dryad]]+Races!$F$35-6)*0.2,0) - Races!$I$19</f>
        <v>2.1599999999999993</v>
      </c>
      <c r="CN67" s="97">
        <f ca="1">sylvan*(TblMili[[#This Row],[Mystic bonus]]*TblMili[[#This Row],[Unit 3]])</f>
        <v>0</v>
      </c>
      <c r="CO67" s="163">
        <f ca="1">1.8 * MIN(MAX(Races!$E$27,TblMili[[#This Row],[Rockapult]]+Races!$F$27),6)  +  0.45 * MIN(MIN(Races!$E$27,TblMili[[#This Row],[Rockapult]]+Races!$F$27),6)  +  0.2 * ( MAX(Races!$E$27-6,0) + MAX(TblMili[[#This Row],[Rockapult]]+Races!$F$27-6,0) )  -  Races!$I$20</f>
        <v>5.8500000000000005</v>
      </c>
      <c r="CP67" s="97">
        <f ca="1">gnome*(TblMili[[#This Row],[Rockapult bonus]]*TblMili[[#This Row],[Unit 3]])</f>
        <v>0</v>
      </c>
      <c r="CQ67" s="163">
        <f ca="1">1.8 * MIN(MAX(TblMili[[#This Row],[Spellblade]]+Races!$E$47,TblMili[[#This Row],[Adept-DP]]+Races!$F$47),6)  +  0.45 * MIN(MIN(TblMili[[#This Row],[Spellblade]]+Races!$E$47,TblMili[[#This Row],[Adept-DP]]+Races!$F$47),6)  +  0.2 * ( MAX(TblMili[[#This Row],[Spellblade]]+Races!$E$47-6,0) + MAX(TblMili[[#This Row],[Adept-DP]]+Races!$F$47-6,0) )  -  Races!$I$47</f>
        <v>0</v>
      </c>
      <c r="CR67" s="97">
        <f ca="1">dark_elf*(TblMili[[#This Row],[Adept bonus]]*TblMili[[#This Row],[Unit 3]])</f>
        <v>0</v>
      </c>
      <c r="CS67" s="163">
        <f ca="1">1.8 * MIN(MAX(TblMili[[#This Row],[Frost Mage]]+Races!$F$71,Races!$E$71),6)  +  0.45 * MIN(MIN(TblMili[[#This Row],[Frost Mage]]+Races!$F$71,Races!$E$71),6)  +  0.2 * ( MAX(TblMili[[#This Row],[Frost Mage]]+Races!$F$71-6,0) + MAX(Races!$E$71-6,0) )  -  Races!$I$71</f>
        <v>3.9599999999999991</v>
      </c>
      <c r="CT67" s="163">
        <f ca="1">1.8 * MIN(MAX(TblMili[[#This Row],[Ice Elemental]]+Races!$E$71,Races!$F$71),6)  +  0.45 * MIN(MIN(TblMili[[#This Row],[Ice Elemental]]+Races!$E$71,Races!$F$71),6)  +  0.2 * ( MAX(TblMili[[#This Row],[Ice Elemental]]+Races!$E$71-6,0) + MAX(Races!$F$71-6,0) )  -  Races!$I$71</f>
        <v>0.17999999999999972</v>
      </c>
      <c r="CU67" s="97">
        <f ca="1">TblMili[[#This Row],[Frost Mage bonus]]*TblMili[[#This Row],[Unit 3]]+TblMili[[#This Row],[Ice Elemental bonus]]*TblMili[[#This Row],[Unit 4]]</f>
        <v>0</v>
      </c>
      <c r="CV67" s="273"/>
      <c r="CW67" s="151">
        <f ca="1">MIN(SUM(TblConstr[[#This Row],[Plain]:[Water]])/TblMili[[#This Row],[Land]]/favorable_terrain_bonus/100,favorable_terrain_max)</f>
        <v>0.1</v>
      </c>
      <c r="CX67" s="273"/>
      <c r="CY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50"/>
      <c r="DA67" s="274">
        <f ca="1">(TblMili[[#This Row],[Wizards]]+2*TblMili[[#This Row],[Archmages]])/TblConstr[[#This Row],[Land]]</f>
        <v>0.1</v>
      </c>
      <c r="DB67" s="274">
        <f ca="1">TblMili[[#This Row],[Raw (2)]]*(1+race_wizard_strength+IF(TblMili[[#This Row],[Hour]]&gt;72,tech_magical_weaponry_wiz*TblTech[[#This Row],[3-5]],0))</f>
        <v>0.1</v>
      </c>
    </row>
    <row r="68" spans="1:106" x14ac:dyDescent="0.2">
      <c r="A68" s="145">
        <f>TblRezone[[#This Row],[Hour]]</f>
        <v>65</v>
      </c>
      <c r="B68" s="266">
        <f ca="1">SUM(TblMili[[#This Row],[Unit 1]:[Archmages]])+SUM(OFFSET(TblMili[[#This Row],[Train Unit 1]],-8,0):TblMili[[#This Row],[Train Unit 2]]) + SUM(OFFSET(TblMili[[#This Row],[Train Unit 3]],-11,0):TblMili[[#This Row],[Train Arch]]) + TblMili[[#This Row],[Draftees]]</f>
        <v>826</v>
      </c>
      <c r="C68" s="165">
        <f ca="1">TblPop[[#This Row],[Military%]]</f>
        <v>0.35029686174724345</v>
      </c>
      <c r="D68" s="150"/>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f>
        <v>25</v>
      </c>
      <c r="J68" s="45">
        <f ca="1">OFFSET(TblMili[[#This Row],[Wizards]],-1,0) + OFFSET(TblMili[[#This Row],[Train Wiz]],-12,0) - TblMili[[#This Row],[Release Wizards]]-TblMili[[#This Row],[Train Arch]]</f>
        <v>25</v>
      </c>
      <c r="K68" s="45">
        <f ca="1">OFFSET(TblMili[[#This Row],[Archmages]],-1,0) + OFFSET(TblMili[[#This Row],[Train Arch]],-12,0) - TblMili[[#This Row],[Release Arch]]</f>
        <v>0</v>
      </c>
      <c r="L68" s="150"/>
      <c r="M68" s="97">
        <f ca="1">TblProd[[#This Row],[Networth]]</f>
        <v>6450</v>
      </c>
      <c r="N68" s="150"/>
      <c r="O68" s="267">
        <f ca="1">TblMili[[#This Row],[Unit 1]]*spec_op+TblMili[[#This Row],[Unit 3]]*(elite1_base_op)+TblMili[[#This Row],[Unit 4]]*(elite2_base_op+dark_elf*TblMili[[#This Row],[Spellblade]]+icekin*TblMili[[#This Row],[Ice Elemental]]+woodie*TblMili[[#This Row],[Druid (op)]]+orc*TblMili[[#This Row],[Orc]])+kobold*TblMili[[#This Row],[Overlords]]</f>
        <v>0</v>
      </c>
      <c r="P6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8" s="267">
        <f ca="1">TblMili[[#This Row],[Raw]]*(1+TblMili[[#This Row],[Mods_Off]])</f>
        <v>0</v>
      </c>
      <c r="R6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8" s="267">
        <f ca="1">TblMili[[#This Row],[Non Draft]]+TblMili[[#This Row],[Draftees]]</f>
        <v>1076</v>
      </c>
      <c r="T6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269">
        <f ca="1">TblMili[[#This Row],[Non Draft]] * (1 + TblMili[[#This Row],[Mods_Def]])</f>
        <v>450</v>
      </c>
      <c r="V68" s="267">
        <f ca="1">TblMili[[#This Row],[Draft]] * (1 + TblMili[[#This Row],[Mods_Def]])</f>
        <v>1076</v>
      </c>
      <c r="W68" s="267">
        <f ca="1">TblConstr[[#This Row],[Land]]</f>
        <v>250</v>
      </c>
      <c r="X68" s="270"/>
      <c r="Y68" s="275">
        <f ca="1">IF(TblMili[[#This Row],[Set]]&lt;&gt;"",TblMili[[#This Row],[Set]],OFFSET(TblMili[[#This Row],[Draftrate]],-1,0))</f>
        <v>0.35</v>
      </c>
      <c r="Z68" s="97">
        <f ca="1">OFFSET(TblMili[[#This Row],[Draftees]],-1,0)+OFFSET(TblPop[[#This Row],[Draft Growth]],-1,0) - SUM(TblMili[[#This Row],[Train Unit 1]:[Train Wiz]]) - TblMili[[#This Row],[Release Draft]] + SUM(TblMili[[#This Row],[Release Unit 1]:[Release Arch]]) -TblExplore[[#This Row],[Draftees (2)]]</f>
        <v>626</v>
      </c>
      <c r="AA68" s="162"/>
      <c r="AB68" s="188">
        <f ca="1">(TblConstr[[#This Row],[Tot Smi]]+TblConstr[[#This Row],[Dest Smi]])/(TblConstr[[#This Row],[Land]]-TblExplore[[#This Row],[Land Bonus]]*20)</f>
        <v>0</v>
      </c>
      <c r="AC68" s="145"/>
      <c r="AD68" s="266">
        <f>TblMili[[#This Row],[Hour]]</f>
        <v>65</v>
      </c>
      <c r="AE68" s="146">
        <f ca="1">TblExplore[[#This Row],[Time]]</f>
        <v>44813.416666666511</v>
      </c>
      <c r="AF68" s="166"/>
      <c r="AG68" s="166"/>
      <c r="AH68" s="187"/>
      <c r="AI68" s="187"/>
      <c r="AJ68" s="187"/>
      <c r="AK68" s="187"/>
      <c r="AL68" s="187"/>
      <c r="AM68" s="150"/>
      <c r="AN68" s="97">
        <f ca="1">TblProd[[#This Row],[Platinum]]</f>
        <v>451982</v>
      </c>
      <c r="AO68" s="97">
        <f ca="1">INDEX(TblProd[[#Headers],[Lumber]]:TblProd[[#This Row],[Ore]],COUNTA(TblProd[[#Headers],[Lumber]]:TblProd[[#This Row],[Lumber]]),MATCH(Military!$AO$2,TblProd[[#Headers],[Lumber]:[Ore]],0))</f>
        <v>0</v>
      </c>
      <c r="AP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97">
        <f ca="1">TblMili[[#This Row],[Train Unit 1]]*TblMili[[#This Row],[OP Ore]]+TblMili[[#This Row],[Train Unit 2]]*TblMili[[#This Row],[DP Ore]]+TblMili[[#This Row],[Train Unit 3]]*TblMili[[#This Row],[E1 Ore]]+TblMili[[#This Row],[Train Unit 4]]*TblMili[[#This Row],[E2 Ore]]</f>
        <v>0</v>
      </c>
      <c r="AR68" s="150">
        <f>TblMili[[#This Row],[Hour]]</f>
        <v>65</v>
      </c>
      <c r="AS68" s="160">
        <f ca="1">TblMili[[#This Row],[Time]]</f>
        <v>44813.416666666511</v>
      </c>
      <c r="AT68" s="97">
        <f ca="1">TblMili[[#This Row],[Draftees]]</f>
        <v>626</v>
      </c>
      <c r="AU68" s="187"/>
      <c r="AV68" s="187"/>
      <c r="AW68" s="187"/>
      <c r="AX68" s="187"/>
      <c r="AY68" s="187"/>
      <c r="AZ68" s="187"/>
      <c r="BA68" s="187"/>
      <c r="BB68" s="187"/>
      <c r="BC68" s="150"/>
      <c r="BD68" s="165">
        <f ca="1">TblConstr[[#This Row],[Tot WG]]/TblConstr[[#This Row],[Land]]</f>
        <v>0</v>
      </c>
      <c r="BE68" s="165">
        <f ca="1">TblConstr[[#This Row],[Tot Hav]]/TblConstr[[#This Row],[Land]]</f>
        <v>0</v>
      </c>
      <c r="BF68" s="97">
        <f ca="1">ROUNDUP((1-MIN(TblMili[[#This Row],[Smithies]]*smithy_bonus,smithy_bonus_cap) + tech_3_5*TblTech[[#This Row],[3-5]] + tech_5_3*TblTech[[#This Row],[5-3]] + tech_5_5*TblTech[[#This Row],[5-5]])*spec_op_plat,0)</f>
        <v>275</v>
      </c>
      <c r="BG68" s="97">
        <f ca="1">ROUNDUP(IF(race="Gnome",1,(1-MIN(TblMili[[#This Row],[Smithies]]*smithy_bonus,smithy_bonus_cap) + tech_3_5*TblTech[[#This Row],[3-5]] + tech_5_3*TblTech[[#This Row],[5-3]] + tech_5_5*TblTech[[#This Row],[5-5]]))*spec_op_ore,0)</f>
        <v>25</v>
      </c>
      <c r="BH68" s="97">
        <f ca="1">ROUNDUP((1-MIN(TblMili[[#This Row],[Smithies]]*smithy_bonus,smithy_bonus_cap) + tech_3_5*TblTech[[#This Row],[3-5]] + tech_5_3*TblTech[[#This Row],[5-3]] + tech_5_5*TblTech[[#This Row],[5-5]])*spec_dp_plat,0)</f>
        <v>275</v>
      </c>
      <c r="BI68" s="97">
        <f ca="1">ROUNDUP(IF(race="Gnome",1,(1-MIN(TblMili[[#This Row],[Smithies]]*smithy_bonus,smithy_bonus_cap) + tech_3_5*TblTech[[#This Row],[3-5]] + tech_5_3*TblTech[[#This Row],[5-3]] + tech_5_5*TblTech[[#This Row],[5-5]]))*spec_dp_ore,0)</f>
        <v>15</v>
      </c>
      <c r="BJ68" s="97">
        <f ca="1">ROUNDUP((1-MIN(TblMili[[#This Row],[Smithies]]*smithy_bonus,smithy_bonus_cap) + tech_3_5*TblTech[[#This Row],[3-5]] + tech_5_3*TblTech[[#This Row],[5-3]] + tech_5_5*TblTech[[#This Row],[5-5]])*elite1_plat,0)</f>
        <v>1000</v>
      </c>
      <c r="BK68" s="97">
        <f ca="1">ROUNDUP(IF(race="Gnome",1,(1-MIN(TblMili[[#This Row],[Smithies]]*smithy_bonus,smithy_bonus_cap) + tech_3_5*TblTech[[#This Row],[3-5]] + tech_5_3*TblTech[[#This Row],[5-3]] + tech_5_5*TblTech[[#This Row],[5-5]]))*elite1_ore,0)</f>
        <v>75</v>
      </c>
      <c r="BL68" s="97">
        <f ca="1">ROUNDUP((1-MIN(TblMili[[#This Row],[Smithies]]*smithy_bonus,smithy_bonus_cap) + tech_3_5*TblTech[[#This Row],[3-5]] + tech_5_3*TblTech[[#This Row],[5-3]] + tech_5_5*TblTech[[#This Row],[5-5]])*elite2_plat,0)</f>
        <v>1200</v>
      </c>
      <c r="BM68" s="97">
        <f ca="1">ROUNDUP(IF(race="Gnome",1,(1-MIN(TblMili[[#This Row],[Smithies]]*smithy_bonus,smithy_bonus_cap) + tech_3_5*TblTech[[#This Row],[3-5]] + tech_5_3*TblTech[[#This Row],[5-3]] + tech_5_5*TblTech[[#This Row],[5-5]]))*elite2_ore,0)</f>
        <v>100</v>
      </c>
      <c r="BN68" s="97">
        <f ca="1">ROUNDUP((1-MIN(ROUND(fh_spy_cost_red*TblMili[[#This Row],[FH''s]],4),fh_spy_cost_cap)+ tech_1_9*TblTech[[#This Row],[1-9]] + tech_9_1*TblTech[[#This Row],[9-1]])*spy_plat,0)</f>
        <v>500</v>
      </c>
      <c r="BO68" s="97">
        <f ca="1">ROUNDUP((1-MIN(ROUND(wg_wiz_cost_bonus*TblMili[[#This Row],[WG''s]],4),wg_wiz_cost_cap) + tech_1_9_2*TblTech[[#This Row],[1-9]] + tech_9_1_2*TblTech[[#This Row],[9-1]])*wizard_plat,0)</f>
        <v>500</v>
      </c>
      <c r="BP68" s="97">
        <f ca="1">ROUNDUP((1-MIN(ROUND(wg_wiz_cost_bonus*TblMili[[#This Row],[WG''s]],4),wg_wiz_cost_cap) + tech_1_9_2*TblTech[[#This Row],[1-9]] + tech_9_1_2*TblTech[[#This Row],[9-1]])*archmage_plat,0)</f>
        <v>1000</v>
      </c>
      <c r="BQ68" s="150"/>
      <c r="BR68" s="165">
        <f ca="1">TblConstr[[#This Row],[Homeland]]/TblConstr[[#This Row],[Land]]</f>
        <v>0.44</v>
      </c>
      <c r="BS68" s="165">
        <f ca="1">TblMili[[#This Row],[WG''s]]</f>
        <v>0</v>
      </c>
      <c r="BT68" s="271">
        <f ca="1">IF(mystic_cap="none",TblMili[[#This Row],[Hill]]/mystic_bonus,MIN(mystic_cap,TblMili[[#This Row],[Hill]]/mystic_bonus))</f>
        <v>2.1999999999999997</v>
      </c>
      <c r="BU68" s="271">
        <f ca="1">IF(druid_op_cap="none",TblMili[[#This Row],[Hill]]/druid_op_bonus,MIN(druid_op_cap,TblMili[[#This Row],[Hill]]/druid_op_bonus))</f>
        <v>2.1999999999999997</v>
      </c>
      <c r="BV68" s="271">
        <f ca="1">IF(druid_dp_cap="none",TblMili[[#This Row],[Hill]]/druid_dp_bonus,MIN(druid_dp_cap,TblMili[[#This Row],[Hill]]/druid_dp_bonus))</f>
        <v>2.1999999999999997</v>
      </c>
      <c r="BW68" s="271">
        <f ca="1">MIN(dryad_cap,TblMili[[#This Row],[Hill]]/dryad_bonus)</f>
        <v>2.1999999999999997</v>
      </c>
      <c r="BX68" s="271">
        <f ca="1">MIN(rocka_cap,TblMili[[#This Row],[Hill]]/rocka_bonus)</f>
        <v>2</v>
      </c>
      <c r="BY68" s="271">
        <f ca="1">MIN(adept_op_cap,TblMili[[#This Row],[WG]]/adept_op_bonus)</f>
        <v>0</v>
      </c>
      <c r="BZ68" s="271">
        <f ca="1">MIN(adept_dp_cap,TblMili[[#This Row],[WG]]/adept_dp_bonus)</f>
        <v>0</v>
      </c>
      <c r="CA68" s="97">
        <f ca="1">MIN(TblMili[[#This Row],[Unit 3]],TblMili[[#This Row],[Unit 4]])*2</f>
        <v>0</v>
      </c>
      <c r="CB68" s="97">
        <f ca="1">MIN(TblMili[[#This Row],[Unit 1]],TblMili[[#This Row],[Unit 4]])*2</f>
        <v>0</v>
      </c>
      <c r="CC68" s="271">
        <f ca="1">MIN(frost_mage_cap,TblMili[[#This Row],[Hill]]/frost_mage_bonus)</f>
        <v>2.1999999999999997</v>
      </c>
      <c r="CD68" s="45">
        <f ca="1">MIN(ice_elem_cap,TblMili[[#This Row],[Raw (2)]]*ice_elem_bonus)</f>
        <v>0.1</v>
      </c>
      <c r="CE68" s="271">
        <f t="shared" ref="CE68:CE99" si="3">MIN(bone_breaker_cap,250/bone_breaker_bonus)</f>
        <v>1</v>
      </c>
      <c r="CF68" s="271">
        <f ca="1">MIN(nox_nightshade_cap,TblConstr[[#This Row],[Homeland]]/TblConstr[[#This Row],[Land]]/nox_nightshade_swamp_bonus)</f>
        <v>3</v>
      </c>
      <c r="CG68" s="272"/>
      <c r="CH68" s="272"/>
      <c r="CI68" s="272"/>
      <c r="CJ68" s="271">
        <f ca="1">MIN(6,TblMili[[#This Row],[Mystic]]+Races!$F$19)*1.8 +  IF(TblMili[[#This Row],[Mystic]]+Races!$F$19&gt;6,(TblMili[[#This Row],[Mystic]]+Races!$F$19-6)*0.2,0) - Races!$I$19</f>
        <v>3.6399999999999997</v>
      </c>
      <c r="CK6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97">
        <f ca="1">TblMili[[#This Row],[Mystic bonus]]*TblMili[[#This Row],[Unit 3]]+TblMili[[#This Row],[Druid bonus]]*TblMili[[#This Row],[Unit 4]]</f>
        <v>0</v>
      </c>
      <c r="CM68" s="163">
        <f ca="1">MIN(6,TblMili[[#This Row],[Dryad]]+Races!$F$35)*1.8 +  IF(TblMili[[#This Row],[Dryad]]+Races!$F$35&gt;6,(TblMili[[#This Row],[Dryad]]+Races!$F$35-6)*0.2,0) - Races!$I$19</f>
        <v>2.1599999999999993</v>
      </c>
      <c r="CN68" s="97">
        <f ca="1">sylvan*(TblMili[[#This Row],[Mystic bonus]]*TblMili[[#This Row],[Unit 3]])</f>
        <v>0</v>
      </c>
      <c r="CO68" s="163">
        <f ca="1">1.8 * MIN(MAX(Races!$E$27,TblMili[[#This Row],[Rockapult]]+Races!$F$27),6)  +  0.45 * MIN(MIN(Races!$E$27,TblMili[[#This Row],[Rockapult]]+Races!$F$27),6)  +  0.2 * ( MAX(Races!$E$27-6,0) + MAX(TblMili[[#This Row],[Rockapult]]+Races!$F$27-6,0) )  -  Races!$I$20</f>
        <v>5.8500000000000005</v>
      </c>
      <c r="CP68" s="97">
        <f ca="1">gnome*(TblMili[[#This Row],[Rockapult bonus]]*TblMili[[#This Row],[Unit 3]])</f>
        <v>0</v>
      </c>
      <c r="CQ68" s="163">
        <f ca="1">1.8 * MIN(MAX(TblMili[[#This Row],[Spellblade]]+Races!$E$47,TblMili[[#This Row],[Adept-DP]]+Races!$F$47),6)  +  0.45 * MIN(MIN(TblMili[[#This Row],[Spellblade]]+Races!$E$47,TblMili[[#This Row],[Adept-DP]]+Races!$F$47),6)  +  0.2 * ( MAX(TblMili[[#This Row],[Spellblade]]+Races!$E$47-6,0) + MAX(TblMili[[#This Row],[Adept-DP]]+Races!$F$47-6,0) )  -  Races!$I$47</f>
        <v>0</v>
      </c>
      <c r="CR68" s="97">
        <f ca="1">dark_elf*(TblMili[[#This Row],[Adept bonus]]*TblMili[[#This Row],[Unit 3]])</f>
        <v>0</v>
      </c>
      <c r="CS68" s="163">
        <f ca="1">1.8 * MIN(MAX(TblMili[[#This Row],[Frost Mage]]+Races!$F$71,Races!$E$71),6)  +  0.45 * MIN(MIN(TblMili[[#This Row],[Frost Mage]]+Races!$F$71,Races!$E$71),6)  +  0.2 * ( MAX(TblMili[[#This Row],[Frost Mage]]+Races!$F$71-6,0) + MAX(Races!$E$71-6,0) )  -  Races!$I$71</f>
        <v>3.9599999999999991</v>
      </c>
      <c r="CT68" s="163">
        <f ca="1">1.8 * MIN(MAX(TblMili[[#This Row],[Ice Elemental]]+Races!$E$71,Races!$F$71),6)  +  0.45 * MIN(MIN(TblMili[[#This Row],[Ice Elemental]]+Races!$E$71,Races!$F$71),6)  +  0.2 * ( MAX(TblMili[[#This Row],[Ice Elemental]]+Races!$E$71-6,0) + MAX(Races!$F$71-6,0) )  -  Races!$I$71</f>
        <v>0.17999999999999972</v>
      </c>
      <c r="CU68" s="97">
        <f ca="1">TblMili[[#This Row],[Frost Mage bonus]]*TblMili[[#This Row],[Unit 3]]+TblMili[[#This Row],[Ice Elemental bonus]]*TblMili[[#This Row],[Unit 4]]</f>
        <v>0</v>
      </c>
      <c r="CV68" s="273"/>
      <c r="CW68" s="151">
        <f ca="1">MIN(SUM(TblConstr[[#This Row],[Plain]:[Water]])/TblMili[[#This Row],[Land]]/favorable_terrain_bonus/100,favorable_terrain_max)</f>
        <v>0.1</v>
      </c>
      <c r="CX68" s="273"/>
      <c r="CY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50"/>
      <c r="DA68" s="274">
        <f ca="1">(TblMili[[#This Row],[Wizards]]+2*TblMili[[#This Row],[Archmages]])/TblConstr[[#This Row],[Land]]</f>
        <v>0.1</v>
      </c>
      <c r="DB68" s="274">
        <f ca="1">TblMili[[#This Row],[Raw (2)]]*(1+race_wizard_strength+IF(TblMili[[#This Row],[Hour]]&gt;72,tech_magical_weaponry_wiz*TblTech[[#This Row],[3-5]],0))</f>
        <v>0.1</v>
      </c>
    </row>
    <row r="69" spans="1:106" x14ac:dyDescent="0.2">
      <c r="A69" s="145">
        <f>TblRezone[[#This Row],[Hour]]</f>
        <v>66</v>
      </c>
      <c r="B69" s="266">
        <f ca="1">SUM(TblMili[[#This Row],[Unit 1]:[Archmages]])+SUM(OFFSET(TblMili[[#This Row],[Train Unit 1]],-8,0):TblMili[[#This Row],[Train Unit 2]]) + SUM(OFFSET(TblMili[[#This Row],[Train Unit 3]],-11,0):TblMili[[#This Row],[Train Arch]]) + TblMili[[#This Row],[Draftees]]</f>
        <v>826</v>
      </c>
      <c r="C69" s="165">
        <f ca="1">TblPop[[#This Row],[Military%]]</f>
        <v>0.35029686174724345</v>
      </c>
      <c r="D69" s="150"/>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f>
        <v>25</v>
      </c>
      <c r="J69" s="45">
        <f ca="1">OFFSET(TblMili[[#This Row],[Wizards]],-1,0) + OFFSET(TblMili[[#This Row],[Train Wiz]],-12,0) - TblMili[[#This Row],[Release Wizards]]-TblMili[[#This Row],[Train Arch]]</f>
        <v>25</v>
      </c>
      <c r="K69" s="45">
        <f ca="1">OFFSET(TblMili[[#This Row],[Archmages]],-1,0) + OFFSET(TblMili[[#This Row],[Train Arch]],-12,0) - TblMili[[#This Row],[Release Arch]]</f>
        <v>0</v>
      </c>
      <c r="L69" s="150"/>
      <c r="M69" s="97">
        <f ca="1">TblProd[[#This Row],[Networth]]</f>
        <v>6450</v>
      </c>
      <c r="N69" s="150"/>
      <c r="O69" s="267">
        <f ca="1">TblMili[[#This Row],[Unit 1]]*spec_op+TblMili[[#This Row],[Unit 3]]*(elite1_base_op)+TblMili[[#This Row],[Unit 4]]*(elite2_base_op+dark_elf*TblMili[[#This Row],[Spellblade]]+icekin*TblMili[[#This Row],[Ice Elemental]]+woodie*TblMili[[#This Row],[Druid (op)]]+orc*TblMili[[#This Row],[Orc]])+kobold*TblMili[[#This Row],[Overlords]]</f>
        <v>0</v>
      </c>
      <c r="P6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9" s="267">
        <f ca="1">TblMili[[#This Row],[Raw]]*(1+TblMili[[#This Row],[Mods_Off]])</f>
        <v>0</v>
      </c>
      <c r="R6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9" s="267">
        <f ca="1">TblMili[[#This Row],[Non Draft]]+TblMili[[#This Row],[Draftees]]</f>
        <v>1076</v>
      </c>
      <c r="T6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269">
        <f ca="1">TblMili[[#This Row],[Non Draft]] * (1 + TblMili[[#This Row],[Mods_Def]])</f>
        <v>450</v>
      </c>
      <c r="V69" s="267">
        <f ca="1">TblMili[[#This Row],[Draft]] * (1 + TblMili[[#This Row],[Mods_Def]])</f>
        <v>1076</v>
      </c>
      <c r="W69" s="267">
        <f ca="1">TblConstr[[#This Row],[Land]]</f>
        <v>250</v>
      </c>
      <c r="X69" s="270"/>
      <c r="Y69" s="275">
        <f ca="1">IF(TblMili[[#This Row],[Set]]&lt;&gt;"",TblMili[[#This Row],[Set]],OFFSET(TblMili[[#This Row],[Draftrate]],-1,0))</f>
        <v>0.35</v>
      </c>
      <c r="Z69" s="97">
        <f ca="1">OFFSET(TblMili[[#This Row],[Draftees]],-1,0)+OFFSET(TblPop[[#This Row],[Draft Growth]],-1,0) - SUM(TblMili[[#This Row],[Train Unit 1]:[Train Wiz]]) - TblMili[[#This Row],[Release Draft]] + SUM(TblMili[[#This Row],[Release Unit 1]:[Release Arch]]) -TblExplore[[#This Row],[Draftees (2)]]</f>
        <v>626</v>
      </c>
      <c r="AA69" s="162"/>
      <c r="AB69" s="188">
        <f ca="1">(TblConstr[[#This Row],[Tot Smi]]+TblConstr[[#This Row],[Dest Smi]])/(TblConstr[[#This Row],[Land]]-TblExplore[[#This Row],[Land Bonus]]*20)</f>
        <v>0</v>
      </c>
      <c r="AC69" s="145"/>
      <c r="AD69" s="266">
        <f>TblMili[[#This Row],[Hour]]</f>
        <v>66</v>
      </c>
      <c r="AE69" s="146">
        <f ca="1">TblExplore[[#This Row],[Time]]</f>
        <v>44813.458333333176</v>
      </c>
      <c r="AF69" s="187"/>
      <c r="AG69" s="166"/>
      <c r="AH69" s="187"/>
      <c r="AI69" s="187"/>
      <c r="AJ69" s="187"/>
      <c r="AK69" s="187"/>
      <c r="AL69" s="187"/>
      <c r="AM69" s="150"/>
      <c r="AN69" s="97">
        <f ca="1">TblProd[[#This Row],[Platinum]]</f>
        <v>457468</v>
      </c>
      <c r="AO69" s="97">
        <f ca="1">INDEX(TblProd[[#Headers],[Lumber]]:TblProd[[#This Row],[Ore]],COUNTA(TblProd[[#Headers],[Lumber]]:TblProd[[#This Row],[Lumber]]),MATCH(Military!$AO$2,TblProd[[#Headers],[Lumber]:[Ore]],0))</f>
        <v>0</v>
      </c>
      <c r="AP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97">
        <f ca="1">TblMili[[#This Row],[Train Unit 1]]*TblMili[[#This Row],[OP Ore]]+TblMili[[#This Row],[Train Unit 2]]*TblMili[[#This Row],[DP Ore]]+TblMili[[#This Row],[Train Unit 3]]*TblMili[[#This Row],[E1 Ore]]+TblMili[[#This Row],[Train Unit 4]]*TblMili[[#This Row],[E2 Ore]]</f>
        <v>0</v>
      </c>
      <c r="AR69" s="150">
        <f>TblMili[[#This Row],[Hour]]</f>
        <v>66</v>
      </c>
      <c r="AS69" s="160">
        <f ca="1">TblMili[[#This Row],[Time]]</f>
        <v>44813.458333333176</v>
      </c>
      <c r="AT69" s="97">
        <f ca="1">TblMili[[#This Row],[Draftees]]</f>
        <v>626</v>
      </c>
      <c r="AU69" s="187"/>
      <c r="AV69" s="187"/>
      <c r="AW69" s="187"/>
      <c r="AX69" s="187"/>
      <c r="AY69" s="187"/>
      <c r="AZ69" s="187"/>
      <c r="BA69" s="187"/>
      <c r="BB69" s="187"/>
      <c r="BC69" s="150"/>
      <c r="BD69" s="165">
        <f ca="1">TblConstr[[#This Row],[Tot WG]]/TblConstr[[#This Row],[Land]]</f>
        <v>0</v>
      </c>
      <c r="BE69" s="165">
        <f ca="1">TblConstr[[#This Row],[Tot Hav]]/TblConstr[[#This Row],[Land]]</f>
        <v>0</v>
      </c>
      <c r="BF69" s="97">
        <f ca="1">ROUNDUP((1-MIN(TblMili[[#This Row],[Smithies]]*smithy_bonus,smithy_bonus_cap) + tech_3_5*TblTech[[#This Row],[3-5]] + tech_5_3*TblTech[[#This Row],[5-3]] + tech_5_5*TblTech[[#This Row],[5-5]])*spec_op_plat,0)</f>
        <v>275</v>
      </c>
      <c r="BG69" s="97">
        <f ca="1">ROUNDUP(IF(race="Gnome",1,(1-MIN(TblMili[[#This Row],[Smithies]]*smithy_bonus,smithy_bonus_cap) + tech_3_5*TblTech[[#This Row],[3-5]] + tech_5_3*TblTech[[#This Row],[5-3]] + tech_5_5*TblTech[[#This Row],[5-5]]))*spec_op_ore,0)</f>
        <v>25</v>
      </c>
      <c r="BH69" s="97">
        <f ca="1">ROUNDUP((1-MIN(TblMili[[#This Row],[Smithies]]*smithy_bonus,smithy_bonus_cap) + tech_3_5*TblTech[[#This Row],[3-5]] + tech_5_3*TblTech[[#This Row],[5-3]] + tech_5_5*TblTech[[#This Row],[5-5]])*spec_dp_plat,0)</f>
        <v>275</v>
      </c>
      <c r="BI69" s="97">
        <f ca="1">ROUNDUP(IF(race="Gnome",1,(1-MIN(TblMili[[#This Row],[Smithies]]*smithy_bonus,smithy_bonus_cap) + tech_3_5*TblTech[[#This Row],[3-5]] + tech_5_3*TblTech[[#This Row],[5-3]] + tech_5_5*TblTech[[#This Row],[5-5]]))*spec_dp_ore,0)</f>
        <v>15</v>
      </c>
      <c r="BJ69" s="97">
        <f ca="1">ROUNDUP((1-MIN(TblMili[[#This Row],[Smithies]]*smithy_bonus,smithy_bonus_cap) + tech_3_5*TblTech[[#This Row],[3-5]] + tech_5_3*TblTech[[#This Row],[5-3]] + tech_5_5*TblTech[[#This Row],[5-5]])*elite1_plat,0)</f>
        <v>1000</v>
      </c>
      <c r="BK69" s="97">
        <f ca="1">ROUNDUP(IF(race="Gnome",1,(1-MIN(TblMili[[#This Row],[Smithies]]*smithy_bonus,smithy_bonus_cap) + tech_3_5*TblTech[[#This Row],[3-5]] + tech_5_3*TblTech[[#This Row],[5-3]] + tech_5_5*TblTech[[#This Row],[5-5]]))*elite1_ore,0)</f>
        <v>75</v>
      </c>
      <c r="BL69" s="97">
        <f ca="1">ROUNDUP((1-MIN(TblMili[[#This Row],[Smithies]]*smithy_bonus,smithy_bonus_cap) + tech_3_5*TblTech[[#This Row],[3-5]] + tech_5_3*TblTech[[#This Row],[5-3]] + tech_5_5*TblTech[[#This Row],[5-5]])*elite2_plat,0)</f>
        <v>1200</v>
      </c>
      <c r="BM69" s="97">
        <f ca="1">ROUNDUP(IF(race="Gnome",1,(1-MIN(TblMili[[#This Row],[Smithies]]*smithy_bonus,smithy_bonus_cap) + tech_3_5*TblTech[[#This Row],[3-5]] + tech_5_3*TblTech[[#This Row],[5-3]] + tech_5_5*TblTech[[#This Row],[5-5]]))*elite2_ore,0)</f>
        <v>100</v>
      </c>
      <c r="BN69" s="97">
        <f ca="1">ROUNDUP((1-MIN(ROUND(fh_spy_cost_red*TblMili[[#This Row],[FH''s]],4),fh_spy_cost_cap)+ tech_1_9*TblTech[[#This Row],[1-9]] + tech_9_1*TblTech[[#This Row],[9-1]])*spy_plat,0)</f>
        <v>500</v>
      </c>
      <c r="BO69" s="97">
        <f ca="1">ROUNDUP((1-MIN(ROUND(wg_wiz_cost_bonus*TblMili[[#This Row],[WG''s]],4),wg_wiz_cost_cap) + tech_1_9_2*TblTech[[#This Row],[1-9]] + tech_9_1_2*TblTech[[#This Row],[9-1]])*wizard_plat,0)</f>
        <v>500</v>
      </c>
      <c r="BP69" s="97">
        <f ca="1">ROUNDUP((1-MIN(ROUND(wg_wiz_cost_bonus*TblMili[[#This Row],[WG''s]],4),wg_wiz_cost_cap) + tech_1_9_2*TblTech[[#This Row],[1-9]] + tech_9_1_2*TblTech[[#This Row],[9-1]])*archmage_plat,0)</f>
        <v>1000</v>
      </c>
      <c r="BQ69" s="150"/>
      <c r="BR69" s="165">
        <f ca="1">TblConstr[[#This Row],[Homeland]]/TblConstr[[#This Row],[Land]]</f>
        <v>0.44</v>
      </c>
      <c r="BS69" s="165">
        <f ca="1">TblMili[[#This Row],[WG''s]]</f>
        <v>0</v>
      </c>
      <c r="BT69" s="271">
        <f ca="1">IF(mystic_cap="none",TblMili[[#This Row],[Hill]]/mystic_bonus,MIN(mystic_cap,TblMili[[#This Row],[Hill]]/mystic_bonus))</f>
        <v>2.1999999999999997</v>
      </c>
      <c r="BU69" s="271">
        <f ca="1">IF(druid_op_cap="none",TblMili[[#This Row],[Hill]]/druid_op_bonus,MIN(druid_op_cap,TblMili[[#This Row],[Hill]]/druid_op_bonus))</f>
        <v>2.1999999999999997</v>
      </c>
      <c r="BV69" s="271">
        <f ca="1">IF(druid_dp_cap="none",TblMili[[#This Row],[Hill]]/druid_dp_bonus,MIN(druid_dp_cap,TblMili[[#This Row],[Hill]]/druid_dp_bonus))</f>
        <v>2.1999999999999997</v>
      </c>
      <c r="BW69" s="271">
        <f ca="1">MIN(dryad_cap,TblMili[[#This Row],[Hill]]/dryad_bonus)</f>
        <v>2.1999999999999997</v>
      </c>
      <c r="BX69" s="271">
        <f ca="1">MIN(rocka_cap,TblMili[[#This Row],[Hill]]/rocka_bonus)</f>
        <v>2</v>
      </c>
      <c r="BY69" s="271">
        <f ca="1">MIN(adept_op_cap,TblMili[[#This Row],[WG]]/adept_op_bonus)</f>
        <v>0</v>
      </c>
      <c r="BZ69" s="271">
        <f ca="1">MIN(adept_dp_cap,TblMili[[#This Row],[WG]]/adept_dp_bonus)</f>
        <v>0</v>
      </c>
      <c r="CA69" s="97">
        <f ca="1">MIN(TblMili[[#This Row],[Unit 3]],TblMili[[#This Row],[Unit 4]])*2</f>
        <v>0</v>
      </c>
      <c r="CB69" s="97">
        <f ca="1">MIN(TblMili[[#This Row],[Unit 1]],TblMili[[#This Row],[Unit 4]])*2</f>
        <v>0</v>
      </c>
      <c r="CC69" s="271">
        <f ca="1">MIN(frost_mage_cap,TblMili[[#This Row],[Hill]]/frost_mage_bonus)</f>
        <v>2.1999999999999997</v>
      </c>
      <c r="CD69" s="45">
        <f ca="1">MIN(ice_elem_cap,TblMili[[#This Row],[Raw (2)]]*ice_elem_bonus)</f>
        <v>0.1</v>
      </c>
      <c r="CE69" s="271">
        <f t="shared" si="3"/>
        <v>1</v>
      </c>
      <c r="CF69" s="271">
        <f ca="1">MIN(nox_nightshade_cap,TblConstr[[#This Row],[Homeland]]/TblConstr[[#This Row],[Land]]/nox_nightshade_swamp_bonus)</f>
        <v>3</v>
      </c>
      <c r="CG69" s="272"/>
      <c r="CH69" s="272"/>
      <c r="CI69" s="272"/>
      <c r="CJ69" s="271">
        <f ca="1">MIN(6,TblMili[[#This Row],[Mystic]]+Races!$F$19)*1.8 +  IF(TblMili[[#This Row],[Mystic]]+Races!$F$19&gt;6,(TblMili[[#This Row],[Mystic]]+Races!$F$19-6)*0.2,0) - Races!$I$19</f>
        <v>3.6399999999999997</v>
      </c>
      <c r="CK6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97">
        <f ca="1">TblMili[[#This Row],[Mystic bonus]]*TblMili[[#This Row],[Unit 3]]+TblMili[[#This Row],[Druid bonus]]*TblMili[[#This Row],[Unit 4]]</f>
        <v>0</v>
      </c>
      <c r="CM69" s="163">
        <f ca="1">MIN(6,TblMili[[#This Row],[Dryad]]+Races!$F$35)*1.8 +  IF(TblMili[[#This Row],[Dryad]]+Races!$F$35&gt;6,(TblMili[[#This Row],[Dryad]]+Races!$F$35-6)*0.2,0) - Races!$I$19</f>
        <v>2.1599999999999993</v>
      </c>
      <c r="CN69" s="97">
        <f ca="1">sylvan*(TblMili[[#This Row],[Mystic bonus]]*TblMili[[#This Row],[Unit 3]])</f>
        <v>0</v>
      </c>
      <c r="CO69" s="163">
        <f ca="1">1.8 * MIN(MAX(Races!$E$27,TblMili[[#This Row],[Rockapult]]+Races!$F$27),6)  +  0.45 * MIN(MIN(Races!$E$27,TblMili[[#This Row],[Rockapult]]+Races!$F$27),6)  +  0.2 * ( MAX(Races!$E$27-6,0) + MAX(TblMili[[#This Row],[Rockapult]]+Races!$F$27-6,0) )  -  Races!$I$20</f>
        <v>5.8500000000000005</v>
      </c>
      <c r="CP69" s="97">
        <f ca="1">gnome*(TblMili[[#This Row],[Rockapult bonus]]*TblMili[[#This Row],[Unit 3]])</f>
        <v>0</v>
      </c>
      <c r="CQ69" s="163">
        <f ca="1">1.8 * MIN(MAX(TblMili[[#This Row],[Spellblade]]+Races!$E$47,TblMili[[#This Row],[Adept-DP]]+Races!$F$47),6)  +  0.45 * MIN(MIN(TblMili[[#This Row],[Spellblade]]+Races!$E$47,TblMili[[#This Row],[Adept-DP]]+Races!$F$47),6)  +  0.2 * ( MAX(TblMili[[#This Row],[Spellblade]]+Races!$E$47-6,0) + MAX(TblMili[[#This Row],[Adept-DP]]+Races!$F$47-6,0) )  -  Races!$I$47</f>
        <v>0</v>
      </c>
      <c r="CR69" s="97">
        <f ca="1">dark_elf*(TblMili[[#This Row],[Adept bonus]]*TblMili[[#This Row],[Unit 3]])</f>
        <v>0</v>
      </c>
      <c r="CS69" s="163">
        <f ca="1">1.8 * MIN(MAX(TblMili[[#This Row],[Frost Mage]]+Races!$F$71,Races!$E$71),6)  +  0.45 * MIN(MIN(TblMili[[#This Row],[Frost Mage]]+Races!$F$71,Races!$E$71),6)  +  0.2 * ( MAX(TblMili[[#This Row],[Frost Mage]]+Races!$F$71-6,0) + MAX(Races!$E$71-6,0) )  -  Races!$I$71</f>
        <v>3.9599999999999991</v>
      </c>
      <c r="CT69" s="163">
        <f ca="1">1.8 * MIN(MAX(TblMili[[#This Row],[Ice Elemental]]+Races!$E$71,Races!$F$71),6)  +  0.45 * MIN(MIN(TblMili[[#This Row],[Ice Elemental]]+Races!$E$71,Races!$F$71),6)  +  0.2 * ( MAX(TblMili[[#This Row],[Ice Elemental]]+Races!$E$71-6,0) + MAX(Races!$F$71-6,0) )  -  Races!$I$71</f>
        <v>0.17999999999999972</v>
      </c>
      <c r="CU69" s="97">
        <f ca="1">TblMili[[#This Row],[Frost Mage bonus]]*TblMili[[#This Row],[Unit 3]]+TblMili[[#This Row],[Ice Elemental bonus]]*TblMili[[#This Row],[Unit 4]]</f>
        <v>0</v>
      </c>
      <c r="CV69" s="273"/>
      <c r="CW69" s="151">
        <f ca="1">MIN(SUM(TblConstr[[#This Row],[Plain]:[Water]])/TblMili[[#This Row],[Land]]/favorable_terrain_bonus/100,favorable_terrain_max)</f>
        <v>0.1</v>
      </c>
      <c r="CX69" s="273"/>
      <c r="CY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50"/>
      <c r="DA69" s="274">
        <f ca="1">(TblMili[[#This Row],[Wizards]]+2*TblMili[[#This Row],[Archmages]])/TblConstr[[#This Row],[Land]]</f>
        <v>0.1</v>
      </c>
      <c r="DB69" s="274">
        <f ca="1">TblMili[[#This Row],[Raw (2)]]*(1+race_wizard_strength+IF(TblMili[[#This Row],[Hour]]&gt;72,tech_magical_weaponry_wiz*TblTech[[#This Row],[3-5]],0))</f>
        <v>0.1</v>
      </c>
    </row>
    <row r="70" spans="1:106" x14ac:dyDescent="0.2">
      <c r="A70" s="145">
        <f>TblRezone[[#This Row],[Hour]]</f>
        <v>67</v>
      </c>
      <c r="B70" s="266">
        <f ca="1">SUM(TblMili[[#This Row],[Unit 1]:[Archmages]])+SUM(OFFSET(TblMili[[#This Row],[Train Unit 1]],-8,0):TblMili[[#This Row],[Train Unit 2]]) + SUM(OFFSET(TblMili[[#This Row],[Train Unit 3]],-11,0):TblMili[[#This Row],[Train Arch]]) + TblMili[[#This Row],[Draftees]]</f>
        <v>826</v>
      </c>
      <c r="C70" s="165">
        <f ca="1">TblPop[[#This Row],[Military%]]</f>
        <v>0.35029686174724345</v>
      </c>
      <c r="D70" s="150"/>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f>
        <v>25</v>
      </c>
      <c r="J70" s="45">
        <f ca="1">OFFSET(TblMili[[#This Row],[Wizards]],-1,0) + OFFSET(TblMili[[#This Row],[Train Wiz]],-12,0) - TblMili[[#This Row],[Release Wizards]]-TblMili[[#This Row],[Train Arch]]</f>
        <v>25</v>
      </c>
      <c r="K70" s="45">
        <f ca="1">OFFSET(TblMili[[#This Row],[Archmages]],-1,0) + OFFSET(TblMili[[#This Row],[Train Arch]],-12,0) - TblMili[[#This Row],[Release Arch]]</f>
        <v>0</v>
      </c>
      <c r="L70" s="150"/>
      <c r="M70" s="97">
        <f ca="1">TblProd[[#This Row],[Networth]]</f>
        <v>6450</v>
      </c>
      <c r="N70" s="150"/>
      <c r="O70" s="267">
        <f ca="1">TblMili[[#This Row],[Unit 1]]*spec_op+TblMili[[#This Row],[Unit 3]]*(elite1_base_op)+TblMili[[#This Row],[Unit 4]]*(elite2_base_op+dark_elf*TblMili[[#This Row],[Spellblade]]+icekin*TblMili[[#This Row],[Ice Elemental]]+woodie*TblMili[[#This Row],[Druid (op)]]+orc*TblMili[[#This Row],[Orc]])+kobold*TblMili[[#This Row],[Overlords]]</f>
        <v>0</v>
      </c>
      <c r="P7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0" s="267">
        <f ca="1">TblMili[[#This Row],[Raw]]*(1+TblMili[[#This Row],[Mods_Off]])</f>
        <v>0</v>
      </c>
      <c r="R7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0" s="267">
        <f ca="1">TblMili[[#This Row],[Non Draft]]+TblMili[[#This Row],[Draftees]]</f>
        <v>1076</v>
      </c>
      <c r="T7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269">
        <f ca="1">TblMili[[#This Row],[Non Draft]] * (1 + TblMili[[#This Row],[Mods_Def]])</f>
        <v>450</v>
      </c>
      <c r="V70" s="267">
        <f ca="1">TblMili[[#This Row],[Draft]] * (1 + TblMili[[#This Row],[Mods_Def]])</f>
        <v>1076</v>
      </c>
      <c r="W70" s="267">
        <f ca="1">TblConstr[[#This Row],[Land]]</f>
        <v>250</v>
      </c>
      <c r="X70" s="270"/>
      <c r="Y70" s="275">
        <f ca="1">IF(TblMili[[#This Row],[Set]]&lt;&gt;"",TblMili[[#This Row],[Set]],OFFSET(TblMili[[#This Row],[Draftrate]],-1,0))</f>
        <v>0.35</v>
      </c>
      <c r="Z70" s="97">
        <f ca="1">OFFSET(TblMili[[#This Row],[Draftees]],-1,0)+OFFSET(TblPop[[#This Row],[Draft Growth]],-1,0) - SUM(TblMili[[#This Row],[Train Unit 1]:[Train Wiz]]) - TblMili[[#This Row],[Release Draft]] + SUM(TblMili[[#This Row],[Release Unit 1]:[Release Arch]]) -TblExplore[[#This Row],[Draftees (2)]]</f>
        <v>626</v>
      </c>
      <c r="AA70" s="162"/>
      <c r="AB70" s="188">
        <f ca="1">(TblConstr[[#This Row],[Tot Smi]]+TblConstr[[#This Row],[Dest Smi]])/(TblConstr[[#This Row],[Land]]-TblExplore[[#This Row],[Land Bonus]]*20)</f>
        <v>0</v>
      </c>
      <c r="AC70" s="145"/>
      <c r="AD70" s="266">
        <f>TblMili[[#This Row],[Hour]]</f>
        <v>67</v>
      </c>
      <c r="AE70" s="146">
        <f ca="1">TblExplore[[#This Row],[Time]]</f>
        <v>44813.49999999984</v>
      </c>
      <c r="AF70" s="187"/>
      <c r="AG70" s="166"/>
      <c r="AH70" s="187"/>
      <c r="AI70" s="187"/>
      <c r="AJ70" s="187"/>
      <c r="AK70" s="187"/>
      <c r="AL70" s="187"/>
      <c r="AM70" s="150"/>
      <c r="AN70" s="97">
        <f ca="1">TblProd[[#This Row],[Platinum]]</f>
        <v>462954</v>
      </c>
      <c r="AO70" s="97">
        <f ca="1">INDEX(TblProd[[#Headers],[Lumber]]:TblProd[[#This Row],[Ore]],COUNTA(TblProd[[#Headers],[Lumber]]:TblProd[[#This Row],[Lumber]]),MATCH(Military!$AO$2,TblProd[[#Headers],[Lumber]:[Ore]],0))</f>
        <v>0</v>
      </c>
      <c r="AP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97">
        <f ca="1">TblMili[[#This Row],[Train Unit 1]]*TblMili[[#This Row],[OP Ore]]+TblMili[[#This Row],[Train Unit 2]]*TblMili[[#This Row],[DP Ore]]+TblMili[[#This Row],[Train Unit 3]]*TblMili[[#This Row],[E1 Ore]]+TblMili[[#This Row],[Train Unit 4]]*TblMili[[#This Row],[E2 Ore]]</f>
        <v>0</v>
      </c>
      <c r="AR70" s="150">
        <f>TblMili[[#This Row],[Hour]]</f>
        <v>67</v>
      </c>
      <c r="AS70" s="160">
        <f ca="1">TblMili[[#This Row],[Time]]</f>
        <v>44813.49999999984</v>
      </c>
      <c r="AT70" s="97">
        <f ca="1">TblMili[[#This Row],[Draftees]]</f>
        <v>626</v>
      </c>
      <c r="AU70" s="187"/>
      <c r="AV70" s="187"/>
      <c r="AW70" s="187"/>
      <c r="AX70" s="187"/>
      <c r="AY70" s="187"/>
      <c r="AZ70" s="187"/>
      <c r="BA70" s="187"/>
      <c r="BB70" s="187"/>
      <c r="BC70" s="150"/>
      <c r="BD70" s="165">
        <f ca="1">TblConstr[[#This Row],[Tot WG]]/TblConstr[[#This Row],[Land]]</f>
        <v>0</v>
      </c>
      <c r="BE70" s="165">
        <f ca="1">TblConstr[[#This Row],[Tot Hav]]/TblConstr[[#This Row],[Land]]</f>
        <v>0</v>
      </c>
      <c r="BF70" s="97">
        <f ca="1">ROUNDUP((1-MIN(TblMili[[#This Row],[Smithies]]*smithy_bonus,smithy_bonus_cap) + tech_3_5*TblTech[[#This Row],[3-5]] + tech_5_3*TblTech[[#This Row],[5-3]] + tech_5_5*TblTech[[#This Row],[5-5]])*spec_op_plat,0)</f>
        <v>275</v>
      </c>
      <c r="BG70" s="97">
        <f ca="1">ROUNDUP(IF(race="Gnome",1,(1-MIN(TblMili[[#This Row],[Smithies]]*smithy_bonus,smithy_bonus_cap) + tech_3_5*TblTech[[#This Row],[3-5]] + tech_5_3*TblTech[[#This Row],[5-3]] + tech_5_5*TblTech[[#This Row],[5-5]]))*spec_op_ore,0)</f>
        <v>25</v>
      </c>
      <c r="BH70" s="97">
        <f ca="1">ROUNDUP((1-MIN(TblMili[[#This Row],[Smithies]]*smithy_bonus,smithy_bonus_cap) + tech_3_5*TblTech[[#This Row],[3-5]] + tech_5_3*TblTech[[#This Row],[5-3]] + tech_5_5*TblTech[[#This Row],[5-5]])*spec_dp_plat,0)</f>
        <v>275</v>
      </c>
      <c r="BI70" s="97">
        <f ca="1">ROUNDUP(IF(race="Gnome",1,(1-MIN(TblMili[[#This Row],[Smithies]]*smithy_bonus,smithy_bonus_cap) + tech_3_5*TblTech[[#This Row],[3-5]] + tech_5_3*TblTech[[#This Row],[5-3]] + tech_5_5*TblTech[[#This Row],[5-5]]))*spec_dp_ore,0)</f>
        <v>15</v>
      </c>
      <c r="BJ70" s="97">
        <f ca="1">ROUNDUP((1-MIN(TblMili[[#This Row],[Smithies]]*smithy_bonus,smithy_bonus_cap) + tech_3_5*TblTech[[#This Row],[3-5]] + tech_5_3*TblTech[[#This Row],[5-3]] + tech_5_5*TblTech[[#This Row],[5-5]])*elite1_plat,0)</f>
        <v>1000</v>
      </c>
      <c r="BK70" s="97">
        <f ca="1">ROUNDUP(IF(race="Gnome",1,(1-MIN(TblMili[[#This Row],[Smithies]]*smithy_bonus,smithy_bonus_cap) + tech_3_5*TblTech[[#This Row],[3-5]] + tech_5_3*TblTech[[#This Row],[5-3]] + tech_5_5*TblTech[[#This Row],[5-5]]))*elite1_ore,0)</f>
        <v>75</v>
      </c>
      <c r="BL70" s="97">
        <f ca="1">ROUNDUP((1-MIN(TblMili[[#This Row],[Smithies]]*smithy_bonus,smithy_bonus_cap) + tech_3_5*TblTech[[#This Row],[3-5]] + tech_5_3*TblTech[[#This Row],[5-3]] + tech_5_5*TblTech[[#This Row],[5-5]])*elite2_plat,0)</f>
        <v>1200</v>
      </c>
      <c r="BM70" s="97">
        <f ca="1">ROUNDUP(IF(race="Gnome",1,(1-MIN(TblMili[[#This Row],[Smithies]]*smithy_bonus,smithy_bonus_cap) + tech_3_5*TblTech[[#This Row],[3-5]] + tech_5_3*TblTech[[#This Row],[5-3]] + tech_5_5*TblTech[[#This Row],[5-5]]))*elite2_ore,0)</f>
        <v>100</v>
      </c>
      <c r="BN70" s="97">
        <f ca="1">ROUNDUP((1-MIN(ROUND(fh_spy_cost_red*TblMili[[#This Row],[FH''s]],4),fh_spy_cost_cap)+ tech_1_9*TblTech[[#This Row],[1-9]] + tech_9_1*TblTech[[#This Row],[9-1]])*spy_plat,0)</f>
        <v>500</v>
      </c>
      <c r="BO70" s="97">
        <f ca="1">ROUNDUP((1-MIN(ROUND(wg_wiz_cost_bonus*TblMili[[#This Row],[WG''s]],4),wg_wiz_cost_cap) + tech_1_9_2*TblTech[[#This Row],[1-9]] + tech_9_1_2*TblTech[[#This Row],[9-1]])*wizard_plat,0)</f>
        <v>500</v>
      </c>
      <c r="BP70" s="97">
        <f ca="1">ROUNDUP((1-MIN(ROUND(wg_wiz_cost_bonus*TblMili[[#This Row],[WG''s]],4),wg_wiz_cost_cap) + tech_1_9_2*TblTech[[#This Row],[1-9]] + tech_9_1_2*TblTech[[#This Row],[9-1]])*archmage_plat,0)</f>
        <v>1000</v>
      </c>
      <c r="BQ70" s="150"/>
      <c r="BR70" s="165">
        <f ca="1">TblConstr[[#This Row],[Homeland]]/TblConstr[[#This Row],[Land]]</f>
        <v>0.44</v>
      </c>
      <c r="BS70" s="165">
        <f ca="1">TblMili[[#This Row],[WG''s]]</f>
        <v>0</v>
      </c>
      <c r="BT70" s="271">
        <f ca="1">IF(mystic_cap="none",TblMili[[#This Row],[Hill]]/mystic_bonus,MIN(mystic_cap,TblMili[[#This Row],[Hill]]/mystic_bonus))</f>
        <v>2.1999999999999997</v>
      </c>
      <c r="BU70" s="271">
        <f ca="1">IF(druid_op_cap="none",TblMili[[#This Row],[Hill]]/druid_op_bonus,MIN(druid_op_cap,TblMili[[#This Row],[Hill]]/druid_op_bonus))</f>
        <v>2.1999999999999997</v>
      </c>
      <c r="BV70" s="271">
        <f ca="1">IF(druid_dp_cap="none",TblMili[[#This Row],[Hill]]/druid_dp_bonus,MIN(druid_dp_cap,TblMili[[#This Row],[Hill]]/druid_dp_bonus))</f>
        <v>2.1999999999999997</v>
      </c>
      <c r="BW70" s="271">
        <f ca="1">MIN(dryad_cap,TblMili[[#This Row],[Hill]]/dryad_bonus)</f>
        <v>2.1999999999999997</v>
      </c>
      <c r="BX70" s="271">
        <f ca="1">MIN(rocka_cap,TblMili[[#This Row],[Hill]]/rocka_bonus)</f>
        <v>2</v>
      </c>
      <c r="BY70" s="271">
        <f ca="1">MIN(adept_op_cap,TblMili[[#This Row],[WG]]/adept_op_bonus)</f>
        <v>0</v>
      </c>
      <c r="BZ70" s="271">
        <f ca="1">MIN(adept_dp_cap,TblMili[[#This Row],[WG]]/adept_dp_bonus)</f>
        <v>0</v>
      </c>
      <c r="CA70" s="97">
        <f ca="1">MIN(TblMili[[#This Row],[Unit 3]],TblMili[[#This Row],[Unit 4]])*2</f>
        <v>0</v>
      </c>
      <c r="CB70" s="97">
        <f ca="1">MIN(TblMili[[#This Row],[Unit 1]],TblMili[[#This Row],[Unit 4]])*2</f>
        <v>0</v>
      </c>
      <c r="CC70" s="271">
        <f ca="1">MIN(frost_mage_cap,TblMili[[#This Row],[Hill]]/frost_mage_bonus)</f>
        <v>2.1999999999999997</v>
      </c>
      <c r="CD70" s="45">
        <f ca="1">MIN(ice_elem_cap,TblMili[[#This Row],[Raw (2)]]*ice_elem_bonus)</f>
        <v>0.1</v>
      </c>
      <c r="CE70" s="271">
        <f t="shared" si="3"/>
        <v>1</v>
      </c>
      <c r="CF70" s="271">
        <f ca="1">MIN(nox_nightshade_cap,TblConstr[[#This Row],[Homeland]]/TblConstr[[#This Row],[Land]]/nox_nightshade_swamp_bonus)</f>
        <v>3</v>
      </c>
      <c r="CG70" s="272"/>
      <c r="CH70" s="272"/>
      <c r="CI70" s="272"/>
      <c r="CJ70" s="271">
        <f ca="1">MIN(6,TblMili[[#This Row],[Mystic]]+Races!$F$19)*1.8 +  IF(TblMili[[#This Row],[Mystic]]+Races!$F$19&gt;6,(TblMili[[#This Row],[Mystic]]+Races!$F$19-6)*0.2,0) - Races!$I$19</f>
        <v>3.6399999999999997</v>
      </c>
      <c r="CK7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97">
        <f ca="1">TblMili[[#This Row],[Mystic bonus]]*TblMili[[#This Row],[Unit 3]]+TblMili[[#This Row],[Druid bonus]]*TblMili[[#This Row],[Unit 4]]</f>
        <v>0</v>
      </c>
      <c r="CM70" s="163">
        <f ca="1">MIN(6,TblMili[[#This Row],[Dryad]]+Races!$F$35)*1.8 +  IF(TblMili[[#This Row],[Dryad]]+Races!$F$35&gt;6,(TblMili[[#This Row],[Dryad]]+Races!$F$35-6)*0.2,0) - Races!$I$19</f>
        <v>2.1599999999999993</v>
      </c>
      <c r="CN70" s="97">
        <f ca="1">sylvan*(TblMili[[#This Row],[Mystic bonus]]*TblMili[[#This Row],[Unit 3]])</f>
        <v>0</v>
      </c>
      <c r="CO70" s="163">
        <f ca="1">1.8 * MIN(MAX(Races!$E$27,TblMili[[#This Row],[Rockapult]]+Races!$F$27),6)  +  0.45 * MIN(MIN(Races!$E$27,TblMili[[#This Row],[Rockapult]]+Races!$F$27),6)  +  0.2 * ( MAX(Races!$E$27-6,0) + MAX(TblMili[[#This Row],[Rockapult]]+Races!$F$27-6,0) )  -  Races!$I$20</f>
        <v>5.8500000000000005</v>
      </c>
      <c r="CP70" s="97">
        <f ca="1">gnome*(TblMili[[#This Row],[Rockapult bonus]]*TblMili[[#This Row],[Unit 3]])</f>
        <v>0</v>
      </c>
      <c r="CQ70" s="163">
        <f ca="1">1.8 * MIN(MAX(TblMili[[#This Row],[Spellblade]]+Races!$E$47,TblMili[[#This Row],[Adept-DP]]+Races!$F$47),6)  +  0.45 * MIN(MIN(TblMili[[#This Row],[Spellblade]]+Races!$E$47,TblMili[[#This Row],[Adept-DP]]+Races!$F$47),6)  +  0.2 * ( MAX(TblMili[[#This Row],[Spellblade]]+Races!$E$47-6,0) + MAX(TblMili[[#This Row],[Adept-DP]]+Races!$F$47-6,0) )  -  Races!$I$47</f>
        <v>0</v>
      </c>
      <c r="CR70" s="97">
        <f ca="1">dark_elf*(TblMili[[#This Row],[Adept bonus]]*TblMili[[#This Row],[Unit 3]])</f>
        <v>0</v>
      </c>
      <c r="CS70" s="163">
        <f ca="1">1.8 * MIN(MAX(TblMili[[#This Row],[Frost Mage]]+Races!$F$71,Races!$E$71),6)  +  0.45 * MIN(MIN(TblMili[[#This Row],[Frost Mage]]+Races!$F$71,Races!$E$71),6)  +  0.2 * ( MAX(TblMili[[#This Row],[Frost Mage]]+Races!$F$71-6,0) + MAX(Races!$E$71-6,0) )  -  Races!$I$71</f>
        <v>3.9599999999999991</v>
      </c>
      <c r="CT70" s="163">
        <f ca="1">1.8 * MIN(MAX(TblMili[[#This Row],[Ice Elemental]]+Races!$E$71,Races!$F$71),6)  +  0.45 * MIN(MIN(TblMili[[#This Row],[Ice Elemental]]+Races!$E$71,Races!$F$71),6)  +  0.2 * ( MAX(TblMili[[#This Row],[Ice Elemental]]+Races!$E$71-6,0) + MAX(Races!$F$71-6,0) )  -  Races!$I$71</f>
        <v>0.17999999999999972</v>
      </c>
      <c r="CU70" s="97">
        <f ca="1">TblMili[[#This Row],[Frost Mage bonus]]*TblMili[[#This Row],[Unit 3]]+TblMili[[#This Row],[Ice Elemental bonus]]*TblMili[[#This Row],[Unit 4]]</f>
        <v>0</v>
      </c>
      <c r="CV70" s="273"/>
      <c r="CW70" s="151">
        <f ca="1">MIN(SUM(TblConstr[[#This Row],[Plain]:[Water]])/TblMili[[#This Row],[Land]]/favorable_terrain_bonus/100,favorable_terrain_max)</f>
        <v>0.1</v>
      </c>
      <c r="CX70" s="273"/>
      <c r="CY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50"/>
      <c r="DA70" s="274">
        <f ca="1">(TblMili[[#This Row],[Wizards]]+2*TblMili[[#This Row],[Archmages]])/TblConstr[[#This Row],[Land]]</f>
        <v>0.1</v>
      </c>
      <c r="DB70" s="274">
        <f ca="1">TblMili[[#This Row],[Raw (2)]]*(1+race_wizard_strength+IF(TblMili[[#This Row],[Hour]]&gt;72,tech_magical_weaponry_wiz*TblTech[[#This Row],[3-5]],0))</f>
        <v>0.1</v>
      </c>
    </row>
    <row r="71" spans="1:106" x14ac:dyDescent="0.2">
      <c r="A71" s="145">
        <f>TblRezone[[#This Row],[Hour]]</f>
        <v>68</v>
      </c>
      <c r="B71" s="266">
        <f ca="1">SUM(TblMili[[#This Row],[Unit 1]:[Archmages]])+SUM(OFFSET(TblMili[[#This Row],[Train Unit 1]],-8,0):TblMili[[#This Row],[Train Unit 2]]) + SUM(OFFSET(TblMili[[#This Row],[Train Unit 3]],-11,0):TblMili[[#This Row],[Train Arch]]) + TblMili[[#This Row],[Draftees]]</f>
        <v>826</v>
      </c>
      <c r="C71" s="165">
        <f ca="1">TblPop[[#This Row],[Military%]]</f>
        <v>0.35029686174724345</v>
      </c>
      <c r="D71" s="150"/>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f>
        <v>25</v>
      </c>
      <c r="J71" s="45">
        <f ca="1">OFFSET(TblMili[[#This Row],[Wizards]],-1,0) + OFFSET(TblMili[[#This Row],[Train Wiz]],-12,0) - TblMili[[#This Row],[Release Wizards]]-TblMili[[#This Row],[Train Arch]]</f>
        <v>25</v>
      </c>
      <c r="K71" s="45">
        <f ca="1">OFFSET(TblMili[[#This Row],[Archmages]],-1,0) + OFFSET(TblMili[[#This Row],[Train Arch]],-12,0) - TblMili[[#This Row],[Release Arch]]</f>
        <v>0</v>
      </c>
      <c r="L71" s="150"/>
      <c r="M71" s="97">
        <f ca="1">TblProd[[#This Row],[Networth]]</f>
        <v>6450</v>
      </c>
      <c r="N71" s="150"/>
      <c r="O71" s="267">
        <f ca="1">TblMili[[#This Row],[Unit 1]]*spec_op+TblMili[[#This Row],[Unit 3]]*(elite1_base_op)+TblMili[[#This Row],[Unit 4]]*(elite2_base_op+dark_elf*TblMili[[#This Row],[Spellblade]]+icekin*TblMili[[#This Row],[Ice Elemental]]+woodie*TblMili[[#This Row],[Druid (op)]]+orc*TblMili[[#This Row],[Orc]])+kobold*TblMili[[#This Row],[Overlords]]</f>
        <v>0</v>
      </c>
      <c r="P7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1" s="267">
        <f ca="1">TblMili[[#This Row],[Raw]]*(1+TblMili[[#This Row],[Mods_Off]])</f>
        <v>0</v>
      </c>
      <c r="R7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1" s="267">
        <f ca="1">TblMili[[#This Row],[Non Draft]]+TblMili[[#This Row],[Draftees]]</f>
        <v>1076</v>
      </c>
      <c r="T7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269">
        <f ca="1">TblMili[[#This Row],[Non Draft]] * (1 + TblMili[[#This Row],[Mods_Def]])</f>
        <v>450</v>
      </c>
      <c r="V71" s="267">
        <f ca="1">TblMili[[#This Row],[Draft]] * (1 + TblMili[[#This Row],[Mods_Def]])</f>
        <v>1076</v>
      </c>
      <c r="W71" s="267">
        <f ca="1">TblConstr[[#This Row],[Land]]</f>
        <v>250</v>
      </c>
      <c r="X71" s="270"/>
      <c r="Y71" s="275">
        <f ca="1">IF(TblMili[[#This Row],[Set]]&lt;&gt;"",TblMili[[#This Row],[Set]],OFFSET(TblMili[[#This Row],[Draftrate]],-1,0))</f>
        <v>0.35</v>
      </c>
      <c r="Z71" s="97">
        <f ca="1">OFFSET(TblMili[[#This Row],[Draftees]],-1,0)+OFFSET(TblPop[[#This Row],[Draft Growth]],-1,0) - SUM(TblMili[[#This Row],[Train Unit 1]:[Train Wiz]]) - TblMili[[#This Row],[Release Draft]] + SUM(TblMili[[#This Row],[Release Unit 1]:[Release Arch]]) -TblExplore[[#This Row],[Draftees (2)]]</f>
        <v>626</v>
      </c>
      <c r="AA71" s="162"/>
      <c r="AB71" s="188">
        <f ca="1">(TblConstr[[#This Row],[Tot Smi]]+TblConstr[[#This Row],[Dest Smi]])/(TblConstr[[#This Row],[Land]]-TblExplore[[#This Row],[Land Bonus]]*20)</f>
        <v>0</v>
      </c>
      <c r="AC71" s="145"/>
      <c r="AD71" s="266">
        <f>TblMili[[#This Row],[Hour]]</f>
        <v>68</v>
      </c>
      <c r="AE71" s="146">
        <f ca="1">TblExplore[[#This Row],[Time]]</f>
        <v>44813.541666666504</v>
      </c>
      <c r="AF71" s="187"/>
      <c r="AG71" s="166"/>
      <c r="AH71" s="187"/>
      <c r="AI71" s="187"/>
      <c r="AJ71" s="187"/>
      <c r="AK71" s="187"/>
      <c r="AL71" s="187"/>
      <c r="AM71" s="150"/>
      <c r="AN71" s="97">
        <f ca="1">TblProd[[#This Row],[Platinum]]</f>
        <v>468440</v>
      </c>
      <c r="AO71" s="97">
        <f ca="1">INDEX(TblProd[[#Headers],[Lumber]]:TblProd[[#This Row],[Ore]],COUNTA(TblProd[[#Headers],[Lumber]]:TblProd[[#This Row],[Lumber]]),MATCH(Military!$AO$2,TblProd[[#Headers],[Lumber]:[Ore]],0))</f>
        <v>0</v>
      </c>
      <c r="AP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97">
        <f ca="1">TblMili[[#This Row],[Train Unit 1]]*TblMili[[#This Row],[OP Ore]]+TblMili[[#This Row],[Train Unit 2]]*TblMili[[#This Row],[DP Ore]]+TblMili[[#This Row],[Train Unit 3]]*TblMili[[#This Row],[E1 Ore]]+TblMili[[#This Row],[Train Unit 4]]*TblMili[[#This Row],[E2 Ore]]</f>
        <v>0</v>
      </c>
      <c r="AR71" s="150">
        <f>TblMili[[#This Row],[Hour]]</f>
        <v>68</v>
      </c>
      <c r="AS71" s="160">
        <f ca="1">TblMili[[#This Row],[Time]]</f>
        <v>44813.541666666504</v>
      </c>
      <c r="AT71" s="97">
        <f ca="1">TblMili[[#This Row],[Draftees]]</f>
        <v>626</v>
      </c>
      <c r="AU71" s="187"/>
      <c r="AV71" s="187"/>
      <c r="AW71" s="187"/>
      <c r="AX71" s="187"/>
      <c r="AY71" s="187"/>
      <c r="AZ71" s="187"/>
      <c r="BA71" s="187"/>
      <c r="BB71" s="187"/>
      <c r="BC71" s="150"/>
      <c r="BD71" s="165">
        <f ca="1">TblConstr[[#This Row],[Tot WG]]/TblConstr[[#This Row],[Land]]</f>
        <v>0</v>
      </c>
      <c r="BE71" s="165">
        <f ca="1">TblConstr[[#This Row],[Tot Hav]]/TblConstr[[#This Row],[Land]]</f>
        <v>0</v>
      </c>
      <c r="BF71" s="97">
        <f ca="1">ROUNDUP((1-MIN(TblMili[[#This Row],[Smithies]]*smithy_bonus,smithy_bonus_cap) + tech_3_5*TblTech[[#This Row],[3-5]] + tech_5_3*TblTech[[#This Row],[5-3]] + tech_5_5*TblTech[[#This Row],[5-5]])*spec_op_plat,0)</f>
        <v>275</v>
      </c>
      <c r="BG71" s="97">
        <f ca="1">ROUNDUP(IF(race="Gnome",1,(1-MIN(TblMili[[#This Row],[Smithies]]*smithy_bonus,smithy_bonus_cap) + tech_3_5*TblTech[[#This Row],[3-5]] + tech_5_3*TblTech[[#This Row],[5-3]] + tech_5_5*TblTech[[#This Row],[5-5]]))*spec_op_ore,0)</f>
        <v>25</v>
      </c>
      <c r="BH71" s="97">
        <f ca="1">ROUNDUP((1-MIN(TblMili[[#This Row],[Smithies]]*smithy_bonus,smithy_bonus_cap) + tech_3_5*TblTech[[#This Row],[3-5]] + tech_5_3*TblTech[[#This Row],[5-3]] + tech_5_5*TblTech[[#This Row],[5-5]])*spec_dp_plat,0)</f>
        <v>275</v>
      </c>
      <c r="BI71" s="97">
        <f ca="1">ROUNDUP(IF(race="Gnome",1,(1-MIN(TblMili[[#This Row],[Smithies]]*smithy_bonus,smithy_bonus_cap) + tech_3_5*TblTech[[#This Row],[3-5]] + tech_5_3*TblTech[[#This Row],[5-3]] + tech_5_5*TblTech[[#This Row],[5-5]]))*spec_dp_ore,0)</f>
        <v>15</v>
      </c>
      <c r="BJ71" s="97">
        <f ca="1">ROUNDUP((1-MIN(TblMili[[#This Row],[Smithies]]*smithy_bonus,smithy_bonus_cap) + tech_3_5*TblTech[[#This Row],[3-5]] + tech_5_3*TblTech[[#This Row],[5-3]] + tech_5_5*TblTech[[#This Row],[5-5]])*elite1_plat,0)</f>
        <v>1000</v>
      </c>
      <c r="BK71" s="97">
        <f ca="1">ROUNDUP(IF(race="Gnome",1,(1-MIN(TblMili[[#This Row],[Smithies]]*smithy_bonus,smithy_bonus_cap) + tech_3_5*TblTech[[#This Row],[3-5]] + tech_5_3*TblTech[[#This Row],[5-3]] + tech_5_5*TblTech[[#This Row],[5-5]]))*elite1_ore,0)</f>
        <v>75</v>
      </c>
      <c r="BL71" s="97">
        <f ca="1">ROUNDUP((1-MIN(TblMili[[#This Row],[Smithies]]*smithy_bonus,smithy_bonus_cap) + tech_3_5*TblTech[[#This Row],[3-5]] + tech_5_3*TblTech[[#This Row],[5-3]] + tech_5_5*TblTech[[#This Row],[5-5]])*elite2_plat,0)</f>
        <v>1200</v>
      </c>
      <c r="BM71" s="97">
        <f ca="1">ROUNDUP(IF(race="Gnome",1,(1-MIN(TblMili[[#This Row],[Smithies]]*smithy_bonus,smithy_bonus_cap) + tech_3_5*TblTech[[#This Row],[3-5]] + tech_5_3*TblTech[[#This Row],[5-3]] + tech_5_5*TblTech[[#This Row],[5-5]]))*elite2_ore,0)</f>
        <v>100</v>
      </c>
      <c r="BN71" s="97">
        <f ca="1">ROUNDUP((1-MIN(ROUND(fh_spy_cost_red*TblMili[[#This Row],[FH''s]],4),fh_spy_cost_cap)+ tech_1_9*TblTech[[#This Row],[1-9]] + tech_9_1*TblTech[[#This Row],[9-1]])*spy_plat,0)</f>
        <v>500</v>
      </c>
      <c r="BO71" s="97">
        <f ca="1">ROUNDUP((1-MIN(ROUND(wg_wiz_cost_bonus*TblMili[[#This Row],[WG''s]],4),wg_wiz_cost_cap) + tech_1_9_2*TblTech[[#This Row],[1-9]] + tech_9_1_2*TblTech[[#This Row],[9-1]])*wizard_plat,0)</f>
        <v>500</v>
      </c>
      <c r="BP71" s="97">
        <f ca="1">ROUNDUP((1-MIN(ROUND(wg_wiz_cost_bonus*TblMili[[#This Row],[WG''s]],4),wg_wiz_cost_cap) + tech_1_9_2*TblTech[[#This Row],[1-9]] + tech_9_1_2*TblTech[[#This Row],[9-1]])*archmage_plat,0)</f>
        <v>1000</v>
      </c>
      <c r="BQ71" s="150"/>
      <c r="BR71" s="165">
        <f ca="1">TblConstr[[#This Row],[Homeland]]/TblConstr[[#This Row],[Land]]</f>
        <v>0.44</v>
      </c>
      <c r="BS71" s="165">
        <f ca="1">TblMili[[#This Row],[WG''s]]</f>
        <v>0</v>
      </c>
      <c r="BT71" s="271">
        <f ca="1">IF(mystic_cap="none",TblMili[[#This Row],[Hill]]/mystic_bonus,MIN(mystic_cap,TblMili[[#This Row],[Hill]]/mystic_bonus))</f>
        <v>2.1999999999999997</v>
      </c>
      <c r="BU71" s="271">
        <f ca="1">IF(druid_op_cap="none",TblMili[[#This Row],[Hill]]/druid_op_bonus,MIN(druid_op_cap,TblMili[[#This Row],[Hill]]/druid_op_bonus))</f>
        <v>2.1999999999999997</v>
      </c>
      <c r="BV71" s="271">
        <f ca="1">IF(druid_dp_cap="none",TblMili[[#This Row],[Hill]]/druid_dp_bonus,MIN(druid_dp_cap,TblMili[[#This Row],[Hill]]/druid_dp_bonus))</f>
        <v>2.1999999999999997</v>
      </c>
      <c r="BW71" s="271">
        <f ca="1">MIN(dryad_cap,TblMili[[#This Row],[Hill]]/dryad_bonus)</f>
        <v>2.1999999999999997</v>
      </c>
      <c r="BX71" s="271">
        <f ca="1">MIN(rocka_cap,TblMili[[#This Row],[Hill]]/rocka_bonus)</f>
        <v>2</v>
      </c>
      <c r="BY71" s="271">
        <f ca="1">MIN(adept_op_cap,TblMili[[#This Row],[WG]]/adept_op_bonus)</f>
        <v>0</v>
      </c>
      <c r="BZ71" s="271">
        <f ca="1">MIN(adept_dp_cap,TblMili[[#This Row],[WG]]/adept_dp_bonus)</f>
        <v>0</v>
      </c>
      <c r="CA71" s="97">
        <f ca="1">MIN(TblMili[[#This Row],[Unit 3]],TblMili[[#This Row],[Unit 4]])*2</f>
        <v>0</v>
      </c>
      <c r="CB71" s="97">
        <f ca="1">MIN(TblMili[[#This Row],[Unit 1]],TblMili[[#This Row],[Unit 4]])*2</f>
        <v>0</v>
      </c>
      <c r="CC71" s="271">
        <f ca="1">MIN(frost_mage_cap,TblMili[[#This Row],[Hill]]/frost_mage_bonus)</f>
        <v>2.1999999999999997</v>
      </c>
      <c r="CD71" s="45">
        <f ca="1">MIN(ice_elem_cap,TblMili[[#This Row],[Raw (2)]]*ice_elem_bonus)</f>
        <v>0.1</v>
      </c>
      <c r="CE71" s="271">
        <f t="shared" si="3"/>
        <v>1</v>
      </c>
      <c r="CF71" s="271">
        <f ca="1">MIN(nox_nightshade_cap,TblConstr[[#This Row],[Homeland]]/TblConstr[[#This Row],[Land]]/nox_nightshade_swamp_bonus)</f>
        <v>3</v>
      </c>
      <c r="CG71" s="272"/>
      <c r="CH71" s="272"/>
      <c r="CI71" s="272"/>
      <c r="CJ71" s="271">
        <f ca="1">MIN(6,TblMili[[#This Row],[Mystic]]+Races!$F$19)*1.8 +  IF(TblMili[[#This Row],[Mystic]]+Races!$F$19&gt;6,(TblMili[[#This Row],[Mystic]]+Races!$F$19-6)*0.2,0) - Races!$I$19</f>
        <v>3.6399999999999997</v>
      </c>
      <c r="CK7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97">
        <f ca="1">TblMili[[#This Row],[Mystic bonus]]*TblMili[[#This Row],[Unit 3]]+TblMili[[#This Row],[Druid bonus]]*TblMili[[#This Row],[Unit 4]]</f>
        <v>0</v>
      </c>
      <c r="CM71" s="163">
        <f ca="1">MIN(6,TblMili[[#This Row],[Dryad]]+Races!$F$35)*1.8 +  IF(TblMili[[#This Row],[Dryad]]+Races!$F$35&gt;6,(TblMili[[#This Row],[Dryad]]+Races!$F$35-6)*0.2,0) - Races!$I$19</f>
        <v>2.1599999999999993</v>
      </c>
      <c r="CN71" s="97">
        <f ca="1">sylvan*(TblMili[[#This Row],[Mystic bonus]]*TblMili[[#This Row],[Unit 3]])</f>
        <v>0</v>
      </c>
      <c r="CO71" s="163">
        <f ca="1">1.8 * MIN(MAX(Races!$E$27,TblMili[[#This Row],[Rockapult]]+Races!$F$27),6)  +  0.45 * MIN(MIN(Races!$E$27,TblMili[[#This Row],[Rockapult]]+Races!$F$27),6)  +  0.2 * ( MAX(Races!$E$27-6,0) + MAX(TblMili[[#This Row],[Rockapult]]+Races!$F$27-6,0) )  -  Races!$I$20</f>
        <v>5.8500000000000005</v>
      </c>
      <c r="CP71" s="97">
        <f ca="1">gnome*(TblMili[[#This Row],[Rockapult bonus]]*TblMili[[#This Row],[Unit 3]])</f>
        <v>0</v>
      </c>
      <c r="CQ71" s="163">
        <f ca="1">1.8 * MIN(MAX(TblMili[[#This Row],[Spellblade]]+Races!$E$47,TblMili[[#This Row],[Adept-DP]]+Races!$F$47),6)  +  0.45 * MIN(MIN(TblMili[[#This Row],[Spellblade]]+Races!$E$47,TblMili[[#This Row],[Adept-DP]]+Races!$F$47),6)  +  0.2 * ( MAX(TblMili[[#This Row],[Spellblade]]+Races!$E$47-6,0) + MAX(TblMili[[#This Row],[Adept-DP]]+Races!$F$47-6,0) )  -  Races!$I$47</f>
        <v>0</v>
      </c>
      <c r="CR71" s="97">
        <f ca="1">dark_elf*(TblMili[[#This Row],[Adept bonus]]*TblMili[[#This Row],[Unit 3]])</f>
        <v>0</v>
      </c>
      <c r="CS71" s="163">
        <f ca="1">1.8 * MIN(MAX(TblMili[[#This Row],[Frost Mage]]+Races!$F$71,Races!$E$71),6)  +  0.45 * MIN(MIN(TblMili[[#This Row],[Frost Mage]]+Races!$F$71,Races!$E$71),6)  +  0.2 * ( MAX(TblMili[[#This Row],[Frost Mage]]+Races!$F$71-6,0) + MAX(Races!$E$71-6,0) )  -  Races!$I$71</f>
        <v>3.9599999999999991</v>
      </c>
      <c r="CT71" s="163">
        <f ca="1">1.8 * MIN(MAX(TblMili[[#This Row],[Ice Elemental]]+Races!$E$71,Races!$F$71),6)  +  0.45 * MIN(MIN(TblMili[[#This Row],[Ice Elemental]]+Races!$E$71,Races!$F$71),6)  +  0.2 * ( MAX(TblMili[[#This Row],[Ice Elemental]]+Races!$E$71-6,0) + MAX(Races!$F$71-6,0) )  -  Races!$I$71</f>
        <v>0.17999999999999972</v>
      </c>
      <c r="CU71" s="97">
        <f ca="1">TblMili[[#This Row],[Frost Mage bonus]]*TblMili[[#This Row],[Unit 3]]+TblMili[[#This Row],[Ice Elemental bonus]]*TblMili[[#This Row],[Unit 4]]</f>
        <v>0</v>
      </c>
      <c r="CV71" s="273"/>
      <c r="CW71" s="151">
        <f ca="1">MIN(SUM(TblConstr[[#This Row],[Plain]:[Water]])/TblMili[[#This Row],[Land]]/favorable_terrain_bonus/100,favorable_terrain_max)</f>
        <v>0.1</v>
      </c>
      <c r="CX71" s="273"/>
      <c r="CY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50"/>
      <c r="DA71" s="274">
        <f ca="1">(TblMili[[#This Row],[Wizards]]+2*TblMili[[#This Row],[Archmages]])/TblConstr[[#This Row],[Land]]</f>
        <v>0.1</v>
      </c>
      <c r="DB71" s="274">
        <f ca="1">TblMili[[#This Row],[Raw (2)]]*(1+race_wizard_strength+IF(TblMili[[#This Row],[Hour]]&gt;72,tech_magical_weaponry_wiz*TblTech[[#This Row],[3-5]],0))</f>
        <v>0.1</v>
      </c>
    </row>
    <row r="72" spans="1:106" x14ac:dyDescent="0.2">
      <c r="A72" s="145">
        <f>TblRezone[[#This Row],[Hour]]</f>
        <v>69</v>
      </c>
      <c r="B72" s="266">
        <f ca="1">SUM(TblMili[[#This Row],[Unit 1]:[Archmages]])+SUM(OFFSET(TblMili[[#This Row],[Train Unit 1]],-8,0):TblMili[[#This Row],[Train Unit 2]]) + SUM(OFFSET(TblMili[[#This Row],[Train Unit 3]],-11,0):TblMili[[#This Row],[Train Arch]]) + TblMili[[#This Row],[Draftees]]</f>
        <v>826</v>
      </c>
      <c r="C72" s="165">
        <f ca="1">TblPop[[#This Row],[Military%]]</f>
        <v>0.35029686174724345</v>
      </c>
      <c r="D72" s="150"/>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f>
        <v>25</v>
      </c>
      <c r="J72" s="45">
        <f ca="1">OFFSET(TblMili[[#This Row],[Wizards]],-1,0) + OFFSET(TblMili[[#This Row],[Train Wiz]],-12,0) - TblMili[[#This Row],[Release Wizards]]-TblMili[[#This Row],[Train Arch]]</f>
        <v>25</v>
      </c>
      <c r="K72" s="45">
        <f ca="1">OFFSET(TblMili[[#This Row],[Archmages]],-1,0) + OFFSET(TblMili[[#This Row],[Train Arch]],-12,0) - TblMili[[#This Row],[Release Arch]]</f>
        <v>0</v>
      </c>
      <c r="L72" s="150"/>
      <c r="M72" s="97">
        <f ca="1">TblProd[[#This Row],[Networth]]</f>
        <v>6450</v>
      </c>
      <c r="N72" s="150"/>
      <c r="O72" s="267">
        <f ca="1">TblMili[[#This Row],[Unit 1]]*spec_op+TblMili[[#This Row],[Unit 3]]*(elite1_base_op)+TblMili[[#This Row],[Unit 4]]*(elite2_base_op+dark_elf*TblMili[[#This Row],[Spellblade]]+icekin*TblMili[[#This Row],[Ice Elemental]]+woodie*TblMili[[#This Row],[Druid (op)]]+orc*TblMili[[#This Row],[Orc]])+kobold*TblMili[[#This Row],[Overlords]]</f>
        <v>0</v>
      </c>
      <c r="P7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2" s="267">
        <f ca="1">TblMili[[#This Row],[Raw]]*(1+TblMili[[#This Row],[Mods_Off]])</f>
        <v>0</v>
      </c>
      <c r="R7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2" s="267">
        <f ca="1">TblMili[[#This Row],[Non Draft]]+TblMili[[#This Row],[Draftees]]</f>
        <v>1076</v>
      </c>
      <c r="T7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269">
        <f ca="1">TblMili[[#This Row],[Non Draft]] * (1 + TblMili[[#This Row],[Mods_Def]])</f>
        <v>450</v>
      </c>
      <c r="V72" s="267">
        <f ca="1">TblMili[[#This Row],[Draft]] * (1 + TblMili[[#This Row],[Mods_Def]])</f>
        <v>1076</v>
      </c>
      <c r="W72" s="267">
        <f ca="1">TblConstr[[#This Row],[Land]]</f>
        <v>250</v>
      </c>
      <c r="X72" s="270"/>
      <c r="Y72" s="275">
        <f ca="1">IF(TblMili[[#This Row],[Set]]&lt;&gt;"",TblMili[[#This Row],[Set]],OFFSET(TblMili[[#This Row],[Draftrate]],-1,0))</f>
        <v>0.35</v>
      </c>
      <c r="Z72" s="97">
        <f ca="1">OFFSET(TblMili[[#This Row],[Draftees]],-1,0)+OFFSET(TblPop[[#This Row],[Draft Growth]],-1,0) - SUM(TblMili[[#This Row],[Train Unit 1]:[Train Wiz]]) - TblMili[[#This Row],[Release Draft]] + SUM(TblMili[[#This Row],[Release Unit 1]:[Release Arch]]) -TblExplore[[#This Row],[Draftees (2)]]</f>
        <v>626</v>
      </c>
      <c r="AA72" s="162"/>
      <c r="AB72" s="188">
        <f ca="1">(TblConstr[[#This Row],[Tot Smi]]+TblConstr[[#This Row],[Dest Smi]])/(TblConstr[[#This Row],[Land]]-TblExplore[[#This Row],[Land Bonus]]*20)</f>
        <v>0</v>
      </c>
      <c r="AC72" s="145"/>
      <c r="AD72" s="266">
        <f>TblMili[[#This Row],[Hour]]</f>
        <v>69</v>
      </c>
      <c r="AE72" s="146">
        <f ca="1">TblExplore[[#This Row],[Time]]</f>
        <v>44813.583333333168</v>
      </c>
      <c r="AF72" s="187"/>
      <c r="AG72" s="187"/>
      <c r="AH72" s="187"/>
      <c r="AI72" s="187"/>
      <c r="AJ72" s="187"/>
      <c r="AK72" s="187"/>
      <c r="AL72" s="187"/>
      <c r="AM72" s="150"/>
      <c r="AN72" s="97">
        <f ca="1">TblProd[[#This Row],[Platinum]]</f>
        <v>473926</v>
      </c>
      <c r="AO72" s="97">
        <f ca="1">INDEX(TblProd[[#Headers],[Lumber]]:TblProd[[#This Row],[Ore]],COUNTA(TblProd[[#Headers],[Lumber]]:TblProd[[#This Row],[Lumber]]),MATCH(Military!$AO$2,TblProd[[#Headers],[Lumber]:[Ore]],0))</f>
        <v>0</v>
      </c>
      <c r="AP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97">
        <f ca="1">TblMili[[#This Row],[Train Unit 1]]*TblMili[[#This Row],[OP Ore]]+TblMili[[#This Row],[Train Unit 2]]*TblMili[[#This Row],[DP Ore]]+TblMili[[#This Row],[Train Unit 3]]*TblMili[[#This Row],[E1 Ore]]+TblMili[[#This Row],[Train Unit 4]]*TblMili[[#This Row],[E2 Ore]]</f>
        <v>0</v>
      </c>
      <c r="AR72" s="150">
        <f>TblMili[[#This Row],[Hour]]</f>
        <v>69</v>
      </c>
      <c r="AS72" s="160">
        <f ca="1">TblMili[[#This Row],[Time]]</f>
        <v>44813.583333333168</v>
      </c>
      <c r="AT72" s="97">
        <f ca="1">TblMili[[#This Row],[Draftees]]</f>
        <v>626</v>
      </c>
      <c r="AU72" s="187"/>
      <c r="AV72" s="187"/>
      <c r="AW72" s="187"/>
      <c r="AX72" s="187"/>
      <c r="AY72" s="187"/>
      <c r="AZ72" s="187"/>
      <c r="BA72" s="187"/>
      <c r="BB72" s="187"/>
      <c r="BC72" s="150"/>
      <c r="BD72" s="165">
        <f ca="1">TblConstr[[#This Row],[Tot WG]]/TblConstr[[#This Row],[Land]]</f>
        <v>0</v>
      </c>
      <c r="BE72" s="165">
        <f ca="1">TblConstr[[#This Row],[Tot Hav]]/TblConstr[[#This Row],[Land]]</f>
        <v>0</v>
      </c>
      <c r="BF72" s="97">
        <f ca="1">ROUNDUP((1-MIN(TblMili[[#This Row],[Smithies]]*smithy_bonus,smithy_bonus_cap) + tech_3_5*TblTech[[#This Row],[3-5]] + tech_5_3*TblTech[[#This Row],[5-3]] + tech_5_5*TblTech[[#This Row],[5-5]])*spec_op_plat,0)</f>
        <v>275</v>
      </c>
      <c r="BG72" s="97">
        <f ca="1">ROUNDUP(IF(race="Gnome",1,(1-MIN(TblMili[[#This Row],[Smithies]]*smithy_bonus,smithy_bonus_cap) + tech_3_5*TblTech[[#This Row],[3-5]] + tech_5_3*TblTech[[#This Row],[5-3]] + tech_5_5*TblTech[[#This Row],[5-5]]))*spec_op_ore,0)</f>
        <v>25</v>
      </c>
      <c r="BH72" s="97">
        <f ca="1">ROUNDUP((1-MIN(TblMili[[#This Row],[Smithies]]*smithy_bonus,smithy_bonus_cap) + tech_3_5*TblTech[[#This Row],[3-5]] + tech_5_3*TblTech[[#This Row],[5-3]] + tech_5_5*TblTech[[#This Row],[5-5]])*spec_dp_plat,0)</f>
        <v>275</v>
      </c>
      <c r="BI72" s="97">
        <f ca="1">ROUNDUP(IF(race="Gnome",1,(1-MIN(TblMili[[#This Row],[Smithies]]*smithy_bonus,smithy_bonus_cap) + tech_3_5*TblTech[[#This Row],[3-5]] + tech_5_3*TblTech[[#This Row],[5-3]] + tech_5_5*TblTech[[#This Row],[5-5]]))*spec_dp_ore,0)</f>
        <v>15</v>
      </c>
      <c r="BJ72" s="97">
        <f ca="1">ROUNDUP((1-MIN(TblMili[[#This Row],[Smithies]]*smithy_bonus,smithy_bonus_cap) + tech_3_5*TblTech[[#This Row],[3-5]] + tech_5_3*TblTech[[#This Row],[5-3]] + tech_5_5*TblTech[[#This Row],[5-5]])*elite1_plat,0)</f>
        <v>1000</v>
      </c>
      <c r="BK72" s="97">
        <f ca="1">ROUNDUP(IF(race="Gnome",1,(1-MIN(TblMili[[#This Row],[Smithies]]*smithy_bonus,smithy_bonus_cap) + tech_3_5*TblTech[[#This Row],[3-5]] + tech_5_3*TblTech[[#This Row],[5-3]] + tech_5_5*TblTech[[#This Row],[5-5]]))*elite1_ore,0)</f>
        <v>75</v>
      </c>
      <c r="BL72" s="97">
        <f ca="1">ROUNDUP((1-MIN(TblMili[[#This Row],[Smithies]]*smithy_bonus,smithy_bonus_cap) + tech_3_5*TblTech[[#This Row],[3-5]] + tech_5_3*TblTech[[#This Row],[5-3]] + tech_5_5*TblTech[[#This Row],[5-5]])*elite2_plat,0)</f>
        <v>1200</v>
      </c>
      <c r="BM72" s="97">
        <f ca="1">ROUNDUP(IF(race="Gnome",1,(1-MIN(TblMili[[#This Row],[Smithies]]*smithy_bonus,smithy_bonus_cap) + tech_3_5*TblTech[[#This Row],[3-5]] + tech_5_3*TblTech[[#This Row],[5-3]] + tech_5_5*TblTech[[#This Row],[5-5]]))*elite2_ore,0)</f>
        <v>100</v>
      </c>
      <c r="BN72" s="97">
        <f ca="1">ROUNDUP((1-MIN(ROUND(fh_spy_cost_red*TblMili[[#This Row],[FH''s]],4),fh_spy_cost_cap)+ tech_1_9*TblTech[[#This Row],[1-9]] + tech_9_1*TblTech[[#This Row],[9-1]])*spy_plat,0)</f>
        <v>500</v>
      </c>
      <c r="BO72" s="97">
        <f ca="1">ROUNDUP((1-MIN(ROUND(wg_wiz_cost_bonus*TblMili[[#This Row],[WG''s]],4),wg_wiz_cost_cap) + tech_1_9_2*TblTech[[#This Row],[1-9]] + tech_9_1_2*TblTech[[#This Row],[9-1]])*wizard_plat,0)</f>
        <v>500</v>
      </c>
      <c r="BP72" s="97">
        <f ca="1">ROUNDUP((1-MIN(ROUND(wg_wiz_cost_bonus*TblMili[[#This Row],[WG''s]],4),wg_wiz_cost_cap) + tech_1_9_2*TblTech[[#This Row],[1-9]] + tech_9_1_2*TblTech[[#This Row],[9-1]])*archmage_plat,0)</f>
        <v>1000</v>
      </c>
      <c r="BQ72" s="150"/>
      <c r="BR72" s="165">
        <f ca="1">TblConstr[[#This Row],[Homeland]]/TblConstr[[#This Row],[Land]]</f>
        <v>0.44</v>
      </c>
      <c r="BS72" s="165">
        <f ca="1">TblMili[[#This Row],[WG''s]]</f>
        <v>0</v>
      </c>
      <c r="BT72" s="271">
        <f ca="1">IF(mystic_cap="none",TblMili[[#This Row],[Hill]]/mystic_bonus,MIN(mystic_cap,TblMili[[#This Row],[Hill]]/mystic_bonus))</f>
        <v>2.1999999999999997</v>
      </c>
      <c r="BU72" s="271">
        <f ca="1">IF(druid_op_cap="none",TblMili[[#This Row],[Hill]]/druid_op_bonus,MIN(druid_op_cap,TblMili[[#This Row],[Hill]]/druid_op_bonus))</f>
        <v>2.1999999999999997</v>
      </c>
      <c r="BV72" s="271">
        <f ca="1">IF(druid_dp_cap="none",TblMili[[#This Row],[Hill]]/druid_dp_bonus,MIN(druid_dp_cap,TblMili[[#This Row],[Hill]]/druid_dp_bonus))</f>
        <v>2.1999999999999997</v>
      </c>
      <c r="BW72" s="271">
        <f ca="1">MIN(dryad_cap,TblMili[[#This Row],[Hill]]/dryad_bonus)</f>
        <v>2.1999999999999997</v>
      </c>
      <c r="BX72" s="271">
        <f ca="1">MIN(rocka_cap,TblMili[[#This Row],[Hill]]/rocka_bonus)</f>
        <v>2</v>
      </c>
      <c r="BY72" s="271">
        <f ca="1">MIN(adept_op_cap,TblMili[[#This Row],[WG]]/adept_op_bonus)</f>
        <v>0</v>
      </c>
      <c r="BZ72" s="271">
        <f ca="1">MIN(adept_dp_cap,TblMili[[#This Row],[WG]]/adept_dp_bonus)</f>
        <v>0</v>
      </c>
      <c r="CA72" s="97">
        <f ca="1">MIN(TblMili[[#This Row],[Unit 3]],TblMili[[#This Row],[Unit 4]])*2</f>
        <v>0</v>
      </c>
      <c r="CB72" s="97">
        <f ca="1">MIN(TblMili[[#This Row],[Unit 1]],TblMili[[#This Row],[Unit 4]])*2</f>
        <v>0</v>
      </c>
      <c r="CC72" s="271">
        <f ca="1">MIN(frost_mage_cap,TblMili[[#This Row],[Hill]]/frost_mage_bonus)</f>
        <v>2.1999999999999997</v>
      </c>
      <c r="CD72" s="45">
        <f ca="1">MIN(ice_elem_cap,TblMili[[#This Row],[Raw (2)]]*ice_elem_bonus)</f>
        <v>0.1</v>
      </c>
      <c r="CE72" s="271">
        <f t="shared" si="3"/>
        <v>1</v>
      </c>
      <c r="CF72" s="271">
        <f ca="1">MIN(nox_nightshade_cap,TblConstr[[#This Row],[Homeland]]/TblConstr[[#This Row],[Land]]/nox_nightshade_swamp_bonus)</f>
        <v>3</v>
      </c>
      <c r="CG72" s="272"/>
      <c r="CH72" s="272"/>
      <c r="CI72" s="272"/>
      <c r="CJ72" s="271">
        <f ca="1">MIN(6,TblMili[[#This Row],[Mystic]]+Races!$F$19)*1.8 +  IF(TblMili[[#This Row],[Mystic]]+Races!$F$19&gt;6,(TblMili[[#This Row],[Mystic]]+Races!$F$19-6)*0.2,0) - Races!$I$19</f>
        <v>3.6399999999999997</v>
      </c>
      <c r="CK7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97">
        <f ca="1">TblMili[[#This Row],[Mystic bonus]]*TblMili[[#This Row],[Unit 3]]+TblMili[[#This Row],[Druid bonus]]*TblMili[[#This Row],[Unit 4]]</f>
        <v>0</v>
      </c>
      <c r="CM72" s="163">
        <f ca="1">MIN(6,TblMili[[#This Row],[Dryad]]+Races!$F$35)*1.8 +  IF(TblMili[[#This Row],[Dryad]]+Races!$F$35&gt;6,(TblMili[[#This Row],[Dryad]]+Races!$F$35-6)*0.2,0) - Races!$I$19</f>
        <v>2.1599999999999993</v>
      </c>
      <c r="CN72" s="97">
        <f ca="1">sylvan*(TblMili[[#This Row],[Mystic bonus]]*TblMili[[#This Row],[Unit 3]])</f>
        <v>0</v>
      </c>
      <c r="CO72" s="163">
        <f ca="1">1.8 * MIN(MAX(Races!$E$27,TblMili[[#This Row],[Rockapult]]+Races!$F$27),6)  +  0.45 * MIN(MIN(Races!$E$27,TblMili[[#This Row],[Rockapult]]+Races!$F$27),6)  +  0.2 * ( MAX(Races!$E$27-6,0) + MAX(TblMili[[#This Row],[Rockapult]]+Races!$F$27-6,0) )  -  Races!$I$20</f>
        <v>5.8500000000000005</v>
      </c>
      <c r="CP72" s="97">
        <f ca="1">gnome*(TblMili[[#This Row],[Rockapult bonus]]*TblMili[[#This Row],[Unit 3]])</f>
        <v>0</v>
      </c>
      <c r="CQ72" s="163">
        <f ca="1">1.8 * MIN(MAX(TblMili[[#This Row],[Spellblade]]+Races!$E$47,TblMili[[#This Row],[Adept-DP]]+Races!$F$47),6)  +  0.45 * MIN(MIN(TblMili[[#This Row],[Spellblade]]+Races!$E$47,TblMili[[#This Row],[Adept-DP]]+Races!$F$47),6)  +  0.2 * ( MAX(TblMili[[#This Row],[Spellblade]]+Races!$E$47-6,0) + MAX(TblMili[[#This Row],[Adept-DP]]+Races!$F$47-6,0) )  -  Races!$I$47</f>
        <v>0</v>
      </c>
      <c r="CR72" s="97">
        <f ca="1">dark_elf*(TblMili[[#This Row],[Adept bonus]]*TblMili[[#This Row],[Unit 3]])</f>
        <v>0</v>
      </c>
      <c r="CS72" s="163">
        <f ca="1">1.8 * MIN(MAX(TblMili[[#This Row],[Frost Mage]]+Races!$F$71,Races!$E$71),6)  +  0.45 * MIN(MIN(TblMili[[#This Row],[Frost Mage]]+Races!$F$71,Races!$E$71),6)  +  0.2 * ( MAX(TblMili[[#This Row],[Frost Mage]]+Races!$F$71-6,0) + MAX(Races!$E$71-6,0) )  -  Races!$I$71</f>
        <v>3.9599999999999991</v>
      </c>
      <c r="CT72" s="163">
        <f ca="1">1.8 * MIN(MAX(TblMili[[#This Row],[Ice Elemental]]+Races!$E$71,Races!$F$71),6)  +  0.45 * MIN(MIN(TblMili[[#This Row],[Ice Elemental]]+Races!$E$71,Races!$F$71),6)  +  0.2 * ( MAX(TblMili[[#This Row],[Ice Elemental]]+Races!$E$71-6,0) + MAX(Races!$F$71-6,0) )  -  Races!$I$71</f>
        <v>0.17999999999999972</v>
      </c>
      <c r="CU72" s="97">
        <f ca="1">TblMili[[#This Row],[Frost Mage bonus]]*TblMili[[#This Row],[Unit 3]]+TblMili[[#This Row],[Ice Elemental bonus]]*TblMili[[#This Row],[Unit 4]]</f>
        <v>0</v>
      </c>
      <c r="CV72" s="273"/>
      <c r="CW72" s="151">
        <f ca="1">MIN(SUM(TblConstr[[#This Row],[Plain]:[Water]])/TblMili[[#This Row],[Land]]/favorable_terrain_bonus/100,favorable_terrain_max)</f>
        <v>0.1</v>
      </c>
      <c r="CX72" s="273"/>
      <c r="CY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50"/>
      <c r="DA72" s="274">
        <f ca="1">(TblMili[[#This Row],[Wizards]]+2*TblMili[[#This Row],[Archmages]])/TblConstr[[#This Row],[Land]]</f>
        <v>0.1</v>
      </c>
      <c r="DB72" s="274">
        <f ca="1">TblMili[[#This Row],[Raw (2)]]*(1+race_wizard_strength+IF(TblMili[[#This Row],[Hour]]&gt;72,tech_magical_weaponry_wiz*TblTech[[#This Row],[3-5]],0))</f>
        <v>0.1</v>
      </c>
    </row>
    <row r="73" spans="1:106" x14ac:dyDescent="0.2">
      <c r="A73" s="145">
        <f>TblRezone[[#This Row],[Hour]]</f>
        <v>70</v>
      </c>
      <c r="B73" s="266">
        <f ca="1">SUM(TblMili[[#This Row],[Unit 1]:[Archmages]])+SUM(OFFSET(TblMili[[#This Row],[Train Unit 1]],-8,0):TblMili[[#This Row],[Train Unit 2]]) + SUM(OFFSET(TblMili[[#This Row],[Train Unit 3]],-11,0):TblMili[[#This Row],[Train Arch]]) + TblMili[[#This Row],[Draftees]]</f>
        <v>826</v>
      </c>
      <c r="C73" s="165">
        <f ca="1">TblPop[[#This Row],[Military%]]</f>
        <v>0.35029686174724345</v>
      </c>
      <c r="D73" s="150"/>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f>
        <v>25</v>
      </c>
      <c r="J73" s="45">
        <f ca="1">OFFSET(TblMili[[#This Row],[Wizards]],-1,0) + OFFSET(TblMili[[#This Row],[Train Wiz]],-12,0) - TblMili[[#This Row],[Release Wizards]]-TblMili[[#This Row],[Train Arch]]</f>
        <v>25</v>
      </c>
      <c r="K73" s="45">
        <f ca="1">OFFSET(TblMili[[#This Row],[Archmages]],-1,0) + OFFSET(TblMili[[#This Row],[Train Arch]],-12,0) - TblMili[[#This Row],[Release Arch]]</f>
        <v>0</v>
      </c>
      <c r="L73" s="150"/>
      <c r="M73" s="97">
        <f ca="1">TblProd[[#This Row],[Networth]]</f>
        <v>6450</v>
      </c>
      <c r="N73" s="150"/>
      <c r="O73" s="267">
        <f ca="1">TblMili[[#This Row],[Unit 1]]*spec_op+TblMili[[#This Row],[Unit 3]]*(elite1_base_op)+TblMili[[#This Row],[Unit 4]]*(elite2_base_op+dark_elf*TblMili[[#This Row],[Spellblade]]+icekin*TblMili[[#This Row],[Ice Elemental]]+woodie*TblMili[[#This Row],[Druid (op)]]+orc*TblMili[[#This Row],[Orc]])+kobold*TblMili[[#This Row],[Overlords]]</f>
        <v>0</v>
      </c>
      <c r="P7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3" s="267">
        <f ca="1">TblMili[[#This Row],[Raw]]*(1+TblMili[[#This Row],[Mods_Off]])</f>
        <v>0</v>
      </c>
      <c r="R7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3" s="267">
        <f ca="1">TblMili[[#This Row],[Non Draft]]+TblMili[[#This Row],[Draftees]]</f>
        <v>1076</v>
      </c>
      <c r="T7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269">
        <f ca="1">TblMili[[#This Row],[Non Draft]] * (1 + TblMili[[#This Row],[Mods_Def]])</f>
        <v>450</v>
      </c>
      <c r="V73" s="267">
        <f ca="1">TblMili[[#This Row],[Draft]] * (1 + TblMili[[#This Row],[Mods_Def]])</f>
        <v>1076</v>
      </c>
      <c r="W73" s="267">
        <f ca="1">TblConstr[[#This Row],[Land]]</f>
        <v>250</v>
      </c>
      <c r="X73" s="270"/>
      <c r="Y73" s="275">
        <f ca="1">IF(TblMili[[#This Row],[Set]]&lt;&gt;"",TblMili[[#This Row],[Set]],OFFSET(TblMili[[#This Row],[Draftrate]],-1,0))</f>
        <v>0.35</v>
      </c>
      <c r="Z73" s="97">
        <f ca="1">OFFSET(TblMili[[#This Row],[Draftees]],-1,0)+OFFSET(TblPop[[#This Row],[Draft Growth]],-1,0) - SUM(TblMili[[#This Row],[Train Unit 1]:[Train Wiz]]) - TblMili[[#This Row],[Release Draft]] + SUM(TblMili[[#This Row],[Release Unit 1]:[Release Arch]]) -TblExplore[[#This Row],[Draftees (2)]]</f>
        <v>626</v>
      </c>
      <c r="AA73" s="162"/>
      <c r="AB73" s="188">
        <f ca="1">(TblConstr[[#This Row],[Tot Smi]]+TblConstr[[#This Row],[Dest Smi]])/(TblConstr[[#This Row],[Land]]-TblExplore[[#This Row],[Land Bonus]]*20)</f>
        <v>0</v>
      </c>
      <c r="AC73" s="145"/>
      <c r="AD73" s="266">
        <f>TblMili[[#This Row],[Hour]]</f>
        <v>70</v>
      </c>
      <c r="AE73" s="146">
        <f ca="1">TblExplore[[#This Row],[Time]]</f>
        <v>44813.624999999833</v>
      </c>
      <c r="AF73" s="187"/>
      <c r="AG73" s="187"/>
      <c r="AH73" s="187"/>
      <c r="AI73" s="187"/>
      <c r="AJ73" s="187"/>
      <c r="AK73" s="187"/>
      <c r="AL73" s="187"/>
      <c r="AM73" s="150"/>
      <c r="AN73" s="97">
        <f ca="1">TblProd[[#This Row],[Platinum]]</f>
        <v>479412</v>
      </c>
      <c r="AO73" s="97">
        <f ca="1">INDEX(TblProd[[#Headers],[Lumber]]:TblProd[[#This Row],[Ore]],COUNTA(TblProd[[#Headers],[Lumber]]:TblProd[[#This Row],[Lumber]]),MATCH(Military!$AO$2,TblProd[[#Headers],[Lumber]:[Ore]],0))</f>
        <v>0</v>
      </c>
      <c r="AP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97">
        <f ca="1">TblMili[[#This Row],[Train Unit 1]]*TblMili[[#This Row],[OP Ore]]+TblMili[[#This Row],[Train Unit 2]]*TblMili[[#This Row],[DP Ore]]+TblMili[[#This Row],[Train Unit 3]]*TblMili[[#This Row],[E1 Ore]]+TblMili[[#This Row],[Train Unit 4]]*TblMili[[#This Row],[E2 Ore]]</f>
        <v>0</v>
      </c>
      <c r="AR73" s="150">
        <f>TblMili[[#This Row],[Hour]]</f>
        <v>70</v>
      </c>
      <c r="AS73" s="160">
        <f ca="1">TblMili[[#This Row],[Time]]</f>
        <v>44813.624999999833</v>
      </c>
      <c r="AT73" s="97">
        <f ca="1">TblMili[[#This Row],[Draftees]]</f>
        <v>626</v>
      </c>
      <c r="AU73" s="187"/>
      <c r="AV73" s="187"/>
      <c r="AW73" s="187"/>
      <c r="AX73" s="187"/>
      <c r="AY73" s="187"/>
      <c r="AZ73" s="187"/>
      <c r="BA73" s="187"/>
      <c r="BB73" s="187"/>
      <c r="BC73" s="150"/>
      <c r="BD73" s="165">
        <f ca="1">TblConstr[[#This Row],[Tot WG]]/TblConstr[[#This Row],[Land]]</f>
        <v>0</v>
      </c>
      <c r="BE73" s="165">
        <f ca="1">TblConstr[[#This Row],[Tot Hav]]/TblConstr[[#This Row],[Land]]</f>
        <v>0</v>
      </c>
      <c r="BF73" s="97">
        <f ca="1">ROUNDUP((1-MIN(TblMili[[#This Row],[Smithies]]*smithy_bonus,smithy_bonus_cap) + tech_3_5*TblTech[[#This Row],[3-5]] + tech_5_3*TblTech[[#This Row],[5-3]] + tech_5_5*TblTech[[#This Row],[5-5]])*spec_op_plat,0)</f>
        <v>275</v>
      </c>
      <c r="BG73" s="97">
        <f ca="1">ROUNDUP(IF(race="Gnome",1,(1-MIN(TblMili[[#This Row],[Smithies]]*smithy_bonus,smithy_bonus_cap) + tech_3_5*TblTech[[#This Row],[3-5]] + tech_5_3*TblTech[[#This Row],[5-3]] + tech_5_5*TblTech[[#This Row],[5-5]]))*spec_op_ore,0)</f>
        <v>25</v>
      </c>
      <c r="BH73" s="97">
        <f ca="1">ROUNDUP((1-MIN(TblMili[[#This Row],[Smithies]]*smithy_bonus,smithy_bonus_cap) + tech_3_5*TblTech[[#This Row],[3-5]] + tech_5_3*TblTech[[#This Row],[5-3]] + tech_5_5*TblTech[[#This Row],[5-5]])*spec_dp_plat,0)</f>
        <v>275</v>
      </c>
      <c r="BI73" s="97">
        <f ca="1">ROUNDUP(IF(race="Gnome",1,(1-MIN(TblMili[[#This Row],[Smithies]]*smithy_bonus,smithy_bonus_cap) + tech_3_5*TblTech[[#This Row],[3-5]] + tech_5_3*TblTech[[#This Row],[5-3]] + tech_5_5*TblTech[[#This Row],[5-5]]))*spec_dp_ore,0)</f>
        <v>15</v>
      </c>
      <c r="BJ73" s="97">
        <f ca="1">ROUNDUP((1-MIN(TblMili[[#This Row],[Smithies]]*smithy_bonus,smithy_bonus_cap) + tech_3_5*TblTech[[#This Row],[3-5]] + tech_5_3*TblTech[[#This Row],[5-3]] + tech_5_5*TblTech[[#This Row],[5-5]])*elite1_plat,0)</f>
        <v>1000</v>
      </c>
      <c r="BK73" s="97">
        <f ca="1">ROUNDUP(IF(race="Gnome",1,(1-MIN(TblMili[[#This Row],[Smithies]]*smithy_bonus,smithy_bonus_cap) + tech_3_5*TblTech[[#This Row],[3-5]] + tech_5_3*TblTech[[#This Row],[5-3]] + tech_5_5*TblTech[[#This Row],[5-5]]))*elite1_ore,0)</f>
        <v>75</v>
      </c>
      <c r="BL73" s="97">
        <f ca="1">ROUNDUP((1-MIN(TblMili[[#This Row],[Smithies]]*smithy_bonus,smithy_bonus_cap) + tech_3_5*TblTech[[#This Row],[3-5]] + tech_5_3*TblTech[[#This Row],[5-3]] + tech_5_5*TblTech[[#This Row],[5-5]])*elite2_plat,0)</f>
        <v>1200</v>
      </c>
      <c r="BM73" s="97">
        <f ca="1">ROUNDUP(IF(race="Gnome",1,(1-MIN(TblMili[[#This Row],[Smithies]]*smithy_bonus,smithy_bonus_cap) + tech_3_5*TblTech[[#This Row],[3-5]] + tech_5_3*TblTech[[#This Row],[5-3]] + tech_5_5*TblTech[[#This Row],[5-5]]))*elite2_ore,0)</f>
        <v>100</v>
      </c>
      <c r="BN73" s="97">
        <f ca="1">ROUNDUP((1-MIN(ROUND(fh_spy_cost_red*TblMili[[#This Row],[FH''s]],4),fh_spy_cost_cap)+ tech_1_9*TblTech[[#This Row],[1-9]] + tech_9_1*TblTech[[#This Row],[9-1]])*spy_plat,0)</f>
        <v>500</v>
      </c>
      <c r="BO73" s="97">
        <f ca="1">ROUNDUP((1-MIN(ROUND(wg_wiz_cost_bonus*TblMili[[#This Row],[WG''s]],4),wg_wiz_cost_cap) + tech_1_9_2*TblTech[[#This Row],[1-9]] + tech_9_1_2*TblTech[[#This Row],[9-1]])*wizard_plat,0)</f>
        <v>500</v>
      </c>
      <c r="BP73" s="97">
        <f ca="1">ROUNDUP((1-MIN(ROUND(wg_wiz_cost_bonus*TblMili[[#This Row],[WG''s]],4),wg_wiz_cost_cap) + tech_1_9_2*TblTech[[#This Row],[1-9]] + tech_9_1_2*TblTech[[#This Row],[9-1]])*archmage_plat,0)</f>
        <v>1000</v>
      </c>
      <c r="BQ73" s="150"/>
      <c r="BR73" s="165">
        <f ca="1">TblConstr[[#This Row],[Homeland]]/TblConstr[[#This Row],[Land]]</f>
        <v>0.44</v>
      </c>
      <c r="BS73" s="165">
        <f ca="1">TblMili[[#This Row],[WG''s]]</f>
        <v>0</v>
      </c>
      <c r="BT73" s="271">
        <f ca="1">IF(mystic_cap="none",TblMili[[#This Row],[Hill]]/mystic_bonus,MIN(mystic_cap,TblMili[[#This Row],[Hill]]/mystic_bonus))</f>
        <v>2.1999999999999997</v>
      </c>
      <c r="BU73" s="271">
        <f ca="1">IF(druid_op_cap="none",TblMili[[#This Row],[Hill]]/druid_op_bonus,MIN(druid_op_cap,TblMili[[#This Row],[Hill]]/druid_op_bonus))</f>
        <v>2.1999999999999997</v>
      </c>
      <c r="BV73" s="271">
        <f ca="1">IF(druid_dp_cap="none",TblMili[[#This Row],[Hill]]/druid_dp_bonus,MIN(druid_dp_cap,TblMili[[#This Row],[Hill]]/druid_dp_bonus))</f>
        <v>2.1999999999999997</v>
      </c>
      <c r="BW73" s="271">
        <f ca="1">MIN(dryad_cap,TblMili[[#This Row],[Hill]]/dryad_bonus)</f>
        <v>2.1999999999999997</v>
      </c>
      <c r="BX73" s="271">
        <f ca="1">MIN(rocka_cap,TblMili[[#This Row],[Hill]]/rocka_bonus)</f>
        <v>2</v>
      </c>
      <c r="BY73" s="271">
        <f ca="1">MIN(adept_op_cap,TblMili[[#This Row],[WG]]/adept_op_bonus)</f>
        <v>0</v>
      </c>
      <c r="BZ73" s="271">
        <f ca="1">MIN(adept_dp_cap,TblMili[[#This Row],[WG]]/adept_dp_bonus)</f>
        <v>0</v>
      </c>
      <c r="CA73" s="97">
        <f ca="1">MIN(TblMili[[#This Row],[Unit 3]],TblMili[[#This Row],[Unit 4]])*2</f>
        <v>0</v>
      </c>
      <c r="CB73" s="97">
        <f ca="1">MIN(TblMili[[#This Row],[Unit 1]],TblMili[[#This Row],[Unit 4]])*2</f>
        <v>0</v>
      </c>
      <c r="CC73" s="271">
        <f ca="1">MIN(frost_mage_cap,TblMili[[#This Row],[Hill]]/frost_mage_bonus)</f>
        <v>2.1999999999999997</v>
      </c>
      <c r="CD73" s="45">
        <f ca="1">MIN(ice_elem_cap,TblMili[[#This Row],[Raw (2)]]*ice_elem_bonus)</f>
        <v>0.1</v>
      </c>
      <c r="CE73" s="271">
        <f t="shared" si="3"/>
        <v>1</v>
      </c>
      <c r="CF73" s="271">
        <f ca="1">MIN(nox_nightshade_cap,TblConstr[[#This Row],[Homeland]]/TblConstr[[#This Row],[Land]]/nox_nightshade_swamp_bonus)</f>
        <v>3</v>
      </c>
      <c r="CG73" s="272"/>
      <c r="CH73" s="272"/>
      <c r="CI73" s="272"/>
      <c r="CJ73" s="271">
        <f ca="1">MIN(6,TblMili[[#This Row],[Mystic]]+Races!$F$19)*1.8 +  IF(TblMili[[#This Row],[Mystic]]+Races!$F$19&gt;6,(TblMili[[#This Row],[Mystic]]+Races!$F$19-6)*0.2,0) - Races!$I$19</f>
        <v>3.6399999999999997</v>
      </c>
      <c r="CK7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97">
        <f ca="1">TblMili[[#This Row],[Mystic bonus]]*TblMili[[#This Row],[Unit 3]]+TblMili[[#This Row],[Druid bonus]]*TblMili[[#This Row],[Unit 4]]</f>
        <v>0</v>
      </c>
      <c r="CM73" s="163">
        <f ca="1">MIN(6,TblMili[[#This Row],[Dryad]]+Races!$F$35)*1.8 +  IF(TblMili[[#This Row],[Dryad]]+Races!$F$35&gt;6,(TblMili[[#This Row],[Dryad]]+Races!$F$35-6)*0.2,0) - Races!$I$19</f>
        <v>2.1599999999999993</v>
      </c>
      <c r="CN73" s="97">
        <f ca="1">sylvan*(TblMili[[#This Row],[Mystic bonus]]*TblMili[[#This Row],[Unit 3]])</f>
        <v>0</v>
      </c>
      <c r="CO73" s="163">
        <f ca="1">1.8 * MIN(MAX(Races!$E$27,TblMili[[#This Row],[Rockapult]]+Races!$F$27),6)  +  0.45 * MIN(MIN(Races!$E$27,TblMili[[#This Row],[Rockapult]]+Races!$F$27),6)  +  0.2 * ( MAX(Races!$E$27-6,0) + MAX(TblMili[[#This Row],[Rockapult]]+Races!$F$27-6,0) )  -  Races!$I$20</f>
        <v>5.8500000000000005</v>
      </c>
      <c r="CP73" s="97">
        <f ca="1">gnome*(TblMili[[#This Row],[Rockapult bonus]]*TblMili[[#This Row],[Unit 3]])</f>
        <v>0</v>
      </c>
      <c r="CQ73" s="163">
        <f ca="1">1.8 * MIN(MAX(TblMili[[#This Row],[Spellblade]]+Races!$E$47,TblMili[[#This Row],[Adept-DP]]+Races!$F$47),6)  +  0.45 * MIN(MIN(TblMili[[#This Row],[Spellblade]]+Races!$E$47,TblMili[[#This Row],[Adept-DP]]+Races!$F$47),6)  +  0.2 * ( MAX(TblMili[[#This Row],[Spellblade]]+Races!$E$47-6,0) + MAX(TblMili[[#This Row],[Adept-DP]]+Races!$F$47-6,0) )  -  Races!$I$47</f>
        <v>0</v>
      </c>
      <c r="CR73" s="97">
        <f ca="1">dark_elf*(TblMili[[#This Row],[Adept bonus]]*TblMili[[#This Row],[Unit 3]])</f>
        <v>0</v>
      </c>
      <c r="CS73" s="163">
        <f ca="1">1.8 * MIN(MAX(TblMili[[#This Row],[Frost Mage]]+Races!$F$71,Races!$E$71),6)  +  0.45 * MIN(MIN(TblMili[[#This Row],[Frost Mage]]+Races!$F$71,Races!$E$71),6)  +  0.2 * ( MAX(TblMili[[#This Row],[Frost Mage]]+Races!$F$71-6,0) + MAX(Races!$E$71-6,0) )  -  Races!$I$71</f>
        <v>3.9599999999999991</v>
      </c>
      <c r="CT73" s="163">
        <f ca="1">1.8 * MIN(MAX(TblMili[[#This Row],[Ice Elemental]]+Races!$E$71,Races!$F$71),6)  +  0.45 * MIN(MIN(TblMili[[#This Row],[Ice Elemental]]+Races!$E$71,Races!$F$71),6)  +  0.2 * ( MAX(TblMili[[#This Row],[Ice Elemental]]+Races!$E$71-6,0) + MAX(Races!$F$71-6,0) )  -  Races!$I$71</f>
        <v>0.17999999999999972</v>
      </c>
      <c r="CU73" s="97">
        <f ca="1">TblMili[[#This Row],[Frost Mage bonus]]*TblMili[[#This Row],[Unit 3]]+TblMili[[#This Row],[Ice Elemental bonus]]*TblMili[[#This Row],[Unit 4]]</f>
        <v>0</v>
      </c>
      <c r="CV73" s="273"/>
      <c r="CW73" s="151">
        <f ca="1">MIN(SUM(TblConstr[[#This Row],[Plain]:[Water]])/TblMili[[#This Row],[Land]]/favorable_terrain_bonus/100,favorable_terrain_max)</f>
        <v>0.1</v>
      </c>
      <c r="CX73" s="273"/>
      <c r="CY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50"/>
      <c r="DA73" s="274">
        <f ca="1">(TblMili[[#This Row],[Wizards]]+2*TblMili[[#This Row],[Archmages]])/TblConstr[[#This Row],[Land]]</f>
        <v>0.1</v>
      </c>
      <c r="DB73" s="274">
        <f ca="1">TblMili[[#This Row],[Raw (2)]]*(1+race_wizard_strength+IF(TblMili[[#This Row],[Hour]]&gt;72,tech_magical_weaponry_wiz*TblTech[[#This Row],[3-5]],0))</f>
        <v>0.1</v>
      </c>
    </row>
    <row r="74" spans="1:106" x14ac:dyDescent="0.2">
      <c r="A74" s="145">
        <f>TblRezone[[#This Row],[Hour]]</f>
        <v>71</v>
      </c>
      <c r="B74" s="266">
        <f ca="1">SUM(TblMili[[#This Row],[Unit 1]:[Archmages]])+SUM(OFFSET(TblMili[[#This Row],[Train Unit 1]],-8,0):TblMili[[#This Row],[Train Unit 2]]) + SUM(OFFSET(TblMili[[#This Row],[Train Unit 3]],-11,0):TblMili[[#This Row],[Train Arch]]) + TblMili[[#This Row],[Draftees]]</f>
        <v>826</v>
      </c>
      <c r="C74" s="165">
        <f ca="1">TblPop[[#This Row],[Military%]]</f>
        <v>0.35029686174724345</v>
      </c>
      <c r="D74" s="150"/>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f>
        <v>25</v>
      </c>
      <c r="J74" s="45">
        <f ca="1">OFFSET(TblMili[[#This Row],[Wizards]],-1,0) + OFFSET(TblMili[[#This Row],[Train Wiz]],-12,0) - TblMili[[#This Row],[Release Wizards]]-TblMili[[#This Row],[Train Arch]]</f>
        <v>25</v>
      </c>
      <c r="K74" s="45">
        <f ca="1">OFFSET(TblMili[[#This Row],[Archmages]],-1,0) + OFFSET(TblMili[[#This Row],[Train Arch]],-12,0) - TblMili[[#This Row],[Release Arch]]</f>
        <v>0</v>
      </c>
      <c r="L74" s="150"/>
      <c r="M74" s="97">
        <f ca="1">TblProd[[#This Row],[Networth]]</f>
        <v>6450</v>
      </c>
      <c r="N74" s="150"/>
      <c r="O74" s="267">
        <f ca="1">TblMili[[#This Row],[Unit 1]]*spec_op+TblMili[[#This Row],[Unit 3]]*(elite1_base_op)+TblMili[[#This Row],[Unit 4]]*(elite2_base_op+dark_elf*TblMili[[#This Row],[Spellblade]]+icekin*TblMili[[#This Row],[Ice Elemental]]+woodie*TblMili[[#This Row],[Druid (op)]]+orc*TblMili[[#This Row],[Orc]])+kobold*TblMili[[#This Row],[Overlords]]</f>
        <v>0</v>
      </c>
      <c r="P7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4" s="267">
        <f ca="1">TblMili[[#This Row],[Raw]]*(1+TblMili[[#This Row],[Mods_Off]])</f>
        <v>0</v>
      </c>
      <c r="R7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4" s="267">
        <f ca="1">TblMili[[#This Row],[Non Draft]]+TblMili[[#This Row],[Draftees]]</f>
        <v>1076</v>
      </c>
      <c r="T7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269">
        <f ca="1">TblMili[[#This Row],[Non Draft]] * (1 + TblMili[[#This Row],[Mods_Def]])</f>
        <v>450</v>
      </c>
      <c r="V74" s="267">
        <f ca="1">TblMili[[#This Row],[Draft]] * (1 + TblMili[[#This Row],[Mods_Def]])</f>
        <v>1076</v>
      </c>
      <c r="W74" s="267">
        <f ca="1">TblConstr[[#This Row],[Land]]</f>
        <v>250</v>
      </c>
      <c r="X74" s="270"/>
      <c r="Y74" s="275">
        <f ca="1">IF(TblMili[[#This Row],[Set]]&lt;&gt;"",TblMili[[#This Row],[Set]],OFFSET(TblMili[[#This Row],[Draftrate]],-1,0))</f>
        <v>0.35</v>
      </c>
      <c r="Z74" s="97">
        <f ca="1">OFFSET(TblMili[[#This Row],[Draftees]],-1,0)+OFFSET(TblPop[[#This Row],[Draft Growth]],-1,0) - SUM(TblMili[[#This Row],[Train Unit 1]:[Train Wiz]]) - TblMili[[#This Row],[Release Draft]] + SUM(TblMili[[#This Row],[Release Unit 1]:[Release Arch]]) -TblExplore[[#This Row],[Draftees (2)]]</f>
        <v>626</v>
      </c>
      <c r="AA74" s="162"/>
      <c r="AB74" s="188">
        <f ca="1">(TblConstr[[#This Row],[Tot Smi]]+TblConstr[[#This Row],[Dest Smi]])/(TblConstr[[#This Row],[Land]]-TblExplore[[#This Row],[Land Bonus]]*20)</f>
        <v>0</v>
      </c>
      <c r="AC74" s="145"/>
      <c r="AD74" s="266">
        <f>TblMili[[#This Row],[Hour]]</f>
        <v>71</v>
      </c>
      <c r="AE74" s="146">
        <f ca="1">TblExplore[[#This Row],[Time]]</f>
        <v>44813.666666666497</v>
      </c>
      <c r="AF74" s="187"/>
      <c r="AG74" s="187"/>
      <c r="AH74" s="187"/>
      <c r="AI74" s="187"/>
      <c r="AJ74" s="187"/>
      <c r="AK74" s="187"/>
      <c r="AL74" s="187"/>
      <c r="AM74" s="150"/>
      <c r="AN74" s="97">
        <f ca="1">TblProd[[#This Row],[Platinum]]</f>
        <v>484898</v>
      </c>
      <c r="AO74" s="97">
        <f ca="1">INDEX(TblProd[[#Headers],[Lumber]]:TblProd[[#This Row],[Ore]],COUNTA(TblProd[[#Headers],[Lumber]]:TblProd[[#This Row],[Lumber]]),MATCH(Military!$AO$2,TblProd[[#Headers],[Lumber]:[Ore]],0))</f>
        <v>0</v>
      </c>
      <c r="AP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97">
        <f ca="1">TblMili[[#This Row],[Train Unit 1]]*TblMili[[#This Row],[OP Ore]]+TblMili[[#This Row],[Train Unit 2]]*TblMili[[#This Row],[DP Ore]]+TblMili[[#This Row],[Train Unit 3]]*TblMili[[#This Row],[E1 Ore]]+TblMili[[#This Row],[Train Unit 4]]*TblMili[[#This Row],[E2 Ore]]</f>
        <v>0</v>
      </c>
      <c r="AR74" s="150">
        <f>TblMili[[#This Row],[Hour]]</f>
        <v>71</v>
      </c>
      <c r="AS74" s="160">
        <f ca="1">TblMili[[#This Row],[Time]]</f>
        <v>44813.666666666497</v>
      </c>
      <c r="AT74" s="97">
        <f ca="1">TblMili[[#This Row],[Draftees]]</f>
        <v>626</v>
      </c>
      <c r="AU74" s="187"/>
      <c r="AV74" s="187"/>
      <c r="AW74" s="187"/>
      <c r="AX74" s="187"/>
      <c r="AY74" s="187"/>
      <c r="AZ74" s="187"/>
      <c r="BA74" s="187"/>
      <c r="BB74" s="187"/>
      <c r="BC74" s="150"/>
      <c r="BD74" s="165">
        <f ca="1">TblConstr[[#This Row],[Tot WG]]/TblConstr[[#This Row],[Land]]</f>
        <v>0</v>
      </c>
      <c r="BE74" s="165">
        <f ca="1">TblConstr[[#This Row],[Tot Hav]]/TblConstr[[#This Row],[Land]]</f>
        <v>0</v>
      </c>
      <c r="BF74" s="97">
        <f ca="1">ROUNDUP((1-MIN(TblMili[[#This Row],[Smithies]]*smithy_bonus,smithy_bonus_cap) + tech_3_5*TblTech[[#This Row],[3-5]] + tech_5_3*TblTech[[#This Row],[5-3]] + tech_5_5*TblTech[[#This Row],[5-5]])*spec_op_plat,0)</f>
        <v>275</v>
      </c>
      <c r="BG74" s="97">
        <f ca="1">ROUNDUP(IF(race="Gnome",1,(1-MIN(TblMili[[#This Row],[Smithies]]*smithy_bonus,smithy_bonus_cap) + tech_3_5*TblTech[[#This Row],[3-5]] + tech_5_3*TblTech[[#This Row],[5-3]] + tech_5_5*TblTech[[#This Row],[5-5]]))*spec_op_ore,0)</f>
        <v>25</v>
      </c>
      <c r="BH74" s="97">
        <f ca="1">ROUNDUP((1-MIN(TblMili[[#This Row],[Smithies]]*smithy_bonus,smithy_bonus_cap) + tech_3_5*TblTech[[#This Row],[3-5]] + tech_5_3*TblTech[[#This Row],[5-3]] + tech_5_5*TblTech[[#This Row],[5-5]])*spec_dp_plat,0)</f>
        <v>275</v>
      </c>
      <c r="BI74" s="97">
        <f ca="1">ROUNDUP(IF(race="Gnome",1,(1-MIN(TblMili[[#This Row],[Smithies]]*smithy_bonus,smithy_bonus_cap) + tech_3_5*TblTech[[#This Row],[3-5]] + tech_5_3*TblTech[[#This Row],[5-3]] + tech_5_5*TblTech[[#This Row],[5-5]]))*spec_dp_ore,0)</f>
        <v>15</v>
      </c>
      <c r="BJ74" s="97">
        <f ca="1">ROUNDUP((1-MIN(TblMili[[#This Row],[Smithies]]*smithy_bonus,smithy_bonus_cap) + tech_3_5*TblTech[[#This Row],[3-5]] + tech_5_3*TblTech[[#This Row],[5-3]] + tech_5_5*TblTech[[#This Row],[5-5]])*elite1_plat,0)</f>
        <v>1000</v>
      </c>
      <c r="BK74" s="97">
        <f ca="1">ROUNDUP(IF(race="Gnome",1,(1-MIN(TblMili[[#This Row],[Smithies]]*smithy_bonus,smithy_bonus_cap) + tech_3_5*TblTech[[#This Row],[3-5]] + tech_5_3*TblTech[[#This Row],[5-3]] + tech_5_5*TblTech[[#This Row],[5-5]]))*elite1_ore,0)</f>
        <v>75</v>
      </c>
      <c r="BL74" s="97">
        <f ca="1">ROUNDUP((1-MIN(TblMili[[#This Row],[Smithies]]*smithy_bonus,smithy_bonus_cap) + tech_3_5*TblTech[[#This Row],[3-5]] + tech_5_3*TblTech[[#This Row],[5-3]] + tech_5_5*TblTech[[#This Row],[5-5]])*elite2_plat,0)</f>
        <v>1200</v>
      </c>
      <c r="BM74" s="97">
        <f ca="1">ROUNDUP(IF(race="Gnome",1,(1-MIN(TblMili[[#This Row],[Smithies]]*smithy_bonus,smithy_bonus_cap) + tech_3_5*TblTech[[#This Row],[3-5]] + tech_5_3*TblTech[[#This Row],[5-3]] + tech_5_5*TblTech[[#This Row],[5-5]]))*elite2_ore,0)</f>
        <v>100</v>
      </c>
      <c r="BN74" s="97">
        <f ca="1">ROUNDUP((1-MIN(ROUND(fh_spy_cost_red*TblMili[[#This Row],[FH''s]],4),fh_spy_cost_cap)+ tech_1_9*TblTech[[#This Row],[1-9]] + tech_9_1*TblTech[[#This Row],[9-1]])*spy_plat,0)</f>
        <v>500</v>
      </c>
      <c r="BO74" s="97">
        <f ca="1">ROUNDUP((1-MIN(ROUND(wg_wiz_cost_bonus*TblMili[[#This Row],[WG''s]],4),wg_wiz_cost_cap) + tech_1_9_2*TblTech[[#This Row],[1-9]] + tech_9_1_2*TblTech[[#This Row],[9-1]])*wizard_plat,0)</f>
        <v>500</v>
      </c>
      <c r="BP74" s="97">
        <f ca="1">ROUNDUP((1-MIN(ROUND(wg_wiz_cost_bonus*TblMili[[#This Row],[WG''s]],4),wg_wiz_cost_cap) + tech_1_9_2*TblTech[[#This Row],[1-9]] + tech_9_1_2*TblTech[[#This Row],[9-1]])*archmage_plat,0)</f>
        <v>1000</v>
      </c>
      <c r="BQ74" s="150"/>
      <c r="BR74" s="165">
        <f ca="1">TblConstr[[#This Row],[Homeland]]/TblConstr[[#This Row],[Land]]</f>
        <v>0.44</v>
      </c>
      <c r="BS74" s="165">
        <f ca="1">TblMili[[#This Row],[WG''s]]</f>
        <v>0</v>
      </c>
      <c r="BT74" s="271">
        <f ca="1">IF(mystic_cap="none",TblMili[[#This Row],[Hill]]/mystic_bonus,MIN(mystic_cap,TblMili[[#This Row],[Hill]]/mystic_bonus))</f>
        <v>2.1999999999999997</v>
      </c>
      <c r="BU74" s="271">
        <f ca="1">IF(druid_op_cap="none",TblMili[[#This Row],[Hill]]/druid_op_bonus,MIN(druid_op_cap,TblMili[[#This Row],[Hill]]/druid_op_bonus))</f>
        <v>2.1999999999999997</v>
      </c>
      <c r="BV74" s="271">
        <f ca="1">IF(druid_dp_cap="none",TblMili[[#This Row],[Hill]]/druid_dp_bonus,MIN(druid_dp_cap,TblMili[[#This Row],[Hill]]/druid_dp_bonus))</f>
        <v>2.1999999999999997</v>
      </c>
      <c r="BW74" s="271">
        <f ca="1">MIN(dryad_cap,TblMili[[#This Row],[Hill]]/dryad_bonus)</f>
        <v>2.1999999999999997</v>
      </c>
      <c r="BX74" s="271">
        <f ca="1">MIN(rocka_cap,TblMili[[#This Row],[Hill]]/rocka_bonus)</f>
        <v>2</v>
      </c>
      <c r="BY74" s="271">
        <f ca="1">MIN(adept_op_cap,TblMili[[#This Row],[WG]]/adept_op_bonus)</f>
        <v>0</v>
      </c>
      <c r="BZ74" s="271">
        <f ca="1">MIN(adept_dp_cap,TblMili[[#This Row],[WG]]/adept_dp_bonus)</f>
        <v>0</v>
      </c>
      <c r="CA74" s="97">
        <f ca="1">MIN(TblMili[[#This Row],[Unit 3]],TblMili[[#This Row],[Unit 4]])*2</f>
        <v>0</v>
      </c>
      <c r="CB74" s="97">
        <f ca="1">MIN(TblMili[[#This Row],[Unit 1]],TblMili[[#This Row],[Unit 4]])*2</f>
        <v>0</v>
      </c>
      <c r="CC74" s="271">
        <f ca="1">MIN(frost_mage_cap,TblMili[[#This Row],[Hill]]/frost_mage_bonus)</f>
        <v>2.1999999999999997</v>
      </c>
      <c r="CD74" s="45">
        <f ca="1">MIN(ice_elem_cap,TblMili[[#This Row],[Raw (2)]]*ice_elem_bonus)</f>
        <v>0.1</v>
      </c>
      <c r="CE74" s="271">
        <f t="shared" si="3"/>
        <v>1</v>
      </c>
      <c r="CF74" s="271">
        <f ca="1">MIN(nox_nightshade_cap,TblConstr[[#This Row],[Homeland]]/TblConstr[[#This Row],[Land]]/nox_nightshade_swamp_bonus)</f>
        <v>3</v>
      </c>
      <c r="CG74" s="272"/>
      <c r="CH74" s="272"/>
      <c r="CI74" s="272"/>
      <c r="CJ74" s="271">
        <f ca="1">MIN(6,TblMili[[#This Row],[Mystic]]+Races!$F$19)*1.8 +  IF(TblMili[[#This Row],[Mystic]]+Races!$F$19&gt;6,(TblMili[[#This Row],[Mystic]]+Races!$F$19-6)*0.2,0) - Races!$I$19</f>
        <v>3.6399999999999997</v>
      </c>
      <c r="CK7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97">
        <f ca="1">TblMili[[#This Row],[Mystic bonus]]*TblMili[[#This Row],[Unit 3]]+TblMili[[#This Row],[Druid bonus]]*TblMili[[#This Row],[Unit 4]]</f>
        <v>0</v>
      </c>
      <c r="CM74" s="163">
        <f ca="1">MIN(6,TblMili[[#This Row],[Dryad]]+Races!$F$35)*1.8 +  IF(TblMili[[#This Row],[Dryad]]+Races!$F$35&gt;6,(TblMili[[#This Row],[Dryad]]+Races!$F$35-6)*0.2,0) - Races!$I$19</f>
        <v>2.1599999999999993</v>
      </c>
      <c r="CN74" s="97">
        <f ca="1">sylvan*(TblMili[[#This Row],[Mystic bonus]]*TblMili[[#This Row],[Unit 3]])</f>
        <v>0</v>
      </c>
      <c r="CO74" s="163">
        <f ca="1">1.8 * MIN(MAX(Races!$E$27,TblMili[[#This Row],[Rockapult]]+Races!$F$27),6)  +  0.45 * MIN(MIN(Races!$E$27,TblMili[[#This Row],[Rockapult]]+Races!$F$27),6)  +  0.2 * ( MAX(Races!$E$27-6,0) + MAX(TblMili[[#This Row],[Rockapult]]+Races!$F$27-6,0) )  -  Races!$I$20</f>
        <v>5.8500000000000005</v>
      </c>
      <c r="CP74" s="97">
        <f ca="1">gnome*(TblMili[[#This Row],[Rockapult bonus]]*TblMili[[#This Row],[Unit 3]])</f>
        <v>0</v>
      </c>
      <c r="CQ74" s="163">
        <f ca="1">1.8 * MIN(MAX(TblMili[[#This Row],[Spellblade]]+Races!$E$47,TblMili[[#This Row],[Adept-DP]]+Races!$F$47),6)  +  0.45 * MIN(MIN(TblMili[[#This Row],[Spellblade]]+Races!$E$47,TblMili[[#This Row],[Adept-DP]]+Races!$F$47),6)  +  0.2 * ( MAX(TblMili[[#This Row],[Spellblade]]+Races!$E$47-6,0) + MAX(TblMili[[#This Row],[Adept-DP]]+Races!$F$47-6,0) )  -  Races!$I$47</f>
        <v>0</v>
      </c>
      <c r="CR74" s="97">
        <f ca="1">dark_elf*(TblMili[[#This Row],[Adept bonus]]*TblMili[[#This Row],[Unit 3]])</f>
        <v>0</v>
      </c>
      <c r="CS74" s="163">
        <f ca="1">1.8 * MIN(MAX(TblMili[[#This Row],[Frost Mage]]+Races!$F$71,Races!$E$71),6)  +  0.45 * MIN(MIN(TblMili[[#This Row],[Frost Mage]]+Races!$F$71,Races!$E$71),6)  +  0.2 * ( MAX(TblMili[[#This Row],[Frost Mage]]+Races!$F$71-6,0) + MAX(Races!$E$71-6,0) )  -  Races!$I$71</f>
        <v>3.9599999999999991</v>
      </c>
      <c r="CT74" s="163">
        <f ca="1">1.8 * MIN(MAX(TblMili[[#This Row],[Ice Elemental]]+Races!$E$71,Races!$F$71),6)  +  0.45 * MIN(MIN(TblMili[[#This Row],[Ice Elemental]]+Races!$E$71,Races!$F$71),6)  +  0.2 * ( MAX(TblMili[[#This Row],[Ice Elemental]]+Races!$E$71-6,0) + MAX(Races!$F$71-6,0) )  -  Races!$I$71</f>
        <v>0.17999999999999972</v>
      </c>
      <c r="CU74" s="97">
        <f ca="1">TblMili[[#This Row],[Frost Mage bonus]]*TblMili[[#This Row],[Unit 3]]+TblMili[[#This Row],[Ice Elemental bonus]]*TblMili[[#This Row],[Unit 4]]</f>
        <v>0</v>
      </c>
      <c r="CV74" s="273"/>
      <c r="CW74" s="151">
        <f ca="1">MIN(SUM(TblConstr[[#This Row],[Plain]:[Water]])/TblMili[[#This Row],[Land]]/favorable_terrain_bonus/100,favorable_terrain_max)</f>
        <v>0.1</v>
      </c>
      <c r="CX74" s="273"/>
      <c r="CY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50"/>
      <c r="DA74" s="274">
        <f ca="1">(TblMili[[#This Row],[Wizards]]+2*TblMili[[#This Row],[Archmages]])/TblConstr[[#This Row],[Land]]</f>
        <v>0.1</v>
      </c>
      <c r="DB74" s="274">
        <f ca="1">TblMili[[#This Row],[Raw (2)]]*(1+race_wizard_strength+IF(TblMili[[#This Row],[Hour]]&gt;72,tech_magical_weaponry_wiz*TblTech[[#This Row],[3-5]],0))</f>
        <v>0.1</v>
      </c>
    </row>
    <row r="75" spans="1:106" x14ac:dyDescent="0.2">
      <c r="A75" s="145">
        <f>TblRezone[[#This Row],[Hour]]</f>
        <v>72</v>
      </c>
      <c r="B75" s="266">
        <f ca="1">SUM(TblMili[[#This Row],[Unit 1]:[Archmages]])+SUM(OFFSET(TblMili[[#This Row],[Train Unit 1]],-8,0):TblMili[[#This Row],[Train Unit 2]]) + SUM(OFFSET(TblMili[[#This Row],[Train Unit 3]],-11,0):TblMili[[#This Row],[Train Arch]]) + TblMili[[#This Row],[Draftees]]</f>
        <v>826</v>
      </c>
      <c r="C75" s="165">
        <f ca="1">TblPop[[#This Row],[Military%]]</f>
        <v>0.35029686174724345</v>
      </c>
      <c r="D75" s="150"/>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f>
        <v>25</v>
      </c>
      <c r="J75" s="45">
        <f ca="1">OFFSET(TblMili[[#This Row],[Wizards]],-1,0) + OFFSET(TblMili[[#This Row],[Train Wiz]],-12,0) - TblMili[[#This Row],[Release Wizards]]-TblMili[[#This Row],[Train Arch]]</f>
        <v>25</v>
      </c>
      <c r="K75" s="45">
        <f ca="1">OFFSET(TblMili[[#This Row],[Archmages]],-1,0) + OFFSET(TblMili[[#This Row],[Train Arch]],-12,0) - TblMili[[#This Row],[Release Arch]]</f>
        <v>0</v>
      </c>
      <c r="L75" s="150"/>
      <c r="M75" s="97">
        <f ca="1">TblProd[[#This Row],[Networth]]</f>
        <v>6450</v>
      </c>
      <c r="N75" s="150"/>
      <c r="O75" s="267">
        <f ca="1">TblMili[[#This Row],[Unit 1]]*spec_op+TblMili[[#This Row],[Unit 3]]*(elite1_base_op)+TblMili[[#This Row],[Unit 4]]*(elite2_base_op+dark_elf*TblMili[[#This Row],[Spellblade]]+icekin*TblMili[[#This Row],[Ice Elemental]]+woodie*TblMili[[#This Row],[Druid (op)]]+orc*TblMili[[#This Row],[Orc]])+kobold*TblMili[[#This Row],[Overlords]]</f>
        <v>0</v>
      </c>
      <c r="P7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5" s="267">
        <f ca="1">TblMili[[#This Row],[Raw]]*(1+TblMili[[#This Row],[Mods_Off]])</f>
        <v>0</v>
      </c>
      <c r="R7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5" s="267">
        <f ca="1">TblMili[[#This Row],[Non Draft]]+TblMili[[#This Row],[Draftees]]</f>
        <v>1076</v>
      </c>
      <c r="T7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269">
        <f ca="1">TblMili[[#This Row],[Non Draft]] * (1 + TblMili[[#This Row],[Mods_Def]])</f>
        <v>450</v>
      </c>
      <c r="V75" s="267">
        <f ca="1">TblMili[[#This Row],[Draft]] * (1 + TblMili[[#This Row],[Mods_Def]])</f>
        <v>1076</v>
      </c>
      <c r="W75" s="267">
        <f ca="1">TblConstr[[#This Row],[Land]]</f>
        <v>250</v>
      </c>
      <c r="X75" s="270"/>
      <c r="Y75" s="275">
        <f ca="1">IF(TblMili[[#This Row],[Set]]&lt;&gt;"",TblMili[[#This Row],[Set]],OFFSET(TblMili[[#This Row],[Draftrate]],-1,0))</f>
        <v>0.35</v>
      </c>
      <c r="Z75" s="97">
        <f ca="1">OFFSET(TblMili[[#This Row],[Draftees]],-1,0)+OFFSET(TblPop[[#This Row],[Draft Growth]],-1,0) - SUM(TblMili[[#This Row],[Train Unit 1]:[Train Wiz]]) - TblMili[[#This Row],[Release Draft]] + SUM(TblMili[[#This Row],[Release Unit 1]:[Release Arch]]) -TblExplore[[#This Row],[Draftees (2)]]</f>
        <v>626</v>
      </c>
      <c r="AA75" s="162"/>
      <c r="AB75" s="188">
        <f ca="1">(TblConstr[[#This Row],[Tot Smi]]+TblConstr[[#This Row],[Dest Smi]])/(TblConstr[[#This Row],[Land]]-TblExplore[[#This Row],[Land Bonus]]*20)</f>
        <v>0</v>
      </c>
      <c r="AC75" s="145"/>
      <c r="AD75" s="266">
        <f>TblMili[[#This Row],[Hour]]</f>
        <v>72</v>
      </c>
      <c r="AE75" s="146">
        <f ca="1">TblExplore[[#This Row],[Time]]</f>
        <v>44813.708333333161</v>
      </c>
      <c r="AF75" s="187"/>
      <c r="AG75" s="187"/>
      <c r="AH75" s="187"/>
      <c r="AI75" s="187"/>
      <c r="AJ75" s="187"/>
      <c r="AK75" s="187"/>
      <c r="AL75" s="187"/>
      <c r="AM75" s="150"/>
      <c r="AN75" s="97">
        <f ca="1">TblProd[[#This Row],[Platinum]]</f>
        <v>490384</v>
      </c>
      <c r="AO75" s="97">
        <f ca="1">INDEX(TblProd[[#Headers],[Lumber]]:TblProd[[#This Row],[Ore]],COUNTA(TblProd[[#Headers],[Lumber]]:TblProd[[#This Row],[Lumber]]),MATCH(Military!$AO$2,TblProd[[#Headers],[Lumber]:[Ore]],0))</f>
        <v>0</v>
      </c>
      <c r="AP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97">
        <f ca="1">TblMili[[#This Row],[Train Unit 1]]*TblMili[[#This Row],[OP Ore]]+TblMili[[#This Row],[Train Unit 2]]*TblMili[[#This Row],[DP Ore]]+TblMili[[#This Row],[Train Unit 3]]*TblMili[[#This Row],[E1 Ore]]+TblMili[[#This Row],[Train Unit 4]]*TblMili[[#This Row],[E2 Ore]]</f>
        <v>0</v>
      </c>
      <c r="AR75" s="150">
        <f>TblMili[[#This Row],[Hour]]</f>
        <v>72</v>
      </c>
      <c r="AS75" s="160">
        <f ca="1">TblMili[[#This Row],[Time]]</f>
        <v>44813.708333333161</v>
      </c>
      <c r="AT75" s="97">
        <f ca="1">TblMili[[#This Row],[Draftees]]</f>
        <v>626</v>
      </c>
      <c r="AU75" s="187"/>
      <c r="AV75" s="187"/>
      <c r="AW75" s="187"/>
      <c r="AX75" s="187"/>
      <c r="AY75" s="187"/>
      <c r="AZ75" s="187"/>
      <c r="BA75" s="187"/>
      <c r="BB75" s="187"/>
      <c r="BC75" s="150"/>
      <c r="BD75" s="165">
        <f ca="1">TblConstr[[#This Row],[Tot WG]]/TblConstr[[#This Row],[Land]]</f>
        <v>0</v>
      </c>
      <c r="BE75" s="165">
        <f ca="1">TblConstr[[#This Row],[Tot Hav]]/TblConstr[[#This Row],[Land]]</f>
        <v>0</v>
      </c>
      <c r="BF75" s="97">
        <f ca="1">ROUNDUP((1-MIN(TblMili[[#This Row],[Smithies]]*smithy_bonus,smithy_bonus_cap) + tech_3_5*TblTech[[#This Row],[3-5]] + tech_5_3*TblTech[[#This Row],[5-3]] + tech_5_5*TblTech[[#This Row],[5-5]])*spec_op_plat,0)</f>
        <v>275</v>
      </c>
      <c r="BG75" s="97">
        <f ca="1">ROUNDUP(IF(race="Gnome",1,(1-MIN(TblMili[[#This Row],[Smithies]]*smithy_bonus,smithy_bonus_cap) + tech_3_5*TblTech[[#This Row],[3-5]] + tech_5_3*TblTech[[#This Row],[5-3]] + tech_5_5*TblTech[[#This Row],[5-5]]))*spec_op_ore,0)</f>
        <v>25</v>
      </c>
      <c r="BH75" s="97">
        <f ca="1">ROUNDUP((1-MIN(TblMili[[#This Row],[Smithies]]*smithy_bonus,smithy_bonus_cap) + tech_3_5*TblTech[[#This Row],[3-5]] + tech_5_3*TblTech[[#This Row],[5-3]] + tech_5_5*TblTech[[#This Row],[5-5]])*spec_dp_plat,0)</f>
        <v>275</v>
      </c>
      <c r="BI75" s="97">
        <f ca="1">ROUNDUP(IF(race="Gnome",1,(1-MIN(TblMili[[#This Row],[Smithies]]*smithy_bonus,smithy_bonus_cap) + tech_3_5*TblTech[[#This Row],[3-5]] + tech_5_3*TblTech[[#This Row],[5-3]] + tech_5_5*TblTech[[#This Row],[5-5]]))*spec_dp_ore,0)</f>
        <v>15</v>
      </c>
      <c r="BJ75" s="97">
        <f ca="1">ROUNDUP((1-MIN(TblMili[[#This Row],[Smithies]]*smithy_bonus,smithy_bonus_cap) + tech_3_5*TblTech[[#This Row],[3-5]] + tech_5_3*TblTech[[#This Row],[5-3]] + tech_5_5*TblTech[[#This Row],[5-5]])*elite1_plat,0)</f>
        <v>1000</v>
      </c>
      <c r="BK75" s="97">
        <f ca="1">ROUNDUP(IF(race="Gnome",1,(1-MIN(TblMili[[#This Row],[Smithies]]*smithy_bonus,smithy_bonus_cap) + tech_3_5*TblTech[[#This Row],[3-5]] + tech_5_3*TblTech[[#This Row],[5-3]] + tech_5_5*TblTech[[#This Row],[5-5]]))*elite1_ore,0)</f>
        <v>75</v>
      </c>
      <c r="BL75" s="97">
        <f ca="1">ROUNDUP((1-MIN(TblMili[[#This Row],[Smithies]]*smithy_bonus,smithy_bonus_cap) + tech_3_5*TblTech[[#This Row],[3-5]] + tech_5_3*TblTech[[#This Row],[5-3]] + tech_5_5*TblTech[[#This Row],[5-5]])*elite2_plat,0)</f>
        <v>1200</v>
      </c>
      <c r="BM75" s="97">
        <f ca="1">ROUNDUP(IF(race="Gnome",1,(1-MIN(TblMili[[#This Row],[Smithies]]*smithy_bonus,smithy_bonus_cap) + tech_3_5*TblTech[[#This Row],[3-5]] + tech_5_3*TblTech[[#This Row],[5-3]] + tech_5_5*TblTech[[#This Row],[5-5]]))*elite2_ore,0)</f>
        <v>100</v>
      </c>
      <c r="BN75" s="97">
        <f ca="1">ROUNDUP((1-MIN(ROUND(fh_spy_cost_red*TblMili[[#This Row],[FH''s]],4),fh_spy_cost_cap)+ tech_1_9*TblTech[[#This Row],[1-9]] + tech_9_1*TblTech[[#This Row],[9-1]])*spy_plat,0)</f>
        <v>500</v>
      </c>
      <c r="BO75" s="97">
        <f ca="1">ROUNDUP((1-MIN(ROUND(wg_wiz_cost_bonus*TblMili[[#This Row],[WG''s]],4),wg_wiz_cost_cap) + tech_1_9_2*TblTech[[#This Row],[1-9]] + tech_9_1_2*TblTech[[#This Row],[9-1]])*wizard_plat,0)</f>
        <v>500</v>
      </c>
      <c r="BP75" s="97">
        <f ca="1">ROUNDUP((1-MIN(ROUND(wg_wiz_cost_bonus*TblMili[[#This Row],[WG''s]],4),wg_wiz_cost_cap) + tech_1_9_2*TblTech[[#This Row],[1-9]] + tech_9_1_2*TblTech[[#This Row],[9-1]])*archmage_plat,0)</f>
        <v>1000</v>
      </c>
      <c r="BQ75" s="150"/>
      <c r="BR75" s="165">
        <f ca="1">TblConstr[[#This Row],[Homeland]]/TblConstr[[#This Row],[Land]]</f>
        <v>0.44</v>
      </c>
      <c r="BS75" s="165">
        <f ca="1">TblMili[[#This Row],[WG''s]]</f>
        <v>0</v>
      </c>
      <c r="BT75" s="271">
        <f ca="1">IF(mystic_cap="none",TblMili[[#This Row],[Hill]]/mystic_bonus,MIN(mystic_cap,TblMili[[#This Row],[Hill]]/mystic_bonus))</f>
        <v>2.1999999999999997</v>
      </c>
      <c r="BU75" s="271">
        <f ca="1">IF(druid_op_cap="none",TblMili[[#This Row],[Hill]]/druid_op_bonus,MIN(druid_op_cap,TblMili[[#This Row],[Hill]]/druid_op_bonus))</f>
        <v>2.1999999999999997</v>
      </c>
      <c r="BV75" s="271">
        <f ca="1">IF(druid_dp_cap="none",TblMili[[#This Row],[Hill]]/druid_dp_bonus,MIN(druid_dp_cap,TblMili[[#This Row],[Hill]]/druid_dp_bonus))</f>
        <v>2.1999999999999997</v>
      </c>
      <c r="BW75" s="271">
        <f ca="1">MIN(dryad_cap,TblMili[[#This Row],[Hill]]/dryad_bonus)</f>
        <v>2.1999999999999997</v>
      </c>
      <c r="BX75" s="271">
        <f ca="1">MIN(rocka_cap,TblMili[[#This Row],[Hill]]/rocka_bonus)</f>
        <v>2</v>
      </c>
      <c r="BY75" s="271">
        <f ca="1">MIN(adept_op_cap,TblMili[[#This Row],[WG]]/adept_op_bonus)</f>
        <v>0</v>
      </c>
      <c r="BZ75" s="271">
        <f ca="1">MIN(adept_dp_cap,TblMili[[#This Row],[WG]]/adept_dp_bonus)</f>
        <v>0</v>
      </c>
      <c r="CA75" s="97">
        <f ca="1">MIN(TblMili[[#This Row],[Unit 3]],TblMili[[#This Row],[Unit 4]])*2</f>
        <v>0</v>
      </c>
      <c r="CB75" s="97">
        <f ca="1">MIN(TblMili[[#This Row],[Unit 1]],TblMili[[#This Row],[Unit 4]])*2</f>
        <v>0</v>
      </c>
      <c r="CC75" s="271">
        <f ca="1">MIN(frost_mage_cap,TblMili[[#This Row],[Hill]]/frost_mage_bonus)</f>
        <v>2.1999999999999997</v>
      </c>
      <c r="CD75" s="45">
        <f ca="1">MIN(ice_elem_cap,TblMili[[#This Row],[Raw (2)]]*ice_elem_bonus)</f>
        <v>0.1</v>
      </c>
      <c r="CE75" s="271">
        <f t="shared" si="3"/>
        <v>1</v>
      </c>
      <c r="CF75" s="271">
        <f ca="1">MIN(nox_nightshade_cap,TblConstr[[#This Row],[Homeland]]/TblConstr[[#This Row],[Land]]/nox_nightshade_swamp_bonus)</f>
        <v>3</v>
      </c>
      <c r="CG75" s="272"/>
      <c r="CH75" s="272"/>
      <c r="CI75" s="272"/>
      <c r="CJ75" s="271">
        <f ca="1">MIN(6,TblMili[[#This Row],[Mystic]]+Races!$F$19)*1.8 +  IF(TblMili[[#This Row],[Mystic]]+Races!$F$19&gt;6,(TblMili[[#This Row],[Mystic]]+Races!$F$19-6)*0.2,0) - Races!$I$19</f>
        <v>3.6399999999999997</v>
      </c>
      <c r="CK7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97">
        <f ca="1">TblMili[[#This Row],[Mystic bonus]]*TblMili[[#This Row],[Unit 3]]+TblMili[[#This Row],[Druid bonus]]*TblMili[[#This Row],[Unit 4]]</f>
        <v>0</v>
      </c>
      <c r="CM75" s="163">
        <f ca="1">MIN(6,TblMili[[#This Row],[Dryad]]+Races!$F$35)*1.8 +  IF(TblMili[[#This Row],[Dryad]]+Races!$F$35&gt;6,(TblMili[[#This Row],[Dryad]]+Races!$F$35-6)*0.2,0) - Races!$I$19</f>
        <v>2.1599999999999993</v>
      </c>
      <c r="CN75" s="97">
        <f ca="1">sylvan*(TblMili[[#This Row],[Mystic bonus]]*TblMili[[#This Row],[Unit 3]])</f>
        <v>0</v>
      </c>
      <c r="CO75" s="163">
        <f ca="1">1.8 * MIN(MAX(Races!$E$27,TblMili[[#This Row],[Rockapult]]+Races!$F$27),6)  +  0.45 * MIN(MIN(Races!$E$27,TblMili[[#This Row],[Rockapult]]+Races!$F$27),6)  +  0.2 * ( MAX(Races!$E$27-6,0) + MAX(TblMili[[#This Row],[Rockapult]]+Races!$F$27-6,0) )  -  Races!$I$20</f>
        <v>5.8500000000000005</v>
      </c>
      <c r="CP75" s="97">
        <f ca="1">gnome*(TblMili[[#This Row],[Rockapult bonus]]*TblMili[[#This Row],[Unit 3]])</f>
        <v>0</v>
      </c>
      <c r="CQ75" s="163">
        <f ca="1">1.8 * MIN(MAX(TblMili[[#This Row],[Spellblade]]+Races!$E$47,TblMili[[#This Row],[Adept-DP]]+Races!$F$47),6)  +  0.45 * MIN(MIN(TblMili[[#This Row],[Spellblade]]+Races!$E$47,TblMili[[#This Row],[Adept-DP]]+Races!$F$47),6)  +  0.2 * ( MAX(TblMili[[#This Row],[Spellblade]]+Races!$E$47-6,0) + MAX(TblMili[[#This Row],[Adept-DP]]+Races!$F$47-6,0) )  -  Races!$I$47</f>
        <v>0</v>
      </c>
      <c r="CR75" s="97">
        <f ca="1">dark_elf*(TblMili[[#This Row],[Adept bonus]]*TblMili[[#This Row],[Unit 3]])</f>
        <v>0</v>
      </c>
      <c r="CS75" s="163">
        <f ca="1">1.8 * MIN(MAX(TblMili[[#This Row],[Frost Mage]]+Races!$F$71,Races!$E$71),6)  +  0.45 * MIN(MIN(TblMili[[#This Row],[Frost Mage]]+Races!$F$71,Races!$E$71),6)  +  0.2 * ( MAX(TblMili[[#This Row],[Frost Mage]]+Races!$F$71-6,0) + MAX(Races!$E$71-6,0) )  -  Races!$I$71</f>
        <v>3.9599999999999991</v>
      </c>
      <c r="CT75" s="163">
        <f ca="1">1.8 * MIN(MAX(TblMili[[#This Row],[Ice Elemental]]+Races!$E$71,Races!$F$71),6)  +  0.45 * MIN(MIN(TblMili[[#This Row],[Ice Elemental]]+Races!$E$71,Races!$F$71),6)  +  0.2 * ( MAX(TblMili[[#This Row],[Ice Elemental]]+Races!$E$71-6,0) + MAX(Races!$F$71-6,0) )  -  Races!$I$71</f>
        <v>0.17999999999999972</v>
      </c>
      <c r="CU75" s="97">
        <f ca="1">TblMili[[#This Row],[Frost Mage bonus]]*TblMili[[#This Row],[Unit 3]]+TblMili[[#This Row],[Ice Elemental bonus]]*TblMili[[#This Row],[Unit 4]]</f>
        <v>0</v>
      </c>
      <c r="CV75" s="273"/>
      <c r="CW75" s="151">
        <f ca="1">MIN(SUM(TblConstr[[#This Row],[Plain]:[Water]])/TblMili[[#This Row],[Land]]/favorable_terrain_bonus/100,favorable_terrain_max)</f>
        <v>0.1</v>
      </c>
      <c r="CX75" s="273"/>
      <c r="CY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50"/>
      <c r="DA75" s="274">
        <f ca="1">(TblMili[[#This Row],[Wizards]]+2*TblMili[[#This Row],[Archmages]])/TblConstr[[#This Row],[Land]]</f>
        <v>0.1</v>
      </c>
      <c r="DB75" s="274">
        <f ca="1">TblMili[[#This Row],[Raw (2)]]*(1+race_wizard_strength+IF(TblMili[[#This Row],[Hour]]&gt;72,tech_magical_weaponry_wiz*TblTech[[#This Row],[3-5]],0))</f>
        <v>0.1</v>
      </c>
    </row>
    <row r="76" spans="1:106" x14ac:dyDescent="0.2">
      <c r="A76" s="152">
        <f>TblRezone[[#This Row],[Hour]]</f>
        <v>73</v>
      </c>
      <c r="B76" s="278">
        <f ca="1">SUM(TblMili[[#This Row],[Unit 1]:[Archmages]])+SUM(OFFSET(TblMili[[#This Row],[Train Unit 1]],-8,0):TblMili[[#This Row],[Train Unit 2]]) + SUM(OFFSET(TblMili[[#This Row],[Train Unit 3]],-11,0):TblMili[[#This Row],[Train Arch]]) + TblMili[[#This Row],[Draftees]]</f>
        <v>826</v>
      </c>
      <c r="C76" s="257">
        <f ca="1">TblPop[[#This Row],[Military%]]</f>
        <v>0.35029686174724345</v>
      </c>
      <c r="D76" s="157"/>
      <c r="E76" s="216">
        <f ca="1">OFFSET(TblMili[[#This Row],[Unit 1]],-1,0) + OFFSET(TblMili[[#This Row],[Train Unit 1]],-9,0) - TblMili[[#This Row],[Release Unit 1]]</f>
        <v>0</v>
      </c>
      <c r="F76" s="216">
        <f ca="1">OFFSET(TblMili[[#This Row],[Unit 2]],-1,0) + OFFSET(TblMili[[#This Row],[Train Unit 2]],-9,0)-TblMili[[#This Row],[Release Unit 2]]</f>
        <v>150</v>
      </c>
      <c r="G76" s="215">
        <f ca="1">OFFSET(TblMili[[#This Row],[Unit 3]],-1,0) + OFFSET(TblMili[[#This Row],[Train Unit 3]],-12,0)-TblMili[[#This Row],[Release Unit 3]]</f>
        <v>0</v>
      </c>
      <c r="H76" s="216">
        <f ca="1">OFFSET(TblMili[[#This Row],[Unit 4]],-1,0) + OFFSET(TblMili[[#This Row],[Train Unit 4]],-12,0)-TblMili[[#This Row],[Release Unit 4]]</f>
        <v>0</v>
      </c>
      <c r="I76" s="216">
        <f ca="1">OFFSET(TblMili[[#This Row],[Spies]],-1,0) + OFFSET(TblMili[[#This Row],[Train Spies]],-12,0) - TblMili[[#This Row],[Release Spies]]</f>
        <v>25</v>
      </c>
      <c r="J76" s="216">
        <f ca="1">OFFSET(TblMili[[#This Row],[Wizards]],-1,0) + OFFSET(TblMili[[#This Row],[Train Wiz]],-12,0) - TblMili[[#This Row],[Release Wizards]]-TblMili[[#This Row],[Train Arch]]</f>
        <v>25</v>
      </c>
      <c r="K76" s="216">
        <f ca="1">OFFSET(TblMili[[#This Row],[Archmages]],-1,0) + OFFSET(TblMili[[#This Row],[Train Arch]],-12,0) - TblMili[[#This Row],[Release Arch]]</f>
        <v>0</v>
      </c>
      <c r="L76" s="157"/>
      <c r="M76" s="215">
        <f ca="1">TblProd[[#This Row],[Networth]]</f>
        <v>6450</v>
      </c>
      <c r="N76" s="157"/>
      <c r="O76" s="279">
        <f ca="1">TblMili[[#This Row],[Unit 1]]*spec_op+TblMili[[#This Row],[Unit 3]]*(elite1_base_op)+TblMili[[#This Row],[Unit 4]]*(elite2_base_op+dark_elf*TblMili[[#This Row],[Spellblade]]+icekin*TblMili[[#This Row],[Ice Elemental]]+woodie*TblMili[[#This Row],[Druid (op)]]+orc*TblMili[[#This Row],[Orc]])+kobold*TblMili[[#This Row],[Overlords]]</f>
        <v>0</v>
      </c>
      <c r="P76" s="2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6" s="279">
        <f ca="1">TblMili[[#This Row],[Raw]]*(1+TblMili[[#This Row],[Mods_Off]])</f>
        <v>0</v>
      </c>
      <c r="R76" s="27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6" s="279">
        <f ca="1">TblMili[[#This Row],[Non Draft]]+TblMili[[#This Row],[Draftees]]</f>
        <v>1076</v>
      </c>
      <c r="T76" s="28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281">
        <f ca="1">TblMili[[#This Row],[Non Draft]] * (1 + TblMili[[#This Row],[Mods_Def]])</f>
        <v>450</v>
      </c>
      <c r="V76" s="279">
        <f ca="1">TblMili[[#This Row],[Draft]] * (1 + TblMili[[#This Row],[Mods_Def]])</f>
        <v>1076</v>
      </c>
      <c r="W76" s="279">
        <f ca="1">TblConstr[[#This Row],[Land]]</f>
        <v>250</v>
      </c>
      <c r="X76" s="282"/>
      <c r="Y76" s="283">
        <f ca="1">IF(TblMili[[#This Row],[Set]]&lt;&gt;"",TblMili[[#This Row],[Set]],OFFSET(TblMili[[#This Row],[Draftrate]],-1,0))</f>
        <v>0.35</v>
      </c>
      <c r="Z76" s="215">
        <f ca="1">OFFSET(TblMili[[#This Row],[Draftees]],-1,0)+OFFSET(TblPop[[#This Row],[Draft Growth]],-1,0) - SUM(TblMili[[#This Row],[Train Unit 1]:[Train Wiz]]) - TblMili[[#This Row],[Release Draft]] + SUM(TblMili[[#This Row],[Release Unit 1]:[Release Arch]]) -TblExplore[[#This Row],[Draftees (2)]]</f>
        <v>626</v>
      </c>
      <c r="AA76" s="170"/>
      <c r="AB76" s="214">
        <f ca="1">(TblConstr[[#This Row],[Tot Smi]]+TblConstr[[#This Row],[Dest Smi]])/(TblConstr[[#This Row],[Land]]-TblExplore[[#This Row],[Land Bonus]]*20)</f>
        <v>0</v>
      </c>
      <c r="AC76" s="152"/>
      <c r="AD76" s="278">
        <f>TblMili[[#This Row],[Hour]]</f>
        <v>73</v>
      </c>
      <c r="AE76" s="153">
        <f ca="1">TblExplore[[#This Row],[Time]]</f>
        <v>44813.749999999825</v>
      </c>
      <c r="AF76" s="212"/>
      <c r="AG76" s="212"/>
      <c r="AH76" s="174"/>
      <c r="AI76" s="212"/>
      <c r="AJ76" s="212"/>
      <c r="AK76" s="212"/>
      <c r="AL76" s="212"/>
      <c r="AM76" s="157"/>
      <c r="AN76" s="215">
        <f ca="1">TblProd[[#This Row],[Platinum]]</f>
        <v>495870</v>
      </c>
      <c r="AO76" s="215">
        <f ca="1">INDEX(TblProd[[#Headers],[Lumber]]:TblProd[[#This Row],[Ore]],COUNTA(TblProd[[#Headers],[Lumber]]:TblProd[[#This Row],[Lumber]]),MATCH(Military!$AO$2,TblProd[[#Headers],[Lumber]:[Ore]],0))</f>
        <v>0</v>
      </c>
      <c r="AP76" s="21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15">
        <f ca="1">TblMili[[#This Row],[Train Unit 1]]*TblMili[[#This Row],[OP Ore]]+TblMili[[#This Row],[Train Unit 2]]*TblMili[[#This Row],[DP Ore]]+TblMili[[#This Row],[Train Unit 3]]*TblMili[[#This Row],[E1 Ore]]+TblMili[[#This Row],[Train Unit 4]]*TblMili[[#This Row],[E2 Ore]]</f>
        <v>0</v>
      </c>
      <c r="AR76" s="157">
        <f>TblMili[[#This Row],[Hour]]</f>
        <v>73</v>
      </c>
      <c r="AS76" s="168">
        <f ca="1">TblMili[[#This Row],[Time]]</f>
        <v>44813.749999999825</v>
      </c>
      <c r="AT76" s="215">
        <f ca="1">TblMili[[#This Row],[Draftees]]</f>
        <v>626</v>
      </c>
      <c r="AU76" s="174"/>
      <c r="AV76" s="212"/>
      <c r="AW76" s="212"/>
      <c r="AX76" s="212"/>
      <c r="AY76" s="212"/>
      <c r="AZ76" s="212"/>
      <c r="BA76" s="212"/>
      <c r="BB76" s="212"/>
      <c r="BC76" s="157"/>
      <c r="BD76" s="257">
        <f ca="1">TblConstr[[#This Row],[Tot WG]]/TblConstr[[#This Row],[Land]]</f>
        <v>0</v>
      </c>
      <c r="BE76" s="257">
        <f ca="1">TblConstr[[#This Row],[Tot Hav]]/TblConstr[[#This Row],[Land]]</f>
        <v>0</v>
      </c>
      <c r="BF76" s="215">
        <f ca="1">ROUNDUP((1-MIN(TblMili[[#This Row],[Smithies]]*smithy_bonus,smithy_bonus_cap) + tech_3_5*TblTech[[#This Row],[3-5]] + tech_5_3*TblTech[[#This Row],[5-3]] + tech_5_5*TblTech[[#This Row],[5-5]])*spec_op_plat,0)</f>
        <v>275</v>
      </c>
      <c r="BG76" s="215">
        <f ca="1">ROUNDUP(IF(race="Gnome",1,(1-MIN(TblMili[[#This Row],[Smithies]]*smithy_bonus,smithy_bonus_cap) + tech_3_5*TblTech[[#This Row],[3-5]] + tech_5_3*TblTech[[#This Row],[5-3]] + tech_5_5*TblTech[[#This Row],[5-5]]))*spec_op_ore,0)</f>
        <v>25</v>
      </c>
      <c r="BH76" s="215">
        <f ca="1">ROUNDUP((1-MIN(TblMili[[#This Row],[Smithies]]*smithy_bonus,smithy_bonus_cap) + tech_3_5*TblTech[[#This Row],[3-5]] + tech_5_3*TblTech[[#This Row],[5-3]] + tech_5_5*TblTech[[#This Row],[5-5]])*spec_dp_plat,0)</f>
        <v>275</v>
      </c>
      <c r="BI76" s="215">
        <f ca="1">ROUNDUP(IF(race="Gnome",1,(1-MIN(TblMili[[#This Row],[Smithies]]*smithy_bonus,smithy_bonus_cap) + tech_3_5*TblTech[[#This Row],[3-5]] + tech_5_3*TblTech[[#This Row],[5-3]] + tech_5_5*TblTech[[#This Row],[5-5]]))*spec_dp_ore,0)</f>
        <v>15</v>
      </c>
      <c r="BJ76" s="215">
        <f ca="1">ROUNDUP((1-MIN(TblMili[[#This Row],[Smithies]]*smithy_bonus,smithy_bonus_cap) + tech_3_5*TblTech[[#This Row],[3-5]] + tech_5_3*TblTech[[#This Row],[5-3]] + tech_5_5*TblTech[[#This Row],[5-5]])*elite1_plat,0)</f>
        <v>1000</v>
      </c>
      <c r="BK76" s="215">
        <f ca="1">ROUNDUP(IF(race="Gnome",1,(1-MIN(TblMili[[#This Row],[Smithies]]*smithy_bonus,smithy_bonus_cap) + tech_3_5*TblTech[[#This Row],[3-5]] + tech_5_3*TblTech[[#This Row],[5-3]] + tech_5_5*TblTech[[#This Row],[5-5]]))*elite1_ore,0)</f>
        <v>75</v>
      </c>
      <c r="BL76" s="215">
        <f ca="1">ROUNDUP((1-MIN(TblMili[[#This Row],[Smithies]]*smithy_bonus,smithy_bonus_cap) + tech_3_5*TblTech[[#This Row],[3-5]] + tech_5_3*TblTech[[#This Row],[5-3]] + tech_5_5*TblTech[[#This Row],[5-5]])*elite2_plat,0)</f>
        <v>1200</v>
      </c>
      <c r="BM76" s="215">
        <f ca="1">ROUNDUP(IF(race="Gnome",1,(1-MIN(TblMili[[#This Row],[Smithies]]*smithy_bonus,smithy_bonus_cap) + tech_3_5*TblTech[[#This Row],[3-5]] + tech_5_3*TblTech[[#This Row],[5-3]] + tech_5_5*TblTech[[#This Row],[5-5]]))*elite2_ore,0)</f>
        <v>100</v>
      </c>
      <c r="BN76" s="215">
        <f ca="1">ROUNDUP((1-MIN(ROUND(fh_spy_cost_red*TblMili[[#This Row],[FH''s]],4),fh_spy_cost_cap)+ tech_1_9*TblTech[[#This Row],[1-9]] + tech_9_1*TblTech[[#This Row],[9-1]])*spy_plat,0)</f>
        <v>500</v>
      </c>
      <c r="BO76" s="215">
        <f ca="1">ROUNDUP((1-MIN(ROUND(wg_wiz_cost_bonus*TblMili[[#This Row],[WG''s]],4),wg_wiz_cost_cap) + tech_1_9_2*TblTech[[#This Row],[1-9]] + tech_9_1_2*TblTech[[#This Row],[9-1]])*wizard_plat,0)</f>
        <v>500</v>
      </c>
      <c r="BP76" s="215">
        <f ca="1">ROUNDUP((1-MIN(ROUND(wg_wiz_cost_bonus*TblMili[[#This Row],[WG''s]],4),wg_wiz_cost_cap) + tech_1_9_2*TblTech[[#This Row],[1-9]] + tech_9_1_2*TblTech[[#This Row],[9-1]])*archmage_plat,0)</f>
        <v>1000</v>
      </c>
      <c r="BQ76" s="157"/>
      <c r="BR76" s="257">
        <f ca="1">TblConstr[[#This Row],[Homeland]]/TblConstr[[#This Row],[Land]]</f>
        <v>0.44</v>
      </c>
      <c r="BS76" s="257">
        <f ca="1">TblMili[[#This Row],[WG''s]]</f>
        <v>0</v>
      </c>
      <c r="BT76" s="284">
        <f ca="1">IF(mystic_cap="none",TblMili[[#This Row],[Hill]]/mystic_bonus,MIN(mystic_cap,TblMili[[#This Row],[Hill]]/mystic_bonus))</f>
        <v>2.1999999999999997</v>
      </c>
      <c r="BU76" s="284">
        <f ca="1">IF(druid_op_cap="none",TblMili[[#This Row],[Hill]]/druid_op_bonus,MIN(druid_op_cap,TblMili[[#This Row],[Hill]]/druid_op_bonus))</f>
        <v>2.1999999999999997</v>
      </c>
      <c r="BV76" s="284">
        <f ca="1">IF(druid_dp_cap="none",TblMili[[#This Row],[Hill]]/druid_dp_bonus,MIN(druid_dp_cap,TblMili[[#This Row],[Hill]]/druid_dp_bonus))</f>
        <v>2.1999999999999997</v>
      </c>
      <c r="BW76" s="284">
        <f ca="1">MIN(dryad_cap,TblMili[[#This Row],[Hill]]/dryad_bonus)</f>
        <v>2.1999999999999997</v>
      </c>
      <c r="BX76" s="284">
        <f ca="1">MIN(rocka_cap,TblMili[[#This Row],[Hill]]/rocka_bonus)</f>
        <v>2</v>
      </c>
      <c r="BY76" s="284">
        <f ca="1">MIN(adept_op_cap,TblMili[[#This Row],[WG]]/adept_op_bonus)</f>
        <v>0</v>
      </c>
      <c r="BZ76" s="284">
        <f ca="1">MIN(adept_dp_cap,TblMili[[#This Row],[WG]]/adept_dp_bonus)</f>
        <v>0</v>
      </c>
      <c r="CA76" s="215">
        <f ca="1">MIN(TblMili[[#This Row],[Unit 3]],TblMili[[#This Row],[Unit 4]])*2</f>
        <v>0</v>
      </c>
      <c r="CB76" s="215">
        <f ca="1">MIN(TblMili[[#This Row],[Unit 1]],TblMili[[#This Row],[Unit 4]])*2</f>
        <v>0</v>
      </c>
      <c r="CC76" s="284">
        <f ca="1">MIN(frost_mage_cap,TblMili[[#This Row],[Hill]]/frost_mage_bonus)</f>
        <v>2.1999999999999997</v>
      </c>
      <c r="CD76" s="216">
        <f ca="1">MIN(ice_elem_cap,TblMili[[#This Row],[Raw (2)]]*ice_elem_bonus)</f>
        <v>0.1</v>
      </c>
      <c r="CE76" s="284">
        <f t="shared" si="3"/>
        <v>1</v>
      </c>
      <c r="CF76" s="284">
        <f ca="1">MIN(nox_nightshade_cap,TblConstr[[#This Row],[Homeland]]/TblConstr[[#This Row],[Land]]/nox_nightshade_swamp_bonus)</f>
        <v>3</v>
      </c>
      <c r="CG76" s="285"/>
      <c r="CH76" s="285"/>
      <c r="CI76" s="285"/>
      <c r="CJ76" s="284">
        <f ca="1">MIN(6,TblMili[[#This Row],[Mystic]]+Races!$F$19)*1.8 +  IF(TblMili[[#This Row],[Mystic]]+Races!$F$19&gt;6,(TblMili[[#This Row],[Mystic]]+Races!$F$19-6)*0.2,0) - Races!$I$19</f>
        <v>3.6399999999999997</v>
      </c>
      <c r="CK76" s="284">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15">
        <f ca="1">TblMili[[#This Row],[Mystic bonus]]*TblMili[[#This Row],[Unit 3]]+TblMili[[#This Row],[Druid bonus]]*TblMili[[#This Row],[Unit 4]]</f>
        <v>0</v>
      </c>
      <c r="CM76" s="286">
        <f ca="1">MIN(6,TblMili[[#This Row],[Dryad]]+Races!$F$35)*1.8 +  IF(TblMili[[#This Row],[Dryad]]+Races!$F$35&gt;6,(TblMili[[#This Row],[Dryad]]+Races!$F$35-6)*0.2,0) - Races!$I$19</f>
        <v>2.1599999999999993</v>
      </c>
      <c r="CN76" s="215">
        <f ca="1">sylvan*(TblMili[[#This Row],[Mystic bonus]]*TblMili[[#This Row],[Unit 3]])</f>
        <v>0</v>
      </c>
      <c r="CO76" s="286">
        <f ca="1">1.8 * MIN(MAX(Races!$E$27,TblMili[[#This Row],[Rockapult]]+Races!$F$27),6)  +  0.45 * MIN(MIN(Races!$E$27,TblMili[[#This Row],[Rockapult]]+Races!$F$27),6)  +  0.2 * ( MAX(Races!$E$27-6,0) + MAX(TblMili[[#This Row],[Rockapult]]+Races!$F$27-6,0) )  -  Races!$I$20</f>
        <v>5.8500000000000005</v>
      </c>
      <c r="CP76" s="215">
        <f ca="1">gnome*(TblMili[[#This Row],[Rockapult bonus]]*TblMili[[#This Row],[Unit 3]])</f>
        <v>0</v>
      </c>
      <c r="CQ76" s="286">
        <f ca="1">1.8 * MIN(MAX(TblMili[[#This Row],[Spellblade]]+Races!$E$47,TblMili[[#This Row],[Adept-DP]]+Races!$F$47),6)  +  0.45 * MIN(MIN(TblMili[[#This Row],[Spellblade]]+Races!$E$47,TblMili[[#This Row],[Adept-DP]]+Races!$F$47),6)  +  0.2 * ( MAX(TblMili[[#This Row],[Spellblade]]+Races!$E$47-6,0) + MAX(TblMili[[#This Row],[Adept-DP]]+Races!$F$47-6,0) )  -  Races!$I$47</f>
        <v>0</v>
      </c>
      <c r="CR76" s="215">
        <f ca="1">dark_elf*(TblMili[[#This Row],[Adept bonus]]*TblMili[[#This Row],[Unit 3]])</f>
        <v>0</v>
      </c>
      <c r="CS76" s="286">
        <f ca="1">1.8 * MIN(MAX(TblMili[[#This Row],[Frost Mage]]+Races!$F$71,Races!$E$71),6)  +  0.45 * MIN(MIN(TblMili[[#This Row],[Frost Mage]]+Races!$F$71,Races!$E$71),6)  +  0.2 * ( MAX(TblMili[[#This Row],[Frost Mage]]+Races!$F$71-6,0) + MAX(Races!$E$71-6,0) )  -  Races!$I$71</f>
        <v>3.9599999999999991</v>
      </c>
      <c r="CT76" s="286">
        <f ca="1">1.8 * MIN(MAX(TblMili[[#This Row],[Ice Elemental]]+Races!$E$71,Races!$F$71),6)  +  0.45 * MIN(MIN(TblMili[[#This Row],[Ice Elemental]]+Races!$E$71,Races!$F$71),6)  +  0.2 * ( MAX(TblMili[[#This Row],[Ice Elemental]]+Races!$E$71-6,0) + MAX(Races!$F$71-6,0) )  -  Races!$I$71</f>
        <v>0.17999999999999972</v>
      </c>
      <c r="CU76" s="215">
        <f ca="1">TblMili[[#This Row],[Frost Mage bonus]]*TblMili[[#This Row],[Unit 3]]+TblMili[[#This Row],[Ice Elemental bonus]]*TblMili[[#This Row],[Unit 4]]</f>
        <v>0</v>
      </c>
      <c r="CV76" s="287"/>
      <c r="CW76" s="158">
        <f ca="1">MIN(SUM(TblConstr[[#This Row],[Plain]:[Water]])/TblMili[[#This Row],[Land]]/favorable_terrain_bonus/100,favorable_terrain_max)</f>
        <v>0.1</v>
      </c>
      <c r="CX76" s="287"/>
      <c r="CY76" s="21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57"/>
      <c r="DA76" s="288">
        <f ca="1">(TblMili[[#This Row],[Wizards]]+2*TblMili[[#This Row],[Archmages]])/TblConstr[[#This Row],[Land]]</f>
        <v>0.1</v>
      </c>
      <c r="DB76" s="288">
        <f ca="1">TblMili[[#This Row],[Raw (2)]]*(1+race_wizard_strength+IF(TblMili[[#This Row],[Hour]]&gt;72,tech_magical_weaponry_wiz*TblTech[[#This Row],[3-5]],0))</f>
        <v>0.1</v>
      </c>
    </row>
    <row r="77" spans="1:106" x14ac:dyDescent="0.2">
      <c r="A77" s="145">
        <f>TblRezone[[#This Row],[Hour]]</f>
        <v>74</v>
      </c>
      <c r="B77" s="266">
        <f ca="1">SUM(TblMili[[#This Row],[Unit 1]:[Archmages]])+SUM(OFFSET(TblMili[[#This Row],[Train Unit 1]],-8,0):TblMili[[#This Row],[Train Unit 2]]) + SUM(OFFSET(TblMili[[#This Row],[Train Unit 3]],-11,0):TblMili[[#This Row],[Train Arch]]) + TblMili[[#This Row],[Draftees]]</f>
        <v>826</v>
      </c>
      <c r="C77" s="165">
        <f ca="1">TblPop[[#This Row],[Military%]]</f>
        <v>0.35029686174724345</v>
      </c>
      <c r="D77" s="150"/>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f>
        <v>25</v>
      </c>
      <c r="J77" s="45">
        <f ca="1">OFFSET(TblMili[[#This Row],[Wizards]],-1,0) + OFFSET(TblMili[[#This Row],[Train Wiz]],-12,0) - TblMili[[#This Row],[Release Wizards]]-TblMili[[#This Row],[Train Arch]]</f>
        <v>25</v>
      </c>
      <c r="K77" s="45">
        <f ca="1">OFFSET(TblMili[[#This Row],[Archmages]],-1,0) + OFFSET(TblMili[[#This Row],[Train Arch]],-12,0) - TblMili[[#This Row],[Release Arch]]</f>
        <v>0</v>
      </c>
      <c r="L77" s="150"/>
      <c r="M77" s="97">
        <f ca="1">TblProd[[#This Row],[Networth]]</f>
        <v>6450</v>
      </c>
      <c r="N77" s="150"/>
      <c r="O77" s="267">
        <f ca="1">TblMili[[#This Row],[Unit 1]]*spec_op+TblMili[[#This Row],[Unit 3]]*(elite1_base_op)+TblMili[[#This Row],[Unit 4]]*(elite2_base_op+dark_elf*TblMili[[#This Row],[Spellblade]]+icekin*TblMili[[#This Row],[Ice Elemental]]+woodie*TblMili[[#This Row],[Druid (op)]]+orc*TblMili[[#This Row],[Orc]])+kobold*TblMili[[#This Row],[Overlords]]</f>
        <v>0</v>
      </c>
      <c r="P7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7" s="267">
        <f ca="1">TblMili[[#This Row],[Raw]]*(1+TblMili[[#This Row],[Mods_Off]])</f>
        <v>0</v>
      </c>
      <c r="R7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7" s="267">
        <f ca="1">TblMili[[#This Row],[Non Draft]]+TblMili[[#This Row],[Draftees]]</f>
        <v>1076</v>
      </c>
      <c r="T7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269">
        <f ca="1">TblMili[[#This Row],[Non Draft]] * (1 + TblMili[[#This Row],[Mods_Def]])</f>
        <v>450</v>
      </c>
      <c r="V77" s="267">
        <f ca="1">TblMili[[#This Row],[Draft]] * (1 + TblMili[[#This Row],[Mods_Def]])</f>
        <v>1076</v>
      </c>
      <c r="W77" s="267">
        <f ca="1">TblConstr[[#This Row],[Land]]</f>
        <v>250</v>
      </c>
      <c r="X77" s="270"/>
      <c r="Y77" s="275">
        <f ca="1">IF(TblMili[[#This Row],[Set]]&lt;&gt;"",TblMili[[#This Row],[Set]],OFFSET(TblMili[[#This Row],[Draftrate]],-1,0))</f>
        <v>0.35</v>
      </c>
      <c r="Z77" s="97">
        <f ca="1">OFFSET(TblMili[[#This Row],[Draftees]],-1,0)+OFFSET(TblPop[[#This Row],[Draft Growth]],-1,0) - SUM(TblMili[[#This Row],[Train Unit 1]:[Train Wiz]]) - TblMili[[#This Row],[Release Draft]] + SUM(TblMili[[#This Row],[Release Unit 1]:[Release Arch]]) -TblExplore[[#This Row],[Draftees (2)]]</f>
        <v>626</v>
      </c>
      <c r="AA77" s="162"/>
      <c r="AB77" s="188">
        <f ca="1">(TblConstr[[#This Row],[Tot Smi]]+TblConstr[[#This Row],[Dest Smi]])/(TblConstr[[#This Row],[Land]]-TblExplore[[#This Row],[Land Bonus]]*20)</f>
        <v>0</v>
      </c>
      <c r="AC77" s="145"/>
      <c r="AD77" s="266">
        <f>TblMili[[#This Row],[Hour]]</f>
        <v>74</v>
      </c>
      <c r="AE77" s="146">
        <f ca="1">TblExplore[[#This Row],[Time]]</f>
        <v>44813.79166666649</v>
      </c>
      <c r="AF77" s="187"/>
      <c r="AG77" s="187"/>
      <c r="AH77" s="187"/>
      <c r="AI77" s="187"/>
      <c r="AJ77" s="187"/>
      <c r="AK77" s="187"/>
      <c r="AL77" s="187"/>
      <c r="AM77" s="150"/>
      <c r="AN77" s="97">
        <f ca="1">TblProd[[#This Row],[Platinum]]</f>
        <v>501356</v>
      </c>
      <c r="AO77" s="97">
        <f ca="1">INDEX(TblProd[[#Headers],[Lumber]]:TblProd[[#This Row],[Ore]],COUNTA(TblProd[[#Headers],[Lumber]]:TblProd[[#This Row],[Lumber]]),MATCH(Military!$AO$2,TblProd[[#Headers],[Lumber]:[Ore]],0))</f>
        <v>0</v>
      </c>
      <c r="AP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97">
        <f ca="1">TblMili[[#This Row],[Train Unit 1]]*TblMili[[#This Row],[OP Ore]]+TblMili[[#This Row],[Train Unit 2]]*TblMili[[#This Row],[DP Ore]]+TblMili[[#This Row],[Train Unit 3]]*TblMili[[#This Row],[E1 Ore]]+TblMili[[#This Row],[Train Unit 4]]*TblMili[[#This Row],[E2 Ore]]</f>
        <v>0</v>
      </c>
      <c r="AR77" s="150">
        <f>TblMili[[#This Row],[Hour]]</f>
        <v>74</v>
      </c>
      <c r="AS77" s="160">
        <f ca="1">TblMili[[#This Row],[Time]]</f>
        <v>44813.79166666649</v>
      </c>
      <c r="AT77" s="97">
        <f ca="1">TblMili[[#This Row],[Draftees]]</f>
        <v>626</v>
      </c>
      <c r="AU77" s="166"/>
      <c r="AV77" s="187"/>
      <c r="AW77" s="187"/>
      <c r="AX77" s="187"/>
      <c r="AY77" s="187"/>
      <c r="AZ77" s="187"/>
      <c r="BA77" s="187"/>
      <c r="BB77" s="187"/>
      <c r="BC77" s="150"/>
      <c r="BD77" s="165">
        <f ca="1">TblConstr[[#This Row],[Tot WG]]/TblConstr[[#This Row],[Land]]</f>
        <v>0</v>
      </c>
      <c r="BE77" s="165">
        <f ca="1">TblConstr[[#This Row],[Tot Hav]]/TblConstr[[#This Row],[Land]]</f>
        <v>0</v>
      </c>
      <c r="BF77" s="97">
        <f ca="1">ROUNDUP((1-MIN(TblMili[[#This Row],[Smithies]]*smithy_bonus,smithy_bonus_cap) + tech_3_5*TblTech[[#This Row],[3-5]] + tech_5_3*TblTech[[#This Row],[5-3]] + tech_5_5*TblTech[[#This Row],[5-5]])*spec_op_plat,0)</f>
        <v>275</v>
      </c>
      <c r="BG77" s="97">
        <f ca="1">ROUNDUP(IF(race="Gnome",1,(1-MIN(TblMili[[#This Row],[Smithies]]*smithy_bonus,smithy_bonus_cap) + tech_3_5*TblTech[[#This Row],[3-5]] + tech_5_3*TblTech[[#This Row],[5-3]] + tech_5_5*TblTech[[#This Row],[5-5]]))*spec_op_ore,0)</f>
        <v>25</v>
      </c>
      <c r="BH77" s="97">
        <f ca="1">ROUNDUP((1-MIN(TblMili[[#This Row],[Smithies]]*smithy_bonus,smithy_bonus_cap) + tech_3_5*TblTech[[#This Row],[3-5]] + tech_5_3*TblTech[[#This Row],[5-3]] + tech_5_5*TblTech[[#This Row],[5-5]])*spec_dp_plat,0)</f>
        <v>275</v>
      </c>
      <c r="BI77" s="97">
        <f ca="1">ROUNDUP(IF(race="Gnome",1,(1-MIN(TblMili[[#This Row],[Smithies]]*smithy_bonus,smithy_bonus_cap) + tech_3_5*TblTech[[#This Row],[3-5]] + tech_5_3*TblTech[[#This Row],[5-3]] + tech_5_5*TblTech[[#This Row],[5-5]]))*spec_dp_ore,0)</f>
        <v>15</v>
      </c>
      <c r="BJ77" s="97">
        <f ca="1">ROUNDUP((1-MIN(TblMili[[#This Row],[Smithies]]*smithy_bonus,smithy_bonus_cap) + tech_3_5*TblTech[[#This Row],[3-5]] + tech_5_3*TblTech[[#This Row],[5-3]] + tech_5_5*TblTech[[#This Row],[5-5]])*elite1_plat,0)</f>
        <v>1000</v>
      </c>
      <c r="BK77" s="97">
        <f ca="1">ROUNDUP(IF(race="Gnome",1,(1-MIN(TblMili[[#This Row],[Smithies]]*smithy_bonus,smithy_bonus_cap) + tech_3_5*TblTech[[#This Row],[3-5]] + tech_5_3*TblTech[[#This Row],[5-3]] + tech_5_5*TblTech[[#This Row],[5-5]]))*elite1_ore,0)</f>
        <v>75</v>
      </c>
      <c r="BL77" s="97">
        <f ca="1">ROUNDUP((1-MIN(TblMili[[#This Row],[Smithies]]*smithy_bonus,smithy_bonus_cap) + tech_3_5*TblTech[[#This Row],[3-5]] + tech_5_3*TblTech[[#This Row],[5-3]] + tech_5_5*TblTech[[#This Row],[5-5]])*elite2_plat,0)</f>
        <v>1200</v>
      </c>
      <c r="BM77" s="97">
        <f ca="1">ROUNDUP(IF(race="Gnome",1,(1-MIN(TblMili[[#This Row],[Smithies]]*smithy_bonus,smithy_bonus_cap) + tech_3_5*TblTech[[#This Row],[3-5]] + tech_5_3*TblTech[[#This Row],[5-3]] + tech_5_5*TblTech[[#This Row],[5-5]]))*elite2_ore,0)</f>
        <v>100</v>
      </c>
      <c r="BN77" s="97">
        <f ca="1">ROUNDUP((1-MIN(ROUND(fh_spy_cost_red*TblMili[[#This Row],[FH''s]],4),fh_spy_cost_cap)+ tech_1_9*TblTech[[#This Row],[1-9]] + tech_9_1*TblTech[[#This Row],[9-1]])*spy_plat,0)</f>
        <v>500</v>
      </c>
      <c r="BO77" s="97">
        <f ca="1">ROUNDUP((1-MIN(ROUND(wg_wiz_cost_bonus*TblMili[[#This Row],[WG''s]],4),wg_wiz_cost_cap) + tech_1_9_2*TblTech[[#This Row],[1-9]] + tech_9_1_2*TblTech[[#This Row],[9-1]])*wizard_plat,0)</f>
        <v>500</v>
      </c>
      <c r="BP77" s="97">
        <f ca="1">ROUNDUP((1-MIN(ROUND(wg_wiz_cost_bonus*TblMili[[#This Row],[WG''s]],4),wg_wiz_cost_cap) + tech_1_9_2*TblTech[[#This Row],[1-9]] + tech_9_1_2*TblTech[[#This Row],[9-1]])*archmage_plat,0)</f>
        <v>1000</v>
      </c>
      <c r="BQ77" s="150"/>
      <c r="BR77" s="165">
        <f ca="1">TblConstr[[#This Row],[Homeland]]/TblConstr[[#This Row],[Land]]</f>
        <v>0.44</v>
      </c>
      <c r="BS77" s="165">
        <f ca="1">TblMili[[#This Row],[WG''s]]</f>
        <v>0</v>
      </c>
      <c r="BT77" s="271">
        <f ca="1">IF(mystic_cap="none",TblMili[[#This Row],[Hill]]/mystic_bonus,MIN(mystic_cap,TblMili[[#This Row],[Hill]]/mystic_bonus))</f>
        <v>2.1999999999999997</v>
      </c>
      <c r="BU77" s="271">
        <f ca="1">IF(druid_op_cap="none",TblMili[[#This Row],[Hill]]/druid_op_bonus,MIN(druid_op_cap,TblMili[[#This Row],[Hill]]/druid_op_bonus))</f>
        <v>2.1999999999999997</v>
      </c>
      <c r="BV77" s="271">
        <f ca="1">IF(druid_dp_cap="none",TblMili[[#This Row],[Hill]]/druid_dp_bonus,MIN(druid_dp_cap,TblMili[[#This Row],[Hill]]/druid_dp_bonus))</f>
        <v>2.1999999999999997</v>
      </c>
      <c r="BW77" s="271">
        <f ca="1">MIN(dryad_cap,TblMili[[#This Row],[Hill]]/dryad_bonus)</f>
        <v>2.1999999999999997</v>
      </c>
      <c r="BX77" s="271">
        <f ca="1">MIN(rocka_cap,TblMili[[#This Row],[Hill]]/rocka_bonus)</f>
        <v>2</v>
      </c>
      <c r="BY77" s="271">
        <f ca="1">MIN(adept_op_cap,TblMili[[#This Row],[WG]]/adept_op_bonus)</f>
        <v>0</v>
      </c>
      <c r="BZ77" s="271">
        <f ca="1">MIN(adept_dp_cap,TblMili[[#This Row],[WG]]/adept_dp_bonus)</f>
        <v>0</v>
      </c>
      <c r="CA77" s="97">
        <f ca="1">MIN(TblMili[[#This Row],[Unit 3]],TblMili[[#This Row],[Unit 4]])*2</f>
        <v>0</v>
      </c>
      <c r="CB77" s="97">
        <f ca="1">MIN(TblMili[[#This Row],[Unit 1]],TblMili[[#This Row],[Unit 4]])*2</f>
        <v>0</v>
      </c>
      <c r="CC77" s="271">
        <f ca="1">MIN(frost_mage_cap,TblMili[[#This Row],[Hill]]/frost_mage_bonus)</f>
        <v>2.1999999999999997</v>
      </c>
      <c r="CD77" s="45">
        <f ca="1">MIN(ice_elem_cap,TblMili[[#This Row],[Raw (2)]]*ice_elem_bonus)</f>
        <v>0.1</v>
      </c>
      <c r="CE77" s="271">
        <f t="shared" si="3"/>
        <v>1</v>
      </c>
      <c r="CF77" s="271">
        <f ca="1">MIN(nox_nightshade_cap,TblConstr[[#This Row],[Homeland]]/TblConstr[[#This Row],[Land]]/nox_nightshade_swamp_bonus)</f>
        <v>3</v>
      </c>
      <c r="CG77" s="272"/>
      <c r="CH77" s="272"/>
      <c r="CI77" s="272"/>
      <c r="CJ77" s="271">
        <f ca="1">MIN(6,TblMili[[#This Row],[Mystic]]+Races!$F$19)*1.8 +  IF(TblMili[[#This Row],[Mystic]]+Races!$F$19&gt;6,(TblMili[[#This Row],[Mystic]]+Races!$F$19-6)*0.2,0) - Races!$I$19</f>
        <v>3.6399999999999997</v>
      </c>
      <c r="CK7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97">
        <f ca="1">TblMili[[#This Row],[Mystic bonus]]*TblMili[[#This Row],[Unit 3]]+TblMili[[#This Row],[Druid bonus]]*TblMili[[#This Row],[Unit 4]]</f>
        <v>0</v>
      </c>
      <c r="CM77" s="163">
        <f ca="1">MIN(6,TblMili[[#This Row],[Dryad]]+Races!$F$35)*1.8 +  IF(TblMili[[#This Row],[Dryad]]+Races!$F$35&gt;6,(TblMili[[#This Row],[Dryad]]+Races!$F$35-6)*0.2,0) - Races!$I$19</f>
        <v>2.1599999999999993</v>
      </c>
      <c r="CN77" s="97">
        <f ca="1">sylvan*(TblMili[[#This Row],[Mystic bonus]]*TblMili[[#This Row],[Unit 3]])</f>
        <v>0</v>
      </c>
      <c r="CO77" s="163">
        <f ca="1">1.8 * MIN(MAX(Races!$E$27,TblMili[[#This Row],[Rockapult]]+Races!$F$27),6)  +  0.45 * MIN(MIN(Races!$E$27,TblMili[[#This Row],[Rockapult]]+Races!$F$27),6)  +  0.2 * ( MAX(Races!$E$27-6,0) + MAX(TblMili[[#This Row],[Rockapult]]+Races!$F$27-6,0) )  -  Races!$I$20</f>
        <v>5.8500000000000005</v>
      </c>
      <c r="CP77" s="97">
        <f ca="1">gnome*(TblMili[[#This Row],[Rockapult bonus]]*TblMili[[#This Row],[Unit 3]])</f>
        <v>0</v>
      </c>
      <c r="CQ77" s="163">
        <f ca="1">1.8 * MIN(MAX(TblMili[[#This Row],[Spellblade]]+Races!$E$47,TblMili[[#This Row],[Adept-DP]]+Races!$F$47),6)  +  0.45 * MIN(MIN(TblMili[[#This Row],[Spellblade]]+Races!$E$47,TblMili[[#This Row],[Adept-DP]]+Races!$F$47),6)  +  0.2 * ( MAX(TblMili[[#This Row],[Spellblade]]+Races!$E$47-6,0) + MAX(TblMili[[#This Row],[Adept-DP]]+Races!$F$47-6,0) )  -  Races!$I$47</f>
        <v>0</v>
      </c>
      <c r="CR77" s="97">
        <f ca="1">dark_elf*(TblMili[[#This Row],[Adept bonus]]*TblMili[[#This Row],[Unit 3]])</f>
        <v>0</v>
      </c>
      <c r="CS77" s="163">
        <f ca="1">1.8 * MIN(MAX(TblMili[[#This Row],[Frost Mage]]+Races!$F$71,Races!$E$71),6)  +  0.45 * MIN(MIN(TblMili[[#This Row],[Frost Mage]]+Races!$F$71,Races!$E$71),6)  +  0.2 * ( MAX(TblMili[[#This Row],[Frost Mage]]+Races!$F$71-6,0) + MAX(Races!$E$71-6,0) )  -  Races!$I$71</f>
        <v>3.9599999999999991</v>
      </c>
      <c r="CT77" s="163">
        <f ca="1">1.8 * MIN(MAX(TblMili[[#This Row],[Ice Elemental]]+Races!$E$71,Races!$F$71),6)  +  0.45 * MIN(MIN(TblMili[[#This Row],[Ice Elemental]]+Races!$E$71,Races!$F$71),6)  +  0.2 * ( MAX(TblMili[[#This Row],[Ice Elemental]]+Races!$E$71-6,0) + MAX(Races!$F$71-6,0) )  -  Races!$I$71</f>
        <v>0.17999999999999972</v>
      </c>
      <c r="CU77" s="97">
        <f ca="1">TblMili[[#This Row],[Frost Mage bonus]]*TblMili[[#This Row],[Unit 3]]+TblMili[[#This Row],[Ice Elemental bonus]]*TblMili[[#This Row],[Unit 4]]</f>
        <v>0</v>
      </c>
      <c r="CV77" s="273"/>
      <c r="CW77" s="151">
        <f ca="1">MIN(SUM(TblConstr[[#This Row],[Plain]:[Water]])/TblMili[[#This Row],[Land]]/favorable_terrain_bonus/100,favorable_terrain_max)</f>
        <v>0.1</v>
      </c>
      <c r="CX77" s="273"/>
      <c r="CY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50"/>
      <c r="DA77" s="274">
        <f ca="1">(TblMili[[#This Row],[Wizards]]+2*TblMili[[#This Row],[Archmages]])/TblConstr[[#This Row],[Land]]</f>
        <v>0.1</v>
      </c>
      <c r="DB77" s="274">
        <f ca="1">TblMili[[#This Row],[Raw (2)]]*(1+race_wizard_strength+IF(TblMili[[#This Row],[Hour]]&gt;72,tech_magical_weaponry_wiz*TblTech[[#This Row],[3-5]],0))</f>
        <v>0.1</v>
      </c>
    </row>
    <row r="78" spans="1:106" x14ac:dyDescent="0.2">
      <c r="A78" s="145">
        <f>TblRezone[[#This Row],[Hour]]</f>
        <v>75</v>
      </c>
      <c r="B78" s="266">
        <f ca="1">SUM(TblMili[[#This Row],[Unit 1]:[Archmages]])+SUM(OFFSET(TblMili[[#This Row],[Train Unit 1]],-8,0):TblMili[[#This Row],[Train Unit 2]]) + SUM(OFFSET(TblMili[[#This Row],[Train Unit 3]],-11,0):TblMili[[#This Row],[Train Arch]]) + TblMili[[#This Row],[Draftees]]</f>
        <v>826</v>
      </c>
      <c r="C78" s="165">
        <f ca="1">TblPop[[#This Row],[Military%]]</f>
        <v>0.35029686174724345</v>
      </c>
      <c r="D78" s="150"/>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f>
        <v>25</v>
      </c>
      <c r="J78" s="45">
        <f ca="1">OFFSET(TblMili[[#This Row],[Wizards]],-1,0) + OFFSET(TblMili[[#This Row],[Train Wiz]],-12,0) - TblMili[[#This Row],[Release Wizards]]-TblMili[[#This Row],[Train Arch]]</f>
        <v>25</v>
      </c>
      <c r="K78" s="45">
        <f ca="1">OFFSET(TblMili[[#This Row],[Archmages]],-1,0) + OFFSET(TblMili[[#This Row],[Train Arch]],-12,0) - TblMili[[#This Row],[Release Arch]]</f>
        <v>0</v>
      </c>
      <c r="L78" s="150"/>
      <c r="M78" s="97">
        <f ca="1">TblProd[[#This Row],[Networth]]</f>
        <v>6450</v>
      </c>
      <c r="N78" s="150"/>
      <c r="O78" s="267">
        <f ca="1">TblMili[[#This Row],[Unit 1]]*spec_op+TblMili[[#This Row],[Unit 3]]*(elite1_base_op)+TblMili[[#This Row],[Unit 4]]*(elite2_base_op+dark_elf*TblMili[[#This Row],[Spellblade]]+icekin*TblMili[[#This Row],[Ice Elemental]]+woodie*TblMili[[#This Row],[Druid (op)]]+orc*TblMili[[#This Row],[Orc]])+kobold*TblMili[[#This Row],[Overlords]]</f>
        <v>0</v>
      </c>
      <c r="P7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8" s="267">
        <f ca="1">TblMili[[#This Row],[Raw]]*(1+TblMili[[#This Row],[Mods_Off]])</f>
        <v>0</v>
      </c>
      <c r="R7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8" s="267">
        <f ca="1">TblMili[[#This Row],[Non Draft]]+TblMili[[#This Row],[Draftees]]</f>
        <v>1076</v>
      </c>
      <c r="T7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269">
        <f ca="1">TblMili[[#This Row],[Non Draft]] * (1 + TblMili[[#This Row],[Mods_Def]])</f>
        <v>450</v>
      </c>
      <c r="V78" s="267">
        <f ca="1">TblMili[[#This Row],[Draft]] * (1 + TblMili[[#This Row],[Mods_Def]])</f>
        <v>1076</v>
      </c>
      <c r="W78" s="267">
        <f ca="1">TblConstr[[#This Row],[Land]]</f>
        <v>250</v>
      </c>
      <c r="X78" s="270"/>
      <c r="Y78" s="275">
        <f ca="1">IF(TblMili[[#This Row],[Set]]&lt;&gt;"",TblMili[[#This Row],[Set]],OFFSET(TblMili[[#This Row],[Draftrate]],-1,0))</f>
        <v>0.35</v>
      </c>
      <c r="Z78" s="97">
        <f ca="1">OFFSET(TblMili[[#This Row],[Draftees]],-1,0)+OFFSET(TblPop[[#This Row],[Draft Growth]],-1,0) - SUM(TblMili[[#This Row],[Train Unit 1]:[Train Wiz]]) - TblMili[[#This Row],[Release Draft]] + SUM(TblMili[[#This Row],[Release Unit 1]:[Release Arch]]) -TblExplore[[#This Row],[Draftees (2)]]</f>
        <v>626</v>
      </c>
      <c r="AA78" s="162"/>
      <c r="AB78" s="188">
        <f ca="1">(TblConstr[[#This Row],[Tot Smi]]+TblConstr[[#This Row],[Dest Smi]])/(TblConstr[[#This Row],[Land]]-TblExplore[[#This Row],[Land Bonus]]*20)</f>
        <v>0</v>
      </c>
      <c r="AC78" s="145"/>
      <c r="AD78" s="266">
        <f>TblMili[[#This Row],[Hour]]</f>
        <v>75</v>
      </c>
      <c r="AE78" s="146">
        <f ca="1">TblExplore[[#This Row],[Time]]</f>
        <v>44813.833333333154</v>
      </c>
      <c r="AF78" s="187"/>
      <c r="AG78" s="187"/>
      <c r="AH78" s="187"/>
      <c r="AI78" s="187"/>
      <c r="AJ78" s="187"/>
      <c r="AK78" s="187"/>
      <c r="AL78" s="187"/>
      <c r="AM78" s="150"/>
      <c r="AN78" s="97">
        <f ca="1">TblProd[[#This Row],[Platinum]]</f>
        <v>506842</v>
      </c>
      <c r="AO78" s="97">
        <f ca="1">INDEX(TblProd[[#Headers],[Lumber]]:TblProd[[#This Row],[Ore]],COUNTA(TblProd[[#Headers],[Lumber]]:TblProd[[#This Row],[Lumber]]),MATCH(Military!$AO$2,TblProd[[#Headers],[Lumber]:[Ore]],0))</f>
        <v>0</v>
      </c>
      <c r="AP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97">
        <f ca="1">TblMili[[#This Row],[Train Unit 1]]*TblMili[[#This Row],[OP Ore]]+TblMili[[#This Row],[Train Unit 2]]*TblMili[[#This Row],[DP Ore]]+TblMili[[#This Row],[Train Unit 3]]*TblMili[[#This Row],[E1 Ore]]+TblMili[[#This Row],[Train Unit 4]]*TblMili[[#This Row],[E2 Ore]]</f>
        <v>0</v>
      </c>
      <c r="AR78" s="150">
        <f>TblMili[[#This Row],[Hour]]</f>
        <v>75</v>
      </c>
      <c r="AS78" s="160">
        <f ca="1">TblMili[[#This Row],[Time]]</f>
        <v>44813.833333333154</v>
      </c>
      <c r="AT78" s="97">
        <f ca="1">TblMili[[#This Row],[Draftees]]</f>
        <v>626</v>
      </c>
      <c r="AU78" s="187"/>
      <c r="AV78" s="187"/>
      <c r="AW78" s="187"/>
      <c r="AX78" s="187"/>
      <c r="AY78" s="187"/>
      <c r="AZ78" s="187"/>
      <c r="BA78" s="187"/>
      <c r="BB78" s="187"/>
      <c r="BC78" s="150"/>
      <c r="BD78" s="165">
        <f ca="1">TblConstr[[#This Row],[Tot WG]]/TblConstr[[#This Row],[Land]]</f>
        <v>0</v>
      </c>
      <c r="BE78" s="165">
        <f ca="1">TblConstr[[#This Row],[Tot Hav]]/TblConstr[[#This Row],[Land]]</f>
        <v>0</v>
      </c>
      <c r="BF78" s="97">
        <f ca="1">ROUNDUP((1-MIN(TblMili[[#This Row],[Smithies]]*smithy_bonus,smithy_bonus_cap) + tech_3_5*TblTech[[#This Row],[3-5]] + tech_5_3*TblTech[[#This Row],[5-3]] + tech_5_5*TblTech[[#This Row],[5-5]])*spec_op_plat,0)</f>
        <v>275</v>
      </c>
      <c r="BG78" s="97">
        <f ca="1">ROUNDUP(IF(race="Gnome",1,(1-MIN(TblMili[[#This Row],[Smithies]]*smithy_bonus,smithy_bonus_cap) + tech_3_5*TblTech[[#This Row],[3-5]] + tech_5_3*TblTech[[#This Row],[5-3]] + tech_5_5*TblTech[[#This Row],[5-5]]))*spec_op_ore,0)</f>
        <v>25</v>
      </c>
      <c r="BH78" s="97">
        <f ca="1">ROUNDUP((1-MIN(TblMili[[#This Row],[Smithies]]*smithy_bonus,smithy_bonus_cap) + tech_3_5*TblTech[[#This Row],[3-5]] + tech_5_3*TblTech[[#This Row],[5-3]] + tech_5_5*TblTech[[#This Row],[5-5]])*spec_dp_plat,0)</f>
        <v>275</v>
      </c>
      <c r="BI78" s="97">
        <f ca="1">ROUNDUP(IF(race="Gnome",1,(1-MIN(TblMili[[#This Row],[Smithies]]*smithy_bonus,smithy_bonus_cap) + tech_3_5*TblTech[[#This Row],[3-5]] + tech_5_3*TblTech[[#This Row],[5-3]] + tech_5_5*TblTech[[#This Row],[5-5]]))*spec_dp_ore,0)</f>
        <v>15</v>
      </c>
      <c r="BJ78" s="97">
        <f ca="1">ROUNDUP((1-MIN(TblMili[[#This Row],[Smithies]]*smithy_bonus,smithy_bonus_cap) + tech_3_5*TblTech[[#This Row],[3-5]] + tech_5_3*TblTech[[#This Row],[5-3]] + tech_5_5*TblTech[[#This Row],[5-5]])*elite1_plat,0)</f>
        <v>1000</v>
      </c>
      <c r="BK78" s="97">
        <f ca="1">ROUNDUP(IF(race="Gnome",1,(1-MIN(TblMili[[#This Row],[Smithies]]*smithy_bonus,smithy_bonus_cap) + tech_3_5*TblTech[[#This Row],[3-5]] + tech_5_3*TblTech[[#This Row],[5-3]] + tech_5_5*TblTech[[#This Row],[5-5]]))*elite1_ore,0)</f>
        <v>75</v>
      </c>
      <c r="BL78" s="97">
        <f ca="1">ROUNDUP((1-MIN(TblMili[[#This Row],[Smithies]]*smithy_bonus,smithy_bonus_cap) + tech_3_5*TblTech[[#This Row],[3-5]] + tech_5_3*TblTech[[#This Row],[5-3]] + tech_5_5*TblTech[[#This Row],[5-5]])*elite2_plat,0)</f>
        <v>1200</v>
      </c>
      <c r="BM78" s="97">
        <f ca="1">ROUNDUP(IF(race="Gnome",1,(1-MIN(TblMili[[#This Row],[Smithies]]*smithy_bonus,smithy_bonus_cap) + tech_3_5*TblTech[[#This Row],[3-5]] + tech_5_3*TblTech[[#This Row],[5-3]] + tech_5_5*TblTech[[#This Row],[5-5]]))*elite2_ore,0)</f>
        <v>100</v>
      </c>
      <c r="BN78" s="97">
        <f ca="1">ROUNDUP((1-MIN(ROUND(fh_spy_cost_red*TblMili[[#This Row],[FH''s]],4),fh_spy_cost_cap)+ tech_1_9*TblTech[[#This Row],[1-9]] + tech_9_1*TblTech[[#This Row],[9-1]])*spy_plat,0)</f>
        <v>500</v>
      </c>
      <c r="BO78" s="97">
        <f ca="1">ROUNDUP((1-MIN(ROUND(wg_wiz_cost_bonus*TblMili[[#This Row],[WG''s]],4),wg_wiz_cost_cap) + tech_1_9_2*TblTech[[#This Row],[1-9]] + tech_9_1_2*TblTech[[#This Row],[9-1]])*wizard_plat,0)</f>
        <v>500</v>
      </c>
      <c r="BP78" s="97">
        <f ca="1">ROUNDUP((1-MIN(ROUND(wg_wiz_cost_bonus*TblMili[[#This Row],[WG''s]],4),wg_wiz_cost_cap) + tech_1_9_2*TblTech[[#This Row],[1-9]] + tech_9_1_2*TblTech[[#This Row],[9-1]])*archmage_plat,0)</f>
        <v>1000</v>
      </c>
      <c r="BQ78" s="150"/>
      <c r="BR78" s="165">
        <f ca="1">TblConstr[[#This Row],[Homeland]]/TblConstr[[#This Row],[Land]]</f>
        <v>0.44</v>
      </c>
      <c r="BS78" s="165">
        <f ca="1">TblMili[[#This Row],[WG''s]]</f>
        <v>0</v>
      </c>
      <c r="BT78" s="271">
        <f ca="1">IF(mystic_cap="none",TblMili[[#This Row],[Hill]]/mystic_bonus,MIN(mystic_cap,TblMili[[#This Row],[Hill]]/mystic_bonus))</f>
        <v>2.1999999999999997</v>
      </c>
      <c r="BU78" s="271">
        <f ca="1">IF(druid_op_cap="none",TblMili[[#This Row],[Hill]]/druid_op_bonus,MIN(druid_op_cap,TblMili[[#This Row],[Hill]]/druid_op_bonus))</f>
        <v>2.1999999999999997</v>
      </c>
      <c r="BV78" s="271">
        <f ca="1">IF(druid_dp_cap="none",TblMili[[#This Row],[Hill]]/druid_dp_bonus,MIN(druid_dp_cap,TblMili[[#This Row],[Hill]]/druid_dp_bonus))</f>
        <v>2.1999999999999997</v>
      </c>
      <c r="BW78" s="271">
        <f ca="1">MIN(dryad_cap,TblMili[[#This Row],[Hill]]/dryad_bonus)</f>
        <v>2.1999999999999997</v>
      </c>
      <c r="BX78" s="271">
        <f ca="1">MIN(rocka_cap,TblMili[[#This Row],[Hill]]/rocka_bonus)</f>
        <v>2</v>
      </c>
      <c r="BY78" s="271">
        <f ca="1">MIN(adept_op_cap,TblMili[[#This Row],[WG]]/adept_op_bonus)</f>
        <v>0</v>
      </c>
      <c r="BZ78" s="271">
        <f ca="1">MIN(adept_dp_cap,TblMili[[#This Row],[WG]]/adept_dp_bonus)</f>
        <v>0</v>
      </c>
      <c r="CA78" s="97">
        <f ca="1">MIN(TblMili[[#This Row],[Unit 3]],TblMili[[#This Row],[Unit 4]])*2</f>
        <v>0</v>
      </c>
      <c r="CB78" s="97">
        <f ca="1">MIN(TblMili[[#This Row],[Unit 1]],TblMili[[#This Row],[Unit 4]])*2</f>
        <v>0</v>
      </c>
      <c r="CC78" s="271">
        <f ca="1">MIN(frost_mage_cap,TblMili[[#This Row],[Hill]]/frost_mage_bonus)</f>
        <v>2.1999999999999997</v>
      </c>
      <c r="CD78" s="45">
        <f ca="1">MIN(ice_elem_cap,TblMili[[#This Row],[Raw (2)]]*ice_elem_bonus)</f>
        <v>0.1</v>
      </c>
      <c r="CE78" s="271">
        <f t="shared" si="3"/>
        <v>1</v>
      </c>
      <c r="CF78" s="271">
        <f ca="1">MIN(nox_nightshade_cap,TblConstr[[#This Row],[Homeland]]/TblConstr[[#This Row],[Land]]/nox_nightshade_swamp_bonus)</f>
        <v>3</v>
      </c>
      <c r="CG78" s="272"/>
      <c r="CH78" s="272"/>
      <c r="CI78" s="272"/>
      <c r="CJ78" s="271">
        <f ca="1">MIN(6,TblMili[[#This Row],[Mystic]]+Races!$F$19)*1.8 +  IF(TblMili[[#This Row],[Mystic]]+Races!$F$19&gt;6,(TblMili[[#This Row],[Mystic]]+Races!$F$19-6)*0.2,0) - Races!$I$19</f>
        <v>3.6399999999999997</v>
      </c>
      <c r="CK7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97">
        <f ca="1">TblMili[[#This Row],[Mystic bonus]]*TblMili[[#This Row],[Unit 3]]+TblMili[[#This Row],[Druid bonus]]*TblMili[[#This Row],[Unit 4]]</f>
        <v>0</v>
      </c>
      <c r="CM78" s="163">
        <f ca="1">MIN(6,TblMili[[#This Row],[Dryad]]+Races!$F$35)*1.8 +  IF(TblMili[[#This Row],[Dryad]]+Races!$F$35&gt;6,(TblMili[[#This Row],[Dryad]]+Races!$F$35-6)*0.2,0) - Races!$I$19</f>
        <v>2.1599999999999993</v>
      </c>
      <c r="CN78" s="97">
        <f ca="1">sylvan*(TblMili[[#This Row],[Mystic bonus]]*TblMili[[#This Row],[Unit 3]])</f>
        <v>0</v>
      </c>
      <c r="CO78" s="163">
        <f ca="1">1.8 * MIN(MAX(Races!$E$27,TblMili[[#This Row],[Rockapult]]+Races!$F$27),6)  +  0.45 * MIN(MIN(Races!$E$27,TblMili[[#This Row],[Rockapult]]+Races!$F$27),6)  +  0.2 * ( MAX(Races!$E$27-6,0) + MAX(TblMili[[#This Row],[Rockapult]]+Races!$F$27-6,0) )  -  Races!$I$20</f>
        <v>5.8500000000000005</v>
      </c>
      <c r="CP78" s="97">
        <f ca="1">gnome*(TblMili[[#This Row],[Rockapult bonus]]*TblMili[[#This Row],[Unit 3]])</f>
        <v>0</v>
      </c>
      <c r="CQ78" s="163">
        <f ca="1">1.8 * MIN(MAX(TblMili[[#This Row],[Spellblade]]+Races!$E$47,TblMili[[#This Row],[Adept-DP]]+Races!$F$47),6)  +  0.45 * MIN(MIN(TblMili[[#This Row],[Spellblade]]+Races!$E$47,TblMili[[#This Row],[Adept-DP]]+Races!$F$47),6)  +  0.2 * ( MAX(TblMili[[#This Row],[Spellblade]]+Races!$E$47-6,0) + MAX(TblMili[[#This Row],[Adept-DP]]+Races!$F$47-6,0) )  -  Races!$I$47</f>
        <v>0</v>
      </c>
      <c r="CR78" s="97">
        <f ca="1">dark_elf*(TblMili[[#This Row],[Adept bonus]]*TblMili[[#This Row],[Unit 3]])</f>
        <v>0</v>
      </c>
      <c r="CS78" s="163">
        <f ca="1">1.8 * MIN(MAX(TblMili[[#This Row],[Frost Mage]]+Races!$F$71,Races!$E$71),6)  +  0.45 * MIN(MIN(TblMili[[#This Row],[Frost Mage]]+Races!$F$71,Races!$E$71),6)  +  0.2 * ( MAX(TblMili[[#This Row],[Frost Mage]]+Races!$F$71-6,0) + MAX(Races!$E$71-6,0) )  -  Races!$I$71</f>
        <v>3.9599999999999991</v>
      </c>
      <c r="CT78" s="163">
        <f ca="1">1.8 * MIN(MAX(TblMili[[#This Row],[Ice Elemental]]+Races!$E$71,Races!$F$71),6)  +  0.45 * MIN(MIN(TblMili[[#This Row],[Ice Elemental]]+Races!$E$71,Races!$F$71),6)  +  0.2 * ( MAX(TblMili[[#This Row],[Ice Elemental]]+Races!$E$71-6,0) + MAX(Races!$F$71-6,0) )  -  Races!$I$71</f>
        <v>0.17999999999999972</v>
      </c>
      <c r="CU78" s="97">
        <f ca="1">TblMili[[#This Row],[Frost Mage bonus]]*TblMili[[#This Row],[Unit 3]]+TblMili[[#This Row],[Ice Elemental bonus]]*TblMili[[#This Row],[Unit 4]]</f>
        <v>0</v>
      </c>
      <c r="CV78" s="273"/>
      <c r="CW78" s="151">
        <f ca="1">MIN(SUM(TblConstr[[#This Row],[Plain]:[Water]])/TblMili[[#This Row],[Land]]/favorable_terrain_bonus/100,favorable_terrain_max)</f>
        <v>0.1</v>
      </c>
      <c r="CX78" s="273"/>
      <c r="CY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50"/>
      <c r="DA78" s="274">
        <f ca="1">(TblMili[[#This Row],[Wizards]]+2*TblMili[[#This Row],[Archmages]])/TblConstr[[#This Row],[Land]]</f>
        <v>0.1</v>
      </c>
      <c r="DB78" s="274">
        <f ca="1">TblMili[[#This Row],[Raw (2)]]*(1+race_wizard_strength+IF(TblMili[[#This Row],[Hour]]&gt;72,tech_magical_weaponry_wiz*TblTech[[#This Row],[3-5]],0))</f>
        <v>0.1</v>
      </c>
    </row>
    <row r="79" spans="1:106" x14ac:dyDescent="0.2">
      <c r="A79" s="145">
        <f>TblRezone[[#This Row],[Hour]]</f>
        <v>76</v>
      </c>
      <c r="B79" s="266">
        <f ca="1">SUM(TblMili[[#This Row],[Unit 1]:[Archmages]])+SUM(OFFSET(TblMili[[#This Row],[Train Unit 1]],-8,0):TblMili[[#This Row],[Train Unit 2]]) + SUM(OFFSET(TblMili[[#This Row],[Train Unit 3]],-11,0):TblMili[[#This Row],[Train Arch]]) + TblMili[[#This Row],[Draftees]]</f>
        <v>826</v>
      </c>
      <c r="C79" s="165">
        <f ca="1">TblPop[[#This Row],[Military%]]</f>
        <v>0.35029686174724345</v>
      </c>
      <c r="D79" s="150"/>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f>
        <v>25</v>
      </c>
      <c r="J79" s="45">
        <f ca="1">OFFSET(TblMili[[#This Row],[Wizards]],-1,0) + OFFSET(TblMili[[#This Row],[Train Wiz]],-12,0) - TblMili[[#This Row],[Release Wizards]]-TblMili[[#This Row],[Train Arch]]</f>
        <v>25</v>
      </c>
      <c r="K79" s="45">
        <f ca="1">OFFSET(TblMili[[#This Row],[Archmages]],-1,0) + OFFSET(TblMili[[#This Row],[Train Arch]],-12,0) - TblMili[[#This Row],[Release Arch]]</f>
        <v>0</v>
      </c>
      <c r="L79" s="150"/>
      <c r="M79" s="97">
        <f ca="1">TblProd[[#This Row],[Networth]]</f>
        <v>6450</v>
      </c>
      <c r="N79" s="150"/>
      <c r="O79" s="267">
        <f ca="1">TblMili[[#This Row],[Unit 1]]*spec_op+TblMili[[#This Row],[Unit 3]]*(elite1_base_op)+TblMili[[#This Row],[Unit 4]]*(elite2_base_op+dark_elf*TblMili[[#This Row],[Spellblade]]+icekin*TblMili[[#This Row],[Ice Elemental]]+woodie*TblMili[[#This Row],[Druid (op)]]+orc*TblMili[[#This Row],[Orc]])+kobold*TblMili[[#This Row],[Overlords]]</f>
        <v>0</v>
      </c>
      <c r="P7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9" s="267">
        <f ca="1">TblMili[[#This Row],[Raw]]*(1+TblMili[[#This Row],[Mods_Off]])</f>
        <v>0</v>
      </c>
      <c r="R7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9" s="267">
        <f ca="1">TblMili[[#This Row],[Non Draft]]+TblMili[[#This Row],[Draftees]]</f>
        <v>1076</v>
      </c>
      <c r="T7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269">
        <f ca="1">TblMili[[#This Row],[Non Draft]] * (1 + TblMili[[#This Row],[Mods_Def]])</f>
        <v>450</v>
      </c>
      <c r="V79" s="267">
        <f ca="1">TblMili[[#This Row],[Draft]] * (1 + TblMili[[#This Row],[Mods_Def]])</f>
        <v>1076</v>
      </c>
      <c r="W79" s="267">
        <f ca="1">TblConstr[[#This Row],[Land]]</f>
        <v>250</v>
      </c>
      <c r="X79" s="270"/>
      <c r="Y79" s="275">
        <f ca="1">IF(TblMili[[#This Row],[Set]]&lt;&gt;"",TblMili[[#This Row],[Set]],OFFSET(TblMili[[#This Row],[Draftrate]],-1,0))</f>
        <v>0.35</v>
      </c>
      <c r="Z79" s="97">
        <f ca="1">OFFSET(TblMili[[#This Row],[Draftees]],-1,0)+OFFSET(TblPop[[#This Row],[Draft Growth]],-1,0) - SUM(TblMili[[#This Row],[Train Unit 1]:[Train Wiz]]) - TblMili[[#This Row],[Release Draft]] + SUM(TblMili[[#This Row],[Release Unit 1]:[Release Arch]]) -TblExplore[[#This Row],[Draftees (2)]]</f>
        <v>626</v>
      </c>
      <c r="AA79" s="162"/>
      <c r="AB79" s="188">
        <f ca="1">(TblConstr[[#This Row],[Tot Smi]]+TblConstr[[#This Row],[Dest Smi]])/(TblConstr[[#This Row],[Land]]-TblExplore[[#This Row],[Land Bonus]]*20)</f>
        <v>0</v>
      </c>
      <c r="AC79" s="145"/>
      <c r="AD79" s="266">
        <f>TblMili[[#This Row],[Hour]]</f>
        <v>76</v>
      </c>
      <c r="AE79" s="146">
        <f ca="1">TblExplore[[#This Row],[Time]]</f>
        <v>44813.874999999818</v>
      </c>
      <c r="AF79" s="187"/>
      <c r="AG79" s="187"/>
      <c r="AH79" s="187"/>
      <c r="AI79" s="187"/>
      <c r="AJ79" s="187"/>
      <c r="AK79" s="187"/>
      <c r="AL79" s="187"/>
      <c r="AM79" s="150"/>
      <c r="AN79" s="97">
        <f ca="1">TblProd[[#This Row],[Platinum]]</f>
        <v>512328</v>
      </c>
      <c r="AO79" s="97">
        <f ca="1">INDEX(TblProd[[#Headers],[Lumber]]:TblProd[[#This Row],[Ore]],COUNTA(TblProd[[#Headers],[Lumber]]:TblProd[[#This Row],[Lumber]]),MATCH(Military!$AO$2,TblProd[[#Headers],[Lumber]:[Ore]],0))</f>
        <v>0</v>
      </c>
      <c r="AP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97">
        <f ca="1">TblMili[[#This Row],[Train Unit 1]]*TblMili[[#This Row],[OP Ore]]+TblMili[[#This Row],[Train Unit 2]]*TblMili[[#This Row],[DP Ore]]+TblMili[[#This Row],[Train Unit 3]]*TblMili[[#This Row],[E1 Ore]]+TblMili[[#This Row],[Train Unit 4]]*TblMili[[#This Row],[E2 Ore]]</f>
        <v>0</v>
      </c>
      <c r="AR79" s="150">
        <f>TblMili[[#This Row],[Hour]]</f>
        <v>76</v>
      </c>
      <c r="AS79" s="160">
        <f ca="1">TblMili[[#This Row],[Time]]</f>
        <v>44813.874999999818</v>
      </c>
      <c r="AT79" s="97">
        <f ca="1">TblMili[[#This Row],[Draftees]]</f>
        <v>626</v>
      </c>
      <c r="AU79" s="166"/>
      <c r="AV79" s="187"/>
      <c r="AW79" s="187"/>
      <c r="AX79" s="187"/>
      <c r="AY79" s="187"/>
      <c r="AZ79" s="187"/>
      <c r="BA79" s="187"/>
      <c r="BB79" s="187"/>
      <c r="BC79" s="150"/>
      <c r="BD79" s="165">
        <f ca="1">TblConstr[[#This Row],[Tot WG]]/TblConstr[[#This Row],[Land]]</f>
        <v>0</v>
      </c>
      <c r="BE79" s="165">
        <f ca="1">TblConstr[[#This Row],[Tot Hav]]/TblConstr[[#This Row],[Land]]</f>
        <v>0</v>
      </c>
      <c r="BF79" s="97">
        <f ca="1">ROUNDUP((1-MIN(TblMili[[#This Row],[Smithies]]*smithy_bonus,smithy_bonus_cap) + tech_3_5*TblTech[[#This Row],[3-5]] + tech_5_3*TblTech[[#This Row],[5-3]] + tech_5_5*TblTech[[#This Row],[5-5]])*spec_op_plat,0)</f>
        <v>275</v>
      </c>
      <c r="BG79" s="97">
        <f ca="1">ROUNDUP(IF(race="Gnome",1,(1-MIN(TblMili[[#This Row],[Smithies]]*smithy_bonus,smithy_bonus_cap) + tech_3_5*TblTech[[#This Row],[3-5]] + tech_5_3*TblTech[[#This Row],[5-3]] + tech_5_5*TblTech[[#This Row],[5-5]]))*spec_op_ore,0)</f>
        <v>25</v>
      </c>
      <c r="BH79" s="97">
        <f ca="1">ROUNDUP((1-MIN(TblMili[[#This Row],[Smithies]]*smithy_bonus,smithy_bonus_cap) + tech_3_5*TblTech[[#This Row],[3-5]] + tech_5_3*TblTech[[#This Row],[5-3]] + tech_5_5*TblTech[[#This Row],[5-5]])*spec_dp_plat,0)</f>
        <v>275</v>
      </c>
      <c r="BI79" s="97">
        <f ca="1">ROUNDUP(IF(race="Gnome",1,(1-MIN(TblMili[[#This Row],[Smithies]]*smithy_bonus,smithy_bonus_cap) + tech_3_5*TblTech[[#This Row],[3-5]] + tech_5_3*TblTech[[#This Row],[5-3]] + tech_5_5*TblTech[[#This Row],[5-5]]))*spec_dp_ore,0)</f>
        <v>15</v>
      </c>
      <c r="BJ79" s="97">
        <f ca="1">ROUNDUP((1-MIN(TblMili[[#This Row],[Smithies]]*smithy_bonus,smithy_bonus_cap) + tech_3_5*TblTech[[#This Row],[3-5]] + tech_5_3*TblTech[[#This Row],[5-3]] + tech_5_5*TblTech[[#This Row],[5-5]])*elite1_plat,0)</f>
        <v>1000</v>
      </c>
      <c r="BK79" s="97">
        <f ca="1">ROUNDUP(IF(race="Gnome",1,(1-MIN(TblMili[[#This Row],[Smithies]]*smithy_bonus,smithy_bonus_cap) + tech_3_5*TblTech[[#This Row],[3-5]] + tech_5_3*TblTech[[#This Row],[5-3]] + tech_5_5*TblTech[[#This Row],[5-5]]))*elite1_ore,0)</f>
        <v>75</v>
      </c>
      <c r="BL79" s="97">
        <f ca="1">ROUNDUP((1-MIN(TblMili[[#This Row],[Smithies]]*smithy_bonus,smithy_bonus_cap) + tech_3_5*TblTech[[#This Row],[3-5]] + tech_5_3*TblTech[[#This Row],[5-3]] + tech_5_5*TblTech[[#This Row],[5-5]])*elite2_plat,0)</f>
        <v>1200</v>
      </c>
      <c r="BM79" s="97">
        <f ca="1">ROUNDUP(IF(race="Gnome",1,(1-MIN(TblMili[[#This Row],[Smithies]]*smithy_bonus,smithy_bonus_cap) + tech_3_5*TblTech[[#This Row],[3-5]] + tech_5_3*TblTech[[#This Row],[5-3]] + tech_5_5*TblTech[[#This Row],[5-5]]))*elite2_ore,0)</f>
        <v>100</v>
      </c>
      <c r="BN79" s="97">
        <f ca="1">ROUNDUP((1-MIN(ROUND(fh_spy_cost_red*TblMili[[#This Row],[FH''s]],4),fh_spy_cost_cap)+ tech_1_9*TblTech[[#This Row],[1-9]] + tech_9_1*TblTech[[#This Row],[9-1]])*spy_plat,0)</f>
        <v>500</v>
      </c>
      <c r="BO79" s="97">
        <f ca="1">ROUNDUP((1-MIN(ROUND(wg_wiz_cost_bonus*TblMili[[#This Row],[WG''s]],4),wg_wiz_cost_cap) + tech_1_9_2*TblTech[[#This Row],[1-9]] + tech_9_1_2*TblTech[[#This Row],[9-1]])*wizard_plat,0)</f>
        <v>500</v>
      </c>
      <c r="BP79" s="97">
        <f ca="1">ROUNDUP((1-MIN(ROUND(wg_wiz_cost_bonus*TblMili[[#This Row],[WG''s]],4),wg_wiz_cost_cap) + tech_1_9_2*TblTech[[#This Row],[1-9]] + tech_9_1_2*TblTech[[#This Row],[9-1]])*archmage_plat,0)</f>
        <v>1000</v>
      </c>
      <c r="BQ79" s="150"/>
      <c r="BR79" s="165">
        <f ca="1">TblConstr[[#This Row],[Homeland]]/TblConstr[[#This Row],[Land]]</f>
        <v>0.44</v>
      </c>
      <c r="BS79" s="165">
        <f ca="1">TblMili[[#This Row],[WG''s]]</f>
        <v>0</v>
      </c>
      <c r="BT79" s="271">
        <f ca="1">IF(mystic_cap="none",TblMili[[#This Row],[Hill]]/mystic_bonus,MIN(mystic_cap,TblMili[[#This Row],[Hill]]/mystic_bonus))</f>
        <v>2.1999999999999997</v>
      </c>
      <c r="BU79" s="271">
        <f ca="1">IF(druid_op_cap="none",TblMili[[#This Row],[Hill]]/druid_op_bonus,MIN(druid_op_cap,TblMili[[#This Row],[Hill]]/druid_op_bonus))</f>
        <v>2.1999999999999997</v>
      </c>
      <c r="BV79" s="271">
        <f ca="1">IF(druid_dp_cap="none",TblMili[[#This Row],[Hill]]/druid_dp_bonus,MIN(druid_dp_cap,TblMili[[#This Row],[Hill]]/druid_dp_bonus))</f>
        <v>2.1999999999999997</v>
      </c>
      <c r="BW79" s="271">
        <f ca="1">MIN(dryad_cap,TblMili[[#This Row],[Hill]]/dryad_bonus)</f>
        <v>2.1999999999999997</v>
      </c>
      <c r="BX79" s="271">
        <f ca="1">MIN(rocka_cap,TblMili[[#This Row],[Hill]]/rocka_bonus)</f>
        <v>2</v>
      </c>
      <c r="BY79" s="271">
        <f ca="1">MIN(adept_op_cap,TblMili[[#This Row],[WG]]/adept_op_bonus)</f>
        <v>0</v>
      </c>
      <c r="BZ79" s="271">
        <f ca="1">MIN(adept_dp_cap,TblMili[[#This Row],[WG]]/adept_dp_bonus)</f>
        <v>0</v>
      </c>
      <c r="CA79" s="97">
        <f ca="1">MIN(TblMili[[#This Row],[Unit 3]],TblMili[[#This Row],[Unit 4]])*2</f>
        <v>0</v>
      </c>
      <c r="CB79" s="97">
        <f ca="1">MIN(TblMili[[#This Row],[Unit 1]],TblMili[[#This Row],[Unit 4]])*2</f>
        <v>0</v>
      </c>
      <c r="CC79" s="271">
        <f ca="1">MIN(frost_mage_cap,TblMili[[#This Row],[Hill]]/frost_mage_bonus)</f>
        <v>2.1999999999999997</v>
      </c>
      <c r="CD79" s="45">
        <f ca="1">MIN(ice_elem_cap,TblMili[[#This Row],[Raw (2)]]*ice_elem_bonus)</f>
        <v>0.1</v>
      </c>
      <c r="CE79" s="271">
        <f t="shared" si="3"/>
        <v>1</v>
      </c>
      <c r="CF79" s="271">
        <f ca="1">MIN(nox_nightshade_cap,TblConstr[[#This Row],[Homeland]]/TblConstr[[#This Row],[Land]]/nox_nightshade_swamp_bonus)</f>
        <v>3</v>
      </c>
      <c r="CG79" s="272"/>
      <c r="CH79" s="272"/>
      <c r="CI79" s="272"/>
      <c r="CJ79" s="271">
        <f ca="1">MIN(6,TblMili[[#This Row],[Mystic]]+Races!$F$19)*1.8 +  IF(TblMili[[#This Row],[Mystic]]+Races!$F$19&gt;6,(TblMili[[#This Row],[Mystic]]+Races!$F$19-6)*0.2,0) - Races!$I$19</f>
        <v>3.6399999999999997</v>
      </c>
      <c r="CK7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97">
        <f ca="1">TblMili[[#This Row],[Mystic bonus]]*TblMili[[#This Row],[Unit 3]]+TblMili[[#This Row],[Druid bonus]]*TblMili[[#This Row],[Unit 4]]</f>
        <v>0</v>
      </c>
      <c r="CM79" s="163">
        <f ca="1">MIN(6,TblMili[[#This Row],[Dryad]]+Races!$F$35)*1.8 +  IF(TblMili[[#This Row],[Dryad]]+Races!$F$35&gt;6,(TblMili[[#This Row],[Dryad]]+Races!$F$35-6)*0.2,0) - Races!$I$19</f>
        <v>2.1599999999999993</v>
      </c>
      <c r="CN79" s="97">
        <f ca="1">sylvan*(TblMili[[#This Row],[Mystic bonus]]*TblMili[[#This Row],[Unit 3]])</f>
        <v>0</v>
      </c>
      <c r="CO79" s="163">
        <f ca="1">1.8 * MIN(MAX(Races!$E$27,TblMili[[#This Row],[Rockapult]]+Races!$F$27),6)  +  0.45 * MIN(MIN(Races!$E$27,TblMili[[#This Row],[Rockapult]]+Races!$F$27),6)  +  0.2 * ( MAX(Races!$E$27-6,0) + MAX(TblMili[[#This Row],[Rockapult]]+Races!$F$27-6,0) )  -  Races!$I$20</f>
        <v>5.8500000000000005</v>
      </c>
      <c r="CP79" s="97">
        <f ca="1">gnome*(TblMili[[#This Row],[Rockapult bonus]]*TblMili[[#This Row],[Unit 3]])</f>
        <v>0</v>
      </c>
      <c r="CQ79" s="163">
        <f ca="1">1.8 * MIN(MAX(TblMili[[#This Row],[Spellblade]]+Races!$E$47,TblMili[[#This Row],[Adept-DP]]+Races!$F$47),6)  +  0.45 * MIN(MIN(TblMili[[#This Row],[Spellblade]]+Races!$E$47,TblMili[[#This Row],[Adept-DP]]+Races!$F$47),6)  +  0.2 * ( MAX(TblMili[[#This Row],[Spellblade]]+Races!$E$47-6,0) + MAX(TblMili[[#This Row],[Adept-DP]]+Races!$F$47-6,0) )  -  Races!$I$47</f>
        <v>0</v>
      </c>
      <c r="CR79" s="97">
        <f ca="1">dark_elf*(TblMili[[#This Row],[Adept bonus]]*TblMili[[#This Row],[Unit 3]])</f>
        <v>0</v>
      </c>
      <c r="CS79" s="163">
        <f ca="1">1.8 * MIN(MAX(TblMili[[#This Row],[Frost Mage]]+Races!$F$71,Races!$E$71),6)  +  0.45 * MIN(MIN(TblMili[[#This Row],[Frost Mage]]+Races!$F$71,Races!$E$71),6)  +  0.2 * ( MAX(TblMili[[#This Row],[Frost Mage]]+Races!$F$71-6,0) + MAX(Races!$E$71-6,0) )  -  Races!$I$71</f>
        <v>3.9599999999999991</v>
      </c>
      <c r="CT79" s="163">
        <f ca="1">1.8 * MIN(MAX(TblMili[[#This Row],[Ice Elemental]]+Races!$E$71,Races!$F$71),6)  +  0.45 * MIN(MIN(TblMili[[#This Row],[Ice Elemental]]+Races!$E$71,Races!$F$71),6)  +  0.2 * ( MAX(TblMili[[#This Row],[Ice Elemental]]+Races!$E$71-6,0) + MAX(Races!$F$71-6,0) )  -  Races!$I$71</f>
        <v>0.17999999999999972</v>
      </c>
      <c r="CU79" s="97">
        <f ca="1">TblMili[[#This Row],[Frost Mage bonus]]*TblMili[[#This Row],[Unit 3]]+TblMili[[#This Row],[Ice Elemental bonus]]*TblMili[[#This Row],[Unit 4]]</f>
        <v>0</v>
      </c>
      <c r="CV79" s="273"/>
      <c r="CW79" s="151">
        <f ca="1">MIN(SUM(TblConstr[[#This Row],[Plain]:[Water]])/TblMili[[#This Row],[Land]]/favorable_terrain_bonus/100,favorable_terrain_max)</f>
        <v>0.1</v>
      </c>
      <c r="CX79" s="273"/>
      <c r="CY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50"/>
      <c r="DA79" s="274">
        <f ca="1">(TblMili[[#This Row],[Wizards]]+2*TblMili[[#This Row],[Archmages]])/TblConstr[[#This Row],[Land]]</f>
        <v>0.1</v>
      </c>
      <c r="DB79" s="274">
        <f ca="1">TblMili[[#This Row],[Raw (2)]]*(1+race_wizard_strength+IF(TblMili[[#This Row],[Hour]]&gt;72,tech_magical_weaponry_wiz*TblTech[[#This Row],[3-5]],0))</f>
        <v>0.1</v>
      </c>
    </row>
    <row r="80" spans="1:106" x14ac:dyDescent="0.2">
      <c r="A80" s="145">
        <f>TblRezone[[#This Row],[Hour]]</f>
        <v>77</v>
      </c>
      <c r="B80" s="266">
        <f ca="1">SUM(TblMili[[#This Row],[Unit 1]:[Archmages]])+SUM(OFFSET(TblMili[[#This Row],[Train Unit 1]],-8,0):TblMili[[#This Row],[Train Unit 2]]) + SUM(OFFSET(TblMili[[#This Row],[Train Unit 3]],-11,0):TblMili[[#This Row],[Train Arch]]) + TblMili[[#This Row],[Draftees]]</f>
        <v>826</v>
      </c>
      <c r="C80" s="165">
        <f ca="1">TblPop[[#This Row],[Military%]]</f>
        <v>0.35029686174724345</v>
      </c>
      <c r="D80" s="150"/>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f>
        <v>25</v>
      </c>
      <c r="J80" s="45">
        <f ca="1">OFFSET(TblMili[[#This Row],[Wizards]],-1,0) + OFFSET(TblMili[[#This Row],[Train Wiz]],-12,0) - TblMili[[#This Row],[Release Wizards]]-TblMili[[#This Row],[Train Arch]]</f>
        <v>25</v>
      </c>
      <c r="K80" s="45">
        <f ca="1">OFFSET(TblMili[[#This Row],[Archmages]],-1,0) + OFFSET(TblMili[[#This Row],[Train Arch]],-12,0) - TblMili[[#This Row],[Release Arch]]</f>
        <v>0</v>
      </c>
      <c r="L80" s="150"/>
      <c r="M80" s="97">
        <f ca="1">TblProd[[#This Row],[Networth]]</f>
        <v>6450</v>
      </c>
      <c r="N80" s="150"/>
      <c r="O80" s="267">
        <f ca="1">TblMili[[#This Row],[Unit 1]]*spec_op+TblMili[[#This Row],[Unit 3]]*(elite1_base_op)+TblMili[[#This Row],[Unit 4]]*(elite2_base_op+dark_elf*TblMili[[#This Row],[Spellblade]]+icekin*TblMili[[#This Row],[Ice Elemental]]+woodie*TblMili[[#This Row],[Druid (op)]]+orc*TblMili[[#This Row],[Orc]])+kobold*TblMili[[#This Row],[Overlords]]</f>
        <v>0</v>
      </c>
      <c r="P8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0" s="267">
        <f ca="1">TblMili[[#This Row],[Raw]]*(1+TblMili[[#This Row],[Mods_Off]])</f>
        <v>0</v>
      </c>
      <c r="R8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0" s="267">
        <f ca="1">TblMili[[#This Row],[Non Draft]]+TblMili[[#This Row],[Draftees]]</f>
        <v>1076</v>
      </c>
      <c r="T8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269">
        <f ca="1">TblMili[[#This Row],[Non Draft]] * (1 + TblMili[[#This Row],[Mods_Def]])</f>
        <v>450</v>
      </c>
      <c r="V80" s="267">
        <f ca="1">TblMili[[#This Row],[Draft]] * (1 + TblMili[[#This Row],[Mods_Def]])</f>
        <v>1076</v>
      </c>
      <c r="W80" s="267">
        <f ca="1">TblConstr[[#This Row],[Land]]</f>
        <v>250</v>
      </c>
      <c r="X80" s="270"/>
      <c r="Y80" s="275">
        <f ca="1">IF(TblMili[[#This Row],[Set]]&lt;&gt;"",TblMili[[#This Row],[Set]],OFFSET(TblMili[[#This Row],[Draftrate]],-1,0))</f>
        <v>0.35</v>
      </c>
      <c r="Z80" s="97">
        <f ca="1">OFFSET(TblMili[[#This Row],[Draftees]],-1,0)+OFFSET(TblPop[[#This Row],[Draft Growth]],-1,0) - SUM(TblMili[[#This Row],[Train Unit 1]:[Train Wiz]]) - TblMili[[#This Row],[Release Draft]] + SUM(TblMili[[#This Row],[Release Unit 1]:[Release Arch]]) -TblExplore[[#This Row],[Draftees (2)]]</f>
        <v>626</v>
      </c>
      <c r="AA80" s="162"/>
      <c r="AB80" s="188">
        <f ca="1">(TblConstr[[#This Row],[Tot Smi]]+TblConstr[[#This Row],[Dest Smi]])/(TblConstr[[#This Row],[Land]]-TblExplore[[#This Row],[Land Bonus]]*20)</f>
        <v>0</v>
      </c>
      <c r="AC80" s="145"/>
      <c r="AD80" s="266">
        <f>TblMili[[#This Row],[Hour]]</f>
        <v>77</v>
      </c>
      <c r="AE80" s="146">
        <f ca="1">TblExplore[[#This Row],[Time]]</f>
        <v>44813.916666666482</v>
      </c>
      <c r="AF80" s="187"/>
      <c r="AG80" s="187"/>
      <c r="AH80" s="187"/>
      <c r="AI80" s="187"/>
      <c r="AJ80" s="187"/>
      <c r="AK80" s="187"/>
      <c r="AL80" s="187"/>
      <c r="AM80" s="150"/>
      <c r="AN80" s="97">
        <f ca="1">TblProd[[#This Row],[Platinum]]</f>
        <v>517814</v>
      </c>
      <c r="AO80" s="97">
        <f ca="1">INDEX(TblProd[[#Headers],[Lumber]]:TblProd[[#This Row],[Ore]],COUNTA(TblProd[[#Headers],[Lumber]]:TblProd[[#This Row],[Lumber]]),MATCH(Military!$AO$2,TblProd[[#Headers],[Lumber]:[Ore]],0))</f>
        <v>0</v>
      </c>
      <c r="AP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97">
        <f ca="1">TblMili[[#This Row],[Train Unit 1]]*TblMili[[#This Row],[OP Ore]]+TblMili[[#This Row],[Train Unit 2]]*TblMili[[#This Row],[DP Ore]]+TblMili[[#This Row],[Train Unit 3]]*TblMili[[#This Row],[E1 Ore]]+TblMili[[#This Row],[Train Unit 4]]*TblMili[[#This Row],[E2 Ore]]</f>
        <v>0</v>
      </c>
      <c r="AR80" s="150">
        <f>TblMili[[#This Row],[Hour]]</f>
        <v>77</v>
      </c>
      <c r="AS80" s="160">
        <f ca="1">TblMili[[#This Row],[Time]]</f>
        <v>44813.916666666482</v>
      </c>
      <c r="AT80" s="97">
        <f ca="1">TblMili[[#This Row],[Draftees]]</f>
        <v>626</v>
      </c>
      <c r="AU80" s="166"/>
      <c r="AV80" s="187"/>
      <c r="AW80" s="187"/>
      <c r="AX80" s="187"/>
      <c r="AY80" s="187"/>
      <c r="AZ80" s="187"/>
      <c r="BA80" s="187"/>
      <c r="BB80" s="187"/>
      <c r="BC80" s="150"/>
      <c r="BD80" s="165">
        <f ca="1">TblConstr[[#This Row],[Tot WG]]/TblConstr[[#This Row],[Land]]</f>
        <v>0</v>
      </c>
      <c r="BE80" s="165">
        <f ca="1">TblConstr[[#This Row],[Tot Hav]]/TblConstr[[#This Row],[Land]]</f>
        <v>0</v>
      </c>
      <c r="BF80" s="97">
        <f ca="1">ROUNDUP((1-MIN(TblMili[[#This Row],[Smithies]]*smithy_bonus,smithy_bonus_cap) + tech_3_5*TblTech[[#This Row],[3-5]] + tech_5_3*TblTech[[#This Row],[5-3]] + tech_5_5*TblTech[[#This Row],[5-5]])*spec_op_plat,0)</f>
        <v>275</v>
      </c>
      <c r="BG80" s="97">
        <f ca="1">ROUNDUP(IF(race="Gnome",1,(1-MIN(TblMili[[#This Row],[Smithies]]*smithy_bonus,smithy_bonus_cap) + tech_3_5*TblTech[[#This Row],[3-5]] + tech_5_3*TblTech[[#This Row],[5-3]] + tech_5_5*TblTech[[#This Row],[5-5]]))*spec_op_ore,0)</f>
        <v>25</v>
      </c>
      <c r="BH80" s="97">
        <f ca="1">ROUNDUP((1-MIN(TblMili[[#This Row],[Smithies]]*smithy_bonus,smithy_bonus_cap) + tech_3_5*TblTech[[#This Row],[3-5]] + tech_5_3*TblTech[[#This Row],[5-3]] + tech_5_5*TblTech[[#This Row],[5-5]])*spec_dp_plat,0)</f>
        <v>275</v>
      </c>
      <c r="BI80" s="97">
        <f ca="1">ROUNDUP(IF(race="Gnome",1,(1-MIN(TblMili[[#This Row],[Smithies]]*smithy_bonus,smithy_bonus_cap) + tech_3_5*TblTech[[#This Row],[3-5]] + tech_5_3*TblTech[[#This Row],[5-3]] + tech_5_5*TblTech[[#This Row],[5-5]]))*spec_dp_ore,0)</f>
        <v>15</v>
      </c>
      <c r="BJ80" s="97">
        <f ca="1">ROUNDUP((1-MIN(TblMili[[#This Row],[Smithies]]*smithy_bonus,smithy_bonus_cap) + tech_3_5*TblTech[[#This Row],[3-5]] + tech_5_3*TblTech[[#This Row],[5-3]] + tech_5_5*TblTech[[#This Row],[5-5]])*elite1_plat,0)</f>
        <v>1000</v>
      </c>
      <c r="BK80" s="97">
        <f ca="1">ROUNDUP(IF(race="Gnome",1,(1-MIN(TblMili[[#This Row],[Smithies]]*smithy_bonus,smithy_bonus_cap) + tech_3_5*TblTech[[#This Row],[3-5]] + tech_5_3*TblTech[[#This Row],[5-3]] + tech_5_5*TblTech[[#This Row],[5-5]]))*elite1_ore,0)</f>
        <v>75</v>
      </c>
      <c r="BL80" s="97">
        <f ca="1">ROUNDUP((1-MIN(TblMili[[#This Row],[Smithies]]*smithy_bonus,smithy_bonus_cap) + tech_3_5*TblTech[[#This Row],[3-5]] + tech_5_3*TblTech[[#This Row],[5-3]] + tech_5_5*TblTech[[#This Row],[5-5]])*elite2_plat,0)</f>
        <v>1200</v>
      </c>
      <c r="BM80" s="97">
        <f ca="1">ROUNDUP(IF(race="Gnome",1,(1-MIN(TblMili[[#This Row],[Smithies]]*smithy_bonus,smithy_bonus_cap) + tech_3_5*TblTech[[#This Row],[3-5]] + tech_5_3*TblTech[[#This Row],[5-3]] + tech_5_5*TblTech[[#This Row],[5-5]]))*elite2_ore,0)</f>
        <v>100</v>
      </c>
      <c r="BN80" s="97">
        <f ca="1">ROUNDUP((1-MIN(ROUND(fh_spy_cost_red*TblMili[[#This Row],[FH''s]],4),fh_spy_cost_cap)+ tech_1_9*TblTech[[#This Row],[1-9]] + tech_9_1*TblTech[[#This Row],[9-1]])*spy_plat,0)</f>
        <v>500</v>
      </c>
      <c r="BO80" s="97">
        <f ca="1">ROUNDUP((1-MIN(ROUND(wg_wiz_cost_bonus*TblMili[[#This Row],[WG''s]],4),wg_wiz_cost_cap) + tech_1_9_2*TblTech[[#This Row],[1-9]] + tech_9_1_2*TblTech[[#This Row],[9-1]])*wizard_plat,0)</f>
        <v>500</v>
      </c>
      <c r="BP80" s="97">
        <f ca="1">ROUNDUP((1-MIN(ROUND(wg_wiz_cost_bonus*TblMili[[#This Row],[WG''s]],4),wg_wiz_cost_cap) + tech_1_9_2*TblTech[[#This Row],[1-9]] + tech_9_1_2*TblTech[[#This Row],[9-1]])*archmage_plat,0)</f>
        <v>1000</v>
      </c>
      <c r="BQ80" s="150"/>
      <c r="BR80" s="165">
        <f ca="1">TblConstr[[#This Row],[Homeland]]/TblConstr[[#This Row],[Land]]</f>
        <v>0.44</v>
      </c>
      <c r="BS80" s="165">
        <f ca="1">TblMili[[#This Row],[WG''s]]</f>
        <v>0</v>
      </c>
      <c r="BT80" s="271">
        <f ca="1">IF(mystic_cap="none",TblMili[[#This Row],[Hill]]/mystic_bonus,MIN(mystic_cap,TblMili[[#This Row],[Hill]]/mystic_bonus))</f>
        <v>2.1999999999999997</v>
      </c>
      <c r="BU80" s="271">
        <f ca="1">IF(druid_op_cap="none",TblMili[[#This Row],[Hill]]/druid_op_bonus,MIN(druid_op_cap,TblMili[[#This Row],[Hill]]/druid_op_bonus))</f>
        <v>2.1999999999999997</v>
      </c>
      <c r="BV80" s="271">
        <f ca="1">IF(druid_dp_cap="none",TblMili[[#This Row],[Hill]]/druid_dp_bonus,MIN(druid_dp_cap,TblMili[[#This Row],[Hill]]/druid_dp_bonus))</f>
        <v>2.1999999999999997</v>
      </c>
      <c r="BW80" s="271">
        <f ca="1">MIN(dryad_cap,TblMili[[#This Row],[Hill]]/dryad_bonus)</f>
        <v>2.1999999999999997</v>
      </c>
      <c r="BX80" s="271">
        <f ca="1">MIN(rocka_cap,TblMili[[#This Row],[Hill]]/rocka_bonus)</f>
        <v>2</v>
      </c>
      <c r="BY80" s="271">
        <f ca="1">MIN(adept_op_cap,TblMili[[#This Row],[WG]]/adept_op_bonus)</f>
        <v>0</v>
      </c>
      <c r="BZ80" s="271">
        <f ca="1">MIN(adept_dp_cap,TblMili[[#This Row],[WG]]/adept_dp_bonus)</f>
        <v>0</v>
      </c>
      <c r="CA80" s="97">
        <f ca="1">MIN(TblMili[[#This Row],[Unit 3]],TblMili[[#This Row],[Unit 4]])*2</f>
        <v>0</v>
      </c>
      <c r="CB80" s="97">
        <f ca="1">MIN(TblMili[[#This Row],[Unit 1]],TblMili[[#This Row],[Unit 4]])*2</f>
        <v>0</v>
      </c>
      <c r="CC80" s="271">
        <f ca="1">MIN(frost_mage_cap,TblMili[[#This Row],[Hill]]/frost_mage_bonus)</f>
        <v>2.1999999999999997</v>
      </c>
      <c r="CD80" s="45">
        <f ca="1">MIN(ice_elem_cap,TblMili[[#This Row],[Raw (2)]]*ice_elem_bonus)</f>
        <v>0.1</v>
      </c>
      <c r="CE80" s="271">
        <f t="shared" si="3"/>
        <v>1</v>
      </c>
      <c r="CF80" s="271">
        <f ca="1">MIN(nox_nightshade_cap,TblConstr[[#This Row],[Homeland]]/TblConstr[[#This Row],[Land]]/nox_nightshade_swamp_bonus)</f>
        <v>3</v>
      </c>
      <c r="CG80" s="272"/>
      <c r="CH80" s="272"/>
      <c r="CI80" s="272"/>
      <c r="CJ80" s="271">
        <f ca="1">MIN(6,TblMili[[#This Row],[Mystic]]+Races!$F$19)*1.8 +  IF(TblMili[[#This Row],[Mystic]]+Races!$F$19&gt;6,(TblMili[[#This Row],[Mystic]]+Races!$F$19-6)*0.2,0) - Races!$I$19</f>
        <v>3.6399999999999997</v>
      </c>
      <c r="CK8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97">
        <f ca="1">TblMili[[#This Row],[Mystic bonus]]*TblMili[[#This Row],[Unit 3]]+TblMili[[#This Row],[Druid bonus]]*TblMili[[#This Row],[Unit 4]]</f>
        <v>0</v>
      </c>
      <c r="CM80" s="163">
        <f ca="1">MIN(6,TblMili[[#This Row],[Dryad]]+Races!$F$35)*1.8 +  IF(TblMili[[#This Row],[Dryad]]+Races!$F$35&gt;6,(TblMili[[#This Row],[Dryad]]+Races!$F$35-6)*0.2,0) - Races!$I$19</f>
        <v>2.1599999999999993</v>
      </c>
      <c r="CN80" s="97">
        <f ca="1">sylvan*(TblMili[[#This Row],[Mystic bonus]]*TblMili[[#This Row],[Unit 3]])</f>
        <v>0</v>
      </c>
      <c r="CO80" s="163">
        <f ca="1">1.8 * MIN(MAX(Races!$E$27,TblMili[[#This Row],[Rockapult]]+Races!$F$27),6)  +  0.45 * MIN(MIN(Races!$E$27,TblMili[[#This Row],[Rockapult]]+Races!$F$27),6)  +  0.2 * ( MAX(Races!$E$27-6,0) + MAX(TblMili[[#This Row],[Rockapult]]+Races!$F$27-6,0) )  -  Races!$I$20</f>
        <v>5.8500000000000005</v>
      </c>
      <c r="CP80" s="97">
        <f ca="1">gnome*(TblMili[[#This Row],[Rockapult bonus]]*TblMili[[#This Row],[Unit 3]])</f>
        <v>0</v>
      </c>
      <c r="CQ80" s="163">
        <f ca="1">1.8 * MIN(MAX(TblMili[[#This Row],[Spellblade]]+Races!$E$47,TblMili[[#This Row],[Adept-DP]]+Races!$F$47),6)  +  0.45 * MIN(MIN(TblMili[[#This Row],[Spellblade]]+Races!$E$47,TblMili[[#This Row],[Adept-DP]]+Races!$F$47),6)  +  0.2 * ( MAX(TblMili[[#This Row],[Spellblade]]+Races!$E$47-6,0) + MAX(TblMili[[#This Row],[Adept-DP]]+Races!$F$47-6,0) )  -  Races!$I$47</f>
        <v>0</v>
      </c>
      <c r="CR80" s="97">
        <f ca="1">dark_elf*(TblMili[[#This Row],[Adept bonus]]*TblMili[[#This Row],[Unit 3]])</f>
        <v>0</v>
      </c>
      <c r="CS80" s="163">
        <f ca="1">1.8 * MIN(MAX(TblMili[[#This Row],[Frost Mage]]+Races!$F$71,Races!$E$71),6)  +  0.45 * MIN(MIN(TblMili[[#This Row],[Frost Mage]]+Races!$F$71,Races!$E$71),6)  +  0.2 * ( MAX(TblMili[[#This Row],[Frost Mage]]+Races!$F$71-6,0) + MAX(Races!$E$71-6,0) )  -  Races!$I$71</f>
        <v>3.9599999999999991</v>
      </c>
      <c r="CT80" s="163">
        <f ca="1">1.8 * MIN(MAX(TblMili[[#This Row],[Ice Elemental]]+Races!$E$71,Races!$F$71),6)  +  0.45 * MIN(MIN(TblMili[[#This Row],[Ice Elemental]]+Races!$E$71,Races!$F$71),6)  +  0.2 * ( MAX(TblMili[[#This Row],[Ice Elemental]]+Races!$E$71-6,0) + MAX(Races!$F$71-6,0) )  -  Races!$I$71</f>
        <v>0.17999999999999972</v>
      </c>
      <c r="CU80" s="97">
        <f ca="1">TblMili[[#This Row],[Frost Mage bonus]]*TblMili[[#This Row],[Unit 3]]+TblMili[[#This Row],[Ice Elemental bonus]]*TblMili[[#This Row],[Unit 4]]</f>
        <v>0</v>
      </c>
      <c r="CV80" s="273"/>
      <c r="CW80" s="151">
        <f ca="1">MIN(SUM(TblConstr[[#This Row],[Plain]:[Water]])/TblMili[[#This Row],[Land]]/favorable_terrain_bonus/100,favorable_terrain_max)</f>
        <v>0.1</v>
      </c>
      <c r="CX80" s="273"/>
      <c r="CY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50"/>
      <c r="DA80" s="274">
        <f ca="1">(TblMili[[#This Row],[Wizards]]+2*TblMili[[#This Row],[Archmages]])/TblConstr[[#This Row],[Land]]</f>
        <v>0.1</v>
      </c>
      <c r="DB80" s="274">
        <f ca="1">TblMili[[#This Row],[Raw (2)]]*(1+race_wizard_strength+IF(TblMili[[#This Row],[Hour]]&gt;72,tech_magical_weaponry_wiz*TblTech[[#This Row],[3-5]],0))</f>
        <v>0.1</v>
      </c>
    </row>
    <row r="81" spans="1:106" x14ac:dyDescent="0.2">
      <c r="A81" s="145">
        <f>TblRezone[[#This Row],[Hour]]</f>
        <v>78</v>
      </c>
      <c r="B81" s="266">
        <f ca="1">SUM(TblMili[[#This Row],[Unit 1]:[Archmages]])+SUM(OFFSET(TblMili[[#This Row],[Train Unit 1]],-8,0):TblMili[[#This Row],[Train Unit 2]]) + SUM(OFFSET(TblMili[[#This Row],[Train Unit 3]],-11,0):TblMili[[#This Row],[Train Arch]]) + TblMili[[#This Row],[Draftees]]</f>
        <v>826</v>
      </c>
      <c r="C81" s="165">
        <f ca="1">TblPop[[#This Row],[Military%]]</f>
        <v>0.35029686174724345</v>
      </c>
      <c r="D81" s="150"/>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f>
        <v>25</v>
      </c>
      <c r="J81" s="45">
        <f ca="1">OFFSET(TblMili[[#This Row],[Wizards]],-1,0) + OFFSET(TblMili[[#This Row],[Train Wiz]],-12,0) - TblMili[[#This Row],[Release Wizards]]-TblMili[[#This Row],[Train Arch]]</f>
        <v>25</v>
      </c>
      <c r="K81" s="45">
        <f ca="1">OFFSET(TblMili[[#This Row],[Archmages]],-1,0) + OFFSET(TblMili[[#This Row],[Train Arch]],-12,0) - TblMili[[#This Row],[Release Arch]]</f>
        <v>0</v>
      </c>
      <c r="L81" s="150"/>
      <c r="M81" s="97">
        <f ca="1">TblProd[[#This Row],[Networth]]</f>
        <v>6450</v>
      </c>
      <c r="N81" s="150"/>
      <c r="O81" s="267">
        <f ca="1">TblMili[[#This Row],[Unit 1]]*spec_op+TblMili[[#This Row],[Unit 3]]*(elite1_base_op)+TblMili[[#This Row],[Unit 4]]*(elite2_base_op+dark_elf*TblMili[[#This Row],[Spellblade]]+icekin*TblMili[[#This Row],[Ice Elemental]]+woodie*TblMili[[#This Row],[Druid (op)]]+orc*TblMili[[#This Row],[Orc]])+kobold*TblMili[[#This Row],[Overlords]]</f>
        <v>0</v>
      </c>
      <c r="P8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1" s="267">
        <f ca="1">TblMili[[#This Row],[Raw]]*(1+TblMili[[#This Row],[Mods_Off]])</f>
        <v>0</v>
      </c>
      <c r="R8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1" s="267">
        <f ca="1">TblMili[[#This Row],[Non Draft]]+TblMili[[#This Row],[Draftees]]</f>
        <v>1076</v>
      </c>
      <c r="T8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269">
        <f ca="1">TblMili[[#This Row],[Non Draft]] * (1 + TblMili[[#This Row],[Mods_Def]])</f>
        <v>450</v>
      </c>
      <c r="V81" s="267">
        <f ca="1">TblMili[[#This Row],[Draft]] * (1 + TblMili[[#This Row],[Mods_Def]])</f>
        <v>1076</v>
      </c>
      <c r="W81" s="267">
        <f ca="1">TblConstr[[#This Row],[Land]]</f>
        <v>250</v>
      </c>
      <c r="X81" s="270"/>
      <c r="Y81" s="275">
        <f ca="1">IF(TblMili[[#This Row],[Set]]&lt;&gt;"",TblMili[[#This Row],[Set]],OFFSET(TblMili[[#This Row],[Draftrate]],-1,0))</f>
        <v>0.35</v>
      </c>
      <c r="Z81" s="97">
        <f ca="1">OFFSET(TblMili[[#This Row],[Draftees]],-1,0)+OFFSET(TblPop[[#This Row],[Draft Growth]],-1,0) - SUM(TblMili[[#This Row],[Train Unit 1]:[Train Wiz]]) - TblMili[[#This Row],[Release Draft]] + SUM(TblMili[[#This Row],[Release Unit 1]:[Release Arch]]) -TblExplore[[#This Row],[Draftees (2)]]</f>
        <v>626</v>
      </c>
      <c r="AA81" s="162"/>
      <c r="AB81" s="188">
        <f ca="1">(TblConstr[[#This Row],[Tot Smi]]+TblConstr[[#This Row],[Dest Smi]])/(TblConstr[[#This Row],[Land]]-TblExplore[[#This Row],[Land Bonus]]*20)</f>
        <v>0</v>
      </c>
      <c r="AC81" s="145"/>
      <c r="AD81" s="266">
        <f>TblMili[[#This Row],[Hour]]</f>
        <v>78</v>
      </c>
      <c r="AE81" s="146">
        <f ca="1">TblExplore[[#This Row],[Time]]</f>
        <v>44813.958333333147</v>
      </c>
      <c r="AF81" s="187"/>
      <c r="AG81" s="187"/>
      <c r="AH81" s="187"/>
      <c r="AI81" s="187"/>
      <c r="AJ81" s="187"/>
      <c r="AK81" s="187"/>
      <c r="AL81" s="187"/>
      <c r="AM81" s="150"/>
      <c r="AN81" s="97">
        <f ca="1">TblProd[[#This Row],[Platinum]]</f>
        <v>523300</v>
      </c>
      <c r="AO81" s="97">
        <f ca="1">INDEX(TblProd[[#Headers],[Lumber]]:TblProd[[#This Row],[Ore]],COUNTA(TblProd[[#Headers],[Lumber]]:TblProd[[#This Row],[Lumber]]),MATCH(Military!$AO$2,TblProd[[#Headers],[Lumber]:[Ore]],0))</f>
        <v>0</v>
      </c>
      <c r="AP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97">
        <f ca="1">TblMili[[#This Row],[Train Unit 1]]*TblMili[[#This Row],[OP Ore]]+TblMili[[#This Row],[Train Unit 2]]*TblMili[[#This Row],[DP Ore]]+TblMili[[#This Row],[Train Unit 3]]*TblMili[[#This Row],[E1 Ore]]+TblMili[[#This Row],[Train Unit 4]]*TblMili[[#This Row],[E2 Ore]]</f>
        <v>0</v>
      </c>
      <c r="AR81" s="150">
        <f>TblMili[[#This Row],[Hour]]</f>
        <v>78</v>
      </c>
      <c r="AS81" s="160">
        <f ca="1">TblMili[[#This Row],[Time]]</f>
        <v>44813.958333333147</v>
      </c>
      <c r="AT81" s="97">
        <f ca="1">TblMili[[#This Row],[Draftees]]</f>
        <v>626</v>
      </c>
      <c r="AU81" s="166"/>
      <c r="AV81" s="187"/>
      <c r="AW81" s="187"/>
      <c r="AX81" s="187"/>
      <c r="AY81" s="187"/>
      <c r="AZ81" s="187"/>
      <c r="BA81" s="187"/>
      <c r="BB81" s="187"/>
      <c r="BC81" s="150"/>
      <c r="BD81" s="165">
        <f ca="1">TblConstr[[#This Row],[Tot WG]]/TblConstr[[#This Row],[Land]]</f>
        <v>0</v>
      </c>
      <c r="BE81" s="165">
        <f ca="1">TblConstr[[#This Row],[Tot Hav]]/TblConstr[[#This Row],[Land]]</f>
        <v>0</v>
      </c>
      <c r="BF81" s="97">
        <f ca="1">ROUNDUP((1-MIN(TblMili[[#This Row],[Smithies]]*smithy_bonus,smithy_bonus_cap) + tech_3_5*TblTech[[#This Row],[3-5]] + tech_5_3*TblTech[[#This Row],[5-3]] + tech_5_5*TblTech[[#This Row],[5-5]])*spec_op_plat,0)</f>
        <v>275</v>
      </c>
      <c r="BG81" s="97">
        <f ca="1">ROUNDUP(IF(race="Gnome",1,(1-MIN(TblMili[[#This Row],[Smithies]]*smithy_bonus,smithy_bonus_cap) + tech_3_5*TblTech[[#This Row],[3-5]] + tech_5_3*TblTech[[#This Row],[5-3]] + tech_5_5*TblTech[[#This Row],[5-5]]))*spec_op_ore,0)</f>
        <v>25</v>
      </c>
      <c r="BH81" s="97">
        <f ca="1">ROUNDUP((1-MIN(TblMili[[#This Row],[Smithies]]*smithy_bonus,smithy_bonus_cap) + tech_3_5*TblTech[[#This Row],[3-5]] + tech_5_3*TblTech[[#This Row],[5-3]] + tech_5_5*TblTech[[#This Row],[5-5]])*spec_dp_plat,0)</f>
        <v>275</v>
      </c>
      <c r="BI81" s="97">
        <f ca="1">ROUNDUP(IF(race="Gnome",1,(1-MIN(TblMili[[#This Row],[Smithies]]*smithy_bonus,smithy_bonus_cap) + tech_3_5*TblTech[[#This Row],[3-5]] + tech_5_3*TblTech[[#This Row],[5-3]] + tech_5_5*TblTech[[#This Row],[5-5]]))*spec_dp_ore,0)</f>
        <v>15</v>
      </c>
      <c r="BJ81" s="97">
        <f ca="1">ROUNDUP((1-MIN(TblMili[[#This Row],[Smithies]]*smithy_bonus,smithy_bonus_cap) + tech_3_5*TblTech[[#This Row],[3-5]] + tech_5_3*TblTech[[#This Row],[5-3]] + tech_5_5*TblTech[[#This Row],[5-5]])*elite1_plat,0)</f>
        <v>1000</v>
      </c>
      <c r="BK81" s="97">
        <f ca="1">ROUNDUP(IF(race="Gnome",1,(1-MIN(TblMili[[#This Row],[Smithies]]*smithy_bonus,smithy_bonus_cap) + tech_3_5*TblTech[[#This Row],[3-5]] + tech_5_3*TblTech[[#This Row],[5-3]] + tech_5_5*TblTech[[#This Row],[5-5]]))*elite1_ore,0)</f>
        <v>75</v>
      </c>
      <c r="BL81" s="97">
        <f ca="1">ROUNDUP((1-MIN(TblMili[[#This Row],[Smithies]]*smithy_bonus,smithy_bonus_cap) + tech_3_5*TblTech[[#This Row],[3-5]] + tech_5_3*TblTech[[#This Row],[5-3]] + tech_5_5*TblTech[[#This Row],[5-5]])*elite2_plat,0)</f>
        <v>1200</v>
      </c>
      <c r="BM81" s="97">
        <f ca="1">ROUNDUP(IF(race="Gnome",1,(1-MIN(TblMili[[#This Row],[Smithies]]*smithy_bonus,smithy_bonus_cap) + tech_3_5*TblTech[[#This Row],[3-5]] + tech_5_3*TblTech[[#This Row],[5-3]] + tech_5_5*TblTech[[#This Row],[5-5]]))*elite2_ore,0)</f>
        <v>100</v>
      </c>
      <c r="BN81" s="97">
        <f ca="1">ROUNDUP((1-MIN(ROUND(fh_spy_cost_red*TblMili[[#This Row],[FH''s]],4),fh_spy_cost_cap)+ tech_1_9*TblTech[[#This Row],[1-9]] + tech_9_1*TblTech[[#This Row],[9-1]])*spy_plat,0)</f>
        <v>500</v>
      </c>
      <c r="BO81" s="97">
        <f ca="1">ROUNDUP((1-MIN(ROUND(wg_wiz_cost_bonus*TblMili[[#This Row],[WG''s]],4),wg_wiz_cost_cap) + tech_1_9_2*TblTech[[#This Row],[1-9]] + tech_9_1_2*TblTech[[#This Row],[9-1]])*wizard_plat,0)</f>
        <v>500</v>
      </c>
      <c r="BP81" s="97">
        <f ca="1">ROUNDUP((1-MIN(ROUND(wg_wiz_cost_bonus*TblMili[[#This Row],[WG''s]],4),wg_wiz_cost_cap) + tech_1_9_2*TblTech[[#This Row],[1-9]] + tech_9_1_2*TblTech[[#This Row],[9-1]])*archmage_plat,0)</f>
        <v>1000</v>
      </c>
      <c r="BQ81" s="150"/>
      <c r="BR81" s="165">
        <f ca="1">TblConstr[[#This Row],[Homeland]]/TblConstr[[#This Row],[Land]]</f>
        <v>0.44</v>
      </c>
      <c r="BS81" s="165">
        <f ca="1">TblMili[[#This Row],[WG''s]]</f>
        <v>0</v>
      </c>
      <c r="BT81" s="271">
        <f ca="1">IF(mystic_cap="none",TblMili[[#This Row],[Hill]]/mystic_bonus,MIN(mystic_cap,TblMili[[#This Row],[Hill]]/mystic_bonus))</f>
        <v>2.1999999999999997</v>
      </c>
      <c r="BU81" s="271">
        <f ca="1">IF(druid_op_cap="none",TblMili[[#This Row],[Hill]]/druid_op_bonus,MIN(druid_op_cap,TblMili[[#This Row],[Hill]]/druid_op_bonus))</f>
        <v>2.1999999999999997</v>
      </c>
      <c r="BV81" s="271">
        <f ca="1">IF(druid_dp_cap="none",TblMili[[#This Row],[Hill]]/druid_dp_bonus,MIN(druid_dp_cap,TblMili[[#This Row],[Hill]]/druid_dp_bonus))</f>
        <v>2.1999999999999997</v>
      </c>
      <c r="BW81" s="271">
        <f ca="1">MIN(dryad_cap,TblMili[[#This Row],[Hill]]/dryad_bonus)</f>
        <v>2.1999999999999997</v>
      </c>
      <c r="BX81" s="271">
        <f ca="1">MIN(rocka_cap,TblMili[[#This Row],[Hill]]/rocka_bonus)</f>
        <v>2</v>
      </c>
      <c r="BY81" s="271">
        <f ca="1">MIN(adept_op_cap,TblMili[[#This Row],[WG]]/adept_op_bonus)</f>
        <v>0</v>
      </c>
      <c r="BZ81" s="271">
        <f ca="1">MIN(adept_dp_cap,TblMili[[#This Row],[WG]]/adept_dp_bonus)</f>
        <v>0</v>
      </c>
      <c r="CA81" s="97">
        <f ca="1">MIN(TblMili[[#This Row],[Unit 3]],TblMili[[#This Row],[Unit 4]])*2</f>
        <v>0</v>
      </c>
      <c r="CB81" s="97">
        <f ca="1">MIN(TblMili[[#This Row],[Unit 1]],TblMili[[#This Row],[Unit 4]])*2</f>
        <v>0</v>
      </c>
      <c r="CC81" s="271">
        <f ca="1">MIN(frost_mage_cap,TblMili[[#This Row],[Hill]]/frost_mage_bonus)</f>
        <v>2.1999999999999997</v>
      </c>
      <c r="CD81" s="45">
        <f ca="1">MIN(ice_elem_cap,TblMili[[#This Row],[Raw (2)]]*ice_elem_bonus)</f>
        <v>0.1</v>
      </c>
      <c r="CE81" s="271">
        <f t="shared" si="3"/>
        <v>1</v>
      </c>
      <c r="CF81" s="271">
        <f ca="1">MIN(nox_nightshade_cap,TblConstr[[#This Row],[Homeland]]/TblConstr[[#This Row],[Land]]/nox_nightshade_swamp_bonus)</f>
        <v>3</v>
      </c>
      <c r="CG81" s="272"/>
      <c r="CH81" s="272"/>
      <c r="CI81" s="272"/>
      <c r="CJ81" s="271">
        <f ca="1">MIN(6,TblMili[[#This Row],[Mystic]]+Races!$F$19)*1.8 +  IF(TblMili[[#This Row],[Mystic]]+Races!$F$19&gt;6,(TblMili[[#This Row],[Mystic]]+Races!$F$19-6)*0.2,0) - Races!$I$19</f>
        <v>3.6399999999999997</v>
      </c>
      <c r="CK8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97">
        <f ca="1">TblMili[[#This Row],[Mystic bonus]]*TblMili[[#This Row],[Unit 3]]+TblMili[[#This Row],[Druid bonus]]*TblMili[[#This Row],[Unit 4]]</f>
        <v>0</v>
      </c>
      <c r="CM81" s="163">
        <f ca="1">MIN(6,TblMili[[#This Row],[Dryad]]+Races!$F$35)*1.8 +  IF(TblMili[[#This Row],[Dryad]]+Races!$F$35&gt;6,(TblMili[[#This Row],[Dryad]]+Races!$F$35-6)*0.2,0) - Races!$I$19</f>
        <v>2.1599999999999993</v>
      </c>
      <c r="CN81" s="97">
        <f ca="1">sylvan*(TblMili[[#This Row],[Mystic bonus]]*TblMili[[#This Row],[Unit 3]])</f>
        <v>0</v>
      </c>
      <c r="CO81" s="163">
        <f ca="1">1.8 * MIN(MAX(Races!$E$27,TblMili[[#This Row],[Rockapult]]+Races!$F$27),6)  +  0.45 * MIN(MIN(Races!$E$27,TblMili[[#This Row],[Rockapult]]+Races!$F$27),6)  +  0.2 * ( MAX(Races!$E$27-6,0) + MAX(TblMili[[#This Row],[Rockapult]]+Races!$F$27-6,0) )  -  Races!$I$20</f>
        <v>5.8500000000000005</v>
      </c>
      <c r="CP81" s="97">
        <f ca="1">gnome*(TblMili[[#This Row],[Rockapult bonus]]*TblMili[[#This Row],[Unit 3]])</f>
        <v>0</v>
      </c>
      <c r="CQ81" s="163">
        <f ca="1">1.8 * MIN(MAX(TblMili[[#This Row],[Spellblade]]+Races!$E$47,TblMili[[#This Row],[Adept-DP]]+Races!$F$47),6)  +  0.45 * MIN(MIN(TblMili[[#This Row],[Spellblade]]+Races!$E$47,TblMili[[#This Row],[Adept-DP]]+Races!$F$47),6)  +  0.2 * ( MAX(TblMili[[#This Row],[Spellblade]]+Races!$E$47-6,0) + MAX(TblMili[[#This Row],[Adept-DP]]+Races!$F$47-6,0) )  -  Races!$I$47</f>
        <v>0</v>
      </c>
      <c r="CR81" s="97">
        <f ca="1">dark_elf*(TblMili[[#This Row],[Adept bonus]]*TblMili[[#This Row],[Unit 3]])</f>
        <v>0</v>
      </c>
      <c r="CS81" s="163">
        <f ca="1">1.8 * MIN(MAX(TblMili[[#This Row],[Frost Mage]]+Races!$F$71,Races!$E$71),6)  +  0.45 * MIN(MIN(TblMili[[#This Row],[Frost Mage]]+Races!$F$71,Races!$E$71),6)  +  0.2 * ( MAX(TblMili[[#This Row],[Frost Mage]]+Races!$F$71-6,0) + MAX(Races!$E$71-6,0) )  -  Races!$I$71</f>
        <v>3.9599999999999991</v>
      </c>
      <c r="CT81" s="163">
        <f ca="1">1.8 * MIN(MAX(TblMili[[#This Row],[Ice Elemental]]+Races!$E$71,Races!$F$71),6)  +  0.45 * MIN(MIN(TblMili[[#This Row],[Ice Elemental]]+Races!$E$71,Races!$F$71),6)  +  0.2 * ( MAX(TblMili[[#This Row],[Ice Elemental]]+Races!$E$71-6,0) + MAX(Races!$F$71-6,0) )  -  Races!$I$71</f>
        <v>0.17999999999999972</v>
      </c>
      <c r="CU81" s="97">
        <f ca="1">TblMili[[#This Row],[Frost Mage bonus]]*TblMili[[#This Row],[Unit 3]]+TblMili[[#This Row],[Ice Elemental bonus]]*TblMili[[#This Row],[Unit 4]]</f>
        <v>0</v>
      </c>
      <c r="CV81" s="273"/>
      <c r="CW81" s="151">
        <f ca="1">MIN(SUM(TblConstr[[#This Row],[Plain]:[Water]])/TblMili[[#This Row],[Land]]/favorable_terrain_bonus/100,favorable_terrain_max)</f>
        <v>0.1</v>
      </c>
      <c r="CX81" s="273"/>
      <c r="CY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50"/>
      <c r="DA81" s="274">
        <f ca="1">(TblMili[[#This Row],[Wizards]]+2*TblMili[[#This Row],[Archmages]])/TblConstr[[#This Row],[Land]]</f>
        <v>0.1</v>
      </c>
      <c r="DB81" s="274">
        <f ca="1">TblMili[[#This Row],[Raw (2)]]*(1+race_wizard_strength+IF(TblMili[[#This Row],[Hour]]&gt;72,tech_magical_weaponry_wiz*TblTech[[#This Row],[3-5]],0))</f>
        <v>0.1</v>
      </c>
    </row>
    <row r="82" spans="1:106" x14ac:dyDescent="0.2">
      <c r="A82" s="145">
        <f>TblRezone[[#This Row],[Hour]]</f>
        <v>79</v>
      </c>
      <c r="B82" s="266">
        <f ca="1">SUM(TblMili[[#This Row],[Unit 1]:[Archmages]])+SUM(OFFSET(TblMili[[#This Row],[Train Unit 1]],-8,0):TblMili[[#This Row],[Train Unit 2]]) + SUM(OFFSET(TblMili[[#This Row],[Train Unit 3]],-11,0):TblMili[[#This Row],[Train Arch]]) + TblMili[[#This Row],[Draftees]]</f>
        <v>826</v>
      </c>
      <c r="C82" s="165">
        <f ca="1">TblPop[[#This Row],[Military%]]</f>
        <v>0.35029686174724345</v>
      </c>
      <c r="D82" s="150"/>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f>
        <v>25</v>
      </c>
      <c r="J82" s="45">
        <f ca="1">OFFSET(TblMili[[#This Row],[Wizards]],-1,0) + OFFSET(TblMili[[#This Row],[Train Wiz]],-12,0) - TblMili[[#This Row],[Release Wizards]]-TblMili[[#This Row],[Train Arch]]</f>
        <v>25</v>
      </c>
      <c r="K82" s="45">
        <f ca="1">OFFSET(TblMili[[#This Row],[Archmages]],-1,0) + OFFSET(TblMili[[#This Row],[Train Arch]],-12,0) - TblMili[[#This Row],[Release Arch]]</f>
        <v>0</v>
      </c>
      <c r="L82" s="150"/>
      <c r="M82" s="97">
        <f ca="1">TblProd[[#This Row],[Networth]]</f>
        <v>6450</v>
      </c>
      <c r="N82" s="150"/>
      <c r="O82" s="267">
        <f ca="1">TblMili[[#This Row],[Unit 1]]*spec_op+TblMili[[#This Row],[Unit 3]]*(elite1_base_op)+TblMili[[#This Row],[Unit 4]]*(elite2_base_op+dark_elf*TblMili[[#This Row],[Spellblade]]+icekin*TblMili[[#This Row],[Ice Elemental]]+woodie*TblMili[[#This Row],[Druid (op)]]+orc*TblMili[[#This Row],[Orc]])+kobold*TblMili[[#This Row],[Overlords]]</f>
        <v>0</v>
      </c>
      <c r="P8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2" s="267">
        <f ca="1">TblMili[[#This Row],[Raw]]*(1+TblMili[[#This Row],[Mods_Off]])</f>
        <v>0</v>
      </c>
      <c r="R8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2" s="267">
        <f ca="1">TblMili[[#This Row],[Non Draft]]+TblMili[[#This Row],[Draftees]]</f>
        <v>1076</v>
      </c>
      <c r="T8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269">
        <f ca="1">TblMili[[#This Row],[Non Draft]] * (1 + TblMili[[#This Row],[Mods_Def]])</f>
        <v>450</v>
      </c>
      <c r="V82" s="267">
        <f ca="1">TblMili[[#This Row],[Draft]] * (1 + TblMili[[#This Row],[Mods_Def]])</f>
        <v>1076</v>
      </c>
      <c r="W82" s="267">
        <f ca="1">TblConstr[[#This Row],[Land]]</f>
        <v>250</v>
      </c>
      <c r="X82" s="270"/>
      <c r="Y82" s="275">
        <f ca="1">IF(TblMili[[#This Row],[Set]]&lt;&gt;"",TblMili[[#This Row],[Set]],OFFSET(TblMili[[#This Row],[Draftrate]],-1,0))</f>
        <v>0.35</v>
      </c>
      <c r="Z82" s="97">
        <f ca="1">OFFSET(TblMili[[#This Row],[Draftees]],-1,0)+OFFSET(TblPop[[#This Row],[Draft Growth]],-1,0) - SUM(TblMili[[#This Row],[Train Unit 1]:[Train Wiz]]) - TblMili[[#This Row],[Release Draft]] + SUM(TblMili[[#This Row],[Release Unit 1]:[Release Arch]]) -TblExplore[[#This Row],[Draftees (2)]]</f>
        <v>626</v>
      </c>
      <c r="AA82" s="162"/>
      <c r="AB82" s="188">
        <f ca="1">(TblConstr[[#This Row],[Tot Smi]]+TblConstr[[#This Row],[Dest Smi]])/(TblConstr[[#This Row],[Land]]-TblExplore[[#This Row],[Land Bonus]]*20)</f>
        <v>0</v>
      </c>
      <c r="AC82" s="145"/>
      <c r="AD82" s="266">
        <f>TblMili[[#This Row],[Hour]]</f>
        <v>79</v>
      </c>
      <c r="AE82" s="146">
        <f ca="1">TblExplore[[#This Row],[Time]]</f>
        <v>44813.999999999811</v>
      </c>
      <c r="AF82" s="187"/>
      <c r="AG82" s="187"/>
      <c r="AH82" s="187"/>
      <c r="AI82" s="187"/>
      <c r="AJ82" s="187"/>
      <c r="AK82" s="187"/>
      <c r="AL82" s="187"/>
      <c r="AM82" s="150"/>
      <c r="AN82" s="97">
        <f ca="1">TblProd[[#This Row],[Platinum]]</f>
        <v>528786</v>
      </c>
      <c r="AO82" s="97">
        <f ca="1">INDEX(TblProd[[#Headers],[Lumber]]:TblProd[[#This Row],[Ore]],COUNTA(TblProd[[#Headers],[Lumber]]:TblProd[[#This Row],[Lumber]]),MATCH(Military!$AO$2,TblProd[[#Headers],[Lumber]:[Ore]],0))</f>
        <v>0</v>
      </c>
      <c r="AP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97">
        <f ca="1">TblMili[[#This Row],[Train Unit 1]]*TblMili[[#This Row],[OP Ore]]+TblMili[[#This Row],[Train Unit 2]]*TblMili[[#This Row],[DP Ore]]+TblMili[[#This Row],[Train Unit 3]]*TblMili[[#This Row],[E1 Ore]]+TblMili[[#This Row],[Train Unit 4]]*TblMili[[#This Row],[E2 Ore]]</f>
        <v>0</v>
      </c>
      <c r="AR82" s="150">
        <f>TblMili[[#This Row],[Hour]]</f>
        <v>79</v>
      </c>
      <c r="AS82" s="160">
        <f ca="1">TblMili[[#This Row],[Time]]</f>
        <v>44813.999999999811</v>
      </c>
      <c r="AT82" s="97">
        <f ca="1">TblMili[[#This Row],[Draftees]]</f>
        <v>626</v>
      </c>
      <c r="AU82" s="166"/>
      <c r="AV82" s="187"/>
      <c r="AW82" s="187"/>
      <c r="AX82" s="187"/>
      <c r="AY82" s="187"/>
      <c r="AZ82" s="187"/>
      <c r="BA82" s="187"/>
      <c r="BB82" s="187"/>
      <c r="BC82" s="150"/>
      <c r="BD82" s="165">
        <f ca="1">TblConstr[[#This Row],[Tot WG]]/TblConstr[[#This Row],[Land]]</f>
        <v>0</v>
      </c>
      <c r="BE82" s="165">
        <f ca="1">TblConstr[[#This Row],[Tot Hav]]/TblConstr[[#This Row],[Land]]</f>
        <v>0</v>
      </c>
      <c r="BF82" s="97">
        <f ca="1">ROUNDUP((1-MIN(TblMili[[#This Row],[Smithies]]*smithy_bonus,smithy_bonus_cap) + tech_3_5*TblTech[[#This Row],[3-5]] + tech_5_3*TblTech[[#This Row],[5-3]] + tech_5_5*TblTech[[#This Row],[5-5]])*spec_op_plat,0)</f>
        <v>275</v>
      </c>
      <c r="BG82" s="97">
        <f ca="1">ROUNDUP(IF(race="Gnome",1,(1-MIN(TblMili[[#This Row],[Smithies]]*smithy_bonus,smithy_bonus_cap) + tech_3_5*TblTech[[#This Row],[3-5]] + tech_5_3*TblTech[[#This Row],[5-3]] + tech_5_5*TblTech[[#This Row],[5-5]]))*spec_op_ore,0)</f>
        <v>25</v>
      </c>
      <c r="BH82" s="97">
        <f ca="1">ROUNDUP((1-MIN(TblMili[[#This Row],[Smithies]]*smithy_bonus,smithy_bonus_cap) + tech_3_5*TblTech[[#This Row],[3-5]] + tech_5_3*TblTech[[#This Row],[5-3]] + tech_5_5*TblTech[[#This Row],[5-5]])*spec_dp_plat,0)</f>
        <v>275</v>
      </c>
      <c r="BI82" s="97">
        <f ca="1">ROUNDUP(IF(race="Gnome",1,(1-MIN(TblMili[[#This Row],[Smithies]]*smithy_bonus,smithy_bonus_cap) + tech_3_5*TblTech[[#This Row],[3-5]] + tech_5_3*TblTech[[#This Row],[5-3]] + tech_5_5*TblTech[[#This Row],[5-5]]))*spec_dp_ore,0)</f>
        <v>15</v>
      </c>
      <c r="BJ82" s="97">
        <f ca="1">ROUNDUP((1-MIN(TblMili[[#This Row],[Smithies]]*smithy_bonus,smithy_bonus_cap) + tech_3_5*TblTech[[#This Row],[3-5]] + tech_5_3*TblTech[[#This Row],[5-3]] + tech_5_5*TblTech[[#This Row],[5-5]])*elite1_plat,0)</f>
        <v>1000</v>
      </c>
      <c r="BK82" s="97">
        <f ca="1">ROUNDUP(IF(race="Gnome",1,(1-MIN(TblMili[[#This Row],[Smithies]]*smithy_bonus,smithy_bonus_cap) + tech_3_5*TblTech[[#This Row],[3-5]] + tech_5_3*TblTech[[#This Row],[5-3]] + tech_5_5*TblTech[[#This Row],[5-5]]))*elite1_ore,0)</f>
        <v>75</v>
      </c>
      <c r="BL82" s="97">
        <f ca="1">ROUNDUP((1-MIN(TblMili[[#This Row],[Smithies]]*smithy_bonus,smithy_bonus_cap) + tech_3_5*TblTech[[#This Row],[3-5]] + tech_5_3*TblTech[[#This Row],[5-3]] + tech_5_5*TblTech[[#This Row],[5-5]])*elite2_plat,0)</f>
        <v>1200</v>
      </c>
      <c r="BM82" s="97">
        <f ca="1">ROUNDUP(IF(race="Gnome",1,(1-MIN(TblMili[[#This Row],[Smithies]]*smithy_bonus,smithy_bonus_cap) + tech_3_5*TblTech[[#This Row],[3-5]] + tech_5_3*TblTech[[#This Row],[5-3]] + tech_5_5*TblTech[[#This Row],[5-5]]))*elite2_ore,0)</f>
        <v>100</v>
      </c>
      <c r="BN82" s="97">
        <f ca="1">ROUNDUP((1-MIN(ROUND(fh_spy_cost_red*TblMili[[#This Row],[FH''s]],4),fh_spy_cost_cap)+ tech_1_9*TblTech[[#This Row],[1-9]] + tech_9_1*TblTech[[#This Row],[9-1]])*spy_plat,0)</f>
        <v>500</v>
      </c>
      <c r="BO82" s="97">
        <f ca="1">ROUNDUP((1-MIN(ROUND(wg_wiz_cost_bonus*TblMili[[#This Row],[WG''s]],4),wg_wiz_cost_cap) + tech_1_9_2*TblTech[[#This Row],[1-9]] + tech_9_1_2*TblTech[[#This Row],[9-1]])*wizard_plat,0)</f>
        <v>500</v>
      </c>
      <c r="BP82" s="97">
        <f ca="1">ROUNDUP((1-MIN(ROUND(wg_wiz_cost_bonus*TblMili[[#This Row],[WG''s]],4),wg_wiz_cost_cap) + tech_1_9_2*TblTech[[#This Row],[1-9]] + tech_9_1_2*TblTech[[#This Row],[9-1]])*archmage_plat,0)</f>
        <v>1000</v>
      </c>
      <c r="BQ82" s="150"/>
      <c r="BR82" s="165">
        <f ca="1">TblConstr[[#This Row],[Homeland]]/TblConstr[[#This Row],[Land]]</f>
        <v>0.44</v>
      </c>
      <c r="BS82" s="165">
        <f ca="1">TblMili[[#This Row],[WG''s]]</f>
        <v>0</v>
      </c>
      <c r="BT82" s="271">
        <f ca="1">IF(mystic_cap="none",TblMili[[#This Row],[Hill]]/mystic_bonus,MIN(mystic_cap,TblMili[[#This Row],[Hill]]/mystic_bonus))</f>
        <v>2.1999999999999997</v>
      </c>
      <c r="BU82" s="271">
        <f ca="1">IF(druid_op_cap="none",TblMili[[#This Row],[Hill]]/druid_op_bonus,MIN(druid_op_cap,TblMili[[#This Row],[Hill]]/druid_op_bonus))</f>
        <v>2.1999999999999997</v>
      </c>
      <c r="BV82" s="271">
        <f ca="1">IF(druid_dp_cap="none",TblMili[[#This Row],[Hill]]/druid_dp_bonus,MIN(druid_dp_cap,TblMili[[#This Row],[Hill]]/druid_dp_bonus))</f>
        <v>2.1999999999999997</v>
      </c>
      <c r="BW82" s="271">
        <f ca="1">MIN(dryad_cap,TblMili[[#This Row],[Hill]]/dryad_bonus)</f>
        <v>2.1999999999999997</v>
      </c>
      <c r="BX82" s="271">
        <f ca="1">MIN(rocka_cap,TblMili[[#This Row],[Hill]]/rocka_bonus)</f>
        <v>2</v>
      </c>
      <c r="BY82" s="271">
        <f ca="1">MIN(adept_op_cap,TblMili[[#This Row],[WG]]/adept_op_bonus)</f>
        <v>0</v>
      </c>
      <c r="BZ82" s="271">
        <f ca="1">MIN(adept_dp_cap,TblMili[[#This Row],[WG]]/adept_dp_bonus)</f>
        <v>0</v>
      </c>
      <c r="CA82" s="97">
        <f ca="1">MIN(TblMili[[#This Row],[Unit 3]],TblMili[[#This Row],[Unit 4]])*2</f>
        <v>0</v>
      </c>
      <c r="CB82" s="97">
        <f ca="1">MIN(TblMili[[#This Row],[Unit 1]],TblMili[[#This Row],[Unit 4]])*2</f>
        <v>0</v>
      </c>
      <c r="CC82" s="271">
        <f ca="1">MIN(frost_mage_cap,TblMili[[#This Row],[Hill]]/frost_mage_bonus)</f>
        <v>2.1999999999999997</v>
      </c>
      <c r="CD82" s="45">
        <f ca="1">MIN(ice_elem_cap,TblMili[[#This Row],[Raw (2)]]*ice_elem_bonus)</f>
        <v>0.1</v>
      </c>
      <c r="CE82" s="271">
        <f t="shared" si="3"/>
        <v>1</v>
      </c>
      <c r="CF82" s="271">
        <f ca="1">MIN(nox_nightshade_cap,TblConstr[[#This Row],[Homeland]]/TblConstr[[#This Row],[Land]]/nox_nightshade_swamp_bonus)</f>
        <v>3</v>
      </c>
      <c r="CG82" s="272"/>
      <c r="CH82" s="272"/>
      <c r="CI82" s="272"/>
      <c r="CJ82" s="271">
        <f ca="1">MIN(6,TblMili[[#This Row],[Mystic]]+Races!$F$19)*1.8 +  IF(TblMili[[#This Row],[Mystic]]+Races!$F$19&gt;6,(TblMili[[#This Row],[Mystic]]+Races!$F$19-6)*0.2,0) - Races!$I$19</f>
        <v>3.6399999999999997</v>
      </c>
      <c r="CK8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97">
        <f ca="1">TblMili[[#This Row],[Mystic bonus]]*TblMili[[#This Row],[Unit 3]]+TblMili[[#This Row],[Druid bonus]]*TblMili[[#This Row],[Unit 4]]</f>
        <v>0</v>
      </c>
      <c r="CM82" s="163">
        <f ca="1">MIN(6,TblMili[[#This Row],[Dryad]]+Races!$F$35)*1.8 +  IF(TblMili[[#This Row],[Dryad]]+Races!$F$35&gt;6,(TblMili[[#This Row],[Dryad]]+Races!$F$35-6)*0.2,0) - Races!$I$19</f>
        <v>2.1599999999999993</v>
      </c>
      <c r="CN82" s="97">
        <f ca="1">sylvan*(TblMili[[#This Row],[Mystic bonus]]*TblMili[[#This Row],[Unit 3]])</f>
        <v>0</v>
      </c>
      <c r="CO82" s="163">
        <f ca="1">1.8 * MIN(MAX(Races!$E$27,TblMili[[#This Row],[Rockapult]]+Races!$F$27),6)  +  0.45 * MIN(MIN(Races!$E$27,TblMili[[#This Row],[Rockapult]]+Races!$F$27),6)  +  0.2 * ( MAX(Races!$E$27-6,0) + MAX(TblMili[[#This Row],[Rockapult]]+Races!$F$27-6,0) )  -  Races!$I$20</f>
        <v>5.8500000000000005</v>
      </c>
      <c r="CP82" s="97">
        <f ca="1">gnome*(TblMili[[#This Row],[Rockapult bonus]]*TblMili[[#This Row],[Unit 3]])</f>
        <v>0</v>
      </c>
      <c r="CQ82" s="163">
        <f ca="1">1.8 * MIN(MAX(TblMili[[#This Row],[Spellblade]]+Races!$E$47,TblMili[[#This Row],[Adept-DP]]+Races!$F$47),6)  +  0.45 * MIN(MIN(TblMili[[#This Row],[Spellblade]]+Races!$E$47,TblMili[[#This Row],[Adept-DP]]+Races!$F$47),6)  +  0.2 * ( MAX(TblMili[[#This Row],[Spellblade]]+Races!$E$47-6,0) + MAX(TblMili[[#This Row],[Adept-DP]]+Races!$F$47-6,0) )  -  Races!$I$47</f>
        <v>0</v>
      </c>
      <c r="CR82" s="97">
        <f ca="1">dark_elf*(TblMili[[#This Row],[Adept bonus]]*TblMili[[#This Row],[Unit 3]])</f>
        <v>0</v>
      </c>
      <c r="CS82" s="163">
        <f ca="1">1.8 * MIN(MAX(TblMili[[#This Row],[Frost Mage]]+Races!$F$71,Races!$E$71),6)  +  0.45 * MIN(MIN(TblMili[[#This Row],[Frost Mage]]+Races!$F$71,Races!$E$71),6)  +  0.2 * ( MAX(TblMili[[#This Row],[Frost Mage]]+Races!$F$71-6,0) + MAX(Races!$E$71-6,0) )  -  Races!$I$71</f>
        <v>3.9599999999999991</v>
      </c>
      <c r="CT82" s="163">
        <f ca="1">1.8 * MIN(MAX(TblMili[[#This Row],[Ice Elemental]]+Races!$E$71,Races!$F$71),6)  +  0.45 * MIN(MIN(TblMili[[#This Row],[Ice Elemental]]+Races!$E$71,Races!$F$71),6)  +  0.2 * ( MAX(TblMili[[#This Row],[Ice Elemental]]+Races!$E$71-6,0) + MAX(Races!$F$71-6,0) )  -  Races!$I$71</f>
        <v>0.17999999999999972</v>
      </c>
      <c r="CU82" s="97">
        <f ca="1">TblMili[[#This Row],[Frost Mage bonus]]*TblMili[[#This Row],[Unit 3]]+TblMili[[#This Row],[Ice Elemental bonus]]*TblMili[[#This Row],[Unit 4]]</f>
        <v>0</v>
      </c>
      <c r="CV82" s="273"/>
      <c r="CW82" s="151">
        <f ca="1">MIN(SUM(TblConstr[[#This Row],[Plain]:[Water]])/TblMili[[#This Row],[Land]]/favorable_terrain_bonus/100,favorable_terrain_max)</f>
        <v>0.1</v>
      </c>
      <c r="CX82" s="273"/>
      <c r="CY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50"/>
      <c r="DA82" s="274">
        <f ca="1">(TblMili[[#This Row],[Wizards]]+2*TblMili[[#This Row],[Archmages]])/TblConstr[[#This Row],[Land]]</f>
        <v>0.1</v>
      </c>
      <c r="DB82" s="274">
        <f ca="1">TblMili[[#This Row],[Raw (2)]]*(1+race_wizard_strength+IF(TblMili[[#This Row],[Hour]]&gt;72,tech_magical_weaponry_wiz*TblTech[[#This Row],[3-5]],0))</f>
        <v>0.1</v>
      </c>
    </row>
    <row r="83" spans="1:106" x14ac:dyDescent="0.2">
      <c r="A83" s="145">
        <f>TblRezone[[#This Row],[Hour]]</f>
        <v>80</v>
      </c>
      <c r="B83" s="266">
        <f ca="1">SUM(TblMili[[#This Row],[Unit 1]:[Archmages]])+SUM(OFFSET(TblMili[[#This Row],[Train Unit 1]],-8,0):TblMili[[#This Row],[Train Unit 2]]) + SUM(OFFSET(TblMili[[#This Row],[Train Unit 3]],-11,0):TblMili[[#This Row],[Train Arch]]) + TblMili[[#This Row],[Draftees]]</f>
        <v>826</v>
      </c>
      <c r="C83" s="165">
        <f ca="1">TblPop[[#This Row],[Military%]]</f>
        <v>0.35029686174724345</v>
      </c>
      <c r="D83" s="150"/>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f>
        <v>25</v>
      </c>
      <c r="J83" s="45">
        <f ca="1">OFFSET(TblMili[[#This Row],[Wizards]],-1,0) + OFFSET(TblMili[[#This Row],[Train Wiz]],-12,0) - TblMili[[#This Row],[Release Wizards]]-TblMili[[#This Row],[Train Arch]]</f>
        <v>25</v>
      </c>
      <c r="K83" s="45">
        <f ca="1">OFFSET(TblMili[[#This Row],[Archmages]],-1,0) + OFFSET(TblMili[[#This Row],[Train Arch]],-12,0) - TblMili[[#This Row],[Release Arch]]</f>
        <v>0</v>
      </c>
      <c r="L83" s="150"/>
      <c r="M83" s="97">
        <f ca="1">TblProd[[#This Row],[Networth]]</f>
        <v>6450</v>
      </c>
      <c r="N83" s="150"/>
      <c r="O83" s="267">
        <f ca="1">TblMili[[#This Row],[Unit 1]]*spec_op+TblMili[[#This Row],[Unit 3]]*(elite1_base_op)+TblMili[[#This Row],[Unit 4]]*(elite2_base_op+dark_elf*TblMili[[#This Row],[Spellblade]]+icekin*TblMili[[#This Row],[Ice Elemental]]+woodie*TblMili[[#This Row],[Druid (op)]]+orc*TblMili[[#This Row],[Orc]])+kobold*TblMili[[#This Row],[Overlords]]</f>
        <v>0</v>
      </c>
      <c r="P8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3" s="267">
        <f ca="1">TblMili[[#This Row],[Raw]]*(1+TblMili[[#This Row],[Mods_Off]])</f>
        <v>0</v>
      </c>
      <c r="R8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3" s="267">
        <f ca="1">TblMili[[#This Row],[Non Draft]]+TblMili[[#This Row],[Draftees]]</f>
        <v>1076</v>
      </c>
      <c r="T8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269">
        <f ca="1">TblMili[[#This Row],[Non Draft]] * (1 + TblMili[[#This Row],[Mods_Def]])</f>
        <v>450</v>
      </c>
      <c r="V83" s="267">
        <f ca="1">TblMili[[#This Row],[Draft]] * (1 + TblMili[[#This Row],[Mods_Def]])</f>
        <v>1076</v>
      </c>
      <c r="W83" s="267">
        <f ca="1">TblConstr[[#This Row],[Land]]</f>
        <v>250</v>
      </c>
      <c r="X83" s="270"/>
      <c r="Y83" s="275">
        <f ca="1">IF(TblMili[[#This Row],[Set]]&lt;&gt;"",TblMili[[#This Row],[Set]],OFFSET(TblMili[[#This Row],[Draftrate]],-1,0))</f>
        <v>0.35</v>
      </c>
      <c r="Z83" s="97">
        <f ca="1">OFFSET(TblMili[[#This Row],[Draftees]],-1,0)+OFFSET(TblPop[[#This Row],[Draft Growth]],-1,0) - SUM(TblMili[[#This Row],[Train Unit 1]:[Train Wiz]]) - TblMili[[#This Row],[Release Draft]] + SUM(TblMili[[#This Row],[Release Unit 1]:[Release Arch]]) -TblExplore[[#This Row],[Draftees (2)]]</f>
        <v>626</v>
      </c>
      <c r="AA83" s="162"/>
      <c r="AB83" s="188">
        <f ca="1">(TblConstr[[#This Row],[Tot Smi]]+TblConstr[[#This Row],[Dest Smi]])/(TblConstr[[#This Row],[Land]]-TblExplore[[#This Row],[Land Bonus]]*20)</f>
        <v>0</v>
      </c>
      <c r="AC83" s="145"/>
      <c r="AD83" s="266">
        <f>TblMili[[#This Row],[Hour]]</f>
        <v>80</v>
      </c>
      <c r="AE83" s="146">
        <f ca="1">TblExplore[[#This Row],[Time]]</f>
        <v>44814.041666666475</v>
      </c>
      <c r="AF83" s="187"/>
      <c r="AG83" s="187"/>
      <c r="AH83" s="187"/>
      <c r="AI83" s="187"/>
      <c r="AJ83" s="187"/>
      <c r="AK83" s="187"/>
      <c r="AL83" s="187"/>
      <c r="AM83" s="150"/>
      <c r="AN83" s="97">
        <f ca="1">TblProd[[#This Row],[Platinum]]</f>
        <v>534272</v>
      </c>
      <c r="AO83" s="97">
        <f ca="1">INDEX(TblProd[[#Headers],[Lumber]]:TblProd[[#This Row],[Ore]],COUNTA(TblProd[[#Headers],[Lumber]]:TblProd[[#This Row],[Lumber]]),MATCH(Military!$AO$2,TblProd[[#Headers],[Lumber]:[Ore]],0))</f>
        <v>0</v>
      </c>
      <c r="AP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97">
        <f ca="1">TblMili[[#This Row],[Train Unit 1]]*TblMili[[#This Row],[OP Ore]]+TblMili[[#This Row],[Train Unit 2]]*TblMili[[#This Row],[DP Ore]]+TblMili[[#This Row],[Train Unit 3]]*TblMili[[#This Row],[E1 Ore]]+TblMili[[#This Row],[Train Unit 4]]*TblMili[[#This Row],[E2 Ore]]</f>
        <v>0</v>
      </c>
      <c r="AR83" s="150">
        <f>TblMili[[#This Row],[Hour]]</f>
        <v>80</v>
      </c>
      <c r="AS83" s="160">
        <f ca="1">TblMili[[#This Row],[Time]]</f>
        <v>44814.041666666475</v>
      </c>
      <c r="AT83" s="97">
        <f ca="1">TblMili[[#This Row],[Draftees]]</f>
        <v>626</v>
      </c>
      <c r="AU83" s="166"/>
      <c r="AV83" s="187"/>
      <c r="AW83" s="187"/>
      <c r="AX83" s="187"/>
      <c r="AY83" s="187"/>
      <c r="AZ83" s="187"/>
      <c r="BA83" s="187"/>
      <c r="BB83" s="187"/>
      <c r="BC83" s="150"/>
      <c r="BD83" s="165">
        <f ca="1">TblConstr[[#This Row],[Tot WG]]/TblConstr[[#This Row],[Land]]</f>
        <v>0</v>
      </c>
      <c r="BE83" s="165">
        <f ca="1">TblConstr[[#This Row],[Tot Hav]]/TblConstr[[#This Row],[Land]]</f>
        <v>0</v>
      </c>
      <c r="BF83" s="97">
        <f ca="1">ROUNDUP((1-MIN(TblMili[[#This Row],[Smithies]]*smithy_bonus,smithy_bonus_cap) + tech_3_5*TblTech[[#This Row],[3-5]] + tech_5_3*TblTech[[#This Row],[5-3]] + tech_5_5*TblTech[[#This Row],[5-5]])*spec_op_plat,0)</f>
        <v>275</v>
      </c>
      <c r="BG83" s="97">
        <f ca="1">ROUNDUP(IF(race="Gnome",1,(1-MIN(TblMili[[#This Row],[Smithies]]*smithy_bonus,smithy_bonus_cap) + tech_3_5*TblTech[[#This Row],[3-5]] + tech_5_3*TblTech[[#This Row],[5-3]] + tech_5_5*TblTech[[#This Row],[5-5]]))*spec_op_ore,0)</f>
        <v>25</v>
      </c>
      <c r="BH83" s="97">
        <f ca="1">ROUNDUP((1-MIN(TblMili[[#This Row],[Smithies]]*smithy_bonus,smithy_bonus_cap) + tech_3_5*TblTech[[#This Row],[3-5]] + tech_5_3*TblTech[[#This Row],[5-3]] + tech_5_5*TblTech[[#This Row],[5-5]])*spec_dp_plat,0)</f>
        <v>275</v>
      </c>
      <c r="BI83" s="97">
        <f ca="1">ROUNDUP(IF(race="Gnome",1,(1-MIN(TblMili[[#This Row],[Smithies]]*smithy_bonus,smithy_bonus_cap) + tech_3_5*TblTech[[#This Row],[3-5]] + tech_5_3*TblTech[[#This Row],[5-3]] + tech_5_5*TblTech[[#This Row],[5-5]]))*spec_dp_ore,0)</f>
        <v>15</v>
      </c>
      <c r="BJ83" s="97">
        <f ca="1">ROUNDUP((1-MIN(TblMili[[#This Row],[Smithies]]*smithy_bonus,smithy_bonus_cap) + tech_3_5*TblTech[[#This Row],[3-5]] + tech_5_3*TblTech[[#This Row],[5-3]] + tech_5_5*TblTech[[#This Row],[5-5]])*elite1_plat,0)</f>
        <v>1000</v>
      </c>
      <c r="BK83" s="97">
        <f ca="1">ROUNDUP(IF(race="Gnome",1,(1-MIN(TblMili[[#This Row],[Smithies]]*smithy_bonus,smithy_bonus_cap) + tech_3_5*TblTech[[#This Row],[3-5]] + tech_5_3*TblTech[[#This Row],[5-3]] + tech_5_5*TblTech[[#This Row],[5-5]]))*elite1_ore,0)</f>
        <v>75</v>
      </c>
      <c r="BL83" s="97">
        <f ca="1">ROUNDUP((1-MIN(TblMili[[#This Row],[Smithies]]*smithy_bonus,smithy_bonus_cap) + tech_3_5*TblTech[[#This Row],[3-5]] + tech_5_3*TblTech[[#This Row],[5-3]] + tech_5_5*TblTech[[#This Row],[5-5]])*elite2_plat,0)</f>
        <v>1200</v>
      </c>
      <c r="BM83" s="97">
        <f ca="1">ROUNDUP(IF(race="Gnome",1,(1-MIN(TblMili[[#This Row],[Smithies]]*smithy_bonus,smithy_bonus_cap) + tech_3_5*TblTech[[#This Row],[3-5]] + tech_5_3*TblTech[[#This Row],[5-3]] + tech_5_5*TblTech[[#This Row],[5-5]]))*elite2_ore,0)</f>
        <v>100</v>
      </c>
      <c r="BN83" s="97">
        <f ca="1">ROUNDUP((1-MIN(ROUND(fh_spy_cost_red*TblMili[[#This Row],[FH''s]],4),fh_spy_cost_cap)+ tech_1_9*TblTech[[#This Row],[1-9]] + tech_9_1*TblTech[[#This Row],[9-1]])*spy_plat,0)</f>
        <v>500</v>
      </c>
      <c r="BO83" s="97">
        <f ca="1">ROUNDUP((1-MIN(ROUND(wg_wiz_cost_bonus*TblMili[[#This Row],[WG''s]],4),wg_wiz_cost_cap) + tech_1_9_2*TblTech[[#This Row],[1-9]] + tech_9_1_2*TblTech[[#This Row],[9-1]])*wizard_plat,0)</f>
        <v>500</v>
      </c>
      <c r="BP83" s="97">
        <f ca="1">ROUNDUP((1-MIN(ROUND(wg_wiz_cost_bonus*TblMili[[#This Row],[WG''s]],4),wg_wiz_cost_cap) + tech_1_9_2*TblTech[[#This Row],[1-9]] + tech_9_1_2*TblTech[[#This Row],[9-1]])*archmage_plat,0)</f>
        <v>1000</v>
      </c>
      <c r="BQ83" s="150"/>
      <c r="BR83" s="165">
        <f ca="1">TblConstr[[#This Row],[Homeland]]/TblConstr[[#This Row],[Land]]</f>
        <v>0.44</v>
      </c>
      <c r="BS83" s="165">
        <f ca="1">TblMili[[#This Row],[WG''s]]</f>
        <v>0</v>
      </c>
      <c r="BT83" s="271">
        <f ca="1">IF(mystic_cap="none",TblMili[[#This Row],[Hill]]/mystic_bonus,MIN(mystic_cap,TblMili[[#This Row],[Hill]]/mystic_bonus))</f>
        <v>2.1999999999999997</v>
      </c>
      <c r="BU83" s="271">
        <f ca="1">IF(druid_op_cap="none",TblMili[[#This Row],[Hill]]/druid_op_bonus,MIN(druid_op_cap,TblMili[[#This Row],[Hill]]/druid_op_bonus))</f>
        <v>2.1999999999999997</v>
      </c>
      <c r="BV83" s="271">
        <f ca="1">IF(druid_dp_cap="none",TblMili[[#This Row],[Hill]]/druid_dp_bonus,MIN(druid_dp_cap,TblMili[[#This Row],[Hill]]/druid_dp_bonus))</f>
        <v>2.1999999999999997</v>
      </c>
      <c r="BW83" s="271">
        <f ca="1">MIN(dryad_cap,TblMili[[#This Row],[Hill]]/dryad_bonus)</f>
        <v>2.1999999999999997</v>
      </c>
      <c r="BX83" s="271">
        <f ca="1">MIN(rocka_cap,TblMili[[#This Row],[Hill]]/rocka_bonus)</f>
        <v>2</v>
      </c>
      <c r="BY83" s="271">
        <f ca="1">MIN(adept_op_cap,TblMili[[#This Row],[WG]]/adept_op_bonus)</f>
        <v>0</v>
      </c>
      <c r="BZ83" s="271">
        <f ca="1">MIN(adept_dp_cap,TblMili[[#This Row],[WG]]/adept_dp_bonus)</f>
        <v>0</v>
      </c>
      <c r="CA83" s="97">
        <f ca="1">MIN(TblMili[[#This Row],[Unit 3]],TblMili[[#This Row],[Unit 4]])*2</f>
        <v>0</v>
      </c>
      <c r="CB83" s="97">
        <f ca="1">MIN(TblMili[[#This Row],[Unit 1]],TblMili[[#This Row],[Unit 4]])*2</f>
        <v>0</v>
      </c>
      <c r="CC83" s="271">
        <f ca="1">MIN(frost_mage_cap,TblMili[[#This Row],[Hill]]/frost_mage_bonus)</f>
        <v>2.1999999999999997</v>
      </c>
      <c r="CD83" s="45">
        <f ca="1">MIN(ice_elem_cap,TblMili[[#This Row],[Raw (2)]]*ice_elem_bonus)</f>
        <v>0.1</v>
      </c>
      <c r="CE83" s="271">
        <f t="shared" si="3"/>
        <v>1</v>
      </c>
      <c r="CF83" s="271">
        <f ca="1">MIN(nox_nightshade_cap,TblConstr[[#This Row],[Homeland]]/TblConstr[[#This Row],[Land]]/nox_nightshade_swamp_bonus)</f>
        <v>3</v>
      </c>
      <c r="CG83" s="272"/>
      <c r="CH83" s="272"/>
      <c r="CI83" s="272"/>
      <c r="CJ83" s="271">
        <f ca="1">MIN(6,TblMili[[#This Row],[Mystic]]+Races!$F$19)*1.8 +  IF(TblMili[[#This Row],[Mystic]]+Races!$F$19&gt;6,(TblMili[[#This Row],[Mystic]]+Races!$F$19-6)*0.2,0) - Races!$I$19</f>
        <v>3.6399999999999997</v>
      </c>
      <c r="CK8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97">
        <f ca="1">TblMili[[#This Row],[Mystic bonus]]*TblMili[[#This Row],[Unit 3]]+TblMili[[#This Row],[Druid bonus]]*TblMili[[#This Row],[Unit 4]]</f>
        <v>0</v>
      </c>
      <c r="CM83" s="163">
        <f ca="1">MIN(6,TblMili[[#This Row],[Dryad]]+Races!$F$35)*1.8 +  IF(TblMili[[#This Row],[Dryad]]+Races!$F$35&gt;6,(TblMili[[#This Row],[Dryad]]+Races!$F$35-6)*0.2,0) - Races!$I$19</f>
        <v>2.1599999999999993</v>
      </c>
      <c r="CN83" s="97">
        <f ca="1">sylvan*(TblMili[[#This Row],[Mystic bonus]]*TblMili[[#This Row],[Unit 3]])</f>
        <v>0</v>
      </c>
      <c r="CO83" s="163">
        <f ca="1">1.8 * MIN(MAX(Races!$E$27,TblMili[[#This Row],[Rockapult]]+Races!$F$27),6)  +  0.45 * MIN(MIN(Races!$E$27,TblMili[[#This Row],[Rockapult]]+Races!$F$27),6)  +  0.2 * ( MAX(Races!$E$27-6,0) + MAX(TblMili[[#This Row],[Rockapult]]+Races!$F$27-6,0) )  -  Races!$I$20</f>
        <v>5.8500000000000005</v>
      </c>
      <c r="CP83" s="97">
        <f ca="1">gnome*(TblMili[[#This Row],[Rockapult bonus]]*TblMili[[#This Row],[Unit 3]])</f>
        <v>0</v>
      </c>
      <c r="CQ83" s="163">
        <f ca="1">1.8 * MIN(MAX(TblMili[[#This Row],[Spellblade]]+Races!$E$47,TblMili[[#This Row],[Adept-DP]]+Races!$F$47),6)  +  0.45 * MIN(MIN(TblMili[[#This Row],[Spellblade]]+Races!$E$47,TblMili[[#This Row],[Adept-DP]]+Races!$F$47),6)  +  0.2 * ( MAX(TblMili[[#This Row],[Spellblade]]+Races!$E$47-6,0) + MAX(TblMili[[#This Row],[Adept-DP]]+Races!$F$47-6,0) )  -  Races!$I$47</f>
        <v>0</v>
      </c>
      <c r="CR83" s="97">
        <f ca="1">dark_elf*(TblMili[[#This Row],[Adept bonus]]*TblMili[[#This Row],[Unit 3]])</f>
        <v>0</v>
      </c>
      <c r="CS83" s="163">
        <f ca="1">1.8 * MIN(MAX(TblMili[[#This Row],[Frost Mage]]+Races!$F$71,Races!$E$71),6)  +  0.45 * MIN(MIN(TblMili[[#This Row],[Frost Mage]]+Races!$F$71,Races!$E$71),6)  +  0.2 * ( MAX(TblMili[[#This Row],[Frost Mage]]+Races!$F$71-6,0) + MAX(Races!$E$71-6,0) )  -  Races!$I$71</f>
        <v>3.9599999999999991</v>
      </c>
      <c r="CT83" s="163">
        <f ca="1">1.8 * MIN(MAX(TblMili[[#This Row],[Ice Elemental]]+Races!$E$71,Races!$F$71),6)  +  0.45 * MIN(MIN(TblMili[[#This Row],[Ice Elemental]]+Races!$E$71,Races!$F$71),6)  +  0.2 * ( MAX(TblMili[[#This Row],[Ice Elemental]]+Races!$E$71-6,0) + MAX(Races!$F$71-6,0) )  -  Races!$I$71</f>
        <v>0.17999999999999972</v>
      </c>
      <c r="CU83" s="97">
        <f ca="1">TblMili[[#This Row],[Frost Mage bonus]]*TblMili[[#This Row],[Unit 3]]+TblMili[[#This Row],[Ice Elemental bonus]]*TblMili[[#This Row],[Unit 4]]</f>
        <v>0</v>
      </c>
      <c r="CV83" s="273"/>
      <c r="CW83" s="151">
        <f ca="1">MIN(SUM(TblConstr[[#This Row],[Plain]:[Water]])/TblMili[[#This Row],[Land]]/favorable_terrain_bonus/100,favorable_terrain_max)</f>
        <v>0.1</v>
      </c>
      <c r="CX83" s="273"/>
      <c r="CY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50"/>
      <c r="DA83" s="274">
        <f ca="1">(TblMili[[#This Row],[Wizards]]+2*TblMili[[#This Row],[Archmages]])/TblConstr[[#This Row],[Land]]</f>
        <v>0.1</v>
      </c>
      <c r="DB83" s="274">
        <f ca="1">TblMili[[#This Row],[Raw (2)]]*(1+race_wizard_strength+IF(TblMili[[#This Row],[Hour]]&gt;72,tech_magical_weaponry_wiz*TblTech[[#This Row],[3-5]],0))</f>
        <v>0.1</v>
      </c>
    </row>
    <row r="84" spans="1:106" x14ac:dyDescent="0.2">
      <c r="A84" s="145">
        <f>TblRezone[[#This Row],[Hour]]</f>
        <v>81</v>
      </c>
      <c r="B84" s="266">
        <f ca="1">SUM(TblMili[[#This Row],[Unit 1]:[Archmages]])+SUM(OFFSET(TblMili[[#This Row],[Train Unit 1]],-8,0):TblMili[[#This Row],[Train Unit 2]]) + SUM(OFFSET(TblMili[[#This Row],[Train Unit 3]],-11,0):TblMili[[#This Row],[Train Arch]]) + TblMili[[#This Row],[Draftees]]</f>
        <v>826</v>
      </c>
      <c r="C84" s="165">
        <f ca="1">TblPop[[#This Row],[Military%]]</f>
        <v>0.35029686174724345</v>
      </c>
      <c r="D84" s="150"/>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f>
        <v>25</v>
      </c>
      <c r="J84" s="45">
        <f ca="1">OFFSET(TblMili[[#This Row],[Wizards]],-1,0) + OFFSET(TblMili[[#This Row],[Train Wiz]],-12,0) - TblMili[[#This Row],[Release Wizards]]-TblMili[[#This Row],[Train Arch]]</f>
        <v>25</v>
      </c>
      <c r="K84" s="45">
        <f ca="1">OFFSET(TblMili[[#This Row],[Archmages]],-1,0) + OFFSET(TblMili[[#This Row],[Train Arch]],-12,0) - TblMili[[#This Row],[Release Arch]]</f>
        <v>0</v>
      </c>
      <c r="L84" s="150"/>
      <c r="M84" s="97">
        <f ca="1">TblProd[[#This Row],[Networth]]</f>
        <v>6450</v>
      </c>
      <c r="N84" s="150"/>
      <c r="O84" s="267">
        <f ca="1">TblMili[[#This Row],[Unit 1]]*spec_op+TblMili[[#This Row],[Unit 3]]*(elite1_base_op)+TblMili[[#This Row],[Unit 4]]*(elite2_base_op+dark_elf*TblMili[[#This Row],[Spellblade]]+icekin*TblMili[[#This Row],[Ice Elemental]]+woodie*TblMili[[#This Row],[Druid (op)]]+orc*TblMili[[#This Row],[Orc]])+kobold*TblMili[[#This Row],[Overlords]]</f>
        <v>0</v>
      </c>
      <c r="P8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4" s="267">
        <f ca="1">TblMili[[#This Row],[Raw]]*(1+TblMili[[#This Row],[Mods_Off]])</f>
        <v>0</v>
      </c>
      <c r="R8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4" s="267">
        <f ca="1">TblMili[[#This Row],[Non Draft]]+TblMili[[#This Row],[Draftees]]</f>
        <v>1076</v>
      </c>
      <c r="T8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269">
        <f ca="1">TblMili[[#This Row],[Non Draft]] * (1 + TblMili[[#This Row],[Mods_Def]])</f>
        <v>450</v>
      </c>
      <c r="V84" s="267">
        <f ca="1">TblMili[[#This Row],[Draft]] * (1 + TblMili[[#This Row],[Mods_Def]])</f>
        <v>1076</v>
      </c>
      <c r="W84" s="267">
        <f ca="1">TblConstr[[#This Row],[Land]]</f>
        <v>250</v>
      </c>
      <c r="X84" s="270"/>
      <c r="Y84" s="275">
        <f ca="1">IF(TblMili[[#This Row],[Set]]&lt;&gt;"",TblMili[[#This Row],[Set]],OFFSET(TblMili[[#This Row],[Draftrate]],-1,0))</f>
        <v>0.35</v>
      </c>
      <c r="Z84" s="97">
        <f ca="1">OFFSET(TblMili[[#This Row],[Draftees]],-1,0)+OFFSET(TblPop[[#This Row],[Draft Growth]],-1,0) - SUM(TblMili[[#This Row],[Train Unit 1]:[Train Wiz]]) - TblMili[[#This Row],[Release Draft]] + SUM(TblMili[[#This Row],[Release Unit 1]:[Release Arch]]) -TblExplore[[#This Row],[Draftees (2)]]</f>
        <v>626</v>
      </c>
      <c r="AA84" s="162"/>
      <c r="AB84" s="188">
        <f ca="1">(TblConstr[[#This Row],[Tot Smi]]+TblConstr[[#This Row],[Dest Smi]])/(TblConstr[[#This Row],[Land]]-TblExplore[[#This Row],[Land Bonus]]*20)</f>
        <v>0</v>
      </c>
      <c r="AC84" s="145"/>
      <c r="AD84" s="266">
        <f>TblMili[[#This Row],[Hour]]</f>
        <v>81</v>
      </c>
      <c r="AE84" s="146">
        <f ca="1">TblExplore[[#This Row],[Time]]</f>
        <v>44814.083333333139</v>
      </c>
      <c r="AF84" s="187"/>
      <c r="AG84" s="187"/>
      <c r="AH84" s="187"/>
      <c r="AI84" s="187"/>
      <c r="AJ84" s="187"/>
      <c r="AK84" s="187"/>
      <c r="AL84" s="187"/>
      <c r="AM84" s="150"/>
      <c r="AN84" s="97">
        <f ca="1">TblProd[[#This Row],[Platinum]]</f>
        <v>539758</v>
      </c>
      <c r="AO84" s="97">
        <f ca="1">INDEX(TblProd[[#Headers],[Lumber]]:TblProd[[#This Row],[Ore]],COUNTA(TblProd[[#Headers],[Lumber]]:TblProd[[#This Row],[Lumber]]),MATCH(Military!$AO$2,TblProd[[#Headers],[Lumber]:[Ore]],0))</f>
        <v>0</v>
      </c>
      <c r="AP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97">
        <f ca="1">TblMili[[#This Row],[Train Unit 1]]*TblMili[[#This Row],[OP Ore]]+TblMili[[#This Row],[Train Unit 2]]*TblMili[[#This Row],[DP Ore]]+TblMili[[#This Row],[Train Unit 3]]*TblMili[[#This Row],[E1 Ore]]+TblMili[[#This Row],[Train Unit 4]]*TblMili[[#This Row],[E2 Ore]]</f>
        <v>0</v>
      </c>
      <c r="AR84" s="150">
        <f>TblMili[[#This Row],[Hour]]</f>
        <v>81</v>
      </c>
      <c r="AS84" s="160">
        <f ca="1">TblMili[[#This Row],[Time]]</f>
        <v>44814.083333333139</v>
      </c>
      <c r="AT84" s="97">
        <f ca="1">TblMili[[#This Row],[Draftees]]</f>
        <v>626</v>
      </c>
      <c r="AU84" s="166"/>
      <c r="AV84" s="187"/>
      <c r="AW84" s="187"/>
      <c r="AX84" s="187"/>
      <c r="AY84" s="187"/>
      <c r="AZ84" s="187"/>
      <c r="BA84" s="187"/>
      <c r="BB84" s="187"/>
      <c r="BC84" s="150"/>
      <c r="BD84" s="165">
        <f ca="1">TblConstr[[#This Row],[Tot WG]]/TblConstr[[#This Row],[Land]]</f>
        <v>0</v>
      </c>
      <c r="BE84" s="165">
        <f ca="1">TblConstr[[#This Row],[Tot Hav]]/TblConstr[[#This Row],[Land]]</f>
        <v>0</v>
      </c>
      <c r="BF84" s="97">
        <f ca="1">ROUNDUP((1-MIN(TblMili[[#This Row],[Smithies]]*smithy_bonus,smithy_bonus_cap) + tech_3_5*TblTech[[#This Row],[3-5]] + tech_5_3*TblTech[[#This Row],[5-3]] + tech_5_5*TblTech[[#This Row],[5-5]])*spec_op_plat,0)</f>
        <v>275</v>
      </c>
      <c r="BG84" s="97">
        <f ca="1">ROUNDUP(IF(race="Gnome",1,(1-MIN(TblMili[[#This Row],[Smithies]]*smithy_bonus,smithy_bonus_cap) + tech_3_5*TblTech[[#This Row],[3-5]] + tech_5_3*TblTech[[#This Row],[5-3]] + tech_5_5*TblTech[[#This Row],[5-5]]))*spec_op_ore,0)</f>
        <v>25</v>
      </c>
      <c r="BH84" s="97">
        <f ca="1">ROUNDUP((1-MIN(TblMili[[#This Row],[Smithies]]*smithy_bonus,smithy_bonus_cap) + tech_3_5*TblTech[[#This Row],[3-5]] + tech_5_3*TblTech[[#This Row],[5-3]] + tech_5_5*TblTech[[#This Row],[5-5]])*spec_dp_plat,0)</f>
        <v>275</v>
      </c>
      <c r="BI84" s="97">
        <f ca="1">ROUNDUP(IF(race="Gnome",1,(1-MIN(TblMili[[#This Row],[Smithies]]*smithy_bonus,smithy_bonus_cap) + tech_3_5*TblTech[[#This Row],[3-5]] + tech_5_3*TblTech[[#This Row],[5-3]] + tech_5_5*TblTech[[#This Row],[5-5]]))*spec_dp_ore,0)</f>
        <v>15</v>
      </c>
      <c r="BJ84" s="97">
        <f ca="1">ROUNDUP((1-MIN(TblMili[[#This Row],[Smithies]]*smithy_bonus,smithy_bonus_cap) + tech_3_5*TblTech[[#This Row],[3-5]] + tech_5_3*TblTech[[#This Row],[5-3]] + tech_5_5*TblTech[[#This Row],[5-5]])*elite1_plat,0)</f>
        <v>1000</v>
      </c>
      <c r="BK84" s="97">
        <f ca="1">ROUNDUP(IF(race="Gnome",1,(1-MIN(TblMili[[#This Row],[Smithies]]*smithy_bonus,smithy_bonus_cap) + tech_3_5*TblTech[[#This Row],[3-5]] + tech_5_3*TblTech[[#This Row],[5-3]] + tech_5_5*TblTech[[#This Row],[5-5]]))*elite1_ore,0)</f>
        <v>75</v>
      </c>
      <c r="BL84" s="97">
        <f ca="1">ROUNDUP((1-MIN(TblMili[[#This Row],[Smithies]]*smithy_bonus,smithy_bonus_cap) + tech_3_5*TblTech[[#This Row],[3-5]] + tech_5_3*TblTech[[#This Row],[5-3]] + tech_5_5*TblTech[[#This Row],[5-5]])*elite2_plat,0)</f>
        <v>1200</v>
      </c>
      <c r="BM84" s="97">
        <f ca="1">ROUNDUP(IF(race="Gnome",1,(1-MIN(TblMili[[#This Row],[Smithies]]*smithy_bonus,smithy_bonus_cap) + tech_3_5*TblTech[[#This Row],[3-5]] + tech_5_3*TblTech[[#This Row],[5-3]] + tech_5_5*TblTech[[#This Row],[5-5]]))*elite2_ore,0)</f>
        <v>100</v>
      </c>
      <c r="BN84" s="97">
        <f ca="1">ROUNDUP((1-MIN(ROUND(fh_spy_cost_red*TblMili[[#This Row],[FH''s]],4),fh_spy_cost_cap)+ tech_1_9*TblTech[[#This Row],[1-9]] + tech_9_1*TblTech[[#This Row],[9-1]])*spy_plat,0)</f>
        <v>500</v>
      </c>
      <c r="BO84" s="97">
        <f ca="1">ROUNDUP((1-MIN(ROUND(wg_wiz_cost_bonus*TblMili[[#This Row],[WG''s]],4),wg_wiz_cost_cap) + tech_1_9_2*TblTech[[#This Row],[1-9]] + tech_9_1_2*TblTech[[#This Row],[9-1]])*wizard_plat,0)</f>
        <v>500</v>
      </c>
      <c r="BP84" s="97">
        <f ca="1">ROUNDUP((1-MIN(ROUND(wg_wiz_cost_bonus*TblMili[[#This Row],[WG''s]],4),wg_wiz_cost_cap) + tech_1_9_2*TblTech[[#This Row],[1-9]] + tech_9_1_2*TblTech[[#This Row],[9-1]])*archmage_plat,0)</f>
        <v>1000</v>
      </c>
      <c r="BQ84" s="150"/>
      <c r="BR84" s="165">
        <f ca="1">TblConstr[[#This Row],[Homeland]]/TblConstr[[#This Row],[Land]]</f>
        <v>0.44</v>
      </c>
      <c r="BS84" s="165">
        <f ca="1">TblMili[[#This Row],[WG''s]]</f>
        <v>0</v>
      </c>
      <c r="BT84" s="271">
        <f ca="1">IF(mystic_cap="none",TblMili[[#This Row],[Hill]]/mystic_bonus,MIN(mystic_cap,TblMili[[#This Row],[Hill]]/mystic_bonus))</f>
        <v>2.1999999999999997</v>
      </c>
      <c r="BU84" s="271">
        <f ca="1">IF(druid_op_cap="none",TblMili[[#This Row],[Hill]]/druid_op_bonus,MIN(druid_op_cap,TblMili[[#This Row],[Hill]]/druid_op_bonus))</f>
        <v>2.1999999999999997</v>
      </c>
      <c r="BV84" s="271">
        <f ca="1">IF(druid_dp_cap="none",TblMili[[#This Row],[Hill]]/druid_dp_bonus,MIN(druid_dp_cap,TblMili[[#This Row],[Hill]]/druid_dp_bonus))</f>
        <v>2.1999999999999997</v>
      </c>
      <c r="BW84" s="271">
        <f ca="1">MIN(dryad_cap,TblMili[[#This Row],[Hill]]/dryad_bonus)</f>
        <v>2.1999999999999997</v>
      </c>
      <c r="BX84" s="271">
        <f ca="1">MIN(rocka_cap,TblMili[[#This Row],[Hill]]/rocka_bonus)</f>
        <v>2</v>
      </c>
      <c r="BY84" s="271">
        <f ca="1">MIN(adept_op_cap,TblMili[[#This Row],[WG]]/adept_op_bonus)</f>
        <v>0</v>
      </c>
      <c r="BZ84" s="271">
        <f ca="1">MIN(adept_dp_cap,TblMili[[#This Row],[WG]]/adept_dp_bonus)</f>
        <v>0</v>
      </c>
      <c r="CA84" s="97">
        <f ca="1">MIN(TblMili[[#This Row],[Unit 3]],TblMili[[#This Row],[Unit 4]])*2</f>
        <v>0</v>
      </c>
      <c r="CB84" s="97">
        <f ca="1">MIN(TblMili[[#This Row],[Unit 1]],TblMili[[#This Row],[Unit 4]])*2</f>
        <v>0</v>
      </c>
      <c r="CC84" s="271">
        <f ca="1">MIN(frost_mage_cap,TblMili[[#This Row],[Hill]]/frost_mage_bonus)</f>
        <v>2.1999999999999997</v>
      </c>
      <c r="CD84" s="45">
        <f ca="1">MIN(ice_elem_cap,TblMili[[#This Row],[Raw (2)]]*ice_elem_bonus)</f>
        <v>0.1</v>
      </c>
      <c r="CE84" s="271">
        <f t="shared" si="3"/>
        <v>1</v>
      </c>
      <c r="CF84" s="271">
        <f ca="1">MIN(nox_nightshade_cap,TblConstr[[#This Row],[Homeland]]/TblConstr[[#This Row],[Land]]/nox_nightshade_swamp_bonus)</f>
        <v>3</v>
      </c>
      <c r="CG84" s="272"/>
      <c r="CH84" s="272"/>
      <c r="CI84" s="272"/>
      <c r="CJ84" s="271">
        <f ca="1">MIN(6,TblMili[[#This Row],[Mystic]]+Races!$F$19)*1.8 +  IF(TblMili[[#This Row],[Mystic]]+Races!$F$19&gt;6,(TblMili[[#This Row],[Mystic]]+Races!$F$19-6)*0.2,0) - Races!$I$19</f>
        <v>3.6399999999999997</v>
      </c>
      <c r="CK8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97">
        <f ca="1">TblMili[[#This Row],[Mystic bonus]]*TblMili[[#This Row],[Unit 3]]+TblMili[[#This Row],[Druid bonus]]*TblMili[[#This Row],[Unit 4]]</f>
        <v>0</v>
      </c>
      <c r="CM84" s="163">
        <f ca="1">MIN(6,TblMili[[#This Row],[Dryad]]+Races!$F$35)*1.8 +  IF(TblMili[[#This Row],[Dryad]]+Races!$F$35&gt;6,(TblMili[[#This Row],[Dryad]]+Races!$F$35-6)*0.2,0) - Races!$I$19</f>
        <v>2.1599999999999993</v>
      </c>
      <c r="CN84" s="97">
        <f ca="1">sylvan*(TblMili[[#This Row],[Mystic bonus]]*TblMili[[#This Row],[Unit 3]])</f>
        <v>0</v>
      </c>
      <c r="CO84" s="163">
        <f ca="1">1.8 * MIN(MAX(Races!$E$27,TblMili[[#This Row],[Rockapult]]+Races!$F$27),6)  +  0.45 * MIN(MIN(Races!$E$27,TblMili[[#This Row],[Rockapult]]+Races!$F$27),6)  +  0.2 * ( MAX(Races!$E$27-6,0) + MAX(TblMili[[#This Row],[Rockapult]]+Races!$F$27-6,0) )  -  Races!$I$20</f>
        <v>5.8500000000000005</v>
      </c>
      <c r="CP84" s="97">
        <f ca="1">gnome*(TblMili[[#This Row],[Rockapult bonus]]*TblMili[[#This Row],[Unit 3]])</f>
        <v>0</v>
      </c>
      <c r="CQ84" s="163">
        <f ca="1">1.8 * MIN(MAX(TblMili[[#This Row],[Spellblade]]+Races!$E$47,TblMili[[#This Row],[Adept-DP]]+Races!$F$47),6)  +  0.45 * MIN(MIN(TblMili[[#This Row],[Spellblade]]+Races!$E$47,TblMili[[#This Row],[Adept-DP]]+Races!$F$47),6)  +  0.2 * ( MAX(TblMili[[#This Row],[Spellblade]]+Races!$E$47-6,0) + MAX(TblMili[[#This Row],[Adept-DP]]+Races!$F$47-6,0) )  -  Races!$I$47</f>
        <v>0</v>
      </c>
      <c r="CR84" s="97">
        <f ca="1">dark_elf*(TblMili[[#This Row],[Adept bonus]]*TblMili[[#This Row],[Unit 3]])</f>
        <v>0</v>
      </c>
      <c r="CS84" s="163">
        <f ca="1">1.8 * MIN(MAX(TblMili[[#This Row],[Frost Mage]]+Races!$F$71,Races!$E$71),6)  +  0.45 * MIN(MIN(TblMili[[#This Row],[Frost Mage]]+Races!$F$71,Races!$E$71),6)  +  0.2 * ( MAX(TblMili[[#This Row],[Frost Mage]]+Races!$F$71-6,0) + MAX(Races!$E$71-6,0) )  -  Races!$I$71</f>
        <v>3.9599999999999991</v>
      </c>
      <c r="CT84" s="163">
        <f ca="1">1.8 * MIN(MAX(TblMili[[#This Row],[Ice Elemental]]+Races!$E$71,Races!$F$71),6)  +  0.45 * MIN(MIN(TblMili[[#This Row],[Ice Elemental]]+Races!$E$71,Races!$F$71),6)  +  0.2 * ( MAX(TblMili[[#This Row],[Ice Elemental]]+Races!$E$71-6,0) + MAX(Races!$F$71-6,0) )  -  Races!$I$71</f>
        <v>0.17999999999999972</v>
      </c>
      <c r="CU84" s="97">
        <f ca="1">TblMili[[#This Row],[Frost Mage bonus]]*TblMili[[#This Row],[Unit 3]]+TblMili[[#This Row],[Ice Elemental bonus]]*TblMili[[#This Row],[Unit 4]]</f>
        <v>0</v>
      </c>
      <c r="CV84" s="273"/>
      <c r="CW84" s="151">
        <f ca="1">MIN(SUM(TblConstr[[#This Row],[Plain]:[Water]])/TblMili[[#This Row],[Land]]/favorable_terrain_bonus/100,favorable_terrain_max)</f>
        <v>0.1</v>
      </c>
      <c r="CX84" s="273"/>
      <c r="CY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50"/>
      <c r="DA84" s="274">
        <f ca="1">(TblMili[[#This Row],[Wizards]]+2*TblMili[[#This Row],[Archmages]])/TblConstr[[#This Row],[Land]]</f>
        <v>0.1</v>
      </c>
      <c r="DB84" s="274">
        <f ca="1">TblMili[[#This Row],[Raw (2)]]*(1+race_wizard_strength+IF(TblMili[[#This Row],[Hour]]&gt;72,tech_magical_weaponry_wiz*TblTech[[#This Row],[3-5]],0))</f>
        <v>0.1</v>
      </c>
    </row>
    <row r="85" spans="1:106" x14ac:dyDescent="0.2">
      <c r="A85" s="145">
        <f>TblRezone[[#This Row],[Hour]]</f>
        <v>82</v>
      </c>
      <c r="B85" s="266">
        <f ca="1">SUM(TblMili[[#This Row],[Unit 1]:[Archmages]])+SUM(OFFSET(TblMili[[#This Row],[Train Unit 1]],-8,0):TblMili[[#This Row],[Train Unit 2]]) + SUM(OFFSET(TblMili[[#This Row],[Train Unit 3]],-11,0):TblMili[[#This Row],[Train Arch]]) + TblMili[[#This Row],[Draftees]]</f>
        <v>826</v>
      </c>
      <c r="C85" s="165">
        <f ca="1">TblPop[[#This Row],[Military%]]</f>
        <v>0.35029686174724345</v>
      </c>
      <c r="D85" s="150"/>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f>
        <v>25</v>
      </c>
      <c r="J85" s="45">
        <f ca="1">OFFSET(TblMili[[#This Row],[Wizards]],-1,0) + OFFSET(TblMili[[#This Row],[Train Wiz]],-12,0) - TblMili[[#This Row],[Release Wizards]]-TblMili[[#This Row],[Train Arch]]</f>
        <v>25</v>
      </c>
      <c r="K85" s="45">
        <f ca="1">OFFSET(TblMili[[#This Row],[Archmages]],-1,0) + OFFSET(TblMili[[#This Row],[Train Arch]],-12,0) - TblMili[[#This Row],[Release Arch]]</f>
        <v>0</v>
      </c>
      <c r="L85" s="150"/>
      <c r="M85" s="97">
        <f ca="1">TblProd[[#This Row],[Networth]]</f>
        <v>6450</v>
      </c>
      <c r="N85" s="150"/>
      <c r="O85" s="267">
        <f ca="1">TblMili[[#This Row],[Unit 1]]*spec_op+TblMili[[#This Row],[Unit 3]]*(elite1_base_op)+TblMili[[#This Row],[Unit 4]]*(elite2_base_op+dark_elf*TblMili[[#This Row],[Spellblade]]+icekin*TblMili[[#This Row],[Ice Elemental]]+woodie*TblMili[[#This Row],[Druid (op)]]+orc*TblMili[[#This Row],[Orc]])+kobold*TblMili[[#This Row],[Overlords]]</f>
        <v>0</v>
      </c>
      <c r="P8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5" s="267">
        <f ca="1">TblMili[[#This Row],[Raw]]*(1+TblMili[[#This Row],[Mods_Off]])</f>
        <v>0</v>
      </c>
      <c r="R8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5" s="267">
        <f ca="1">TblMili[[#This Row],[Non Draft]]+TblMili[[#This Row],[Draftees]]</f>
        <v>1076</v>
      </c>
      <c r="T8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269">
        <f ca="1">TblMili[[#This Row],[Non Draft]] * (1 + TblMili[[#This Row],[Mods_Def]])</f>
        <v>450</v>
      </c>
      <c r="V85" s="267">
        <f ca="1">TblMili[[#This Row],[Draft]] * (1 + TblMili[[#This Row],[Mods_Def]])</f>
        <v>1076</v>
      </c>
      <c r="W85" s="267">
        <f ca="1">TblConstr[[#This Row],[Land]]</f>
        <v>250</v>
      </c>
      <c r="X85" s="270"/>
      <c r="Y85" s="275">
        <f ca="1">IF(TblMili[[#This Row],[Set]]&lt;&gt;"",TblMili[[#This Row],[Set]],OFFSET(TblMili[[#This Row],[Draftrate]],-1,0))</f>
        <v>0.35</v>
      </c>
      <c r="Z85" s="97">
        <f ca="1">OFFSET(TblMili[[#This Row],[Draftees]],-1,0)+OFFSET(TblPop[[#This Row],[Draft Growth]],-1,0) - SUM(TblMili[[#This Row],[Train Unit 1]:[Train Wiz]]) - TblMili[[#This Row],[Release Draft]] + SUM(TblMili[[#This Row],[Release Unit 1]:[Release Arch]]) -TblExplore[[#This Row],[Draftees (2)]]</f>
        <v>626</v>
      </c>
      <c r="AA85" s="162"/>
      <c r="AB85" s="188">
        <f ca="1">(TblConstr[[#This Row],[Tot Smi]]+TblConstr[[#This Row],[Dest Smi]])/(TblConstr[[#This Row],[Land]]-TblExplore[[#This Row],[Land Bonus]]*20)</f>
        <v>0</v>
      </c>
      <c r="AC85" s="145"/>
      <c r="AD85" s="266">
        <f>TblMili[[#This Row],[Hour]]</f>
        <v>82</v>
      </c>
      <c r="AE85" s="146">
        <f ca="1">TblExplore[[#This Row],[Time]]</f>
        <v>44814.124999999804</v>
      </c>
      <c r="AF85" s="187"/>
      <c r="AG85" s="187"/>
      <c r="AH85" s="187"/>
      <c r="AI85" s="187"/>
      <c r="AJ85" s="187"/>
      <c r="AK85" s="187"/>
      <c r="AL85" s="187"/>
      <c r="AM85" s="150"/>
      <c r="AN85" s="97">
        <f ca="1">TblProd[[#This Row],[Platinum]]</f>
        <v>545244</v>
      </c>
      <c r="AO85" s="97">
        <f ca="1">INDEX(TblProd[[#Headers],[Lumber]]:TblProd[[#This Row],[Ore]],COUNTA(TblProd[[#Headers],[Lumber]]:TblProd[[#This Row],[Lumber]]),MATCH(Military!$AO$2,TblProd[[#Headers],[Lumber]:[Ore]],0))</f>
        <v>0</v>
      </c>
      <c r="AP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97">
        <f ca="1">TblMili[[#This Row],[Train Unit 1]]*TblMili[[#This Row],[OP Ore]]+TblMili[[#This Row],[Train Unit 2]]*TblMili[[#This Row],[DP Ore]]+TblMili[[#This Row],[Train Unit 3]]*TblMili[[#This Row],[E1 Ore]]+TblMili[[#This Row],[Train Unit 4]]*TblMili[[#This Row],[E2 Ore]]</f>
        <v>0</v>
      </c>
      <c r="AR85" s="150">
        <f>TblMili[[#This Row],[Hour]]</f>
        <v>82</v>
      </c>
      <c r="AS85" s="160">
        <f ca="1">TblMili[[#This Row],[Time]]</f>
        <v>44814.124999999804</v>
      </c>
      <c r="AT85" s="97">
        <f ca="1">TblMili[[#This Row],[Draftees]]</f>
        <v>626</v>
      </c>
      <c r="AU85" s="166"/>
      <c r="AV85" s="187"/>
      <c r="AW85" s="187"/>
      <c r="AX85" s="187"/>
      <c r="AY85" s="187"/>
      <c r="AZ85" s="187"/>
      <c r="BA85" s="187"/>
      <c r="BB85" s="187"/>
      <c r="BC85" s="150"/>
      <c r="BD85" s="165">
        <f ca="1">TblConstr[[#This Row],[Tot WG]]/TblConstr[[#This Row],[Land]]</f>
        <v>0</v>
      </c>
      <c r="BE85" s="165">
        <f ca="1">TblConstr[[#This Row],[Tot Hav]]/TblConstr[[#This Row],[Land]]</f>
        <v>0</v>
      </c>
      <c r="BF85" s="97">
        <f ca="1">ROUNDUP((1-MIN(TblMili[[#This Row],[Smithies]]*smithy_bonus,smithy_bonus_cap) + tech_3_5*TblTech[[#This Row],[3-5]] + tech_5_3*TblTech[[#This Row],[5-3]] + tech_5_5*TblTech[[#This Row],[5-5]])*spec_op_plat,0)</f>
        <v>275</v>
      </c>
      <c r="BG85" s="97">
        <f ca="1">ROUNDUP(IF(race="Gnome",1,(1-MIN(TblMili[[#This Row],[Smithies]]*smithy_bonus,smithy_bonus_cap) + tech_3_5*TblTech[[#This Row],[3-5]] + tech_5_3*TblTech[[#This Row],[5-3]] + tech_5_5*TblTech[[#This Row],[5-5]]))*spec_op_ore,0)</f>
        <v>25</v>
      </c>
      <c r="BH85" s="97">
        <f ca="1">ROUNDUP((1-MIN(TblMili[[#This Row],[Smithies]]*smithy_bonus,smithy_bonus_cap) + tech_3_5*TblTech[[#This Row],[3-5]] + tech_5_3*TblTech[[#This Row],[5-3]] + tech_5_5*TblTech[[#This Row],[5-5]])*spec_dp_plat,0)</f>
        <v>275</v>
      </c>
      <c r="BI85" s="97">
        <f ca="1">ROUNDUP(IF(race="Gnome",1,(1-MIN(TblMili[[#This Row],[Smithies]]*smithy_bonus,smithy_bonus_cap) + tech_3_5*TblTech[[#This Row],[3-5]] + tech_5_3*TblTech[[#This Row],[5-3]] + tech_5_5*TblTech[[#This Row],[5-5]]))*spec_dp_ore,0)</f>
        <v>15</v>
      </c>
      <c r="BJ85" s="97">
        <f ca="1">ROUNDUP((1-MIN(TblMili[[#This Row],[Smithies]]*smithy_bonus,smithy_bonus_cap) + tech_3_5*TblTech[[#This Row],[3-5]] + tech_5_3*TblTech[[#This Row],[5-3]] + tech_5_5*TblTech[[#This Row],[5-5]])*elite1_plat,0)</f>
        <v>1000</v>
      </c>
      <c r="BK85" s="97">
        <f ca="1">ROUNDUP(IF(race="Gnome",1,(1-MIN(TblMili[[#This Row],[Smithies]]*smithy_bonus,smithy_bonus_cap) + tech_3_5*TblTech[[#This Row],[3-5]] + tech_5_3*TblTech[[#This Row],[5-3]] + tech_5_5*TblTech[[#This Row],[5-5]]))*elite1_ore,0)</f>
        <v>75</v>
      </c>
      <c r="BL85" s="97">
        <f ca="1">ROUNDUP((1-MIN(TblMili[[#This Row],[Smithies]]*smithy_bonus,smithy_bonus_cap) + tech_3_5*TblTech[[#This Row],[3-5]] + tech_5_3*TblTech[[#This Row],[5-3]] + tech_5_5*TblTech[[#This Row],[5-5]])*elite2_plat,0)</f>
        <v>1200</v>
      </c>
      <c r="BM85" s="97">
        <f ca="1">ROUNDUP(IF(race="Gnome",1,(1-MIN(TblMili[[#This Row],[Smithies]]*smithy_bonus,smithy_bonus_cap) + tech_3_5*TblTech[[#This Row],[3-5]] + tech_5_3*TblTech[[#This Row],[5-3]] + tech_5_5*TblTech[[#This Row],[5-5]]))*elite2_ore,0)</f>
        <v>100</v>
      </c>
      <c r="BN85" s="97">
        <f ca="1">ROUNDUP((1-MIN(ROUND(fh_spy_cost_red*TblMili[[#This Row],[FH''s]],4),fh_spy_cost_cap)+ tech_1_9*TblTech[[#This Row],[1-9]] + tech_9_1*TblTech[[#This Row],[9-1]])*spy_plat,0)</f>
        <v>500</v>
      </c>
      <c r="BO85" s="97">
        <f ca="1">ROUNDUP((1-MIN(ROUND(wg_wiz_cost_bonus*TblMili[[#This Row],[WG''s]],4),wg_wiz_cost_cap) + tech_1_9_2*TblTech[[#This Row],[1-9]] + tech_9_1_2*TblTech[[#This Row],[9-1]])*wizard_plat,0)</f>
        <v>500</v>
      </c>
      <c r="BP85" s="97">
        <f ca="1">ROUNDUP((1-MIN(ROUND(wg_wiz_cost_bonus*TblMili[[#This Row],[WG''s]],4),wg_wiz_cost_cap) + tech_1_9_2*TblTech[[#This Row],[1-9]] + tech_9_1_2*TblTech[[#This Row],[9-1]])*archmage_plat,0)</f>
        <v>1000</v>
      </c>
      <c r="BQ85" s="150"/>
      <c r="BR85" s="165">
        <f ca="1">TblConstr[[#This Row],[Homeland]]/TblConstr[[#This Row],[Land]]</f>
        <v>0.44</v>
      </c>
      <c r="BS85" s="165">
        <f ca="1">TblMili[[#This Row],[WG''s]]</f>
        <v>0</v>
      </c>
      <c r="BT85" s="271">
        <f ca="1">IF(mystic_cap="none",TblMili[[#This Row],[Hill]]/mystic_bonus,MIN(mystic_cap,TblMili[[#This Row],[Hill]]/mystic_bonus))</f>
        <v>2.1999999999999997</v>
      </c>
      <c r="BU85" s="271">
        <f ca="1">IF(druid_op_cap="none",TblMili[[#This Row],[Hill]]/druid_op_bonus,MIN(druid_op_cap,TblMili[[#This Row],[Hill]]/druid_op_bonus))</f>
        <v>2.1999999999999997</v>
      </c>
      <c r="BV85" s="271">
        <f ca="1">IF(druid_dp_cap="none",TblMili[[#This Row],[Hill]]/druid_dp_bonus,MIN(druid_dp_cap,TblMili[[#This Row],[Hill]]/druid_dp_bonus))</f>
        <v>2.1999999999999997</v>
      </c>
      <c r="BW85" s="271">
        <f ca="1">MIN(dryad_cap,TblMili[[#This Row],[Hill]]/dryad_bonus)</f>
        <v>2.1999999999999997</v>
      </c>
      <c r="BX85" s="271">
        <f ca="1">MIN(rocka_cap,TblMili[[#This Row],[Hill]]/rocka_bonus)</f>
        <v>2</v>
      </c>
      <c r="BY85" s="271">
        <f ca="1">MIN(adept_op_cap,TblMili[[#This Row],[WG]]/adept_op_bonus)</f>
        <v>0</v>
      </c>
      <c r="BZ85" s="271">
        <f ca="1">MIN(adept_dp_cap,TblMili[[#This Row],[WG]]/adept_dp_bonus)</f>
        <v>0</v>
      </c>
      <c r="CA85" s="97">
        <f ca="1">MIN(TblMili[[#This Row],[Unit 3]],TblMili[[#This Row],[Unit 4]])*2</f>
        <v>0</v>
      </c>
      <c r="CB85" s="97">
        <f ca="1">MIN(TblMili[[#This Row],[Unit 1]],TblMili[[#This Row],[Unit 4]])*2</f>
        <v>0</v>
      </c>
      <c r="CC85" s="271">
        <f ca="1">MIN(frost_mage_cap,TblMili[[#This Row],[Hill]]/frost_mage_bonus)</f>
        <v>2.1999999999999997</v>
      </c>
      <c r="CD85" s="45">
        <f ca="1">MIN(ice_elem_cap,TblMili[[#This Row],[Raw (2)]]*ice_elem_bonus)</f>
        <v>0.1</v>
      </c>
      <c r="CE85" s="271">
        <f t="shared" si="3"/>
        <v>1</v>
      </c>
      <c r="CF85" s="271">
        <f ca="1">MIN(nox_nightshade_cap,TblConstr[[#This Row],[Homeland]]/TblConstr[[#This Row],[Land]]/nox_nightshade_swamp_bonus)</f>
        <v>3</v>
      </c>
      <c r="CG85" s="272"/>
      <c r="CH85" s="272"/>
      <c r="CI85" s="272"/>
      <c r="CJ85" s="271">
        <f ca="1">MIN(6,TblMili[[#This Row],[Mystic]]+Races!$F$19)*1.8 +  IF(TblMili[[#This Row],[Mystic]]+Races!$F$19&gt;6,(TblMili[[#This Row],[Mystic]]+Races!$F$19-6)*0.2,0) - Races!$I$19</f>
        <v>3.6399999999999997</v>
      </c>
      <c r="CK8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97">
        <f ca="1">TblMili[[#This Row],[Mystic bonus]]*TblMili[[#This Row],[Unit 3]]+TblMili[[#This Row],[Druid bonus]]*TblMili[[#This Row],[Unit 4]]</f>
        <v>0</v>
      </c>
      <c r="CM85" s="163">
        <f ca="1">MIN(6,TblMili[[#This Row],[Dryad]]+Races!$F$35)*1.8 +  IF(TblMili[[#This Row],[Dryad]]+Races!$F$35&gt;6,(TblMili[[#This Row],[Dryad]]+Races!$F$35-6)*0.2,0) - Races!$I$19</f>
        <v>2.1599999999999993</v>
      </c>
      <c r="CN85" s="97">
        <f ca="1">sylvan*(TblMili[[#This Row],[Mystic bonus]]*TblMili[[#This Row],[Unit 3]])</f>
        <v>0</v>
      </c>
      <c r="CO85" s="163">
        <f ca="1">1.8 * MIN(MAX(Races!$E$27,TblMili[[#This Row],[Rockapult]]+Races!$F$27),6)  +  0.45 * MIN(MIN(Races!$E$27,TblMili[[#This Row],[Rockapult]]+Races!$F$27),6)  +  0.2 * ( MAX(Races!$E$27-6,0) + MAX(TblMili[[#This Row],[Rockapult]]+Races!$F$27-6,0) )  -  Races!$I$20</f>
        <v>5.8500000000000005</v>
      </c>
      <c r="CP85" s="97">
        <f ca="1">gnome*(TblMili[[#This Row],[Rockapult bonus]]*TblMili[[#This Row],[Unit 3]])</f>
        <v>0</v>
      </c>
      <c r="CQ85" s="163">
        <f ca="1">1.8 * MIN(MAX(TblMili[[#This Row],[Spellblade]]+Races!$E$47,TblMili[[#This Row],[Adept-DP]]+Races!$F$47),6)  +  0.45 * MIN(MIN(TblMili[[#This Row],[Spellblade]]+Races!$E$47,TblMili[[#This Row],[Adept-DP]]+Races!$F$47),6)  +  0.2 * ( MAX(TblMili[[#This Row],[Spellblade]]+Races!$E$47-6,0) + MAX(TblMili[[#This Row],[Adept-DP]]+Races!$F$47-6,0) )  -  Races!$I$47</f>
        <v>0</v>
      </c>
      <c r="CR85" s="97">
        <f ca="1">dark_elf*(TblMili[[#This Row],[Adept bonus]]*TblMili[[#This Row],[Unit 3]])</f>
        <v>0</v>
      </c>
      <c r="CS85" s="163">
        <f ca="1">1.8 * MIN(MAX(TblMili[[#This Row],[Frost Mage]]+Races!$F$71,Races!$E$71),6)  +  0.45 * MIN(MIN(TblMili[[#This Row],[Frost Mage]]+Races!$F$71,Races!$E$71),6)  +  0.2 * ( MAX(TblMili[[#This Row],[Frost Mage]]+Races!$F$71-6,0) + MAX(Races!$E$71-6,0) )  -  Races!$I$71</f>
        <v>3.9599999999999991</v>
      </c>
      <c r="CT85" s="163">
        <f ca="1">1.8 * MIN(MAX(TblMili[[#This Row],[Ice Elemental]]+Races!$E$71,Races!$F$71),6)  +  0.45 * MIN(MIN(TblMili[[#This Row],[Ice Elemental]]+Races!$E$71,Races!$F$71),6)  +  0.2 * ( MAX(TblMili[[#This Row],[Ice Elemental]]+Races!$E$71-6,0) + MAX(Races!$F$71-6,0) )  -  Races!$I$71</f>
        <v>0.17999999999999972</v>
      </c>
      <c r="CU85" s="97">
        <f ca="1">TblMili[[#This Row],[Frost Mage bonus]]*TblMili[[#This Row],[Unit 3]]+TblMili[[#This Row],[Ice Elemental bonus]]*TblMili[[#This Row],[Unit 4]]</f>
        <v>0</v>
      </c>
      <c r="CV85" s="273"/>
      <c r="CW85" s="151">
        <f ca="1">MIN(SUM(TblConstr[[#This Row],[Plain]:[Water]])/TblMili[[#This Row],[Land]]/favorable_terrain_bonus/100,favorable_terrain_max)</f>
        <v>0.1</v>
      </c>
      <c r="CX85" s="273"/>
      <c r="CY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50"/>
      <c r="DA85" s="274">
        <f ca="1">(TblMili[[#This Row],[Wizards]]+2*TblMili[[#This Row],[Archmages]])/TblConstr[[#This Row],[Land]]</f>
        <v>0.1</v>
      </c>
      <c r="DB85" s="274">
        <f ca="1">TblMili[[#This Row],[Raw (2)]]*(1+race_wizard_strength+IF(TblMili[[#This Row],[Hour]]&gt;72,tech_magical_weaponry_wiz*TblTech[[#This Row],[3-5]],0))</f>
        <v>0.1</v>
      </c>
    </row>
    <row r="86" spans="1:106" x14ac:dyDescent="0.2">
      <c r="A86" s="145">
        <f>TblRezone[[#This Row],[Hour]]</f>
        <v>83</v>
      </c>
      <c r="B86" s="266">
        <f ca="1">SUM(TblMili[[#This Row],[Unit 1]:[Archmages]])+SUM(OFFSET(TblMili[[#This Row],[Train Unit 1]],-8,0):TblMili[[#This Row],[Train Unit 2]]) + SUM(OFFSET(TblMili[[#This Row],[Train Unit 3]],-11,0):TblMili[[#This Row],[Train Arch]]) + TblMili[[#This Row],[Draftees]]</f>
        <v>826</v>
      </c>
      <c r="C86" s="165">
        <f ca="1">TblPop[[#This Row],[Military%]]</f>
        <v>0.35029686174724345</v>
      </c>
      <c r="D86" s="150"/>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f>
        <v>25</v>
      </c>
      <c r="J86" s="45">
        <f ca="1">OFFSET(TblMili[[#This Row],[Wizards]],-1,0) + OFFSET(TblMili[[#This Row],[Train Wiz]],-12,0) - TblMili[[#This Row],[Release Wizards]]-TblMili[[#This Row],[Train Arch]]</f>
        <v>25</v>
      </c>
      <c r="K86" s="45">
        <f ca="1">OFFSET(TblMili[[#This Row],[Archmages]],-1,0) + OFFSET(TblMili[[#This Row],[Train Arch]],-12,0) - TblMili[[#This Row],[Release Arch]]</f>
        <v>0</v>
      </c>
      <c r="L86" s="150"/>
      <c r="M86" s="97">
        <f ca="1">TblProd[[#This Row],[Networth]]</f>
        <v>6450</v>
      </c>
      <c r="N86" s="150"/>
      <c r="O86" s="267">
        <f ca="1">TblMili[[#This Row],[Unit 1]]*spec_op+TblMili[[#This Row],[Unit 3]]*(elite1_base_op)+TblMili[[#This Row],[Unit 4]]*(elite2_base_op+dark_elf*TblMili[[#This Row],[Spellblade]]+icekin*TblMili[[#This Row],[Ice Elemental]]+woodie*TblMili[[#This Row],[Druid (op)]]+orc*TblMili[[#This Row],[Orc]])+kobold*TblMili[[#This Row],[Overlords]]</f>
        <v>0</v>
      </c>
      <c r="P8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6" s="267">
        <f ca="1">TblMili[[#This Row],[Raw]]*(1+TblMili[[#This Row],[Mods_Off]])</f>
        <v>0</v>
      </c>
      <c r="R8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6" s="267">
        <f ca="1">TblMili[[#This Row],[Non Draft]]+TblMili[[#This Row],[Draftees]]</f>
        <v>1076</v>
      </c>
      <c r="T8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269">
        <f ca="1">TblMili[[#This Row],[Non Draft]] * (1 + TblMili[[#This Row],[Mods_Def]])</f>
        <v>450</v>
      </c>
      <c r="V86" s="267">
        <f ca="1">TblMili[[#This Row],[Draft]] * (1 + TblMili[[#This Row],[Mods_Def]])</f>
        <v>1076</v>
      </c>
      <c r="W86" s="267">
        <f ca="1">TblConstr[[#This Row],[Land]]</f>
        <v>250</v>
      </c>
      <c r="X86" s="270"/>
      <c r="Y86" s="275">
        <f ca="1">IF(TblMili[[#This Row],[Set]]&lt;&gt;"",TblMili[[#This Row],[Set]],OFFSET(TblMili[[#This Row],[Draftrate]],-1,0))</f>
        <v>0.35</v>
      </c>
      <c r="Z86" s="97">
        <f ca="1">OFFSET(TblMili[[#This Row],[Draftees]],-1,0)+OFFSET(TblPop[[#This Row],[Draft Growth]],-1,0) - SUM(TblMili[[#This Row],[Train Unit 1]:[Train Wiz]]) - TblMili[[#This Row],[Release Draft]] + SUM(TblMili[[#This Row],[Release Unit 1]:[Release Arch]]) -TblExplore[[#This Row],[Draftees (2)]]</f>
        <v>626</v>
      </c>
      <c r="AA86" s="162"/>
      <c r="AB86" s="188">
        <f ca="1">(TblConstr[[#This Row],[Tot Smi]]+TblConstr[[#This Row],[Dest Smi]])/(TblConstr[[#This Row],[Land]]-TblExplore[[#This Row],[Land Bonus]]*20)</f>
        <v>0</v>
      </c>
      <c r="AC86" s="145"/>
      <c r="AD86" s="266">
        <f>TblMili[[#This Row],[Hour]]</f>
        <v>83</v>
      </c>
      <c r="AE86" s="146">
        <f ca="1">TblExplore[[#This Row],[Time]]</f>
        <v>44814.166666666468</v>
      </c>
      <c r="AF86" s="187"/>
      <c r="AG86" s="187"/>
      <c r="AH86" s="187"/>
      <c r="AI86" s="187"/>
      <c r="AJ86" s="187"/>
      <c r="AK86" s="187"/>
      <c r="AL86" s="187"/>
      <c r="AM86" s="150"/>
      <c r="AN86" s="97">
        <f ca="1">TblProd[[#This Row],[Platinum]]</f>
        <v>550730</v>
      </c>
      <c r="AO86" s="97">
        <f ca="1">INDEX(TblProd[[#Headers],[Lumber]]:TblProd[[#This Row],[Ore]],COUNTA(TblProd[[#Headers],[Lumber]]:TblProd[[#This Row],[Lumber]]),MATCH(Military!$AO$2,TblProd[[#Headers],[Lumber]:[Ore]],0))</f>
        <v>0</v>
      </c>
      <c r="AP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97">
        <f ca="1">TblMili[[#This Row],[Train Unit 1]]*TblMili[[#This Row],[OP Ore]]+TblMili[[#This Row],[Train Unit 2]]*TblMili[[#This Row],[DP Ore]]+TblMili[[#This Row],[Train Unit 3]]*TblMili[[#This Row],[E1 Ore]]+TblMili[[#This Row],[Train Unit 4]]*TblMili[[#This Row],[E2 Ore]]</f>
        <v>0</v>
      </c>
      <c r="AR86" s="150">
        <f>TblMili[[#This Row],[Hour]]</f>
        <v>83</v>
      </c>
      <c r="AS86" s="160">
        <f ca="1">TblMili[[#This Row],[Time]]</f>
        <v>44814.166666666468</v>
      </c>
      <c r="AT86" s="97">
        <f ca="1">TblMili[[#This Row],[Draftees]]</f>
        <v>626</v>
      </c>
      <c r="AU86" s="166"/>
      <c r="AV86" s="187"/>
      <c r="AW86" s="187"/>
      <c r="AX86" s="187"/>
      <c r="AY86" s="187"/>
      <c r="AZ86" s="187"/>
      <c r="BA86" s="187"/>
      <c r="BB86" s="187"/>
      <c r="BC86" s="150"/>
      <c r="BD86" s="165">
        <f ca="1">TblConstr[[#This Row],[Tot WG]]/TblConstr[[#This Row],[Land]]</f>
        <v>0</v>
      </c>
      <c r="BE86" s="165">
        <f ca="1">TblConstr[[#This Row],[Tot Hav]]/TblConstr[[#This Row],[Land]]</f>
        <v>0</v>
      </c>
      <c r="BF86" s="97">
        <f ca="1">ROUNDUP((1-MIN(TblMili[[#This Row],[Smithies]]*smithy_bonus,smithy_bonus_cap) + tech_3_5*TblTech[[#This Row],[3-5]] + tech_5_3*TblTech[[#This Row],[5-3]] + tech_5_5*TblTech[[#This Row],[5-5]])*spec_op_plat,0)</f>
        <v>275</v>
      </c>
      <c r="BG86" s="97">
        <f ca="1">ROUNDUP(IF(race="Gnome",1,(1-MIN(TblMili[[#This Row],[Smithies]]*smithy_bonus,smithy_bonus_cap) + tech_3_5*TblTech[[#This Row],[3-5]] + tech_5_3*TblTech[[#This Row],[5-3]] + tech_5_5*TblTech[[#This Row],[5-5]]))*spec_op_ore,0)</f>
        <v>25</v>
      </c>
      <c r="BH86" s="97">
        <f ca="1">ROUNDUP((1-MIN(TblMili[[#This Row],[Smithies]]*smithy_bonus,smithy_bonus_cap) + tech_3_5*TblTech[[#This Row],[3-5]] + tech_5_3*TblTech[[#This Row],[5-3]] + tech_5_5*TblTech[[#This Row],[5-5]])*spec_dp_plat,0)</f>
        <v>275</v>
      </c>
      <c r="BI86" s="97">
        <f ca="1">ROUNDUP(IF(race="Gnome",1,(1-MIN(TblMili[[#This Row],[Smithies]]*smithy_bonus,smithy_bonus_cap) + tech_3_5*TblTech[[#This Row],[3-5]] + tech_5_3*TblTech[[#This Row],[5-3]] + tech_5_5*TblTech[[#This Row],[5-5]]))*spec_dp_ore,0)</f>
        <v>15</v>
      </c>
      <c r="BJ86" s="97">
        <f ca="1">ROUNDUP((1-MIN(TblMili[[#This Row],[Smithies]]*smithy_bonus,smithy_bonus_cap) + tech_3_5*TblTech[[#This Row],[3-5]] + tech_5_3*TblTech[[#This Row],[5-3]] + tech_5_5*TblTech[[#This Row],[5-5]])*elite1_plat,0)</f>
        <v>1000</v>
      </c>
      <c r="BK86" s="97">
        <f ca="1">ROUNDUP(IF(race="Gnome",1,(1-MIN(TblMili[[#This Row],[Smithies]]*smithy_bonus,smithy_bonus_cap) + tech_3_5*TblTech[[#This Row],[3-5]] + tech_5_3*TblTech[[#This Row],[5-3]] + tech_5_5*TblTech[[#This Row],[5-5]]))*elite1_ore,0)</f>
        <v>75</v>
      </c>
      <c r="BL86" s="97">
        <f ca="1">ROUNDUP((1-MIN(TblMili[[#This Row],[Smithies]]*smithy_bonus,smithy_bonus_cap) + tech_3_5*TblTech[[#This Row],[3-5]] + tech_5_3*TblTech[[#This Row],[5-3]] + tech_5_5*TblTech[[#This Row],[5-5]])*elite2_plat,0)</f>
        <v>1200</v>
      </c>
      <c r="BM86" s="97">
        <f ca="1">ROUNDUP(IF(race="Gnome",1,(1-MIN(TblMili[[#This Row],[Smithies]]*smithy_bonus,smithy_bonus_cap) + tech_3_5*TblTech[[#This Row],[3-5]] + tech_5_3*TblTech[[#This Row],[5-3]] + tech_5_5*TblTech[[#This Row],[5-5]]))*elite2_ore,0)</f>
        <v>100</v>
      </c>
      <c r="BN86" s="97">
        <f ca="1">ROUNDUP((1-MIN(ROUND(fh_spy_cost_red*TblMili[[#This Row],[FH''s]],4),fh_spy_cost_cap)+ tech_1_9*TblTech[[#This Row],[1-9]] + tech_9_1*TblTech[[#This Row],[9-1]])*spy_plat,0)</f>
        <v>500</v>
      </c>
      <c r="BO86" s="97">
        <f ca="1">ROUNDUP((1-MIN(ROUND(wg_wiz_cost_bonus*TblMili[[#This Row],[WG''s]],4),wg_wiz_cost_cap) + tech_1_9_2*TblTech[[#This Row],[1-9]] + tech_9_1_2*TblTech[[#This Row],[9-1]])*wizard_plat,0)</f>
        <v>500</v>
      </c>
      <c r="BP86" s="97">
        <f ca="1">ROUNDUP((1-MIN(ROUND(wg_wiz_cost_bonus*TblMili[[#This Row],[WG''s]],4),wg_wiz_cost_cap) + tech_1_9_2*TblTech[[#This Row],[1-9]] + tech_9_1_2*TblTech[[#This Row],[9-1]])*archmage_plat,0)</f>
        <v>1000</v>
      </c>
      <c r="BQ86" s="150"/>
      <c r="BR86" s="165">
        <f ca="1">TblConstr[[#This Row],[Homeland]]/TblConstr[[#This Row],[Land]]</f>
        <v>0.44</v>
      </c>
      <c r="BS86" s="165">
        <f ca="1">TblMili[[#This Row],[WG''s]]</f>
        <v>0</v>
      </c>
      <c r="BT86" s="271">
        <f ca="1">IF(mystic_cap="none",TblMili[[#This Row],[Hill]]/mystic_bonus,MIN(mystic_cap,TblMili[[#This Row],[Hill]]/mystic_bonus))</f>
        <v>2.1999999999999997</v>
      </c>
      <c r="BU86" s="271">
        <f ca="1">IF(druid_op_cap="none",TblMili[[#This Row],[Hill]]/druid_op_bonus,MIN(druid_op_cap,TblMili[[#This Row],[Hill]]/druid_op_bonus))</f>
        <v>2.1999999999999997</v>
      </c>
      <c r="BV86" s="271">
        <f ca="1">IF(druid_dp_cap="none",TblMili[[#This Row],[Hill]]/druid_dp_bonus,MIN(druid_dp_cap,TblMili[[#This Row],[Hill]]/druid_dp_bonus))</f>
        <v>2.1999999999999997</v>
      </c>
      <c r="BW86" s="271">
        <f ca="1">MIN(dryad_cap,TblMili[[#This Row],[Hill]]/dryad_bonus)</f>
        <v>2.1999999999999997</v>
      </c>
      <c r="BX86" s="271">
        <f ca="1">MIN(rocka_cap,TblMili[[#This Row],[Hill]]/rocka_bonus)</f>
        <v>2</v>
      </c>
      <c r="BY86" s="271">
        <f ca="1">MIN(adept_op_cap,TblMili[[#This Row],[WG]]/adept_op_bonus)</f>
        <v>0</v>
      </c>
      <c r="BZ86" s="271">
        <f ca="1">MIN(adept_dp_cap,TblMili[[#This Row],[WG]]/adept_dp_bonus)</f>
        <v>0</v>
      </c>
      <c r="CA86" s="97">
        <f ca="1">MIN(TblMili[[#This Row],[Unit 3]],TblMili[[#This Row],[Unit 4]])*2</f>
        <v>0</v>
      </c>
      <c r="CB86" s="97">
        <f ca="1">MIN(TblMili[[#This Row],[Unit 1]],TblMili[[#This Row],[Unit 4]])*2</f>
        <v>0</v>
      </c>
      <c r="CC86" s="271">
        <f ca="1">MIN(frost_mage_cap,TblMili[[#This Row],[Hill]]/frost_mage_bonus)</f>
        <v>2.1999999999999997</v>
      </c>
      <c r="CD86" s="45">
        <f ca="1">MIN(ice_elem_cap,TblMili[[#This Row],[Raw (2)]]*ice_elem_bonus)</f>
        <v>0.1</v>
      </c>
      <c r="CE86" s="271">
        <f t="shared" si="3"/>
        <v>1</v>
      </c>
      <c r="CF86" s="271">
        <f ca="1">MIN(nox_nightshade_cap,TblConstr[[#This Row],[Homeland]]/TblConstr[[#This Row],[Land]]/nox_nightshade_swamp_bonus)</f>
        <v>3</v>
      </c>
      <c r="CG86" s="272"/>
      <c r="CH86" s="272"/>
      <c r="CI86" s="272"/>
      <c r="CJ86" s="271">
        <f ca="1">MIN(6,TblMili[[#This Row],[Mystic]]+Races!$F$19)*1.8 +  IF(TblMili[[#This Row],[Mystic]]+Races!$F$19&gt;6,(TblMili[[#This Row],[Mystic]]+Races!$F$19-6)*0.2,0) - Races!$I$19</f>
        <v>3.6399999999999997</v>
      </c>
      <c r="CK8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97">
        <f ca="1">TblMili[[#This Row],[Mystic bonus]]*TblMili[[#This Row],[Unit 3]]+TblMili[[#This Row],[Druid bonus]]*TblMili[[#This Row],[Unit 4]]</f>
        <v>0</v>
      </c>
      <c r="CM86" s="163">
        <f ca="1">MIN(6,TblMili[[#This Row],[Dryad]]+Races!$F$35)*1.8 +  IF(TblMili[[#This Row],[Dryad]]+Races!$F$35&gt;6,(TblMili[[#This Row],[Dryad]]+Races!$F$35-6)*0.2,0) - Races!$I$19</f>
        <v>2.1599999999999993</v>
      </c>
      <c r="CN86" s="97">
        <f ca="1">sylvan*(TblMili[[#This Row],[Mystic bonus]]*TblMili[[#This Row],[Unit 3]])</f>
        <v>0</v>
      </c>
      <c r="CO86" s="163">
        <f ca="1">1.8 * MIN(MAX(Races!$E$27,TblMili[[#This Row],[Rockapult]]+Races!$F$27),6)  +  0.45 * MIN(MIN(Races!$E$27,TblMili[[#This Row],[Rockapult]]+Races!$F$27),6)  +  0.2 * ( MAX(Races!$E$27-6,0) + MAX(TblMili[[#This Row],[Rockapult]]+Races!$F$27-6,0) )  -  Races!$I$20</f>
        <v>5.8500000000000005</v>
      </c>
      <c r="CP86" s="97">
        <f ca="1">gnome*(TblMili[[#This Row],[Rockapult bonus]]*TblMili[[#This Row],[Unit 3]])</f>
        <v>0</v>
      </c>
      <c r="CQ86" s="163">
        <f ca="1">1.8 * MIN(MAX(TblMili[[#This Row],[Spellblade]]+Races!$E$47,TblMili[[#This Row],[Adept-DP]]+Races!$F$47),6)  +  0.45 * MIN(MIN(TblMili[[#This Row],[Spellblade]]+Races!$E$47,TblMili[[#This Row],[Adept-DP]]+Races!$F$47),6)  +  0.2 * ( MAX(TblMili[[#This Row],[Spellblade]]+Races!$E$47-6,0) + MAX(TblMili[[#This Row],[Adept-DP]]+Races!$F$47-6,0) )  -  Races!$I$47</f>
        <v>0</v>
      </c>
      <c r="CR86" s="97">
        <f ca="1">dark_elf*(TblMili[[#This Row],[Adept bonus]]*TblMili[[#This Row],[Unit 3]])</f>
        <v>0</v>
      </c>
      <c r="CS86" s="163">
        <f ca="1">1.8 * MIN(MAX(TblMili[[#This Row],[Frost Mage]]+Races!$F$71,Races!$E$71),6)  +  0.45 * MIN(MIN(TblMili[[#This Row],[Frost Mage]]+Races!$F$71,Races!$E$71),6)  +  0.2 * ( MAX(TblMili[[#This Row],[Frost Mage]]+Races!$F$71-6,0) + MAX(Races!$E$71-6,0) )  -  Races!$I$71</f>
        <v>3.9599999999999991</v>
      </c>
      <c r="CT86" s="163">
        <f ca="1">1.8 * MIN(MAX(TblMili[[#This Row],[Ice Elemental]]+Races!$E$71,Races!$F$71),6)  +  0.45 * MIN(MIN(TblMili[[#This Row],[Ice Elemental]]+Races!$E$71,Races!$F$71),6)  +  0.2 * ( MAX(TblMili[[#This Row],[Ice Elemental]]+Races!$E$71-6,0) + MAX(Races!$F$71-6,0) )  -  Races!$I$71</f>
        <v>0.17999999999999972</v>
      </c>
      <c r="CU86" s="97">
        <f ca="1">TblMili[[#This Row],[Frost Mage bonus]]*TblMili[[#This Row],[Unit 3]]+TblMili[[#This Row],[Ice Elemental bonus]]*TblMili[[#This Row],[Unit 4]]</f>
        <v>0</v>
      </c>
      <c r="CV86" s="273"/>
      <c r="CW86" s="151">
        <f ca="1">MIN(SUM(TblConstr[[#This Row],[Plain]:[Water]])/TblMili[[#This Row],[Land]]/favorable_terrain_bonus/100,favorable_terrain_max)</f>
        <v>0.1</v>
      </c>
      <c r="CX86" s="273"/>
      <c r="CY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50"/>
      <c r="DA86" s="274">
        <f ca="1">(TblMili[[#This Row],[Wizards]]+2*TblMili[[#This Row],[Archmages]])/TblConstr[[#This Row],[Land]]</f>
        <v>0.1</v>
      </c>
      <c r="DB86" s="274">
        <f ca="1">TblMili[[#This Row],[Raw (2)]]*(1+race_wizard_strength+IF(TblMili[[#This Row],[Hour]]&gt;72,tech_magical_weaponry_wiz*TblTech[[#This Row],[3-5]],0))</f>
        <v>0.1</v>
      </c>
    </row>
    <row r="87" spans="1:106" x14ac:dyDescent="0.2">
      <c r="A87" s="145">
        <f>TblRezone[[#This Row],[Hour]]</f>
        <v>84</v>
      </c>
      <c r="B87" s="266">
        <f ca="1">SUM(TblMili[[#This Row],[Unit 1]:[Archmages]])+SUM(OFFSET(TblMili[[#This Row],[Train Unit 1]],-8,0):TblMili[[#This Row],[Train Unit 2]]) + SUM(OFFSET(TblMili[[#This Row],[Train Unit 3]],-11,0):TblMili[[#This Row],[Train Arch]]) + TblMili[[#This Row],[Draftees]]</f>
        <v>826</v>
      </c>
      <c r="C87" s="165">
        <f ca="1">TblPop[[#This Row],[Military%]]</f>
        <v>0.35029686174724345</v>
      </c>
      <c r="D87" s="150"/>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f>
        <v>25</v>
      </c>
      <c r="J87" s="45">
        <f ca="1">OFFSET(TblMili[[#This Row],[Wizards]],-1,0) + OFFSET(TblMili[[#This Row],[Train Wiz]],-12,0) - TblMili[[#This Row],[Release Wizards]]-TblMili[[#This Row],[Train Arch]]</f>
        <v>25</v>
      </c>
      <c r="K87" s="45">
        <f ca="1">OFFSET(TblMili[[#This Row],[Archmages]],-1,0) + OFFSET(TblMili[[#This Row],[Train Arch]],-12,0) - TblMili[[#This Row],[Release Arch]]</f>
        <v>0</v>
      </c>
      <c r="L87" s="150"/>
      <c r="M87" s="97">
        <f ca="1">TblProd[[#This Row],[Networth]]</f>
        <v>6450</v>
      </c>
      <c r="N87" s="150"/>
      <c r="O87" s="267">
        <f ca="1">TblMili[[#This Row],[Unit 1]]*spec_op+TblMili[[#This Row],[Unit 3]]*(elite1_base_op)+TblMili[[#This Row],[Unit 4]]*(elite2_base_op+dark_elf*TblMili[[#This Row],[Spellblade]]+icekin*TblMili[[#This Row],[Ice Elemental]]+woodie*TblMili[[#This Row],[Druid (op)]]+orc*TblMili[[#This Row],[Orc]])+kobold*TblMili[[#This Row],[Overlords]]</f>
        <v>0</v>
      </c>
      <c r="P8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7" s="267">
        <f ca="1">TblMili[[#This Row],[Raw]]*(1+TblMili[[#This Row],[Mods_Off]])</f>
        <v>0</v>
      </c>
      <c r="R8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7" s="267">
        <f ca="1">TblMili[[#This Row],[Non Draft]]+TblMili[[#This Row],[Draftees]]</f>
        <v>1076</v>
      </c>
      <c r="T8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269">
        <f ca="1">TblMili[[#This Row],[Non Draft]] * (1 + TblMili[[#This Row],[Mods_Def]])</f>
        <v>450</v>
      </c>
      <c r="V87" s="267">
        <f ca="1">TblMili[[#This Row],[Draft]] * (1 + TblMili[[#This Row],[Mods_Def]])</f>
        <v>1076</v>
      </c>
      <c r="W87" s="267">
        <f ca="1">TblConstr[[#This Row],[Land]]</f>
        <v>250</v>
      </c>
      <c r="X87" s="270"/>
      <c r="Y87" s="275">
        <f ca="1">IF(TblMili[[#This Row],[Set]]&lt;&gt;"",TblMili[[#This Row],[Set]],OFFSET(TblMili[[#This Row],[Draftrate]],-1,0))</f>
        <v>0.35</v>
      </c>
      <c r="Z87" s="97">
        <f ca="1">OFFSET(TblMili[[#This Row],[Draftees]],-1,0)+OFFSET(TblPop[[#This Row],[Draft Growth]],-1,0) - SUM(TblMili[[#This Row],[Train Unit 1]:[Train Wiz]]) - TblMili[[#This Row],[Release Draft]] + SUM(TblMili[[#This Row],[Release Unit 1]:[Release Arch]]) -TblExplore[[#This Row],[Draftees (2)]]</f>
        <v>626</v>
      </c>
      <c r="AA87" s="162"/>
      <c r="AB87" s="188">
        <f ca="1">(TblConstr[[#This Row],[Tot Smi]]+TblConstr[[#This Row],[Dest Smi]])/(TblConstr[[#This Row],[Land]]-TblExplore[[#This Row],[Land Bonus]]*20)</f>
        <v>0</v>
      </c>
      <c r="AC87" s="145"/>
      <c r="AD87" s="266">
        <f>TblMili[[#This Row],[Hour]]</f>
        <v>84</v>
      </c>
      <c r="AE87" s="146">
        <f ca="1">TblExplore[[#This Row],[Time]]</f>
        <v>44814.208333333132</v>
      </c>
      <c r="AF87" s="187"/>
      <c r="AG87" s="187"/>
      <c r="AH87" s="187"/>
      <c r="AI87" s="187"/>
      <c r="AJ87" s="187"/>
      <c r="AK87" s="187"/>
      <c r="AL87" s="187"/>
      <c r="AM87" s="150"/>
      <c r="AN87" s="97">
        <f ca="1">TblProd[[#This Row],[Platinum]]</f>
        <v>556216</v>
      </c>
      <c r="AO87" s="97">
        <f ca="1">INDEX(TblProd[[#Headers],[Lumber]]:TblProd[[#This Row],[Ore]],COUNTA(TblProd[[#Headers],[Lumber]]:TblProd[[#This Row],[Lumber]]),MATCH(Military!$AO$2,TblProd[[#Headers],[Lumber]:[Ore]],0))</f>
        <v>0</v>
      </c>
      <c r="AP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97">
        <f ca="1">TblMili[[#This Row],[Train Unit 1]]*TblMili[[#This Row],[OP Ore]]+TblMili[[#This Row],[Train Unit 2]]*TblMili[[#This Row],[DP Ore]]+TblMili[[#This Row],[Train Unit 3]]*TblMili[[#This Row],[E1 Ore]]+TblMili[[#This Row],[Train Unit 4]]*TblMili[[#This Row],[E2 Ore]]</f>
        <v>0</v>
      </c>
      <c r="AR87" s="150">
        <f>TblMili[[#This Row],[Hour]]</f>
        <v>84</v>
      </c>
      <c r="AS87" s="160">
        <f ca="1">TblMili[[#This Row],[Time]]</f>
        <v>44814.208333333132</v>
      </c>
      <c r="AT87" s="97">
        <f ca="1">TblMili[[#This Row],[Draftees]]</f>
        <v>626</v>
      </c>
      <c r="AU87" s="166"/>
      <c r="AV87" s="187"/>
      <c r="AW87" s="187"/>
      <c r="AX87" s="187"/>
      <c r="AY87" s="187"/>
      <c r="AZ87" s="187"/>
      <c r="BA87" s="187"/>
      <c r="BB87" s="187"/>
      <c r="BC87" s="150"/>
      <c r="BD87" s="165">
        <f ca="1">TblConstr[[#This Row],[Tot WG]]/TblConstr[[#This Row],[Land]]</f>
        <v>0</v>
      </c>
      <c r="BE87" s="165">
        <f ca="1">TblConstr[[#This Row],[Tot Hav]]/TblConstr[[#This Row],[Land]]</f>
        <v>0</v>
      </c>
      <c r="BF87" s="97">
        <f ca="1">ROUNDUP((1-MIN(TblMili[[#This Row],[Smithies]]*smithy_bonus,smithy_bonus_cap) + tech_3_5*TblTech[[#This Row],[3-5]] + tech_5_3*TblTech[[#This Row],[5-3]] + tech_5_5*TblTech[[#This Row],[5-5]])*spec_op_plat,0)</f>
        <v>275</v>
      </c>
      <c r="BG87" s="97">
        <f ca="1">ROUNDUP(IF(race="Gnome",1,(1-MIN(TblMili[[#This Row],[Smithies]]*smithy_bonus,smithy_bonus_cap) + tech_3_5*TblTech[[#This Row],[3-5]] + tech_5_3*TblTech[[#This Row],[5-3]] + tech_5_5*TblTech[[#This Row],[5-5]]))*spec_op_ore,0)</f>
        <v>25</v>
      </c>
      <c r="BH87" s="97">
        <f ca="1">ROUNDUP((1-MIN(TblMili[[#This Row],[Smithies]]*smithy_bonus,smithy_bonus_cap) + tech_3_5*TblTech[[#This Row],[3-5]] + tech_5_3*TblTech[[#This Row],[5-3]] + tech_5_5*TblTech[[#This Row],[5-5]])*spec_dp_plat,0)</f>
        <v>275</v>
      </c>
      <c r="BI87" s="97">
        <f ca="1">ROUNDUP(IF(race="Gnome",1,(1-MIN(TblMili[[#This Row],[Smithies]]*smithy_bonus,smithy_bonus_cap) + tech_3_5*TblTech[[#This Row],[3-5]] + tech_5_3*TblTech[[#This Row],[5-3]] + tech_5_5*TblTech[[#This Row],[5-5]]))*spec_dp_ore,0)</f>
        <v>15</v>
      </c>
      <c r="BJ87" s="97">
        <f ca="1">ROUNDUP((1-MIN(TblMili[[#This Row],[Smithies]]*smithy_bonus,smithy_bonus_cap) + tech_3_5*TblTech[[#This Row],[3-5]] + tech_5_3*TblTech[[#This Row],[5-3]] + tech_5_5*TblTech[[#This Row],[5-5]])*elite1_plat,0)</f>
        <v>1000</v>
      </c>
      <c r="BK87" s="97">
        <f ca="1">ROUNDUP(IF(race="Gnome",1,(1-MIN(TblMili[[#This Row],[Smithies]]*smithy_bonus,smithy_bonus_cap) + tech_3_5*TblTech[[#This Row],[3-5]] + tech_5_3*TblTech[[#This Row],[5-3]] + tech_5_5*TblTech[[#This Row],[5-5]]))*elite1_ore,0)</f>
        <v>75</v>
      </c>
      <c r="BL87" s="97">
        <f ca="1">ROUNDUP((1-MIN(TblMili[[#This Row],[Smithies]]*smithy_bonus,smithy_bonus_cap) + tech_3_5*TblTech[[#This Row],[3-5]] + tech_5_3*TblTech[[#This Row],[5-3]] + tech_5_5*TblTech[[#This Row],[5-5]])*elite2_plat,0)</f>
        <v>1200</v>
      </c>
      <c r="BM87" s="97">
        <f ca="1">ROUNDUP(IF(race="Gnome",1,(1-MIN(TblMili[[#This Row],[Smithies]]*smithy_bonus,smithy_bonus_cap) + tech_3_5*TblTech[[#This Row],[3-5]] + tech_5_3*TblTech[[#This Row],[5-3]] + tech_5_5*TblTech[[#This Row],[5-5]]))*elite2_ore,0)</f>
        <v>100</v>
      </c>
      <c r="BN87" s="97">
        <f ca="1">ROUNDUP((1-MIN(ROUND(fh_spy_cost_red*TblMili[[#This Row],[FH''s]],4),fh_spy_cost_cap)+ tech_1_9*TblTech[[#This Row],[1-9]] + tech_9_1*TblTech[[#This Row],[9-1]])*spy_plat,0)</f>
        <v>500</v>
      </c>
      <c r="BO87" s="97">
        <f ca="1">ROUNDUP((1-MIN(ROUND(wg_wiz_cost_bonus*TblMili[[#This Row],[WG''s]],4),wg_wiz_cost_cap) + tech_1_9_2*TblTech[[#This Row],[1-9]] + tech_9_1_2*TblTech[[#This Row],[9-1]])*wizard_plat,0)</f>
        <v>500</v>
      </c>
      <c r="BP87" s="97">
        <f ca="1">ROUNDUP((1-MIN(ROUND(wg_wiz_cost_bonus*TblMili[[#This Row],[WG''s]],4),wg_wiz_cost_cap) + tech_1_9_2*TblTech[[#This Row],[1-9]] + tech_9_1_2*TblTech[[#This Row],[9-1]])*archmage_plat,0)</f>
        <v>1000</v>
      </c>
      <c r="BQ87" s="150"/>
      <c r="BR87" s="165">
        <f ca="1">TblConstr[[#This Row],[Homeland]]/TblConstr[[#This Row],[Land]]</f>
        <v>0.44</v>
      </c>
      <c r="BS87" s="165">
        <f ca="1">TblMili[[#This Row],[WG''s]]</f>
        <v>0</v>
      </c>
      <c r="BT87" s="271">
        <f ca="1">IF(mystic_cap="none",TblMili[[#This Row],[Hill]]/mystic_bonus,MIN(mystic_cap,TblMili[[#This Row],[Hill]]/mystic_bonus))</f>
        <v>2.1999999999999997</v>
      </c>
      <c r="BU87" s="271">
        <f ca="1">IF(druid_op_cap="none",TblMili[[#This Row],[Hill]]/druid_op_bonus,MIN(druid_op_cap,TblMili[[#This Row],[Hill]]/druid_op_bonus))</f>
        <v>2.1999999999999997</v>
      </c>
      <c r="BV87" s="271">
        <f ca="1">IF(druid_dp_cap="none",TblMili[[#This Row],[Hill]]/druid_dp_bonus,MIN(druid_dp_cap,TblMili[[#This Row],[Hill]]/druid_dp_bonus))</f>
        <v>2.1999999999999997</v>
      </c>
      <c r="BW87" s="271">
        <f ca="1">MIN(dryad_cap,TblMili[[#This Row],[Hill]]/dryad_bonus)</f>
        <v>2.1999999999999997</v>
      </c>
      <c r="BX87" s="271">
        <f ca="1">MIN(rocka_cap,TblMili[[#This Row],[Hill]]/rocka_bonus)</f>
        <v>2</v>
      </c>
      <c r="BY87" s="271">
        <f ca="1">MIN(adept_op_cap,TblMili[[#This Row],[WG]]/adept_op_bonus)</f>
        <v>0</v>
      </c>
      <c r="BZ87" s="271">
        <f ca="1">MIN(adept_dp_cap,TblMili[[#This Row],[WG]]/adept_dp_bonus)</f>
        <v>0</v>
      </c>
      <c r="CA87" s="97">
        <f ca="1">MIN(TblMili[[#This Row],[Unit 3]],TblMili[[#This Row],[Unit 4]])*2</f>
        <v>0</v>
      </c>
      <c r="CB87" s="97">
        <f ca="1">MIN(TblMili[[#This Row],[Unit 1]],TblMili[[#This Row],[Unit 4]])*2</f>
        <v>0</v>
      </c>
      <c r="CC87" s="271">
        <f ca="1">MIN(frost_mage_cap,TblMili[[#This Row],[Hill]]/frost_mage_bonus)</f>
        <v>2.1999999999999997</v>
      </c>
      <c r="CD87" s="45">
        <f ca="1">MIN(ice_elem_cap,TblMili[[#This Row],[Raw (2)]]*ice_elem_bonus)</f>
        <v>0.1</v>
      </c>
      <c r="CE87" s="271">
        <f t="shared" si="3"/>
        <v>1</v>
      </c>
      <c r="CF87" s="271">
        <f ca="1">MIN(nox_nightshade_cap,TblConstr[[#This Row],[Homeland]]/TblConstr[[#This Row],[Land]]/nox_nightshade_swamp_bonus)</f>
        <v>3</v>
      </c>
      <c r="CG87" s="272"/>
      <c r="CH87" s="272"/>
      <c r="CI87" s="272"/>
      <c r="CJ87" s="271">
        <f ca="1">MIN(6,TblMili[[#This Row],[Mystic]]+Races!$F$19)*1.8 +  IF(TblMili[[#This Row],[Mystic]]+Races!$F$19&gt;6,(TblMili[[#This Row],[Mystic]]+Races!$F$19-6)*0.2,0) - Races!$I$19</f>
        <v>3.6399999999999997</v>
      </c>
      <c r="CK8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97">
        <f ca="1">TblMili[[#This Row],[Mystic bonus]]*TblMili[[#This Row],[Unit 3]]+TblMili[[#This Row],[Druid bonus]]*TblMili[[#This Row],[Unit 4]]</f>
        <v>0</v>
      </c>
      <c r="CM87" s="163">
        <f ca="1">MIN(6,TblMili[[#This Row],[Dryad]]+Races!$F$35)*1.8 +  IF(TblMili[[#This Row],[Dryad]]+Races!$F$35&gt;6,(TblMili[[#This Row],[Dryad]]+Races!$F$35-6)*0.2,0) - Races!$I$19</f>
        <v>2.1599999999999993</v>
      </c>
      <c r="CN87" s="97">
        <f ca="1">sylvan*(TblMili[[#This Row],[Mystic bonus]]*TblMili[[#This Row],[Unit 3]])</f>
        <v>0</v>
      </c>
      <c r="CO87" s="163">
        <f ca="1">1.8 * MIN(MAX(Races!$E$27,TblMili[[#This Row],[Rockapult]]+Races!$F$27),6)  +  0.45 * MIN(MIN(Races!$E$27,TblMili[[#This Row],[Rockapult]]+Races!$F$27),6)  +  0.2 * ( MAX(Races!$E$27-6,0) + MAX(TblMili[[#This Row],[Rockapult]]+Races!$F$27-6,0) )  -  Races!$I$20</f>
        <v>5.8500000000000005</v>
      </c>
      <c r="CP87" s="97">
        <f ca="1">gnome*(TblMili[[#This Row],[Rockapult bonus]]*TblMili[[#This Row],[Unit 3]])</f>
        <v>0</v>
      </c>
      <c r="CQ87" s="163">
        <f ca="1">1.8 * MIN(MAX(TblMili[[#This Row],[Spellblade]]+Races!$E$47,TblMili[[#This Row],[Adept-DP]]+Races!$F$47),6)  +  0.45 * MIN(MIN(TblMili[[#This Row],[Spellblade]]+Races!$E$47,TblMili[[#This Row],[Adept-DP]]+Races!$F$47),6)  +  0.2 * ( MAX(TblMili[[#This Row],[Spellblade]]+Races!$E$47-6,0) + MAX(TblMili[[#This Row],[Adept-DP]]+Races!$F$47-6,0) )  -  Races!$I$47</f>
        <v>0</v>
      </c>
      <c r="CR87" s="97">
        <f ca="1">dark_elf*(TblMili[[#This Row],[Adept bonus]]*TblMili[[#This Row],[Unit 3]])</f>
        <v>0</v>
      </c>
      <c r="CS87" s="163">
        <f ca="1">1.8 * MIN(MAX(TblMili[[#This Row],[Frost Mage]]+Races!$F$71,Races!$E$71),6)  +  0.45 * MIN(MIN(TblMili[[#This Row],[Frost Mage]]+Races!$F$71,Races!$E$71),6)  +  0.2 * ( MAX(TblMili[[#This Row],[Frost Mage]]+Races!$F$71-6,0) + MAX(Races!$E$71-6,0) )  -  Races!$I$71</f>
        <v>3.9599999999999991</v>
      </c>
      <c r="CT87" s="163">
        <f ca="1">1.8 * MIN(MAX(TblMili[[#This Row],[Ice Elemental]]+Races!$E$71,Races!$F$71),6)  +  0.45 * MIN(MIN(TblMili[[#This Row],[Ice Elemental]]+Races!$E$71,Races!$F$71),6)  +  0.2 * ( MAX(TblMili[[#This Row],[Ice Elemental]]+Races!$E$71-6,0) + MAX(Races!$F$71-6,0) )  -  Races!$I$71</f>
        <v>0.17999999999999972</v>
      </c>
      <c r="CU87" s="97">
        <f ca="1">TblMili[[#This Row],[Frost Mage bonus]]*TblMili[[#This Row],[Unit 3]]+TblMili[[#This Row],[Ice Elemental bonus]]*TblMili[[#This Row],[Unit 4]]</f>
        <v>0</v>
      </c>
      <c r="CV87" s="273"/>
      <c r="CW87" s="151">
        <f ca="1">MIN(SUM(TblConstr[[#This Row],[Plain]:[Water]])/TblMili[[#This Row],[Land]]/favorable_terrain_bonus/100,favorable_terrain_max)</f>
        <v>0.1</v>
      </c>
      <c r="CX87" s="273"/>
      <c r="CY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50"/>
      <c r="DA87" s="274">
        <f ca="1">(TblMili[[#This Row],[Wizards]]+2*TblMili[[#This Row],[Archmages]])/TblConstr[[#This Row],[Land]]</f>
        <v>0.1</v>
      </c>
      <c r="DB87" s="274">
        <f ca="1">TblMili[[#This Row],[Raw (2)]]*(1+race_wizard_strength+IF(TblMili[[#This Row],[Hour]]&gt;72,tech_magical_weaponry_wiz*TblTech[[#This Row],[3-5]],0))</f>
        <v>0.1</v>
      </c>
    </row>
    <row r="88" spans="1:106" x14ac:dyDescent="0.2">
      <c r="A88" s="145">
        <f>TblRezone[[#This Row],[Hour]]</f>
        <v>85</v>
      </c>
      <c r="B88" s="266">
        <f ca="1">SUM(TblMili[[#This Row],[Unit 1]:[Archmages]])+SUM(OFFSET(TblMili[[#This Row],[Train Unit 1]],-8,0):TblMili[[#This Row],[Train Unit 2]]) + SUM(OFFSET(TblMili[[#This Row],[Train Unit 3]],-11,0):TblMili[[#This Row],[Train Arch]]) + TblMili[[#This Row],[Draftees]]</f>
        <v>826</v>
      </c>
      <c r="C88" s="165">
        <f ca="1">TblPop[[#This Row],[Military%]]</f>
        <v>0.35029686174724345</v>
      </c>
      <c r="D88" s="150"/>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f>
        <v>25</v>
      </c>
      <c r="J88" s="45">
        <f ca="1">OFFSET(TblMili[[#This Row],[Wizards]],-1,0) + OFFSET(TblMili[[#This Row],[Train Wiz]],-12,0) - TblMili[[#This Row],[Release Wizards]]-TblMili[[#This Row],[Train Arch]]</f>
        <v>25</v>
      </c>
      <c r="K88" s="45">
        <f ca="1">OFFSET(TblMili[[#This Row],[Archmages]],-1,0) + OFFSET(TblMili[[#This Row],[Train Arch]],-12,0) - TblMili[[#This Row],[Release Arch]]</f>
        <v>0</v>
      </c>
      <c r="L88" s="150"/>
      <c r="M88" s="97">
        <f ca="1">TblProd[[#This Row],[Networth]]</f>
        <v>6450</v>
      </c>
      <c r="N88" s="150"/>
      <c r="O88" s="267">
        <f ca="1">TblMili[[#This Row],[Unit 1]]*spec_op+TblMili[[#This Row],[Unit 3]]*(elite1_base_op)+TblMili[[#This Row],[Unit 4]]*(elite2_base_op+dark_elf*TblMili[[#This Row],[Spellblade]]+icekin*TblMili[[#This Row],[Ice Elemental]]+woodie*TblMili[[#This Row],[Druid (op)]]+orc*TblMili[[#This Row],[Orc]])+kobold*TblMili[[#This Row],[Overlords]]</f>
        <v>0</v>
      </c>
      <c r="P8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8" s="267">
        <f ca="1">TblMili[[#This Row],[Raw]]*(1+TblMili[[#This Row],[Mods_Off]])</f>
        <v>0</v>
      </c>
      <c r="R8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8" s="267">
        <f ca="1">TblMili[[#This Row],[Non Draft]]+TblMili[[#This Row],[Draftees]]</f>
        <v>1076</v>
      </c>
      <c r="T8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269">
        <f ca="1">TblMili[[#This Row],[Non Draft]] * (1 + TblMili[[#This Row],[Mods_Def]])</f>
        <v>450</v>
      </c>
      <c r="V88" s="267">
        <f ca="1">TblMili[[#This Row],[Draft]] * (1 + TblMili[[#This Row],[Mods_Def]])</f>
        <v>1076</v>
      </c>
      <c r="W88" s="267">
        <f ca="1">TblConstr[[#This Row],[Land]]</f>
        <v>250</v>
      </c>
      <c r="X88" s="270"/>
      <c r="Y88" s="275">
        <f ca="1">IF(TblMili[[#This Row],[Set]]&lt;&gt;"",TblMili[[#This Row],[Set]],OFFSET(TblMili[[#This Row],[Draftrate]],-1,0))</f>
        <v>0.35</v>
      </c>
      <c r="Z88" s="97">
        <f ca="1">OFFSET(TblMili[[#This Row],[Draftees]],-1,0)+OFFSET(TblPop[[#This Row],[Draft Growth]],-1,0) - SUM(TblMili[[#This Row],[Train Unit 1]:[Train Wiz]]) - TblMili[[#This Row],[Release Draft]] + SUM(TblMili[[#This Row],[Release Unit 1]:[Release Arch]]) -TblExplore[[#This Row],[Draftees (2)]]</f>
        <v>626</v>
      </c>
      <c r="AA88" s="162"/>
      <c r="AB88" s="188">
        <f ca="1">(TblConstr[[#This Row],[Tot Smi]]+TblConstr[[#This Row],[Dest Smi]])/(TblConstr[[#This Row],[Land]]-TblExplore[[#This Row],[Land Bonus]]*20)</f>
        <v>0</v>
      </c>
      <c r="AC88" s="266"/>
      <c r="AD88" s="266">
        <f>TblMili[[#This Row],[Hour]]</f>
        <v>85</v>
      </c>
      <c r="AE88" s="146">
        <f ca="1">TblExplore[[#This Row],[Time]]</f>
        <v>44814.249999999796</v>
      </c>
      <c r="AF88" s="187"/>
      <c r="AG88" s="187"/>
      <c r="AH88" s="187"/>
      <c r="AI88" s="187"/>
      <c r="AJ88" s="187"/>
      <c r="AK88" s="187"/>
      <c r="AL88" s="187"/>
      <c r="AM88" s="150"/>
      <c r="AN88" s="97">
        <f ca="1">TblProd[[#This Row],[Platinum]]</f>
        <v>561702</v>
      </c>
      <c r="AO88" s="97">
        <f ca="1">INDEX(TblProd[[#Headers],[Lumber]]:TblProd[[#This Row],[Ore]],COUNTA(TblProd[[#Headers],[Lumber]]:TblProd[[#This Row],[Lumber]]),MATCH(Military!$AO$2,TblProd[[#Headers],[Lumber]:[Ore]],0))</f>
        <v>0</v>
      </c>
      <c r="AP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97">
        <f ca="1">TblMili[[#This Row],[Train Unit 1]]*TblMili[[#This Row],[OP Ore]]+TblMili[[#This Row],[Train Unit 2]]*TblMili[[#This Row],[DP Ore]]+TblMili[[#This Row],[Train Unit 3]]*TblMili[[#This Row],[E1 Ore]]+TblMili[[#This Row],[Train Unit 4]]*TblMili[[#This Row],[E2 Ore]]</f>
        <v>0</v>
      </c>
      <c r="AR88" s="150">
        <f>TblMili[[#This Row],[Hour]]</f>
        <v>85</v>
      </c>
      <c r="AS88" s="160">
        <f ca="1">TblMili[[#This Row],[Time]]</f>
        <v>44814.249999999796</v>
      </c>
      <c r="AT88" s="97">
        <f ca="1">TblMili[[#This Row],[Draftees]]</f>
        <v>626</v>
      </c>
      <c r="AU88" s="187"/>
      <c r="AV88" s="187"/>
      <c r="AW88" s="187"/>
      <c r="AX88" s="187"/>
      <c r="AY88" s="187"/>
      <c r="AZ88" s="187"/>
      <c r="BA88" s="187"/>
      <c r="BB88" s="187"/>
      <c r="BC88" s="150"/>
      <c r="BD88" s="165">
        <f ca="1">TblConstr[[#This Row],[Tot WG]]/TblConstr[[#This Row],[Land]]</f>
        <v>0</v>
      </c>
      <c r="BE88" s="165">
        <f ca="1">TblConstr[[#This Row],[Tot Hav]]/TblConstr[[#This Row],[Land]]</f>
        <v>0</v>
      </c>
      <c r="BF88" s="97">
        <f ca="1">ROUNDUP((1-MIN(TblMili[[#This Row],[Smithies]]*smithy_bonus,smithy_bonus_cap) + tech_3_5*TblTech[[#This Row],[3-5]] + tech_5_3*TblTech[[#This Row],[5-3]] + tech_5_5*TblTech[[#This Row],[5-5]])*spec_op_plat,0)</f>
        <v>275</v>
      </c>
      <c r="BG88" s="97">
        <f ca="1">ROUNDUP(IF(race="Gnome",1,(1-MIN(TblMili[[#This Row],[Smithies]]*smithy_bonus,smithy_bonus_cap) + tech_3_5*TblTech[[#This Row],[3-5]] + tech_5_3*TblTech[[#This Row],[5-3]] + tech_5_5*TblTech[[#This Row],[5-5]]))*spec_op_ore,0)</f>
        <v>25</v>
      </c>
      <c r="BH88" s="97">
        <f ca="1">ROUNDUP((1-MIN(TblMili[[#This Row],[Smithies]]*smithy_bonus,smithy_bonus_cap) + tech_3_5*TblTech[[#This Row],[3-5]] + tech_5_3*TblTech[[#This Row],[5-3]] + tech_5_5*TblTech[[#This Row],[5-5]])*spec_dp_plat,0)</f>
        <v>275</v>
      </c>
      <c r="BI88" s="97">
        <f ca="1">ROUNDUP(IF(race="Gnome",1,(1-MIN(TblMili[[#This Row],[Smithies]]*smithy_bonus,smithy_bonus_cap) + tech_3_5*TblTech[[#This Row],[3-5]] + tech_5_3*TblTech[[#This Row],[5-3]] + tech_5_5*TblTech[[#This Row],[5-5]]))*spec_dp_ore,0)</f>
        <v>15</v>
      </c>
      <c r="BJ88" s="97">
        <f ca="1">ROUNDUP((1-MIN(TblMili[[#This Row],[Smithies]]*smithy_bonus,smithy_bonus_cap) + tech_3_5*TblTech[[#This Row],[3-5]] + tech_5_3*TblTech[[#This Row],[5-3]] + tech_5_5*TblTech[[#This Row],[5-5]])*elite1_plat,0)</f>
        <v>1000</v>
      </c>
      <c r="BK88" s="97">
        <f ca="1">ROUNDUP(IF(race="Gnome",1,(1-MIN(TblMili[[#This Row],[Smithies]]*smithy_bonus,smithy_bonus_cap) + tech_3_5*TblTech[[#This Row],[3-5]] + tech_5_3*TblTech[[#This Row],[5-3]] + tech_5_5*TblTech[[#This Row],[5-5]]))*elite1_ore,0)</f>
        <v>75</v>
      </c>
      <c r="BL88" s="97">
        <f ca="1">ROUNDUP((1-MIN(TblMili[[#This Row],[Smithies]]*smithy_bonus,smithy_bonus_cap) + tech_3_5*TblTech[[#This Row],[3-5]] + tech_5_3*TblTech[[#This Row],[5-3]] + tech_5_5*TblTech[[#This Row],[5-5]])*elite2_plat,0)</f>
        <v>1200</v>
      </c>
      <c r="BM88" s="97">
        <f ca="1">ROUNDUP(IF(race="Gnome",1,(1-MIN(TblMili[[#This Row],[Smithies]]*smithy_bonus,smithy_bonus_cap) + tech_3_5*TblTech[[#This Row],[3-5]] + tech_5_3*TblTech[[#This Row],[5-3]] + tech_5_5*TblTech[[#This Row],[5-5]]))*elite2_ore,0)</f>
        <v>100</v>
      </c>
      <c r="BN88" s="97">
        <f ca="1">ROUNDUP((1-MIN(ROUND(fh_spy_cost_red*TblMili[[#This Row],[FH''s]],4),fh_spy_cost_cap)+ tech_1_9*TblTech[[#This Row],[1-9]] + tech_9_1*TblTech[[#This Row],[9-1]])*spy_plat,0)</f>
        <v>500</v>
      </c>
      <c r="BO88" s="97">
        <f ca="1">ROUNDUP((1-MIN(ROUND(wg_wiz_cost_bonus*TblMili[[#This Row],[WG''s]],4),wg_wiz_cost_cap) + tech_1_9_2*TblTech[[#This Row],[1-9]] + tech_9_1_2*TblTech[[#This Row],[9-1]])*wizard_plat,0)</f>
        <v>500</v>
      </c>
      <c r="BP88" s="97">
        <f ca="1">ROUNDUP((1-MIN(ROUND(wg_wiz_cost_bonus*TblMili[[#This Row],[WG''s]],4),wg_wiz_cost_cap) + tech_1_9_2*TblTech[[#This Row],[1-9]] + tech_9_1_2*TblTech[[#This Row],[9-1]])*archmage_plat,0)</f>
        <v>1000</v>
      </c>
      <c r="BQ88" s="150"/>
      <c r="BR88" s="165">
        <f ca="1">TblConstr[[#This Row],[Homeland]]/TblConstr[[#This Row],[Land]]</f>
        <v>0.44</v>
      </c>
      <c r="BS88" s="165">
        <f ca="1">TblMili[[#This Row],[WG''s]]</f>
        <v>0</v>
      </c>
      <c r="BT88" s="271">
        <f ca="1">IF(mystic_cap="none",TblMili[[#This Row],[Hill]]/mystic_bonus,MIN(mystic_cap,TblMili[[#This Row],[Hill]]/mystic_bonus))</f>
        <v>2.1999999999999997</v>
      </c>
      <c r="BU88" s="271">
        <f ca="1">IF(druid_op_cap="none",TblMili[[#This Row],[Hill]]/druid_op_bonus,MIN(druid_op_cap,TblMili[[#This Row],[Hill]]/druid_op_bonus))</f>
        <v>2.1999999999999997</v>
      </c>
      <c r="BV88" s="271">
        <f ca="1">IF(druid_dp_cap="none",TblMili[[#This Row],[Hill]]/druid_dp_bonus,MIN(druid_dp_cap,TblMili[[#This Row],[Hill]]/druid_dp_bonus))</f>
        <v>2.1999999999999997</v>
      </c>
      <c r="BW88" s="271">
        <f ca="1">MIN(dryad_cap,TblMili[[#This Row],[Hill]]/dryad_bonus)</f>
        <v>2.1999999999999997</v>
      </c>
      <c r="BX88" s="271">
        <f ca="1">MIN(rocka_cap,TblMili[[#This Row],[Hill]]/rocka_bonus)</f>
        <v>2</v>
      </c>
      <c r="BY88" s="271">
        <f ca="1">MIN(adept_op_cap,TblMili[[#This Row],[WG]]/adept_op_bonus)</f>
        <v>0</v>
      </c>
      <c r="BZ88" s="271">
        <f ca="1">MIN(adept_dp_cap,TblMili[[#This Row],[WG]]/adept_dp_bonus)</f>
        <v>0</v>
      </c>
      <c r="CA88" s="97">
        <f ca="1">MIN(TblMili[[#This Row],[Unit 3]],TblMili[[#This Row],[Unit 4]])*2</f>
        <v>0</v>
      </c>
      <c r="CB88" s="97">
        <f ca="1">MIN(TblMili[[#This Row],[Unit 1]],TblMili[[#This Row],[Unit 4]])*2</f>
        <v>0</v>
      </c>
      <c r="CC88" s="271">
        <f ca="1">MIN(frost_mage_cap,TblMili[[#This Row],[Hill]]/frost_mage_bonus)</f>
        <v>2.1999999999999997</v>
      </c>
      <c r="CD88" s="45">
        <f ca="1">MIN(ice_elem_cap,TblMili[[#This Row],[Raw (2)]]*ice_elem_bonus)</f>
        <v>0.1</v>
      </c>
      <c r="CE88" s="271">
        <f t="shared" si="3"/>
        <v>1</v>
      </c>
      <c r="CF88" s="271">
        <f ca="1">MIN(nox_nightshade_cap,TblConstr[[#This Row],[Homeland]]/TblConstr[[#This Row],[Land]]/nox_nightshade_swamp_bonus)</f>
        <v>3</v>
      </c>
      <c r="CG88" s="272"/>
      <c r="CH88" s="272"/>
      <c r="CI88" s="272"/>
      <c r="CJ88" s="271">
        <f ca="1">MIN(6,TblMili[[#This Row],[Mystic]]+Races!$F$19)*1.8 +  IF(TblMili[[#This Row],[Mystic]]+Races!$F$19&gt;6,(TblMili[[#This Row],[Mystic]]+Races!$F$19-6)*0.2,0) - Races!$I$19</f>
        <v>3.6399999999999997</v>
      </c>
      <c r="CK8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97">
        <f ca="1">TblMili[[#This Row],[Mystic bonus]]*TblMili[[#This Row],[Unit 3]]+TblMili[[#This Row],[Druid bonus]]*TblMili[[#This Row],[Unit 4]]</f>
        <v>0</v>
      </c>
      <c r="CM88" s="163">
        <f ca="1">MIN(6,TblMili[[#This Row],[Dryad]]+Races!$F$35)*1.8 +  IF(TblMili[[#This Row],[Dryad]]+Races!$F$35&gt;6,(TblMili[[#This Row],[Dryad]]+Races!$F$35-6)*0.2,0) - Races!$I$19</f>
        <v>2.1599999999999993</v>
      </c>
      <c r="CN88" s="97">
        <f ca="1">sylvan*(TblMili[[#This Row],[Mystic bonus]]*TblMili[[#This Row],[Unit 3]])</f>
        <v>0</v>
      </c>
      <c r="CO88" s="163">
        <f ca="1">1.8 * MIN(MAX(Races!$E$27,TblMili[[#This Row],[Rockapult]]+Races!$F$27),6)  +  0.45 * MIN(MIN(Races!$E$27,TblMili[[#This Row],[Rockapult]]+Races!$F$27),6)  +  0.2 * ( MAX(Races!$E$27-6,0) + MAX(TblMili[[#This Row],[Rockapult]]+Races!$F$27-6,0) )  -  Races!$I$20</f>
        <v>5.8500000000000005</v>
      </c>
      <c r="CP88" s="97">
        <f ca="1">gnome*(TblMili[[#This Row],[Rockapult bonus]]*TblMili[[#This Row],[Unit 3]])</f>
        <v>0</v>
      </c>
      <c r="CQ88" s="163">
        <f ca="1">1.8 * MIN(MAX(TblMili[[#This Row],[Spellblade]]+Races!$E$47,TblMili[[#This Row],[Adept-DP]]+Races!$F$47),6)  +  0.45 * MIN(MIN(TblMili[[#This Row],[Spellblade]]+Races!$E$47,TblMili[[#This Row],[Adept-DP]]+Races!$F$47),6)  +  0.2 * ( MAX(TblMili[[#This Row],[Spellblade]]+Races!$E$47-6,0) + MAX(TblMili[[#This Row],[Adept-DP]]+Races!$F$47-6,0) )  -  Races!$I$47</f>
        <v>0</v>
      </c>
      <c r="CR88" s="97">
        <f ca="1">dark_elf*(TblMili[[#This Row],[Adept bonus]]*TblMili[[#This Row],[Unit 3]])</f>
        <v>0</v>
      </c>
      <c r="CS88" s="163">
        <f ca="1">1.8 * MIN(MAX(TblMili[[#This Row],[Frost Mage]]+Races!$F$71,Races!$E$71),6)  +  0.45 * MIN(MIN(TblMili[[#This Row],[Frost Mage]]+Races!$F$71,Races!$E$71),6)  +  0.2 * ( MAX(TblMili[[#This Row],[Frost Mage]]+Races!$F$71-6,0) + MAX(Races!$E$71-6,0) )  -  Races!$I$71</f>
        <v>3.9599999999999991</v>
      </c>
      <c r="CT88" s="163">
        <f ca="1">1.8 * MIN(MAX(TblMili[[#This Row],[Ice Elemental]]+Races!$E$71,Races!$F$71),6)  +  0.45 * MIN(MIN(TblMili[[#This Row],[Ice Elemental]]+Races!$E$71,Races!$F$71),6)  +  0.2 * ( MAX(TblMili[[#This Row],[Ice Elemental]]+Races!$E$71-6,0) + MAX(Races!$F$71-6,0) )  -  Races!$I$71</f>
        <v>0.17999999999999972</v>
      </c>
      <c r="CU88" s="97">
        <f ca="1">TblMili[[#This Row],[Frost Mage bonus]]*TblMili[[#This Row],[Unit 3]]+TblMili[[#This Row],[Ice Elemental bonus]]*TblMili[[#This Row],[Unit 4]]</f>
        <v>0</v>
      </c>
      <c r="CV88" s="273"/>
      <c r="CW88" s="151">
        <f ca="1">MIN(SUM(TblConstr[[#This Row],[Plain]:[Water]])/TblMili[[#This Row],[Land]]/favorable_terrain_bonus/100,favorable_terrain_max)</f>
        <v>0.1</v>
      </c>
      <c r="CX88" s="273"/>
      <c r="CY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50"/>
      <c r="DA88" s="274">
        <f ca="1">(TblMili[[#This Row],[Wizards]]+2*TblMili[[#This Row],[Archmages]])/TblConstr[[#This Row],[Land]]</f>
        <v>0.1</v>
      </c>
      <c r="DB88" s="274">
        <f ca="1">TblMili[[#This Row],[Raw (2)]]*(1+race_wizard_strength+IF(TblMili[[#This Row],[Hour]]&gt;72,tech_magical_weaponry_wiz*TblTech[[#This Row],[3-5]],0))</f>
        <v>0.1</v>
      </c>
    </row>
    <row r="89" spans="1:106" x14ac:dyDescent="0.2">
      <c r="A89" s="145">
        <f>TblRezone[[#This Row],[Hour]]</f>
        <v>86</v>
      </c>
      <c r="B89" s="266">
        <f ca="1">SUM(TblMili[[#This Row],[Unit 1]:[Archmages]])+SUM(OFFSET(TblMili[[#This Row],[Train Unit 1]],-8,0):TblMili[[#This Row],[Train Unit 2]]) + SUM(OFFSET(TblMili[[#This Row],[Train Unit 3]],-11,0):TblMili[[#This Row],[Train Arch]]) + TblMili[[#This Row],[Draftees]]</f>
        <v>826</v>
      </c>
      <c r="C89" s="165">
        <f ca="1">TblPop[[#This Row],[Military%]]</f>
        <v>0.35029686174724345</v>
      </c>
      <c r="D89" s="150"/>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f>
        <v>25</v>
      </c>
      <c r="J89" s="45">
        <f ca="1">OFFSET(TblMili[[#This Row],[Wizards]],-1,0) + OFFSET(TblMili[[#This Row],[Train Wiz]],-12,0) - TblMili[[#This Row],[Release Wizards]]-TblMili[[#This Row],[Train Arch]]</f>
        <v>25</v>
      </c>
      <c r="K89" s="45">
        <f ca="1">OFFSET(TblMili[[#This Row],[Archmages]],-1,0) + OFFSET(TblMili[[#This Row],[Train Arch]],-12,0) - TblMili[[#This Row],[Release Arch]]</f>
        <v>0</v>
      </c>
      <c r="L89" s="150"/>
      <c r="M89" s="97">
        <f ca="1">TblProd[[#This Row],[Networth]]</f>
        <v>6450</v>
      </c>
      <c r="N89" s="150"/>
      <c r="O89" s="267">
        <f ca="1">TblMili[[#This Row],[Unit 1]]*spec_op+TblMili[[#This Row],[Unit 3]]*(elite1_base_op)+TblMili[[#This Row],[Unit 4]]*(elite2_base_op+dark_elf*TblMili[[#This Row],[Spellblade]]+icekin*TblMili[[#This Row],[Ice Elemental]]+woodie*TblMili[[#This Row],[Druid (op)]]+orc*TblMili[[#This Row],[Orc]])+kobold*TblMili[[#This Row],[Overlords]]</f>
        <v>0</v>
      </c>
      <c r="P8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9" s="267">
        <f ca="1">TblMili[[#This Row],[Raw]]*(1+TblMili[[#This Row],[Mods_Off]])</f>
        <v>0</v>
      </c>
      <c r="R8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9" s="267">
        <f ca="1">TblMili[[#This Row],[Non Draft]]+TblMili[[#This Row],[Draftees]]</f>
        <v>1076</v>
      </c>
      <c r="T8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269">
        <f ca="1">TblMili[[#This Row],[Non Draft]] * (1 + TblMili[[#This Row],[Mods_Def]])</f>
        <v>450</v>
      </c>
      <c r="V89" s="267">
        <f ca="1">TblMili[[#This Row],[Draft]] * (1 + TblMili[[#This Row],[Mods_Def]])</f>
        <v>1076</v>
      </c>
      <c r="W89" s="267">
        <f ca="1">TblConstr[[#This Row],[Land]]</f>
        <v>250</v>
      </c>
      <c r="X89" s="270"/>
      <c r="Y89" s="275">
        <f ca="1">IF(TblMili[[#This Row],[Set]]&lt;&gt;"",TblMili[[#This Row],[Set]],OFFSET(TblMili[[#This Row],[Draftrate]],-1,0))</f>
        <v>0.35</v>
      </c>
      <c r="Z89" s="97">
        <f ca="1">OFFSET(TblMili[[#This Row],[Draftees]],-1,0)+OFFSET(TblPop[[#This Row],[Draft Growth]],-1,0) - SUM(TblMili[[#This Row],[Train Unit 1]:[Train Wiz]]) - TblMili[[#This Row],[Release Draft]] + SUM(TblMili[[#This Row],[Release Unit 1]:[Release Arch]]) -TblExplore[[#This Row],[Draftees (2)]]</f>
        <v>626</v>
      </c>
      <c r="AA89" s="162"/>
      <c r="AB89" s="188">
        <f ca="1">(TblConstr[[#This Row],[Tot Smi]]+TblConstr[[#This Row],[Dest Smi]])/(TblConstr[[#This Row],[Land]]-TblExplore[[#This Row],[Land Bonus]]*20)</f>
        <v>0</v>
      </c>
      <c r="AC89" s="145"/>
      <c r="AD89" s="266">
        <f>TblMili[[#This Row],[Hour]]</f>
        <v>86</v>
      </c>
      <c r="AE89" s="146">
        <f ca="1">TblExplore[[#This Row],[Time]]</f>
        <v>44814.291666666461</v>
      </c>
      <c r="AF89" s="187"/>
      <c r="AG89" s="187"/>
      <c r="AH89" s="187"/>
      <c r="AI89" s="187"/>
      <c r="AJ89" s="187"/>
      <c r="AK89" s="187"/>
      <c r="AL89" s="187"/>
      <c r="AM89" s="150"/>
      <c r="AN89" s="97">
        <f ca="1">TblProd[[#This Row],[Platinum]]</f>
        <v>567188</v>
      </c>
      <c r="AO89" s="97">
        <f ca="1">INDEX(TblProd[[#Headers],[Lumber]]:TblProd[[#This Row],[Ore]],COUNTA(TblProd[[#Headers],[Lumber]]:TblProd[[#This Row],[Lumber]]),MATCH(Military!$AO$2,TblProd[[#Headers],[Lumber]:[Ore]],0))</f>
        <v>0</v>
      </c>
      <c r="AP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97">
        <f ca="1">TblMili[[#This Row],[Train Unit 1]]*TblMili[[#This Row],[OP Ore]]+TblMili[[#This Row],[Train Unit 2]]*TblMili[[#This Row],[DP Ore]]+TblMili[[#This Row],[Train Unit 3]]*TblMili[[#This Row],[E1 Ore]]+TblMili[[#This Row],[Train Unit 4]]*TblMili[[#This Row],[E2 Ore]]</f>
        <v>0</v>
      </c>
      <c r="AR89" s="150">
        <f>TblMili[[#This Row],[Hour]]</f>
        <v>86</v>
      </c>
      <c r="AS89" s="160">
        <f ca="1">TblMili[[#This Row],[Time]]</f>
        <v>44814.291666666461</v>
      </c>
      <c r="AT89" s="97">
        <f ca="1">TblMili[[#This Row],[Draftees]]</f>
        <v>626</v>
      </c>
      <c r="AU89" s="187"/>
      <c r="AV89" s="187"/>
      <c r="AW89" s="187"/>
      <c r="AX89" s="187"/>
      <c r="AY89" s="187"/>
      <c r="AZ89" s="187"/>
      <c r="BA89" s="187"/>
      <c r="BB89" s="187"/>
      <c r="BC89" s="150"/>
      <c r="BD89" s="165">
        <f ca="1">TblConstr[[#This Row],[Tot WG]]/TblConstr[[#This Row],[Land]]</f>
        <v>0</v>
      </c>
      <c r="BE89" s="165">
        <f ca="1">TblConstr[[#This Row],[Tot Hav]]/TblConstr[[#This Row],[Land]]</f>
        <v>0</v>
      </c>
      <c r="BF89" s="97">
        <f ca="1">ROUNDUP((1-MIN(TblMili[[#This Row],[Smithies]]*smithy_bonus,smithy_bonus_cap) + tech_3_5*TblTech[[#This Row],[3-5]] + tech_5_3*TblTech[[#This Row],[5-3]] + tech_5_5*TblTech[[#This Row],[5-5]])*spec_op_plat,0)</f>
        <v>275</v>
      </c>
      <c r="BG89" s="97">
        <f ca="1">ROUNDUP(IF(race="Gnome",1,(1-MIN(TblMili[[#This Row],[Smithies]]*smithy_bonus,smithy_bonus_cap) + tech_3_5*TblTech[[#This Row],[3-5]] + tech_5_3*TblTech[[#This Row],[5-3]] + tech_5_5*TblTech[[#This Row],[5-5]]))*spec_op_ore,0)</f>
        <v>25</v>
      </c>
      <c r="BH89" s="97">
        <f ca="1">ROUNDUP((1-MIN(TblMili[[#This Row],[Smithies]]*smithy_bonus,smithy_bonus_cap) + tech_3_5*TblTech[[#This Row],[3-5]] + tech_5_3*TblTech[[#This Row],[5-3]] + tech_5_5*TblTech[[#This Row],[5-5]])*spec_dp_plat,0)</f>
        <v>275</v>
      </c>
      <c r="BI89" s="97">
        <f ca="1">ROUNDUP(IF(race="Gnome",1,(1-MIN(TblMili[[#This Row],[Smithies]]*smithy_bonus,smithy_bonus_cap) + tech_3_5*TblTech[[#This Row],[3-5]] + tech_5_3*TblTech[[#This Row],[5-3]] + tech_5_5*TblTech[[#This Row],[5-5]]))*spec_dp_ore,0)</f>
        <v>15</v>
      </c>
      <c r="BJ89" s="97">
        <f ca="1">ROUNDUP((1-MIN(TblMili[[#This Row],[Smithies]]*smithy_bonus,smithy_bonus_cap) + tech_3_5*TblTech[[#This Row],[3-5]] + tech_5_3*TblTech[[#This Row],[5-3]] + tech_5_5*TblTech[[#This Row],[5-5]])*elite1_plat,0)</f>
        <v>1000</v>
      </c>
      <c r="BK89" s="97">
        <f ca="1">ROUNDUP(IF(race="Gnome",1,(1-MIN(TblMili[[#This Row],[Smithies]]*smithy_bonus,smithy_bonus_cap) + tech_3_5*TblTech[[#This Row],[3-5]] + tech_5_3*TblTech[[#This Row],[5-3]] + tech_5_5*TblTech[[#This Row],[5-5]]))*elite1_ore,0)</f>
        <v>75</v>
      </c>
      <c r="BL89" s="97">
        <f ca="1">ROUNDUP((1-MIN(TblMili[[#This Row],[Smithies]]*smithy_bonus,smithy_bonus_cap) + tech_3_5*TblTech[[#This Row],[3-5]] + tech_5_3*TblTech[[#This Row],[5-3]] + tech_5_5*TblTech[[#This Row],[5-5]])*elite2_plat,0)</f>
        <v>1200</v>
      </c>
      <c r="BM89" s="97">
        <f ca="1">ROUNDUP(IF(race="Gnome",1,(1-MIN(TblMili[[#This Row],[Smithies]]*smithy_bonus,smithy_bonus_cap) + tech_3_5*TblTech[[#This Row],[3-5]] + tech_5_3*TblTech[[#This Row],[5-3]] + tech_5_5*TblTech[[#This Row],[5-5]]))*elite2_ore,0)</f>
        <v>100</v>
      </c>
      <c r="BN89" s="97">
        <f ca="1">ROUNDUP((1-MIN(ROUND(fh_spy_cost_red*TblMili[[#This Row],[FH''s]],4),fh_spy_cost_cap)+ tech_1_9*TblTech[[#This Row],[1-9]] + tech_9_1*TblTech[[#This Row],[9-1]])*spy_plat,0)</f>
        <v>500</v>
      </c>
      <c r="BO89" s="97">
        <f ca="1">ROUNDUP((1-MIN(ROUND(wg_wiz_cost_bonus*TblMili[[#This Row],[WG''s]],4),wg_wiz_cost_cap) + tech_1_9_2*TblTech[[#This Row],[1-9]] + tech_9_1_2*TblTech[[#This Row],[9-1]])*wizard_plat,0)</f>
        <v>500</v>
      </c>
      <c r="BP89" s="97">
        <f ca="1">ROUNDUP((1-MIN(ROUND(wg_wiz_cost_bonus*TblMili[[#This Row],[WG''s]],4),wg_wiz_cost_cap) + tech_1_9_2*TblTech[[#This Row],[1-9]] + tech_9_1_2*TblTech[[#This Row],[9-1]])*archmage_plat,0)</f>
        <v>1000</v>
      </c>
      <c r="BQ89" s="150"/>
      <c r="BR89" s="165">
        <f ca="1">TblConstr[[#This Row],[Homeland]]/TblConstr[[#This Row],[Land]]</f>
        <v>0.44</v>
      </c>
      <c r="BS89" s="165">
        <f ca="1">TblMili[[#This Row],[WG''s]]</f>
        <v>0</v>
      </c>
      <c r="BT89" s="271">
        <f ca="1">IF(mystic_cap="none",TblMili[[#This Row],[Hill]]/mystic_bonus,MIN(mystic_cap,TblMili[[#This Row],[Hill]]/mystic_bonus))</f>
        <v>2.1999999999999997</v>
      </c>
      <c r="BU89" s="271">
        <f ca="1">IF(druid_op_cap="none",TblMili[[#This Row],[Hill]]/druid_op_bonus,MIN(druid_op_cap,TblMili[[#This Row],[Hill]]/druid_op_bonus))</f>
        <v>2.1999999999999997</v>
      </c>
      <c r="BV89" s="271">
        <f ca="1">IF(druid_dp_cap="none",TblMili[[#This Row],[Hill]]/druid_dp_bonus,MIN(druid_dp_cap,TblMili[[#This Row],[Hill]]/druid_dp_bonus))</f>
        <v>2.1999999999999997</v>
      </c>
      <c r="BW89" s="271">
        <f ca="1">MIN(dryad_cap,TblMili[[#This Row],[Hill]]/dryad_bonus)</f>
        <v>2.1999999999999997</v>
      </c>
      <c r="BX89" s="271">
        <f ca="1">MIN(rocka_cap,TblMili[[#This Row],[Hill]]/rocka_bonus)</f>
        <v>2</v>
      </c>
      <c r="BY89" s="271">
        <f ca="1">MIN(adept_op_cap,TblMili[[#This Row],[WG]]/adept_op_bonus)</f>
        <v>0</v>
      </c>
      <c r="BZ89" s="271">
        <f ca="1">MIN(adept_dp_cap,TblMili[[#This Row],[WG]]/adept_dp_bonus)</f>
        <v>0</v>
      </c>
      <c r="CA89" s="97">
        <f ca="1">MIN(TblMili[[#This Row],[Unit 3]],TblMili[[#This Row],[Unit 4]])*2</f>
        <v>0</v>
      </c>
      <c r="CB89" s="97">
        <f ca="1">MIN(TblMili[[#This Row],[Unit 1]],TblMili[[#This Row],[Unit 4]])*2</f>
        <v>0</v>
      </c>
      <c r="CC89" s="271">
        <f ca="1">MIN(frost_mage_cap,TblMili[[#This Row],[Hill]]/frost_mage_bonus)</f>
        <v>2.1999999999999997</v>
      </c>
      <c r="CD89" s="45">
        <f ca="1">MIN(ice_elem_cap,TblMili[[#This Row],[Raw (2)]]*ice_elem_bonus)</f>
        <v>0.1</v>
      </c>
      <c r="CE89" s="271">
        <f t="shared" si="3"/>
        <v>1</v>
      </c>
      <c r="CF89" s="271">
        <f ca="1">MIN(nox_nightshade_cap,TblConstr[[#This Row],[Homeland]]/TblConstr[[#This Row],[Land]]/nox_nightshade_swamp_bonus)</f>
        <v>3</v>
      </c>
      <c r="CG89" s="272"/>
      <c r="CH89" s="272"/>
      <c r="CI89" s="272"/>
      <c r="CJ89" s="271">
        <f ca="1">MIN(6,TblMili[[#This Row],[Mystic]]+Races!$F$19)*1.8 +  IF(TblMili[[#This Row],[Mystic]]+Races!$F$19&gt;6,(TblMili[[#This Row],[Mystic]]+Races!$F$19-6)*0.2,0) - Races!$I$19</f>
        <v>3.6399999999999997</v>
      </c>
      <c r="CK8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97">
        <f ca="1">TblMili[[#This Row],[Mystic bonus]]*TblMili[[#This Row],[Unit 3]]+TblMili[[#This Row],[Druid bonus]]*TblMili[[#This Row],[Unit 4]]</f>
        <v>0</v>
      </c>
      <c r="CM89" s="163">
        <f ca="1">MIN(6,TblMili[[#This Row],[Dryad]]+Races!$F$35)*1.8 +  IF(TblMili[[#This Row],[Dryad]]+Races!$F$35&gt;6,(TblMili[[#This Row],[Dryad]]+Races!$F$35-6)*0.2,0) - Races!$I$19</f>
        <v>2.1599999999999993</v>
      </c>
      <c r="CN89" s="97">
        <f ca="1">sylvan*(TblMili[[#This Row],[Mystic bonus]]*TblMili[[#This Row],[Unit 3]])</f>
        <v>0</v>
      </c>
      <c r="CO89" s="163">
        <f ca="1">1.8 * MIN(MAX(Races!$E$27,TblMili[[#This Row],[Rockapult]]+Races!$F$27),6)  +  0.45 * MIN(MIN(Races!$E$27,TblMili[[#This Row],[Rockapult]]+Races!$F$27),6)  +  0.2 * ( MAX(Races!$E$27-6,0) + MAX(TblMili[[#This Row],[Rockapult]]+Races!$F$27-6,0) )  -  Races!$I$20</f>
        <v>5.8500000000000005</v>
      </c>
      <c r="CP89" s="97">
        <f ca="1">gnome*(TblMili[[#This Row],[Rockapult bonus]]*TblMili[[#This Row],[Unit 3]])</f>
        <v>0</v>
      </c>
      <c r="CQ89" s="163">
        <f ca="1">1.8 * MIN(MAX(TblMili[[#This Row],[Spellblade]]+Races!$E$47,TblMili[[#This Row],[Adept-DP]]+Races!$F$47),6)  +  0.45 * MIN(MIN(TblMili[[#This Row],[Spellblade]]+Races!$E$47,TblMili[[#This Row],[Adept-DP]]+Races!$F$47),6)  +  0.2 * ( MAX(TblMili[[#This Row],[Spellblade]]+Races!$E$47-6,0) + MAX(TblMili[[#This Row],[Adept-DP]]+Races!$F$47-6,0) )  -  Races!$I$47</f>
        <v>0</v>
      </c>
      <c r="CR89" s="97">
        <f ca="1">dark_elf*(TblMili[[#This Row],[Adept bonus]]*TblMili[[#This Row],[Unit 3]])</f>
        <v>0</v>
      </c>
      <c r="CS89" s="163">
        <f ca="1">1.8 * MIN(MAX(TblMili[[#This Row],[Frost Mage]]+Races!$F$71,Races!$E$71),6)  +  0.45 * MIN(MIN(TblMili[[#This Row],[Frost Mage]]+Races!$F$71,Races!$E$71),6)  +  0.2 * ( MAX(TblMili[[#This Row],[Frost Mage]]+Races!$F$71-6,0) + MAX(Races!$E$71-6,0) )  -  Races!$I$71</f>
        <v>3.9599999999999991</v>
      </c>
      <c r="CT89" s="163">
        <f ca="1">1.8 * MIN(MAX(TblMili[[#This Row],[Ice Elemental]]+Races!$E$71,Races!$F$71),6)  +  0.45 * MIN(MIN(TblMili[[#This Row],[Ice Elemental]]+Races!$E$71,Races!$F$71),6)  +  0.2 * ( MAX(TblMili[[#This Row],[Ice Elemental]]+Races!$E$71-6,0) + MAX(Races!$F$71-6,0) )  -  Races!$I$71</f>
        <v>0.17999999999999972</v>
      </c>
      <c r="CU89" s="97">
        <f ca="1">TblMili[[#This Row],[Frost Mage bonus]]*TblMili[[#This Row],[Unit 3]]+TblMili[[#This Row],[Ice Elemental bonus]]*TblMili[[#This Row],[Unit 4]]</f>
        <v>0</v>
      </c>
      <c r="CV89" s="273"/>
      <c r="CW89" s="151">
        <f ca="1">MIN(SUM(TblConstr[[#This Row],[Plain]:[Water]])/TblMili[[#This Row],[Land]]/favorable_terrain_bonus/100,favorable_terrain_max)</f>
        <v>0.1</v>
      </c>
      <c r="CX89" s="273"/>
      <c r="CY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50"/>
      <c r="DA89" s="274">
        <f ca="1">(TblMili[[#This Row],[Wizards]]+2*TblMili[[#This Row],[Archmages]])/TblConstr[[#This Row],[Land]]</f>
        <v>0.1</v>
      </c>
      <c r="DB89" s="274">
        <f ca="1">TblMili[[#This Row],[Raw (2)]]*(1+race_wizard_strength+IF(TblMili[[#This Row],[Hour]]&gt;72,tech_magical_weaponry_wiz*TblTech[[#This Row],[3-5]],0))</f>
        <v>0.1</v>
      </c>
    </row>
    <row r="90" spans="1:106" x14ac:dyDescent="0.2">
      <c r="A90" s="145">
        <f>TblRezone[[#This Row],[Hour]]</f>
        <v>87</v>
      </c>
      <c r="B90" s="266">
        <f ca="1">SUM(TblMili[[#This Row],[Unit 1]:[Archmages]])+SUM(OFFSET(TblMili[[#This Row],[Train Unit 1]],-8,0):TblMili[[#This Row],[Train Unit 2]]) + SUM(OFFSET(TblMili[[#This Row],[Train Unit 3]],-11,0):TblMili[[#This Row],[Train Arch]]) + TblMili[[#This Row],[Draftees]]</f>
        <v>826</v>
      </c>
      <c r="C90" s="165">
        <f ca="1">TblPop[[#This Row],[Military%]]</f>
        <v>0.35029686174724345</v>
      </c>
      <c r="D90" s="150"/>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f>
        <v>25</v>
      </c>
      <c r="J90" s="45">
        <f ca="1">OFFSET(TblMili[[#This Row],[Wizards]],-1,0) + OFFSET(TblMili[[#This Row],[Train Wiz]],-12,0) - TblMili[[#This Row],[Release Wizards]]-TblMili[[#This Row],[Train Arch]]</f>
        <v>25</v>
      </c>
      <c r="K90" s="45">
        <f ca="1">OFFSET(TblMili[[#This Row],[Archmages]],-1,0) + OFFSET(TblMili[[#This Row],[Train Arch]],-12,0) - TblMili[[#This Row],[Release Arch]]</f>
        <v>0</v>
      </c>
      <c r="L90" s="150"/>
      <c r="M90" s="97">
        <f ca="1">TblProd[[#This Row],[Networth]]</f>
        <v>6450</v>
      </c>
      <c r="N90" s="150"/>
      <c r="O90" s="267">
        <f ca="1">TblMili[[#This Row],[Unit 1]]*spec_op+TblMili[[#This Row],[Unit 3]]*(elite1_base_op)+TblMili[[#This Row],[Unit 4]]*(elite2_base_op+dark_elf*TblMili[[#This Row],[Spellblade]]+icekin*TblMili[[#This Row],[Ice Elemental]]+woodie*TblMili[[#This Row],[Druid (op)]]+orc*TblMili[[#This Row],[Orc]])+kobold*TblMili[[#This Row],[Overlords]]</f>
        <v>0</v>
      </c>
      <c r="P9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0" s="267">
        <f ca="1">TblMili[[#This Row],[Raw]]*(1+TblMili[[#This Row],[Mods_Off]])</f>
        <v>0</v>
      </c>
      <c r="R9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0" s="267">
        <f ca="1">TblMili[[#This Row],[Non Draft]]+TblMili[[#This Row],[Draftees]]</f>
        <v>1076</v>
      </c>
      <c r="T9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269">
        <f ca="1">TblMili[[#This Row],[Non Draft]] * (1 + TblMili[[#This Row],[Mods_Def]])</f>
        <v>450</v>
      </c>
      <c r="V90" s="267">
        <f ca="1">TblMili[[#This Row],[Draft]] * (1 + TblMili[[#This Row],[Mods_Def]])</f>
        <v>1076</v>
      </c>
      <c r="W90" s="267">
        <f ca="1">TblConstr[[#This Row],[Land]]</f>
        <v>250</v>
      </c>
      <c r="X90" s="270"/>
      <c r="Y90" s="275">
        <f ca="1">IF(TblMili[[#This Row],[Set]]&lt;&gt;"",TblMili[[#This Row],[Set]],OFFSET(TblMili[[#This Row],[Draftrate]],-1,0))</f>
        <v>0.35</v>
      </c>
      <c r="Z90" s="97">
        <f ca="1">OFFSET(TblMili[[#This Row],[Draftees]],-1,0)+OFFSET(TblPop[[#This Row],[Draft Growth]],-1,0) - SUM(TblMili[[#This Row],[Train Unit 1]:[Train Wiz]]) - TblMili[[#This Row],[Release Draft]] + SUM(TblMili[[#This Row],[Release Unit 1]:[Release Arch]]) -TblExplore[[#This Row],[Draftees (2)]]</f>
        <v>626</v>
      </c>
      <c r="AA90" s="162"/>
      <c r="AB90" s="188">
        <f ca="1">(TblConstr[[#This Row],[Tot Smi]]+TblConstr[[#This Row],[Dest Smi]])/(TblConstr[[#This Row],[Land]]-TblExplore[[#This Row],[Land Bonus]]*20)</f>
        <v>0</v>
      </c>
      <c r="AC90" s="145"/>
      <c r="AD90" s="266">
        <f>TblMili[[#This Row],[Hour]]</f>
        <v>87</v>
      </c>
      <c r="AE90" s="146">
        <f ca="1">TblExplore[[#This Row],[Time]]</f>
        <v>44814.333333333125</v>
      </c>
      <c r="AF90" s="187"/>
      <c r="AG90" s="187"/>
      <c r="AH90" s="187"/>
      <c r="AI90" s="187"/>
      <c r="AJ90" s="187"/>
      <c r="AK90" s="187"/>
      <c r="AL90" s="187"/>
      <c r="AM90" s="150"/>
      <c r="AN90" s="97">
        <f ca="1">TblProd[[#This Row],[Platinum]]</f>
        <v>572674</v>
      </c>
      <c r="AO90" s="97">
        <f ca="1">INDEX(TblProd[[#Headers],[Lumber]]:TblProd[[#This Row],[Ore]],COUNTA(TblProd[[#Headers],[Lumber]]:TblProd[[#This Row],[Lumber]]),MATCH(Military!$AO$2,TblProd[[#Headers],[Lumber]:[Ore]],0))</f>
        <v>0</v>
      </c>
      <c r="AP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97">
        <f ca="1">TblMili[[#This Row],[Train Unit 1]]*TblMili[[#This Row],[OP Ore]]+TblMili[[#This Row],[Train Unit 2]]*TblMili[[#This Row],[DP Ore]]+TblMili[[#This Row],[Train Unit 3]]*TblMili[[#This Row],[E1 Ore]]+TblMili[[#This Row],[Train Unit 4]]*TblMili[[#This Row],[E2 Ore]]</f>
        <v>0</v>
      </c>
      <c r="AR90" s="150">
        <f>TblMili[[#This Row],[Hour]]</f>
        <v>87</v>
      </c>
      <c r="AS90" s="160">
        <f ca="1">TblMili[[#This Row],[Time]]</f>
        <v>44814.333333333125</v>
      </c>
      <c r="AT90" s="97">
        <f ca="1">TblMili[[#This Row],[Draftees]]</f>
        <v>626</v>
      </c>
      <c r="AU90" s="187"/>
      <c r="AV90" s="187"/>
      <c r="AW90" s="187"/>
      <c r="AX90" s="187"/>
      <c r="AY90" s="187"/>
      <c r="AZ90" s="187"/>
      <c r="BA90" s="187"/>
      <c r="BB90" s="187"/>
      <c r="BC90" s="150"/>
      <c r="BD90" s="165">
        <f ca="1">TblConstr[[#This Row],[Tot WG]]/TblConstr[[#This Row],[Land]]</f>
        <v>0</v>
      </c>
      <c r="BE90" s="165">
        <f ca="1">TblConstr[[#This Row],[Tot Hav]]/TblConstr[[#This Row],[Land]]</f>
        <v>0</v>
      </c>
      <c r="BF90" s="97">
        <f ca="1">ROUNDUP((1-MIN(TblMili[[#This Row],[Smithies]]*smithy_bonus,smithy_bonus_cap) + tech_3_5*TblTech[[#This Row],[3-5]] + tech_5_3*TblTech[[#This Row],[5-3]] + tech_5_5*TblTech[[#This Row],[5-5]])*spec_op_plat,0)</f>
        <v>275</v>
      </c>
      <c r="BG90" s="97">
        <f ca="1">ROUNDUP(IF(race="Gnome",1,(1-MIN(TblMili[[#This Row],[Smithies]]*smithy_bonus,smithy_bonus_cap) + tech_3_5*TblTech[[#This Row],[3-5]] + tech_5_3*TblTech[[#This Row],[5-3]] + tech_5_5*TblTech[[#This Row],[5-5]]))*spec_op_ore,0)</f>
        <v>25</v>
      </c>
      <c r="BH90" s="97">
        <f ca="1">ROUNDUP((1-MIN(TblMili[[#This Row],[Smithies]]*smithy_bonus,smithy_bonus_cap) + tech_3_5*TblTech[[#This Row],[3-5]] + tech_5_3*TblTech[[#This Row],[5-3]] + tech_5_5*TblTech[[#This Row],[5-5]])*spec_dp_plat,0)</f>
        <v>275</v>
      </c>
      <c r="BI90" s="97">
        <f ca="1">ROUNDUP(IF(race="Gnome",1,(1-MIN(TblMili[[#This Row],[Smithies]]*smithy_bonus,smithy_bonus_cap) + tech_3_5*TblTech[[#This Row],[3-5]] + tech_5_3*TblTech[[#This Row],[5-3]] + tech_5_5*TblTech[[#This Row],[5-5]]))*spec_dp_ore,0)</f>
        <v>15</v>
      </c>
      <c r="BJ90" s="97">
        <f ca="1">ROUNDUP((1-MIN(TblMili[[#This Row],[Smithies]]*smithy_bonus,smithy_bonus_cap) + tech_3_5*TblTech[[#This Row],[3-5]] + tech_5_3*TblTech[[#This Row],[5-3]] + tech_5_5*TblTech[[#This Row],[5-5]])*elite1_plat,0)</f>
        <v>1000</v>
      </c>
      <c r="BK90" s="97">
        <f ca="1">ROUNDUP(IF(race="Gnome",1,(1-MIN(TblMili[[#This Row],[Smithies]]*smithy_bonus,smithy_bonus_cap) + tech_3_5*TblTech[[#This Row],[3-5]] + tech_5_3*TblTech[[#This Row],[5-3]] + tech_5_5*TblTech[[#This Row],[5-5]]))*elite1_ore,0)</f>
        <v>75</v>
      </c>
      <c r="BL90" s="97">
        <f ca="1">ROUNDUP((1-MIN(TblMili[[#This Row],[Smithies]]*smithy_bonus,smithy_bonus_cap) + tech_3_5*TblTech[[#This Row],[3-5]] + tech_5_3*TblTech[[#This Row],[5-3]] + tech_5_5*TblTech[[#This Row],[5-5]])*elite2_plat,0)</f>
        <v>1200</v>
      </c>
      <c r="BM90" s="97">
        <f ca="1">ROUNDUP(IF(race="Gnome",1,(1-MIN(TblMili[[#This Row],[Smithies]]*smithy_bonus,smithy_bonus_cap) + tech_3_5*TblTech[[#This Row],[3-5]] + tech_5_3*TblTech[[#This Row],[5-3]] + tech_5_5*TblTech[[#This Row],[5-5]]))*elite2_ore,0)</f>
        <v>100</v>
      </c>
      <c r="BN90" s="97">
        <f ca="1">ROUNDUP((1-MIN(ROUND(fh_spy_cost_red*TblMili[[#This Row],[FH''s]],4),fh_spy_cost_cap)+ tech_1_9*TblTech[[#This Row],[1-9]] + tech_9_1*TblTech[[#This Row],[9-1]])*spy_plat,0)</f>
        <v>500</v>
      </c>
      <c r="BO90" s="97">
        <f ca="1">ROUNDUP((1-MIN(ROUND(wg_wiz_cost_bonus*TblMili[[#This Row],[WG''s]],4),wg_wiz_cost_cap) + tech_1_9_2*TblTech[[#This Row],[1-9]] + tech_9_1_2*TblTech[[#This Row],[9-1]])*wizard_plat,0)</f>
        <v>500</v>
      </c>
      <c r="BP90" s="97">
        <f ca="1">ROUNDUP((1-MIN(ROUND(wg_wiz_cost_bonus*TblMili[[#This Row],[WG''s]],4),wg_wiz_cost_cap) + tech_1_9_2*TblTech[[#This Row],[1-9]] + tech_9_1_2*TblTech[[#This Row],[9-1]])*archmage_plat,0)</f>
        <v>1000</v>
      </c>
      <c r="BQ90" s="150"/>
      <c r="BR90" s="165">
        <f ca="1">TblConstr[[#This Row],[Homeland]]/TblConstr[[#This Row],[Land]]</f>
        <v>0.44</v>
      </c>
      <c r="BS90" s="165">
        <f ca="1">TblMili[[#This Row],[WG''s]]</f>
        <v>0</v>
      </c>
      <c r="BT90" s="271">
        <f ca="1">IF(mystic_cap="none",TblMili[[#This Row],[Hill]]/mystic_bonus,MIN(mystic_cap,TblMili[[#This Row],[Hill]]/mystic_bonus))</f>
        <v>2.1999999999999997</v>
      </c>
      <c r="BU90" s="271">
        <f ca="1">IF(druid_op_cap="none",TblMili[[#This Row],[Hill]]/druid_op_bonus,MIN(druid_op_cap,TblMili[[#This Row],[Hill]]/druid_op_bonus))</f>
        <v>2.1999999999999997</v>
      </c>
      <c r="BV90" s="271">
        <f ca="1">IF(druid_dp_cap="none",TblMili[[#This Row],[Hill]]/druid_dp_bonus,MIN(druid_dp_cap,TblMili[[#This Row],[Hill]]/druid_dp_bonus))</f>
        <v>2.1999999999999997</v>
      </c>
      <c r="BW90" s="271">
        <f ca="1">MIN(dryad_cap,TblMili[[#This Row],[Hill]]/dryad_bonus)</f>
        <v>2.1999999999999997</v>
      </c>
      <c r="BX90" s="271">
        <f ca="1">MIN(rocka_cap,TblMili[[#This Row],[Hill]]/rocka_bonus)</f>
        <v>2</v>
      </c>
      <c r="BY90" s="271">
        <f ca="1">MIN(adept_op_cap,TblMili[[#This Row],[WG]]/adept_op_bonus)</f>
        <v>0</v>
      </c>
      <c r="BZ90" s="271">
        <f ca="1">MIN(adept_dp_cap,TblMili[[#This Row],[WG]]/adept_dp_bonus)</f>
        <v>0</v>
      </c>
      <c r="CA90" s="97">
        <f ca="1">MIN(TblMili[[#This Row],[Unit 3]],TblMili[[#This Row],[Unit 4]])*2</f>
        <v>0</v>
      </c>
      <c r="CB90" s="97">
        <f ca="1">MIN(TblMili[[#This Row],[Unit 1]],TblMili[[#This Row],[Unit 4]])*2</f>
        <v>0</v>
      </c>
      <c r="CC90" s="271">
        <f ca="1">MIN(frost_mage_cap,TblMili[[#This Row],[Hill]]/frost_mage_bonus)</f>
        <v>2.1999999999999997</v>
      </c>
      <c r="CD90" s="45">
        <f ca="1">MIN(ice_elem_cap,TblMili[[#This Row],[Raw (2)]]*ice_elem_bonus)</f>
        <v>0.1</v>
      </c>
      <c r="CE90" s="271">
        <f t="shared" si="3"/>
        <v>1</v>
      </c>
      <c r="CF90" s="271">
        <f ca="1">MIN(nox_nightshade_cap,TblConstr[[#This Row],[Homeland]]/TblConstr[[#This Row],[Land]]/nox_nightshade_swamp_bonus)</f>
        <v>3</v>
      </c>
      <c r="CG90" s="272"/>
      <c r="CH90" s="272"/>
      <c r="CI90" s="272"/>
      <c r="CJ90" s="271">
        <f ca="1">MIN(6,TblMili[[#This Row],[Mystic]]+Races!$F$19)*1.8 +  IF(TblMili[[#This Row],[Mystic]]+Races!$F$19&gt;6,(TblMili[[#This Row],[Mystic]]+Races!$F$19-6)*0.2,0) - Races!$I$19</f>
        <v>3.6399999999999997</v>
      </c>
      <c r="CK9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97">
        <f ca="1">TblMili[[#This Row],[Mystic bonus]]*TblMili[[#This Row],[Unit 3]]+TblMili[[#This Row],[Druid bonus]]*TblMili[[#This Row],[Unit 4]]</f>
        <v>0</v>
      </c>
      <c r="CM90" s="163">
        <f ca="1">MIN(6,TblMili[[#This Row],[Dryad]]+Races!$F$35)*1.8 +  IF(TblMili[[#This Row],[Dryad]]+Races!$F$35&gt;6,(TblMili[[#This Row],[Dryad]]+Races!$F$35-6)*0.2,0) - Races!$I$19</f>
        <v>2.1599999999999993</v>
      </c>
      <c r="CN90" s="97">
        <f ca="1">sylvan*(TblMili[[#This Row],[Mystic bonus]]*TblMili[[#This Row],[Unit 3]])</f>
        <v>0</v>
      </c>
      <c r="CO90" s="163">
        <f ca="1">1.8 * MIN(MAX(Races!$E$27,TblMili[[#This Row],[Rockapult]]+Races!$F$27),6)  +  0.45 * MIN(MIN(Races!$E$27,TblMili[[#This Row],[Rockapult]]+Races!$F$27),6)  +  0.2 * ( MAX(Races!$E$27-6,0) + MAX(TblMili[[#This Row],[Rockapult]]+Races!$F$27-6,0) )  -  Races!$I$20</f>
        <v>5.8500000000000005</v>
      </c>
      <c r="CP90" s="97">
        <f ca="1">gnome*(TblMili[[#This Row],[Rockapult bonus]]*TblMili[[#This Row],[Unit 3]])</f>
        <v>0</v>
      </c>
      <c r="CQ90" s="163">
        <f ca="1">1.8 * MIN(MAX(TblMili[[#This Row],[Spellblade]]+Races!$E$47,TblMili[[#This Row],[Adept-DP]]+Races!$F$47),6)  +  0.45 * MIN(MIN(TblMili[[#This Row],[Spellblade]]+Races!$E$47,TblMili[[#This Row],[Adept-DP]]+Races!$F$47),6)  +  0.2 * ( MAX(TblMili[[#This Row],[Spellblade]]+Races!$E$47-6,0) + MAX(TblMili[[#This Row],[Adept-DP]]+Races!$F$47-6,0) )  -  Races!$I$47</f>
        <v>0</v>
      </c>
      <c r="CR90" s="97">
        <f ca="1">dark_elf*(TblMili[[#This Row],[Adept bonus]]*TblMili[[#This Row],[Unit 3]])</f>
        <v>0</v>
      </c>
      <c r="CS90" s="163">
        <f ca="1">1.8 * MIN(MAX(TblMili[[#This Row],[Frost Mage]]+Races!$F$71,Races!$E$71),6)  +  0.45 * MIN(MIN(TblMili[[#This Row],[Frost Mage]]+Races!$F$71,Races!$E$71),6)  +  0.2 * ( MAX(TblMili[[#This Row],[Frost Mage]]+Races!$F$71-6,0) + MAX(Races!$E$71-6,0) )  -  Races!$I$71</f>
        <v>3.9599999999999991</v>
      </c>
      <c r="CT90" s="163">
        <f ca="1">1.8 * MIN(MAX(TblMili[[#This Row],[Ice Elemental]]+Races!$E$71,Races!$F$71),6)  +  0.45 * MIN(MIN(TblMili[[#This Row],[Ice Elemental]]+Races!$E$71,Races!$F$71),6)  +  0.2 * ( MAX(TblMili[[#This Row],[Ice Elemental]]+Races!$E$71-6,0) + MAX(Races!$F$71-6,0) )  -  Races!$I$71</f>
        <v>0.17999999999999972</v>
      </c>
      <c r="CU90" s="97">
        <f ca="1">TblMili[[#This Row],[Frost Mage bonus]]*TblMili[[#This Row],[Unit 3]]+TblMili[[#This Row],[Ice Elemental bonus]]*TblMili[[#This Row],[Unit 4]]</f>
        <v>0</v>
      </c>
      <c r="CV90" s="273"/>
      <c r="CW90" s="151">
        <f ca="1">MIN(SUM(TblConstr[[#This Row],[Plain]:[Water]])/TblMili[[#This Row],[Land]]/favorable_terrain_bonus/100,favorable_terrain_max)</f>
        <v>0.1</v>
      </c>
      <c r="CX90" s="273"/>
      <c r="CY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50"/>
      <c r="DA90" s="274">
        <f ca="1">(TblMili[[#This Row],[Wizards]]+2*TblMili[[#This Row],[Archmages]])/TblConstr[[#This Row],[Land]]</f>
        <v>0.1</v>
      </c>
      <c r="DB90" s="274">
        <f ca="1">TblMili[[#This Row],[Raw (2)]]*(1+race_wizard_strength+IF(TblMili[[#This Row],[Hour]]&gt;72,tech_magical_weaponry_wiz*TblTech[[#This Row],[3-5]],0))</f>
        <v>0.1</v>
      </c>
    </row>
    <row r="91" spans="1:106" x14ac:dyDescent="0.2">
      <c r="A91" s="145">
        <f>TblRezone[[#This Row],[Hour]]</f>
        <v>88</v>
      </c>
      <c r="B91" s="266">
        <f ca="1">SUM(TblMili[[#This Row],[Unit 1]:[Archmages]])+SUM(OFFSET(TblMili[[#This Row],[Train Unit 1]],-8,0):TblMili[[#This Row],[Train Unit 2]]) + SUM(OFFSET(TblMili[[#This Row],[Train Unit 3]],-11,0):TblMili[[#This Row],[Train Arch]]) + TblMili[[#This Row],[Draftees]]</f>
        <v>826</v>
      </c>
      <c r="C91" s="165">
        <f ca="1">TblPop[[#This Row],[Military%]]</f>
        <v>0.35029686174724345</v>
      </c>
      <c r="D91" s="150"/>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f>
        <v>25</v>
      </c>
      <c r="J91" s="45">
        <f ca="1">OFFSET(TblMili[[#This Row],[Wizards]],-1,0) + OFFSET(TblMili[[#This Row],[Train Wiz]],-12,0) - TblMili[[#This Row],[Release Wizards]]-TblMili[[#This Row],[Train Arch]]</f>
        <v>25</v>
      </c>
      <c r="K91" s="45">
        <f ca="1">OFFSET(TblMili[[#This Row],[Archmages]],-1,0) + OFFSET(TblMili[[#This Row],[Train Arch]],-12,0) - TblMili[[#This Row],[Release Arch]]</f>
        <v>0</v>
      </c>
      <c r="L91" s="150"/>
      <c r="M91" s="97">
        <f ca="1">TblProd[[#This Row],[Networth]]</f>
        <v>6450</v>
      </c>
      <c r="N91" s="150"/>
      <c r="O91" s="267">
        <f ca="1">TblMili[[#This Row],[Unit 1]]*spec_op+TblMili[[#This Row],[Unit 3]]*(elite1_base_op)+TblMili[[#This Row],[Unit 4]]*(elite2_base_op+dark_elf*TblMili[[#This Row],[Spellblade]]+icekin*TblMili[[#This Row],[Ice Elemental]]+woodie*TblMili[[#This Row],[Druid (op)]]+orc*TblMili[[#This Row],[Orc]])+kobold*TblMili[[#This Row],[Overlords]]</f>
        <v>0</v>
      </c>
      <c r="P9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1" s="267">
        <f ca="1">TblMili[[#This Row],[Raw]]*(1+TblMili[[#This Row],[Mods_Off]])</f>
        <v>0</v>
      </c>
      <c r="R9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1" s="267">
        <f ca="1">TblMili[[#This Row],[Non Draft]]+TblMili[[#This Row],[Draftees]]</f>
        <v>1076</v>
      </c>
      <c r="T9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269">
        <f ca="1">TblMili[[#This Row],[Non Draft]] * (1 + TblMili[[#This Row],[Mods_Def]])</f>
        <v>450</v>
      </c>
      <c r="V91" s="267">
        <f ca="1">TblMili[[#This Row],[Draft]] * (1 + TblMili[[#This Row],[Mods_Def]])</f>
        <v>1076</v>
      </c>
      <c r="W91" s="267">
        <f ca="1">TblConstr[[#This Row],[Land]]</f>
        <v>250</v>
      </c>
      <c r="X91" s="270"/>
      <c r="Y91" s="275">
        <f ca="1">IF(TblMili[[#This Row],[Set]]&lt;&gt;"",TblMili[[#This Row],[Set]],OFFSET(TblMili[[#This Row],[Draftrate]],-1,0))</f>
        <v>0.35</v>
      </c>
      <c r="Z91" s="97">
        <f ca="1">OFFSET(TblMili[[#This Row],[Draftees]],-1,0)+OFFSET(TblPop[[#This Row],[Draft Growth]],-1,0) - SUM(TblMili[[#This Row],[Train Unit 1]:[Train Wiz]]) - TblMili[[#This Row],[Release Draft]] + SUM(TblMili[[#This Row],[Release Unit 1]:[Release Arch]]) -TblExplore[[#This Row],[Draftees (2)]]</f>
        <v>626</v>
      </c>
      <c r="AA91" s="162"/>
      <c r="AB91" s="188">
        <f ca="1">(TblConstr[[#This Row],[Tot Smi]]+TblConstr[[#This Row],[Dest Smi]])/(TblConstr[[#This Row],[Land]]-TblExplore[[#This Row],[Land Bonus]]*20)</f>
        <v>0</v>
      </c>
      <c r="AC91" s="145"/>
      <c r="AD91" s="266">
        <f>TblMili[[#This Row],[Hour]]</f>
        <v>88</v>
      </c>
      <c r="AE91" s="146">
        <f ca="1">TblExplore[[#This Row],[Time]]</f>
        <v>44814.374999999789</v>
      </c>
      <c r="AF91" s="187"/>
      <c r="AG91" s="187"/>
      <c r="AH91" s="187"/>
      <c r="AI91" s="187"/>
      <c r="AJ91" s="187"/>
      <c r="AK91" s="187"/>
      <c r="AL91" s="187"/>
      <c r="AM91" s="150"/>
      <c r="AN91" s="97">
        <f ca="1">TblProd[[#This Row],[Platinum]]</f>
        <v>578160</v>
      </c>
      <c r="AO91" s="97">
        <f ca="1">INDEX(TblProd[[#Headers],[Lumber]]:TblProd[[#This Row],[Ore]],COUNTA(TblProd[[#Headers],[Lumber]]:TblProd[[#This Row],[Lumber]]),MATCH(Military!$AO$2,TblProd[[#Headers],[Lumber]:[Ore]],0))</f>
        <v>0</v>
      </c>
      <c r="AP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97">
        <f ca="1">TblMili[[#This Row],[Train Unit 1]]*TblMili[[#This Row],[OP Ore]]+TblMili[[#This Row],[Train Unit 2]]*TblMili[[#This Row],[DP Ore]]+TblMili[[#This Row],[Train Unit 3]]*TblMili[[#This Row],[E1 Ore]]+TblMili[[#This Row],[Train Unit 4]]*TblMili[[#This Row],[E2 Ore]]</f>
        <v>0</v>
      </c>
      <c r="AR91" s="150">
        <f>TblMili[[#This Row],[Hour]]</f>
        <v>88</v>
      </c>
      <c r="AS91" s="160">
        <f ca="1">TblMili[[#This Row],[Time]]</f>
        <v>44814.374999999789</v>
      </c>
      <c r="AT91" s="97">
        <f ca="1">TblMili[[#This Row],[Draftees]]</f>
        <v>626</v>
      </c>
      <c r="AU91" s="187"/>
      <c r="AV91" s="187"/>
      <c r="AW91" s="187"/>
      <c r="AX91" s="187"/>
      <c r="AY91" s="187"/>
      <c r="AZ91" s="187"/>
      <c r="BA91" s="187"/>
      <c r="BB91" s="187"/>
      <c r="BC91" s="150"/>
      <c r="BD91" s="165">
        <f ca="1">TblConstr[[#This Row],[Tot WG]]/TblConstr[[#This Row],[Land]]</f>
        <v>0</v>
      </c>
      <c r="BE91" s="165">
        <f ca="1">TblConstr[[#This Row],[Tot Hav]]/TblConstr[[#This Row],[Land]]</f>
        <v>0</v>
      </c>
      <c r="BF91" s="97">
        <f ca="1">ROUNDUP((1-MIN(TblMili[[#This Row],[Smithies]]*smithy_bonus,smithy_bonus_cap) + tech_3_5*TblTech[[#This Row],[3-5]] + tech_5_3*TblTech[[#This Row],[5-3]] + tech_5_5*TblTech[[#This Row],[5-5]])*spec_op_plat,0)</f>
        <v>275</v>
      </c>
      <c r="BG91" s="97">
        <f ca="1">ROUNDUP(IF(race="Gnome",1,(1-MIN(TblMili[[#This Row],[Smithies]]*smithy_bonus,smithy_bonus_cap) + tech_3_5*TblTech[[#This Row],[3-5]] + tech_5_3*TblTech[[#This Row],[5-3]] + tech_5_5*TblTech[[#This Row],[5-5]]))*spec_op_ore,0)</f>
        <v>25</v>
      </c>
      <c r="BH91" s="97">
        <f ca="1">ROUNDUP((1-MIN(TblMili[[#This Row],[Smithies]]*smithy_bonus,smithy_bonus_cap) + tech_3_5*TblTech[[#This Row],[3-5]] + tech_5_3*TblTech[[#This Row],[5-3]] + tech_5_5*TblTech[[#This Row],[5-5]])*spec_dp_plat,0)</f>
        <v>275</v>
      </c>
      <c r="BI91" s="97">
        <f ca="1">ROUNDUP(IF(race="Gnome",1,(1-MIN(TblMili[[#This Row],[Smithies]]*smithy_bonus,smithy_bonus_cap) + tech_3_5*TblTech[[#This Row],[3-5]] + tech_5_3*TblTech[[#This Row],[5-3]] + tech_5_5*TblTech[[#This Row],[5-5]]))*spec_dp_ore,0)</f>
        <v>15</v>
      </c>
      <c r="BJ91" s="97">
        <f ca="1">ROUNDUP((1-MIN(TblMili[[#This Row],[Smithies]]*smithy_bonus,smithy_bonus_cap) + tech_3_5*TblTech[[#This Row],[3-5]] + tech_5_3*TblTech[[#This Row],[5-3]] + tech_5_5*TblTech[[#This Row],[5-5]])*elite1_plat,0)</f>
        <v>1000</v>
      </c>
      <c r="BK91" s="97">
        <f ca="1">ROUNDUP(IF(race="Gnome",1,(1-MIN(TblMili[[#This Row],[Smithies]]*smithy_bonus,smithy_bonus_cap) + tech_3_5*TblTech[[#This Row],[3-5]] + tech_5_3*TblTech[[#This Row],[5-3]] + tech_5_5*TblTech[[#This Row],[5-5]]))*elite1_ore,0)</f>
        <v>75</v>
      </c>
      <c r="BL91" s="97">
        <f ca="1">ROUNDUP((1-MIN(TblMili[[#This Row],[Smithies]]*smithy_bonus,smithy_bonus_cap) + tech_3_5*TblTech[[#This Row],[3-5]] + tech_5_3*TblTech[[#This Row],[5-3]] + tech_5_5*TblTech[[#This Row],[5-5]])*elite2_plat,0)</f>
        <v>1200</v>
      </c>
      <c r="BM91" s="97">
        <f ca="1">ROUNDUP(IF(race="Gnome",1,(1-MIN(TblMili[[#This Row],[Smithies]]*smithy_bonus,smithy_bonus_cap) + tech_3_5*TblTech[[#This Row],[3-5]] + tech_5_3*TblTech[[#This Row],[5-3]] + tech_5_5*TblTech[[#This Row],[5-5]]))*elite2_ore,0)</f>
        <v>100</v>
      </c>
      <c r="BN91" s="97">
        <f ca="1">ROUNDUP((1-MIN(ROUND(fh_spy_cost_red*TblMili[[#This Row],[FH''s]],4),fh_spy_cost_cap)+ tech_1_9*TblTech[[#This Row],[1-9]] + tech_9_1*TblTech[[#This Row],[9-1]])*spy_plat,0)</f>
        <v>500</v>
      </c>
      <c r="BO91" s="97">
        <f ca="1">ROUNDUP((1-MIN(ROUND(wg_wiz_cost_bonus*TblMili[[#This Row],[WG''s]],4),wg_wiz_cost_cap) + tech_1_9_2*TblTech[[#This Row],[1-9]] + tech_9_1_2*TblTech[[#This Row],[9-1]])*wizard_plat,0)</f>
        <v>500</v>
      </c>
      <c r="BP91" s="97">
        <f ca="1">ROUNDUP((1-MIN(ROUND(wg_wiz_cost_bonus*TblMili[[#This Row],[WG''s]],4),wg_wiz_cost_cap) + tech_1_9_2*TblTech[[#This Row],[1-9]] + tech_9_1_2*TblTech[[#This Row],[9-1]])*archmage_plat,0)</f>
        <v>1000</v>
      </c>
      <c r="BQ91" s="150"/>
      <c r="BR91" s="165">
        <f ca="1">TblConstr[[#This Row],[Homeland]]/TblConstr[[#This Row],[Land]]</f>
        <v>0.44</v>
      </c>
      <c r="BS91" s="165">
        <f ca="1">TblMili[[#This Row],[WG''s]]</f>
        <v>0</v>
      </c>
      <c r="BT91" s="271">
        <f ca="1">IF(mystic_cap="none",TblMili[[#This Row],[Hill]]/mystic_bonus,MIN(mystic_cap,TblMili[[#This Row],[Hill]]/mystic_bonus))</f>
        <v>2.1999999999999997</v>
      </c>
      <c r="BU91" s="271">
        <f ca="1">IF(druid_op_cap="none",TblMili[[#This Row],[Hill]]/druid_op_bonus,MIN(druid_op_cap,TblMili[[#This Row],[Hill]]/druid_op_bonus))</f>
        <v>2.1999999999999997</v>
      </c>
      <c r="BV91" s="271">
        <f ca="1">IF(druid_dp_cap="none",TblMili[[#This Row],[Hill]]/druid_dp_bonus,MIN(druid_dp_cap,TblMili[[#This Row],[Hill]]/druid_dp_bonus))</f>
        <v>2.1999999999999997</v>
      </c>
      <c r="BW91" s="271">
        <f ca="1">MIN(dryad_cap,TblMili[[#This Row],[Hill]]/dryad_bonus)</f>
        <v>2.1999999999999997</v>
      </c>
      <c r="BX91" s="271">
        <f ca="1">MIN(rocka_cap,TblMili[[#This Row],[Hill]]/rocka_bonus)</f>
        <v>2</v>
      </c>
      <c r="BY91" s="271">
        <f ca="1">MIN(adept_op_cap,TblMili[[#This Row],[WG]]/adept_op_bonus)</f>
        <v>0</v>
      </c>
      <c r="BZ91" s="271">
        <f ca="1">MIN(adept_dp_cap,TblMili[[#This Row],[WG]]/adept_dp_bonus)</f>
        <v>0</v>
      </c>
      <c r="CA91" s="97">
        <f ca="1">MIN(TblMili[[#This Row],[Unit 3]],TblMili[[#This Row],[Unit 4]])*2</f>
        <v>0</v>
      </c>
      <c r="CB91" s="97">
        <f ca="1">MIN(TblMili[[#This Row],[Unit 1]],TblMili[[#This Row],[Unit 4]])*2</f>
        <v>0</v>
      </c>
      <c r="CC91" s="271">
        <f ca="1">MIN(frost_mage_cap,TblMili[[#This Row],[Hill]]/frost_mage_bonus)</f>
        <v>2.1999999999999997</v>
      </c>
      <c r="CD91" s="45">
        <f ca="1">MIN(ice_elem_cap,TblMili[[#This Row],[Raw (2)]]*ice_elem_bonus)</f>
        <v>0.1</v>
      </c>
      <c r="CE91" s="271">
        <f t="shared" si="3"/>
        <v>1</v>
      </c>
      <c r="CF91" s="271">
        <f ca="1">MIN(nox_nightshade_cap,TblConstr[[#This Row],[Homeland]]/TblConstr[[#This Row],[Land]]/nox_nightshade_swamp_bonus)</f>
        <v>3</v>
      </c>
      <c r="CG91" s="272"/>
      <c r="CH91" s="272"/>
      <c r="CI91" s="272"/>
      <c r="CJ91" s="271">
        <f ca="1">MIN(6,TblMili[[#This Row],[Mystic]]+Races!$F$19)*1.8 +  IF(TblMili[[#This Row],[Mystic]]+Races!$F$19&gt;6,(TblMili[[#This Row],[Mystic]]+Races!$F$19-6)*0.2,0) - Races!$I$19</f>
        <v>3.6399999999999997</v>
      </c>
      <c r="CK9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97">
        <f ca="1">TblMili[[#This Row],[Mystic bonus]]*TblMili[[#This Row],[Unit 3]]+TblMili[[#This Row],[Druid bonus]]*TblMili[[#This Row],[Unit 4]]</f>
        <v>0</v>
      </c>
      <c r="CM91" s="163">
        <f ca="1">MIN(6,TblMili[[#This Row],[Dryad]]+Races!$F$35)*1.8 +  IF(TblMili[[#This Row],[Dryad]]+Races!$F$35&gt;6,(TblMili[[#This Row],[Dryad]]+Races!$F$35-6)*0.2,0) - Races!$I$19</f>
        <v>2.1599999999999993</v>
      </c>
      <c r="CN91" s="97">
        <f ca="1">sylvan*(TblMili[[#This Row],[Mystic bonus]]*TblMili[[#This Row],[Unit 3]])</f>
        <v>0</v>
      </c>
      <c r="CO91" s="163">
        <f ca="1">1.8 * MIN(MAX(Races!$E$27,TblMili[[#This Row],[Rockapult]]+Races!$F$27),6)  +  0.45 * MIN(MIN(Races!$E$27,TblMili[[#This Row],[Rockapult]]+Races!$F$27),6)  +  0.2 * ( MAX(Races!$E$27-6,0) + MAX(TblMili[[#This Row],[Rockapult]]+Races!$F$27-6,0) )  -  Races!$I$20</f>
        <v>5.8500000000000005</v>
      </c>
      <c r="CP91" s="97">
        <f ca="1">gnome*(TblMili[[#This Row],[Rockapult bonus]]*TblMili[[#This Row],[Unit 3]])</f>
        <v>0</v>
      </c>
      <c r="CQ91" s="163">
        <f ca="1">1.8 * MIN(MAX(TblMili[[#This Row],[Spellblade]]+Races!$E$47,TblMili[[#This Row],[Adept-DP]]+Races!$F$47),6)  +  0.45 * MIN(MIN(TblMili[[#This Row],[Spellblade]]+Races!$E$47,TblMili[[#This Row],[Adept-DP]]+Races!$F$47),6)  +  0.2 * ( MAX(TblMili[[#This Row],[Spellblade]]+Races!$E$47-6,0) + MAX(TblMili[[#This Row],[Adept-DP]]+Races!$F$47-6,0) )  -  Races!$I$47</f>
        <v>0</v>
      </c>
      <c r="CR91" s="97">
        <f ca="1">dark_elf*(TblMili[[#This Row],[Adept bonus]]*TblMili[[#This Row],[Unit 3]])</f>
        <v>0</v>
      </c>
      <c r="CS91" s="163">
        <f ca="1">1.8 * MIN(MAX(TblMili[[#This Row],[Frost Mage]]+Races!$F$71,Races!$E$71),6)  +  0.45 * MIN(MIN(TblMili[[#This Row],[Frost Mage]]+Races!$F$71,Races!$E$71),6)  +  0.2 * ( MAX(TblMili[[#This Row],[Frost Mage]]+Races!$F$71-6,0) + MAX(Races!$E$71-6,0) )  -  Races!$I$71</f>
        <v>3.9599999999999991</v>
      </c>
      <c r="CT91" s="163">
        <f ca="1">1.8 * MIN(MAX(TblMili[[#This Row],[Ice Elemental]]+Races!$E$71,Races!$F$71),6)  +  0.45 * MIN(MIN(TblMili[[#This Row],[Ice Elemental]]+Races!$E$71,Races!$F$71),6)  +  0.2 * ( MAX(TblMili[[#This Row],[Ice Elemental]]+Races!$E$71-6,0) + MAX(Races!$F$71-6,0) )  -  Races!$I$71</f>
        <v>0.17999999999999972</v>
      </c>
      <c r="CU91" s="97">
        <f ca="1">TblMili[[#This Row],[Frost Mage bonus]]*TblMili[[#This Row],[Unit 3]]+TblMili[[#This Row],[Ice Elemental bonus]]*TblMili[[#This Row],[Unit 4]]</f>
        <v>0</v>
      </c>
      <c r="CV91" s="273"/>
      <c r="CW91" s="151">
        <f ca="1">MIN(SUM(TblConstr[[#This Row],[Plain]:[Water]])/TblMili[[#This Row],[Land]]/favorable_terrain_bonus/100,favorable_terrain_max)</f>
        <v>0.1</v>
      </c>
      <c r="CX91" s="273"/>
      <c r="CY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50"/>
      <c r="DA91" s="274">
        <f ca="1">(TblMili[[#This Row],[Wizards]]+2*TblMili[[#This Row],[Archmages]])/TblConstr[[#This Row],[Land]]</f>
        <v>0.1</v>
      </c>
      <c r="DB91" s="274">
        <f ca="1">TblMili[[#This Row],[Raw (2)]]*(1+race_wizard_strength+IF(TblMili[[#This Row],[Hour]]&gt;72,tech_magical_weaponry_wiz*TblTech[[#This Row],[3-5]],0))</f>
        <v>0.1</v>
      </c>
    </row>
    <row r="92" spans="1:106" x14ac:dyDescent="0.2">
      <c r="A92" s="145">
        <f>TblRezone[[#This Row],[Hour]]</f>
        <v>89</v>
      </c>
      <c r="B92" s="266">
        <f ca="1">SUM(TblMili[[#This Row],[Unit 1]:[Archmages]])+SUM(OFFSET(TblMili[[#This Row],[Train Unit 1]],-8,0):TblMili[[#This Row],[Train Unit 2]]) + SUM(OFFSET(TblMili[[#This Row],[Train Unit 3]],-11,0):TblMili[[#This Row],[Train Arch]]) + TblMili[[#This Row],[Draftees]]</f>
        <v>826</v>
      </c>
      <c r="C92" s="165">
        <f ca="1">TblPop[[#This Row],[Military%]]</f>
        <v>0.35029686174724345</v>
      </c>
      <c r="D92" s="150"/>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f>
        <v>25</v>
      </c>
      <c r="J92" s="45">
        <f ca="1">OFFSET(TblMili[[#This Row],[Wizards]],-1,0) + OFFSET(TblMili[[#This Row],[Train Wiz]],-12,0) - TblMili[[#This Row],[Release Wizards]]-TblMili[[#This Row],[Train Arch]]</f>
        <v>25</v>
      </c>
      <c r="K92" s="45">
        <f ca="1">OFFSET(TblMili[[#This Row],[Archmages]],-1,0) + OFFSET(TblMili[[#This Row],[Train Arch]],-12,0) - TblMili[[#This Row],[Release Arch]]</f>
        <v>0</v>
      </c>
      <c r="L92" s="150"/>
      <c r="M92" s="97">
        <f ca="1">TblProd[[#This Row],[Networth]]</f>
        <v>6450</v>
      </c>
      <c r="N92" s="150"/>
      <c r="O92" s="267">
        <f ca="1">TblMili[[#This Row],[Unit 1]]*spec_op+TblMili[[#This Row],[Unit 3]]*(elite1_base_op)+TblMili[[#This Row],[Unit 4]]*(elite2_base_op+dark_elf*TblMili[[#This Row],[Spellblade]]+icekin*TblMili[[#This Row],[Ice Elemental]]+woodie*TblMili[[#This Row],[Druid (op)]]+orc*TblMili[[#This Row],[Orc]])+kobold*TblMili[[#This Row],[Overlords]]</f>
        <v>0</v>
      </c>
      <c r="P9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2" s="267">
        <f ca="1">TblMili[[#This Row],[Raw]]*(1+TblMili[[#This Row],[Mods_Off]])</f>
        <v>0</v>
      </c>
      <c r="R9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2" s="267">
        <f ca="1">TblMili[[#This Row],[Non Draft]]+TblMili[[#This Row],[Draftees]]</f>
        <v>1076</v>
      </c>
      <c r="T9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269">
        <f ca="1">TblMili[[#This Row],[Non Draft]] * (1 + TblMili[[#This Row],[Mods_Def]])</f>
        <v>450</v>
      </c>
      <c r="V92" s="267">
        <f ca="1">TblMili[[#This Row],[Draft]] * (1 + TblMili[[#This Row],[Mods_Def]])</f>
        <v>1076</v>
      </c>
      <c r="W92" s="267">
        <f ca="1">TblConstr[[#This Row],[Land]]</f>
        <v>250</v>
      </c>
      <c r="X92" s="270"/>
      <c r="Y92" s="275">
        <f ca="1">IF(TblMili[[#This Row],[Set]]&lt;&gt;"",TblMili[[#This Row],[Set]],OFFSET(TblMili[[#This Row],[Draftrate]],-1,0))</f>
        <v>0.35</v>
      </c>
      <c r="Z92" s="97">
        <f ca="1">OFFSET(TblMili[[#This Row],[Draftees]],-1,0)+OFFSET(TblPop[[#This Row],[Draft Growth]],-1,0) - SUM(TblMili[[#This Row],[Train Unit 1]:[Train Wiz]]) - TblMili[[#This Row],[Release Draft]] + SUM(TblMili[[#This Row],[Release Unit 1]:[Release Arch]]) -TblExplore[[#This Row],[Draftees (2)]]</f>
        <v>626</v>
      </c>
      <c r="AA92" s="162"/>
      <c r="AB92" s="188">
        <f ca="1">(TblConstr[[#This Row],[Tot Smi]]+TblConstr[[#This Row],[Dest Smi]])/(TblConstr[[#This Row],[Land]]-TblExplore[[#This Row],[Land Bonus]]*20)</f>
        <v>0</v>
      </c>
      <c r="AC92" s="145"/>
      <c r="AD92" s="266">
        <f>TblMili[[#This Row],[Hour]]</f>
        <v>89</v>
      </c>
      <c r="AE92" s="146">
        <f ca="1">TblExplore[[#This Row],[Time]]</f>
        <v>44814.416666666453</v>
      </c>
      <c r="AF92" s="187"/>
      <c r="AG92" s="187"/>
      <c r="AH92" s="187"/>
      <c r="AI92" s="187"/>
      <c r="AJ92" s="187"/>
      <c r="AK92" s="187"/>
      <c r="AL92" s="187"/>
      <c r="AM92" s="150"/>
      <c r="AN92" s="97">
        <f ca="1">TblProd[[#This Row],[Platinum]]</f>
        <v>583646</v>
      </c>
      <c r="AO92" s="97">
        <f ca="1">INDEX(TblProd[[#Headers],[Lumber]]:TblProd[[#This Row],[Ore]],COUNTA(TblProd[[#Headers],[Lumber]]:TblProd[[#This Row],[Lumber]]),MATCH(Military!$AO$2,TblProd[[#Headers],[Lumber]:[Ore]],0))</f>
        <v>0</v>
      </c>
      <c r="AP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97">
        <f ca="1">TblMili[[#This Row],[Train Unit 1]]*TblMili[[#This Row],[OP Ore]]+TblMili[[#This Row],[Train Unit 2]]*TblMili[[#This Row],[DP Ore]]+TblMili[[#This Row],[Train Unit 3]]*TblMili[[#This Row],[E1 Ore]]+TblMili[[#This Row],[Train Unit 4]]*TblMili[[#This Row],[E2 Ore]]</f>
        <v>0</v>
      </c>
      <c r="AR92" s="150">
        <f>TblMili[[#This Row],[Hour]]</f>
        <v>89</v>
      </c>
      <c r="AS92" s="160">
        <f ca="1">TblMili[[#This Row],[Time]]</f>
        <v>44814.416666666453</v>
      </c>
      <c r="AT92" s="97">
        <f ca="1">TblMili[[#This Row],[Draftees]]</f>
        <v>626</v>
      </c>
      <c r="AU92" s="187"/>
      <c r="AV92" s="187"/>
      <c r="AW92" s="187"/>
      <c r="AX92" s="187"/>
      <c r="AY92" s="187"/>
      <c r="AZ92" s="187"/>
      <c r="BA92" s="187"/>
      <c r="BB92" s="187"/>
      <c r="BC92" s="150"/>
      <c r="BD92" s="165">
        <f ca="1">TblConstr[[#This Row],[Tot WG]]/TblConstr[[#This Row],[Land]]</f>
        <v>0</v>
      </c>
      <c r="BE92" s="165">
        <f ca="1">TblConstr[[#This Row],[Tot Hav]]/TblConstr[[#This Row],[Land]]</f>
        <v>0</v>
      </c>
      <c r="BF92" s="97">
        <f ca="1">ROUNDUP((1-MIN(TblMili[[#This Row],[Smithies]]*smithy_bonus,smithy_bonus_cap) + tech_3_5*TblTech[[#This Row],[3-5]] + tech_5_3*TblTech[[#This Row],[5-3]] + tech_5_5*TblTech[[#This Row],[5-5]])*spec_op_plat,0)</f>
        <v>275</v>
      </c>
      <c r="BG92" s="97">
        <f ca="1">ROUNDUP(IF(race="Gnome",1,(1-MIN(TblMili[[#This Row],[Smithies]]*smithy_bonus,smithy_bonus_cap) + tech_3_5*TblTech[[#This Row],[3-5]] + tech_5_3*TblTech[[#This Row],[5-3]] + tech_5_5*TblTech[[#This Row],[5-5]]))*spec_op_ore,0)</f>
        <v>25</v>
      </c>
      <c r="BH92" s="97">
        <f ca="1">ROUNDUP((1-MIN(TblMili[[#This Row],[Smithies]]*smithy_bonus,smithy_bonus_cap) + tech_3_5*TblTech[[#This Row],[3-5]] + tech_5_3*TblTech[[#This Row],[5-3]] + tech_5_5*TblTech[[#This Row],[5-5]])*spec_dp_plat,0)</f>
        <v>275</v>
      </c>
      <c r="BI92" s="97">
        <f ca="1">ROUNDUP(IF(race="Gnome",1,(1-MIN(TblMili[[#This Row],[Smithies]]*smithy_bonus,smithy_bonus_cap) + tech_3_5*TblTech[[#This Row],[3-5]] + tech_5_3*TblTech[[#This Row],[5-3]] + tech_5_5*TblTech[[#This Row],[5-5]]))*spec_dp_ore,0)</f>
        <v>15</v>
      </c>
      <c r="BJ92" s="97">
        <f ca="1">ROUNDUP((1-MIN(TblMili[[#This Row],[Smithies]]*smithy_bonus,smithy_bonus_cap) + tech_3_5*TblTech[[#This Row],[3-5]] + tech_5_3*TblTech[[#This Row],[5-3]] + tech_5_5*TblTech[[#This Row],[5-5]])*elite1_plat,0)</f>
        <v>1000</v>
      </c>
      <c r="BK92" s="97">
        <f ca="1">ROUNDUP(IF(race="Gnome",1,(1-MIN(TblMili[[#This Row],[Smithies]]*smithy_bonus,smithy_bonus_cap) + tech_3_5*TblTech[[#This Row],[3-5]] + tech_5_3*TblTech[[#This Row],[5-3]] + tech_5_5*TblTech[[#This Row],[5-5]]))*elite1_ore,0)</f>
        <v>75</v>
      </c>
      <c r="BL92" s="97">
        <f ca="1">ROUNDUP((1-MIN(TblMili[[#This Row],[Smithies]]*smithy_bonus,smithy_bonus_cap) + tech_3_5*TblTech[[#This Row],[3-5]] + tech_5_3*TblTech[[#This Row],[5-3]] + tech_5_5*TblTech[[#This Row],[5-5]])*elite2_plat,0)</f>
        <v>1200</v>
      </c>
      <c r="BM92" s="97">
        <f ca="1">ROUNDUP(IF(race="Gnome",1,(1-MIN(TblMili[[#This Row],[Smithies]]*smithy_bonus,smithy_bonus_cap) + tech_3_5*TblTech[[#This Row],[3-5]] + tech_5_3*TblTech[[#This Row],[5-3]] + tech_5_5*TblTech[[#This Row],[5-5]]))*elite2_ore,0)</f>
        <v>100</v>
      </c>
      <c r="BN92" s="97">
        <f ca="1">ROUNDUP((1-MIN(ROUND(fh_spy_cost_red*TblMili[[#This Row],[FH''s]],4),fh_spy_cost_cap)+ tech_1_9*TblTech[[#This Row],[1-9]] + tech_9_1*TblTech[[#This Row],[9-1]])*spy_plat,0)</f>
        <v>500</v>
      </c>
      <c r="BO92" s="97">
        <f ca="1">ROUNDUP((1-MIN(ROUND(wg_wiz_cost_bonus*TblMili[[#This Row],[WG''s]],4),wg_wiz_cost_cap) + tech_1_9_2*TblTech[[#This Row],[1-9]] + tech_9_1_2*TblTech[[#This Row],[9-1]])*wizard_plat,0)</f>
        <v>500</v>
      </c>
      <c r="BP92" s="97">
        <f ca="1">ROUNDUP((1-MIN(ROUND(wg_wiz_cost_bonus*TblMili[[#This Row],[WG''s]],4),wg_wiz_cost_cap) + tech_1_9_2*TblTech[[#This Row],[1-9]] + tech_9_1_2*TblTech[[#This Row],[9-1]])*archmage_plat,0)</f>
        <v>1000</v>
      </c>
      <c r="BQ92" s="150"/>
      <c r="BR92" s="165">
        <f ca="1">TblConstr[[#This Row],[Homeland]]/TblConstr[[#This Row],[Land]]</f>
        <v>0.44</v>
      </c>
      <c r="BS92" s="165">
        <f ca="1">TblMili[[#This Row],[WG''s]]</f>
        <v>0</v>
      </c>
      <c r="BT92" s="271">
        <f ca="1">IF(mystic_cap="none",TblMili[[#This Row],[Hill]]/mystic_bonus,MIN(mystic_cap,TblMili[[#This Row],[Hill]]/mystic_bonus))</f>
        <v>2.1999999999999997</v>
      </c>
      <c r="BU92" s="271">
        <f ca="1">IF(druid_op_cap="none",TblMili[[#This Row],[Hill]]/druid_op_bonus,MIN(druid_op_cap,TblMili[[#This Row],[Hill]]/druid_op_bonus))</f>
        <v>2.1999999999999997</v>
      </c>
      <c r="BV92" s="271">
        <f ca="1">IF(druid_dp_cap="none",TblMili[[#This Row],[Hill]]/druid_dp_bonus,MIN(druid_dp_cap,TblMili[[#This Row],[Hill]]/druid_dp_bonus))</f>
        <v>2.1999999999999997</v>
      </c>
      <c r="BW92" s="271">
        <f ca="1">MIN(dryad_cap,TblMili[[#This Row],[Hill]]/dryad_bonus)</f>
        <v>2.1999999999999997</v>
      </c>
      <c r="BX92" s="271">
        <f ca="1">MIN(rocka_cap,TblMili[[#This Row],[Hill]]/rocka_bonus)</f>
        <v>2</v>
      </c>
      <c r="BY92" s="271">
        <f ca="1">MIN(adept_op_cap,TblMili[[#This Row],[WG]]/adept_op_bonus)</f>
        <v>0</v>
      </c>
      <c r="BZ92" s="271">
        <f ca="1">MIN(adept_dp_cap,TblMili[[#This Row],[WG]]/adept_dp_bonus)</f>
        <v>0</v>
      </c>
      <c r="CA92" s="97">
        <f ca="1">MIN(TblMili[[#This Row],[Unit 3]],TblMili[[#This Row],[Unit 4]])*2</f>
        <v>0</v>
      </c>
      <c r="CB92" s="97">
        <f ca="1">MIN(TblMili[[#This Row],[Unit 1]],TblMili[[#This Row],[Unit 4]])*2</f>
        <v>0</v>
      </c>
      <c r="CC92" s="271">
        <f ca="1">MIN(frost_mage_cap,TblMili[[#This Row],[Hill]]/frost_mage_bonus)</f>
        <v>2.1999999999999997</v>
      </c>
      <c r="CD92" s="45">
        <f ca="1">MIN(ice_elem_cap,TblMili[[#This Row],[Raw (2)]]*ice_elem_bonus)</f>
        <v>0.1</v>
      </c>
      <c r="CE92" s="271">
        <f t="shared" si="3"/>
        <v>1</v>
      </c>
      <c r="CF92" s="271">
        <f ca="1">MIN(nox_nightshade_cap,TblConstr[[#This Row],[Homeland]]/TblConstr[[#This Row],[Land]]/nox_nightshade_swamp_bonus)</f>
        <v>3</v>
      </c>
      <c r="CG92" s="272"/>
      <c r="CH92" s="272"/>
      <c r="CI92" s="272"/>
      <c r="CJ92" s="271">
        <f ca="1">MIN(6,TblMili[[#This Row],[Mystic]]+Races!$F$19)*1.8 +  IF(TblMili[[#This Row],[Mystic]]+Races!$F$19&gt;6,(TblMili[[#This Row],[Mystic]]+Races!$F$19-6)*0.2,0) - Races!$I$19</f>
        <v>3.6399999999999997</v>
      </c>
      <c r="CK9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97">
        <f ca="1">TblMili[[#This Row],[Mystic bonus]]*TblMili[[#This Row],[Unit 3]]+TblMili[[#This Row],[Druid bonus]]*TblMili[[#This Row],[Unit 4]]</f>
        <v>0</v>
      </c>
      <c r="CM92" s="163">
        <f ca="1">MIN(6,TblMili[[#This Row],[Dryad]]+Races!$F$35)*1.8 +  IF(TblMili[[#This Row],[Dryad]]+Races!$F$35&gt;6,(TblMili[[#This Row],[Dryad]]+Races!$F$35-6)*0.2,0) - Races!$I$19</f>
        <v>2.1599999999999993</v>
      </c>
      <c r="CN92" s="97">
        <f ca="1">sylvan*(TblMili[[#This Row],[Mystic bonus]]*TblMili[[#This Row],[Unit 3]])</f>
        <v>0</v>
      </c>
      <c r="CO92" s="163">
        <f ca="1">1.8 * MIN(MAX(Races!$E$27,TblMili[[#This Row],[Rockapult]]+Races!$F$27),6)  +  0.45 * MIN(MIN(Races!$E$27,TblMili[[#This Row],[Rockapult]]+Races!$F$27),6)  +  0.2 * ( MAX(Races!$E$27-6,0) + MAX(TblMili[[#This Row],[Rockapult]]+Races!$F$27-6,0) )  -  Races!$I$20</f>
        <v>5.8500000000000005</v>
      </c>
      <c r="CP92" s="97">
        <f ca="1">gnome*(TblMili[[#This Row],[Rockapult bonus]]*TblMili[[#This Row],[Unit 3]])</f>
        <v>0</v>
      </c>
      <c r="CQ92" s="163">
        <f ca="1">1.8 * MIN(MAX(TblMili[[#This Row],[Spellblade]]+Races!$E$47,TblMili[[#This Row],[Adept-DP]]+Races!$F$47),6)  +  0.45 * MIN(MIN(TblMili[[#This Row],[Spellblade]]+Races!$E$47,TblMili[[#This Row],[Adept-DP]]+Races!$F$47),6)  +  0.2 * ( MAX(TblMili[[#This Row],[Spellblade]]+Races!$E$47-6,0) + MAX(TblMili[[#This Row],[Adept-DP]]+Races!$F$47-6,0) )  -  Races!$I$47</f>
        <v>0</v>
      </c>
      <c r="CR92" s="97">
        <f ca="1">dark_elf*(TblMili[[#This Row],[Adept bonus]]*TblMili[[#This Row],[Unit 3]])</f>
        <v>0</v>
      </c>
      <c r="CS92" s="163">
        <f ca="1">1.8 * MIN(MAX(TblMili[[#This Row],[Frost Mage]]+Races!$F$71,Races!$E$71),6)  +  0.45 * MIN(MIN(TblMili[[#This Row],[Frost Mage]]+Races!$F$71,Races!$E$71),6)  +  0.2 * ( MAX(TblMili[[#This Row],[Frost Mage]]+Races!$F$71-6,0) + MAX(Races!$E$71-6,0) )  -  Races!$I$71</f>
        <v>3.9599999999999991</v>
      </c>
      <c r="CT92" s="163">
        <f ca="1">1.8 * MIN(MAX(TblMili[[#This Row],[Ice Elemental]]+Races!$E$71,Races!$F$71),6)  +  0.45 * MIN(MIN(TblMili[[#This Row],[Ice Elemental]]+Races!$E$71,Races!$F$71),6)  +  0.2 * ( MAX(TblMili[[#This Row],[Ice Elemental]]+Races!$E$71-6,0) + MAX(Races!$F$71-6,0) )  -  Races!$I$71</f>
        <v>0.17999999999999972</v>
      </c>
      <c r="CU92" s="97">
        <f ca="1">TblMili[[#This Row],[Frost Mage bonus]]*TblMili[[#This Row],[Unit 3]]+TblMili[[#This Row],[Ice Elemental bonus]]*TblMili[[#This Row],[Unit 4]]</f>
        <v>0</v>
      </c>
      <c r="CV92" s="273"/>
      <c r="CW92" s="151">
        <f ca="1">MIN(SUM(TblConstr[[#This Row],[Plain]:[Water]])/TblMili[[#This Row],[Land]]/favorable_terrain_bonus/100,favorable_terrain_max)</f>
        <v>0.1</v>
      </c>
      <c r="CX92" s="273"/>
      <c r="CY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50"/>
      <c r="DA92" s="274">
        <f ca="1">(TblMili[[#This Row],[Wizards]]+2*TblMili[[#This Row],[Archmages]])/TblConstr[[#This Row],[Land]]</f>
        <v>0.1</v>
      </c>
      <c r="DB92" s="274">
        <f ca="1">TblMili[[#This Row],[Raw (2)]]*(1+race_wizard_strength+IF(TblMili[[#This Row],[Hour]]&gt;72,tech_magical_weaponry_wiz*TblTech[[#This Row],[3-5]],0))</f>
        <v>0.1</v>
      </c>
    </row>
    <row r="93" spans="1:106" x14ac:dyDescent="0.2">
      <c r="A93" s="145">
        <f>TblRezone[[#This Row],[Hour]]</f>
        <v>90</v>
      </c>
      <c r="B93" s="266">
        <f ca="1">SUM(TblMili[[#This Row],[Unit 1]:[Archmages]])+SUM(OFFSET(TblMili[[#This Row],[Train Unit 1]],-8,0):TblMili[[#This Row],[Train Unit 2]]) + SUM(OFFSET(TblMili[[#This Row],[Train Unit 3]],-11,0):TblMili[[#This Row],[Train Arch]]) + TblMili[[#This Row],[Draftees]]</f>
        <v>826</v>
      </c>
      <c r="C93" s="165">
        <f ca="1">TblPop[[#This Row],[Military%]]</f>
        <v>0.35029686174724345</v>
      </c>
      <c r="D93" s="150"/>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f>
        <v>25</v>
      </c>
      <c r="J93" s="45">
        <f ca="1">OFFSET(TblMili[[#This Row],[Wizards]],-1,0) + OFFSET(TblMili[[#This Row],[Train Wiz]],-12,0) - TblMili[[#This Row],[Release Wizards]]-TblMili[[#This Row],[Train Arch]]</f>
        <v>25</v>
      </c>
      <c r="K93" s="45">
        <f ca="1">OFFSET(TblMili[[#This Row],[Archmages]],-1,0) + OFFSET(TblMili[[#This Row],[Train Arch]],-12,0) - TblMili[[#This Row],[Release Arch]]</f>
        <v>0</v>
      </c>
      <c r="L93" s="150"/>
      <c r="M93" s="97">
        <f ca="1">TblProd[[#This Row],[Networth]]</f>
        <v>6450</v>
      </c>
      <c r="N93" s="150"/>
      <c r="O93" s="267">
        <f ca="1">TblMili[[#This Row],[Unit 1]]*spec_op+TblMili[[#This Row],[Unit 3]]*(elite1_base_op)+TblMili[[#This Row],[Unit 4]]*(elite2_base_op+dark_elf*TblMili[[#This Row],[Spellblade]]+icekin*TblMili[[#This Row],[Ice Elemental]]+woodie*TblMili[[#This Row],[Druid (op)]]+orc*TblMili[[#This Row],[Orc]])+kobold*TblMili[[#This Row],[Overlords]]</f>
        <v>0</v>
      </c>
      <c r="P9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3" s="267">
        <f ca="1">TblMili[[#This Row],[Raw]]*(1+TblMili[[#This Row],[Mods_Off]])</f>
        <v>0</v>
      </c>
      <c r="R9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3" s="267">
        <f ca="1">TblMili[[#This Row],[Non Draft]]+TblMili[[#This Row],[Draftees]]</f>
        <v>1076</v>
      </c>
      <c r="T9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269">
        <f ca="1">TblMili[[#This Row],[Non Draft]] * (1 + TblMili[[#This Row],[Mods_Def]])</f>
        <v>450</v>
      </c>
      <c r="V93" s="267">
        <f ca="1">TblMili[[#This Row],[Draft]] * (1 + TblMili[[#This Row],[Mods_Def]])</f>
        <v>1076</v>
      </c>
      <c r="W93" s="267">
        <f ca="1">TblConstr[[#This Row],[Land]]</f>
        <v>250</v>
      </c>
      <c r="X93" s="270"/>
      <c r="Y93" s="275">
        <f ca="1">IF(TblMili[[#This Row],[Set]]&lt;&gt;"",TblMili[[#This Row],[Set]],OFFSET(TblMili[[#This Row],[Draftrate]],-1,0))</f>
        <v>0.35</v>
      </c>
      <c r="Z93" s="97">
        <f ca="1">OFFSET(TblMili[[#This Row],[Draftees]],-1,0)+OFFSET(TblPop[[#This Row],[Draft Growth]],-1,0) - SUM(TblMili[[#This Row],[Train Unit 1]:[Train Wiz]]) - TblMili[[#This Row],[Release Draft]] + SUM(TblMili[[#This Row],[Release Unit 1]:[Release Arch]]) -TblExplore[[#This Row],[Draftees (2)]]</f>
        <v>626</v>
      </c>
      <c r="AA93" s="162"/>
      <c r="AB93" s="188">
        <f ca="1">(TblConstr[[#This Row],[Tot Smi]]+TblConstr[[#This Row],[Dest Smi]])/(TblConstr[[#This Row],[Land]]-TblExplore[[#This Row],[Land Bonus]]*20)</f>
        <v>0</v>
      </c>
      <c r="AC93" s="145"/>
      <c r="AD93" s="266">
        <f>TblMili[[#This Row],[Hour]]</f>
        <v>90</v>
      </c>
      <c r="AE93" s="146">
        <f ca="1">TblExplore[[#This Row],[Time]]</f>
        <v>44814.458333333117</v>
      </c>
      <c r="AF93" s="187"/>
      <c r="AG93" s="187"/>
      <c r="AH93" s="187"/>
      <c r="AI93" s="187"/>
      <c r="AJ93" s="187"/>
      <c r="AK93" s="187"/>
      <c r="AL93" s="187"/>
      <c r="AM93" s="150"/>
      <c r="AN93" s="97">
        <f ca="1">TblProd[[#This Row],[Platinum]]</f>
        <v>589132</v>
      </c>
      <c r="AO93" s="97">
        <f ca="1">INDEX(TblProd[[#Headers],[Lumber]]:TblProd[[#This Row],[Ore]],COUNTA(TblProd[[#Headers],[Lumber]]:TblProd[[#This Row],[Lumber]]),MATCH(Military!$AO$2,TblProd[[#Headers],[Lumber]:[Ore]],0))</f>
        <v>0</v>
      </c>
      <c r="AP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97">
        <f ca="1">TblMili[[#This Row],[Train Unit 1]]*TblMili[[#This Row],[OP Ore]]+TblMili[[#This Row],[Train Unit 2]]*TblMili[[#This Row],[DP Ore]]+TblMili[[#This Row],[Train Unit 3]]*TblMili[[#This Row],[E1 Ore]]+TblMili[[#This Row],[Train Unit 4]]*TblMili[[#This Row],[E2 Ore]]</f>
        <v>0</v>
      </c>
      <c r="AR93" s="150">
        <f>TblMili[[#This Row],[Hour]]</f>
        <v>90</v>
      </c>
      <c r="AS93" s="160">
        <f ca="1">TblMili[[#This Row],[Time]]</f>
        <v>44814.458333333117</v>
      </c>
      <c r="AT93" s="97">
        <f ca="1">TblMili[[#This Row],[Draftees]]</f>
        <v>626</v>
      </c>
      <c r="AU93" s="187"/>
      <c r="AV93" s="187"/>
      <c r="AW93" s="187"/>
      <c r="AX93" s="187"/>
      <c r="AY93" s="187"/>
      <c r="AZ93" s="187"/>
      <c r="BA93" s="187"/>
      <c r="BB93" s="187"/>
      <c r="BC93" s="150"/>
      <c r="BD93" s="165">
        <f ca="1">TblConstr[[#This Row],[Tot WG]]/TblConstr[[#This Row],[Land]]</f>
        <v>0</v>
      </c>
      <c r="BE93" s="165">
        <f ca="1">TblConstr[[#This Row],[Tot Hav]]/TblConstr[[#This Row],[Land]]</f>
        <v>0</v>
      </c>
      <c r="BF93" s="97">
        <f ca="1">ROUNDUP((1-MIN(TblMili[[#This Row],[Smithies]]*smithy_bonus,smithy_bonus_cap) + tech_3_5*TblTech[[#This Row],[3-5]] + tech_5_3*TblTech[[#This Row],[5-3]] + tech_5_5*TblTech[[#This Row],[5-5]])*spec_op_plat,0)</f>
        <v>275</v>
      </c>
      <c r="BG93" s="97">
        <f ca="1">ROUNDUP(IF(race="Gnome",1,(1-MIN(TblMili[[#This Row],[Smithies]]*smithy_bonus,smithy_bonus_cap) + tech_3_5*TblTech[[#This Row],[3-5]] + tech_5_3*TblTech[[#This Row],[5-3]] + tech_5_5*TblTech[[#This Row],[5-5]]))*spec_op_ore,0)</f>
        <v>25</v>
      </c>
      <c r="BH93" s="97">
        <f ca="1">ROUNDUP((1-MIN(TblMili[[#This Row],[Smithies]]*smithy_bonus,smithy_bonus_cap) + tech_3_5*TblTech[[#This Row],[3-5]] + tech_5_3*TblTech[[#This Row],[5-3]] + tech_5_5*TblTech[[#This Row],[5-5]])*spec_dp_plat,0)</f>
        <v>275</v>
      </c>
      <c r="BI93" s="97">
        <f ca="1">ROUNDUP(IF(race="Gnome",1,(1-MIN(TblMili[[#This Row],[Smithies]]*smithy_bonus,smithy_bonus_cap) + tech_3_5*TblTech[[#This Row],[3-5]] + tech_5_3*TblTech[[#This Row],[5-3]] + tech_5_5*TblTech[[#This Row],[5-5]]))*spec_dp_ore,0)</f>
        <v>15</v>
      </c>
      <c r="BJ93" s="97">
        <f ca="1">ROUNDUP((1-MIN(TblMili[[#This Row],[Smithies]]*smithy_bonus,smithy_bonus_cap) + tech_3_5*TblTech[[#This Row],[3-5]] + tech_5_3*TblTech[[#This Row],[5-3]] + tech_5_5*TblTech[[#This Row],[5-5]])*elite1_plat,0)</f>
        <v>1000</v>
      </c>
      <c r="BK93" s="97">
        <f ca="1">ROUNDUP(IF(race="Gnome",1,(1-MIN(TblMili[[#This Row],[Smithies]]*smithy_bonus,smithy_bonus_cap) + tech_3_5*TblTech[[#This Row],[3-5]] + tech_5_3*TblTech[[#This Row],[5-3]] + tech_5_5*TblTech[[#This Row],[5-5]]))*elite1_ore,0)</f>
        <v>75</v>
      </c>
      <c r="BL93" s="97">
        <f ca="1">ROUNDUP((1-MIN(TblMili[[#This Row],[Smithies]]*smithy_bonus,smithy_bonus_cap) + tech_3_5*TblTech[[#This Row],[3-5]] + tech_5_3*TblTech[[#This Row],[5-3]] + tech_5_5*TblTech[[#This Row],[5-5]])*elite2_plat,0)</f>
        <v>1200</v>
      </c>
      <c r="BM93" s="97">
        <f ca="1">ROUNDUP(IF(race="Gnome",1,(1-MIN(TblMili[[#This Row],[Smithies]]*smithy_bonus,smithy_bonus_cap) + tech_3_5*TblTech[[#This Row],[3-5]] + tech_5_3*TblTech[[#This Row],[5-3]] + tech_5_5*TblTech[[#This Row],[5-5]]))*elite2_ore,0)</f>
        <v>100</v>
      </c>
      <c r="BN93" s="97">
        <f ca="1">ROUNDUP((1-MIN(ROUND(fh_spy_cost_red*TblMili[[#This Row],[FH''s]],4),fh_spy_cost_cap)+ tech_1_9*TblTech[[#This Row],[1-9]] + tech_9_1*TblTech[[#This Row],[9-1]])*spy_plat,0)</f>
        <v>500</v>
      </c>
      <c r="BO93" s="97">
        <f ca="1">ROUNDUP((1-MIN(ROUND(wg_wiz_cost_bonus*TblMili[[#This Row],[WG''s]],4),wg_wiz_cost_cap) + tech_1_9_2*TblTech[[#This Row],[1-9]] + tech_9_1_2*TblTech[[#This Row],[9-1]])*wizard_plat,0)</f>
        <v>500</v>
      </c>
      <c r="BP93" s="97">
        <f ca="1">ROUNDUP((1-MIN(ROUND(wg_wiz_cost_bonus*TblMili[[#This Row],[WG''s]],4),wg_wiz_cost_cap) + tech_1_9_2*TblTech[[#This Row],[1-9]] + tech_9_1_2*TblTech[[#This Row],[9-1]])*archmage_plat,0)</f>
        <v>1000</v>
      </c>
      <c r="BQ93" s="150"/>
      <c r="BR93" s="165">
        <f ca="1">TblConstr[[#This Row],[Homeland]]/TblConstr[[#This Row],[Land]]</f>
        <v>0.44</v>
      </c>
      <c r="BS93" s="165">
        <f ca="1">TblMili[[#This Row],[WG''s]]</f>
        <v>0</v>
      </c>
      <c r="BT93" s="271">
        <f ca="1">IF(mystic_cap="none",TblMili[[#This Row],[Hill]]/mystic_bonus,MIN(mystic_cap,TblMili[[#This Row],[Hill]]/mystic_bonus))</f>
        <v>2.1999999999999997</v>
      </c>
      <c r="BU93" s="271">
        <f ca="1">IF(druid_op_cap="none",TblMili[[#This Row],[Hill]]/druid_op_bonus,MIN(druid_op_cap,TblMili[[#This Row],[Hill]]/druid_op_bonus))</f>
        <v>2.1999999999999997</v>
      </c>
      <c r="BV93" s="271">
        <f ca="1">IF(druid_dp_cap="none",TblMili[[#This Row],[Hill]]/druid_dp_bonus,MIN(druid_dp_cap,TblMili[[#This Row],[Hill]]/druid_dp_bonus))</f>
        <v>2.1999999999999997</v>
      </c>
      <c r="BW93" s="271">
        <f ca="1">MIN(dryad_cap,TblMili[[#This Row],[Hill]]/dryad_bonus)</f>
        <v>2.1999999999999997</v>
      </c>
      <c r="BX93" s="271">
        <f ca="1">MIN(rocka_cap,TblMili[[#This Row],[Hill]]/rocka_bonus)</f>
        <v>2</v>
      </c>
      <c r="BY93" s="271">
        <f ca="1">MIN(adept_op_cap,TblMili[[#This Row],[WG]]/adept_op_bonus)</f>
        <v>0</v>
      </c>
      <c r="BZ93" s="271">
        <f ca="1">MIN(adept_dp_cap,TblMili[[#This Row],[WG]]/adept_dp_bonus)</f>
        <v>0</v>
      </c>
      <c r="CA93" s="97">
        <f ca="1">MIN(TblMili[[#This Row],[Unit 3]],TblMili[[#This Row],[Unit 4]])*2</f>
        <v>0</v>
      </c>
      <c r="CB93" s="97">
        <f ca="1">MIN(TblMili[[#This Row],[Unit 1]],TblMili[[#This Row],[Unit 4]])*2</f>
        <v>0</v>
      </c>
      <c r="CC93" s="271">
        <f ca="1">MIN(frost_mage_cap,TblMili[[#This Row],[Hill]]/frost_mage_bonus)</f>
        <v>2.1999999999999997</v>
      </c>
      <c r="CD93" s="45">
        <f ca="1">MIN(ice_elem_cap,TblMili[[#This Row],[Raw (2)]]*ice_elem_bonus)</f>
        <v>0.1</v>
      </c>
      <c r="CE93" s="271">
        <f t="shared" si="3"/>
        <v>1</v>
      </c>
      <c r="CF93" s="271">
        <f ca="1">MIN(nox_nightshade_cap,TblConstr[[#This Row],[Homeland]]/TblConstr[[#This Row],[Land]]/nox_nightshade_swamp_bonus)</f>
        <v>3</v>
      </c>
      <c r="CG93" s="272"/>
      <c r="CH93" s="272"/>
      <c r="CI93" s="272"/>
      <c r="CJ93" s="271">
        <f ca="1">MIN(6,TblMili[[#This Row],[Mystic]]+Races!$F$19)*1.8 +  IF(TblMili[[#This Row],[Mystic]]+Races!$F$19&gt;6,(TblMili[[#This Row],[Mystic]]+Races!$F$19-6)*0.2,0) - Races!$I$19</f>
        <v>3.6399999999999997</v>
      </c>
      <c r="CK9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97">
        <f ca="1">TblMili[[#This Row],[Mystic bonus]]*TblMili[[#This Row],[Unit 3]]+TblMili[[#This Row],[Druid bonus]]*TblMili[[#This Row],[Unit 4]]</f>
        <v>0</v>
      </c>
      <c r="CM93" s="163">
        <f ca="1">MIN(6,TblMili[[#This Row],[Dryad]]+Races!$F$35)*1.8 +  IF(TblMili[[#This Row],[Dryad]]+Races!$F$35&gt;6,(TblMili[[#This Row],[Dryad]]+Races!$F$35-6)*0.2,0) - Races!$I$19</f>
        <v>2.1599999999999993</v>
      </c>
      <c r="CN93" s="97">
        <f ca="1">sylvan*(TblMili[[#This Row],[Mystic bonus]]*TblMili[[#This Row],[Unit 3]])</f>
        <v>0</v>
      </c>
      <c r="CO93" s="163">
        <f ca="1">1.8 * MIN(MAX(Races!$E$27,TblMili[[#This Row],[Rockapult]]+Races!$F$27),6)  +  0.45 * MIN(MIN(Races!$E$27,TblMili[[#This Row],[Rockapult]]+Races!$F$27),6)  +  0.2 * ( MAX(Races!$E$27-6,0) + MAX(TblMili[[#This Row],[Rockapult]]+Races!$F$27-6,0) )  -  Races!$I$20</f>
        <v>5.8500000000000005</v>
      </c>
      <c r="CP93" s="97">
        <f ca="1">gnome*(TblMili[[#This Row],[Rockapult bonus]]*TblMili[[#This Row],[Unit 3]])</f>
        <v>0</v>
      </c>
      <c r="CQ93" s="163">
        <f ca="1">1.8 * MIN(MAX(TblMili[[#This Row],[Spellblade]]+Races!$E$47,TblMili[[#This Row],[Adept-DP]]+Races!$F$47),6)  +  0.45 * MIN(MIN(TblMili[[#This Row],[Spellblade]]+Races!$E$47,TblMili[[#This Row],[Adept-DP]]+Races!$F$47),6)  +  0.2 * ( MAX(TblMili[[#This Row],[Spellblade]]+Races!$E$47-6,0) + MAX(TblMili[[#This Row],[Adept-DP]]+Races!$F$47-6,0) )  -  Races!$I$47</f>
        <v>0</v>
      </c>
      <c r="CR93" s="97">
        <f ca="1">dark_elf*(TblMili[[#This Row],[Adept bonus]]*TblMili[[#This Row],[Unit 3]])</f>
        <v>0</v>
      </c>
      <c r="CS93" s="163">
        <f ca="1">1.8 * MIN(MAX(TblMili[[#This Row],[Frost Mage]]+Races!$F$71,Races!$E$71),6)  +  0.45 * MIN(MIN(TblMili[[#This Row],[Frost Mage]]+Races!$F$71,Races!$E$71),6)  +  0.2 * ( MAX(TblMili[[#This Row],[Frost Mage]]+Races!$F$71-6,0) + MAX(Races!$E$71-6,0) )  -  Races!$I$71</f>
        <v>3.9599999999999991</v>
      </c>
      <c r="CT93" s="163">
        <f ca="1">1.8 * MIN(MAX(TblMili[[#This Row],[Ice Elemental]]+Races!$E$71,Races!$F$71),6)  +  0.45 * MIN(MIN(TblMili[[#This Row],[Ice Elemental]]+Races!$E$71,Races!$F$71),6)  +  0.2 * ( MAX(TblMili[[#This Row],[Ice Elemental]]+Races!$E$71-6,0) + MAX(Races!$F$71-6,0) )  -  Races!$I$71</f>
        <v>0.17999999999999972</v>
      </c>
      <c r="CU93" s="97">
        <f ca="1">TblMili[[#This Row],[Frost Mage bonus]]*TblMili[[#This Row],[Unit 3]]+TblMili[[#This Row],[Ice Elemental bonus]]*TblMili[[#This Row],[Unit 4]]</f>
        <v>0</v>
      </c>
      <c r="CV93" s="273"/>
      <c r="CW93" s="151">
        <f ca="1">MIN(SUM(TblConstr[[#This Row],[Plain]:[Water]])/TblMili[[#This Row],[Land]]/favorable_terrain_bonus/100,favorable_terrain_max)</f>
        <v>0.1</v>
      </c>
      <c r="CX93" s="273"/>
      <c r="CY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50"/>
      <c r="DA93" s="274">
        <f ca="1">(TblMili[[#This Row],[Wizards]]+2*TblMili[[#This Row],[Archmages]])/TblConstr[[#This Row],[Land]]</f>
        <v>0.1</v>
      </c>
      <c r="DB93" s="274">
        <f ca="1">TblMili[[#This Row],[Raw (2)]]*(1+race_wizard_strength+IF(TblMili[[#This Row],[Hour]]&gt;72,tech_magical_weaponry_wiz*TblTech[[#This Row],[3-5]],0))</f>
        <v>0.1</v>
      </c>
    </row>
    <row r="94" spans="1:106" x14ac:dyDescent="0.2">
      <c r="A94" s="145">
        <f>TblRezone[[#This Row],[Hour]]</f>
        <v>91</v>
      </c>
      <c r="B94" s="266">
        <f ca="1">SUM(TblMili[[#This Row],[Unit 1]:[Archmages]])+SUM(OFFSET(TblMili[[#This Row],[Train Unit 1]],-8,0):TblMili[[#This Row],[Train Unit 2]]) + SUM(OFFSET(TblMili[[#This Row],[Train Unit 3]],-11,0):TblMili[[#This Row],[Train Arch]]) + TblMili[[#This Row],[Draftees]]</f>
        <v>826</v>
      </c>
      <c r="C94" s="165">
        <f ca="1">TblPop[[#This Row],[Military%]]</f>
        <v>0.35029686174724345</v>
      </c>
      <c r="D94" s="150"/>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f>
        <v>25</v>
      </c>
      <c r="J94" s="45">
        <f ca="1">OFFSET(TblMili[[#This Row],[Wizards]],-1,0) + OFFSET(TblMili[[#This Row],[Train Wiz]],-12,0) - TblMili[[#This Row],[Release Wizards]]-TblMili[[#This Row],[Train Arch]]</f>
        <v>25</v>
      </c>
      <c r="K94" s="45">
        <f ca="1">OFFSET(TblMili[[#This Row],[Archmages]],-1,0) + OFFSET(TblMili[[#This Row],[Train Arch]],-12,0) - TblMili[[#This Row],[Release Arch]]</f>
        <v>0</v>
      </c>
      <c r="L94" s="150"/>
      <c r="M94" s="97">
        <f ca="1">TblProd[[#This Row],[Networth]]</f>
        <v>6450</v>
      </c>
      <c r="N94" s="150"/>
      <c r="O94" s="267">
        <f ca="1">TblMili[[#This Row],[Unit 1]]*spec_op+TblMili[[#This Row],[Unit 3]]*(elite1_base_op)+TblMili[[#This Row],[Unit 4]]*(elite2_base_op+dark_elf*TblMili[[#This Row],[Spellblade]]+icekin*TblMili[[#This Row],[Ice Elemental]]+woodie*TblMili[[#This Row],[Druid (op)]]+orc*TblMili[[#This Row],[Orc]])+kobold*TblMili[[#This Row],[Overlords]]</f>
        <v>0</v>
      </c>
      <c r="P9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4" s="267">
        <f ca="1">TblMili[[#This Row],[Raw]]*(1+TblMili[[#This Row],[Mods_Off]])</f>
        <v>0</v>
      </c>
      <c r="R9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4" s="267">
        <f ca="1">TblMili[[#This Row],[Non Draft]]+TblMili[[#This Row],[Draftees]]</f>
        <v>1076</v>
      </c>
      <c r="T9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269">
        <f ca="1">TblMili[[#This Row],[Non Draft]] * (1 + TblMili[[#This Row],[Mods_Def]])</f>
        <v>450</v>
      </c>
      <c r="V94" s="267">
        <f ca="1">TblMili[[#This Row],[Draft]] * (1 + TblMili[[#This Row],[Mods_Def]])</f>
        <v>1076</v>
      </c>
      <c r="W94" s="267">
        <f ca="1">TblConstr[[#This Row],[Land]]</f>
        <v>250</v>
      </c>
      <c r="X94" s="270"/>
      <c r="Y94" s="275">
        <f ca="1">IF(TblMili[[#This Row],[Set]]&lt;&gt;"",TblMili[[#This Row],[Set]],OFFSET(TblMili[[#This Row],[Draftrate]],-1,0))</f>
        <v>0.35</v>
      </c>
      <c r="Z94" s="97">
        <f ca="1">OFFSET(TblMili[[#This Row],[Draftees]],-1,0)+OFFSET(TblPop[[#This Row],[Draft Growth]],-1,0) - SUM(TblMili[[#This Row],[Train Unit 1]:[Train Wiz]]) - TblMili[[#This Row],[Release Draft]] + SUM(TblMili[[#This Row],[Release Unit 1]:[Release Arch]]) -TblExplore[[#This Row],[Draftees (2)]]</f>
        <v>626</v>
      </c>
      <c r="AA94" s="162"/>
      <c r="AB94" s="188">
        <f ca="1">(TblConstr[[#This Row],[Tot Smi]]+TblConstr[[#This Row],[Dest Smi]])/(TblConstr[[#This Row],[Land]]-TblExplore[[#This Row],[Land Bonus]]*20)</f>
        <v>0</v>
      </c>
      <c r="AC94" s="145"/>
      <c r="AD94" s="266">
        <f>TblMili[[#This Row],[Hour]]</f>
        <v>91</v>
      </c>
      <c r="AE94" s="146">
        <f ca="1">TblExplore[[#This Row],[Time]]</f>
        <v>44814.499999999782</v>
      </c>
      <c r="AF94" s="187"/>
      <c r="AG94" s="187"/>
      <c r="AH94" s="187"/>
      <c r="AI94" s="187"/>
      <c r="AJ94" s="187"/>
      <c r="AK94" s="187"/>
      <c r="AL94" s="187"/>
      <c r="AM94" s="150"/>
      <c r="AN94" s="97">
        <f ca="1">TblProd[[#This Row],[Platinum]]</f>
        <v>594618</v>
      </c>
      <c r="AO94" s="97">
        <f ca="1">INDEX(TblProd[[#Headers],[Lumber]]:TblProd[[#This Row],[Ore]],COUNTA(TblProd[[#Headers],[Lumber]]:TblProd[[#This Row],[Lumber]]),MATCH(Military!$AO$2,TblProd[[#Headers],[Lumber]:[Ore]],0))</f>
        <v>0</v>
      </c>
      <c r="AP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97">
        <f ca="1">TblMili[[#This Row],[Train Unit 1]]*TblMili[[#This Row],[OP Ore]]+TblMili[[#This Row],[Train Unit 2]]*TblMili[[#This Row],[DP Ore]]+TblMili[[#This Row],[Train Unit 3]]*TblMili[[#This Row],[E1 Ore]]+TblMili[[#This Row],[Train Unit 4]]*TblMili[[#This Row],[E2 Ore]]</f>
        <v>0</v>
      </c>
      <c r="AR94" s="150">
        <f>TblMili[[#This Row],[Hour]]</f>
        <v>91</v>
      </c>
      <c r="AS94" s="160">
        <f ca="1">TblMili[[#This Row],[Time]]</f>
        <v>44814.499999999782</v>
      </c>
      <c r="AT94" s="97">
        <f ca="1">TblMili[[#This Row],[Draftees]]</f>
        <v>626</v>
      </c>
      <c r="AU94" s="187"/>
      <c r="AV94" s="187"/>
      <c r="AW94" s="187"/>
      <c r="AX94" s="187"/>
      <c r="AY94" s="187"/>
      <c r="AZ94" s="187"/>
      <c r="BA94" s="187"/>
      <c r="BB94" s="187"/>
      <c r="BC94" s="150"/>
      <c r="BD94" s="165">
        <f ca="1">TblConstr[[#This Row],[Tot WG]]/TblConstr[[#This Row],[Land]]</f>
        <v>0</v>
      </c>
      <c r="BE94" s="165">
        <f ca="1">TblConstr[[#This Row],[Tot Hav]]/TblConstr[[#This Row],[Land]]</f>
        <v>0</v>
      </c>
      <c r="BF94" s="97">
        <f ca="1">ROUNDUP((1-MIN(TblMili[[#This Row],[Smithies]]*smithy_bonus,smithy_bonus_cap) + tech_3_5*TblTech[[#This Row],[3-5]] + tech_5_3*TblTech[[#This Row],[5-3]] + tech_5_5*TblTech[[#This Row],[5-5]])*spec_op_plat,0)</f>
        <v>275</v>
      </c>
      <c r="BG94" s="97">
        <f ca="1">ROUNDUP(IF(race="Gnome",1,(1-MIN(TblMili[[#This Row],[Smithies]]*smithy_bonus,smithy_bonus_cap) + tech_3_5*TblTech[[#This Row],[3-5]] + tech_5_3*TblTech[[#This Row],[5-3]] + tech_5_5*TblTech[[#This Row],[5-5]]))*spec_op_ore,0)</f>
        <v>25</v>
      </c>
      <c r="BH94" s="97">
        <f ca="1">ROUNDUP((1-MIN(TblMili[[#This Row],[Smithies]]*smithy_bonus,smithy_bonus_cap) + tech_3_5*TblTech[[#This Row],[3-5]] + tech_5_3*TblTech[[#This Row],[5-3]] + tech_5_5*TblTech[[#This Row],[5-5]])*spec_dp_plat,0)</f>
        <v>275</v>
      </c>
      <c r="BI94" s="97">
        <f ca="1">ROUNDUP(IF(race="Gnome",1,(1-MIN(TblMili[[#This Row],[Smithies]]*smithy_bonus,smithy_bonus_cap) + tech_3_5*TblTech[[#This Row],[3-5]] + tech_5_3*TblTech[[#This Row],[5-3]] + tech_5_5*TblTech[[#This Row],[5-5]]))*spec_dp_ore,0)</f>
        <v>15</v>
      </c>
      <c r="BJ94" s="97">
        <f ca="1">ROUNDUP((1-MIN(TblMili[[#This Row],[Smithies]]*smithy_bonus,smithy_bonus_cap) + tech_3_5*TblTech[[#This Row],[3-5]] + tech_5_3*TblTech[[#This Row],[5-3]] + tech_5_5*TblTech[[#This Row],[5-5]])*elite1_plat,0)</f>
        <v>1000</v>
      </c>
      <c r="BK94" s="97">
        <f ca="1">ROUNDUP(IF(race="Gnome",1,(1-MIN(TblMili[[#This Row],[Smithies]]*smithy_bonus,smithy_bonus_cap) + tech_3_5*TblTech[[#This Row],[3-5]] + tech_5_3*TblTech[[#This Row],[5-3]] + tech_5_5*TblTech[[#This Row],[5-5]]))*elite1_ore,0)</f>
        <v>75</v>
      </c>
      <c r="BL94" s="97">
        <f ca="1">ROUNDUP((1-MIN(TblMili[[#This Row],[Smithies]]*smithy_bonus,smithy_bonus_cap) + tech_3_5*TblTech[[#This Row],[3-5]] + tech_5_3*TblTech[[#This Row],[5-3]] + tech_5_5*TblTech[[#This Row],[5-5]])*elite2_plat,0)</f>
        <v>1200</v>
      </c>
      <c r="BM94" s="97">
        <f ca="1">ROUNDUP(IF(race="Gnome",1,(1-MIN(TblMili[[#This Row],[Smithies]]*smithy_bonus,smithy_bonus_cap) + tech_3_5*TblTech[[#This Row],[3-5]] + tech_5_3*TblTech[[#This Row],[5-3]] + tech_5_5*TblTech[[#This Row],[5-5]]))*elite2_ore,0)</f>
        <v>100</v>
      </c>
      <c r="BN94" s="97">
        <f ca="1">ROUNDUP((1-MIN(ROUND(fh_spy_cost_red*TblMili[[#This Row],[FH''s]],4),fh_spy_cost_cap)+ tech_1_9*TblTech[[#This Row],[1-9]] + tech_9_1*TblTech[[#This Row],[9-1]])*spy_plat,0)</f>
        <v>500</v>
      </c>
      <c r="BO94" s="97">
        <f ca="1">ROUNDUP((1-MIN(ROUND(wg_wiz_cost_bonus*TblMili[[#This Row],[WG''s]],4),wg_wiz_cost_cap) + tech_1_9_2*TblTech[[#This Row],[1-9]] + tech_9_1_2*TblTech[[#This Row],[9-1]])*wizard_plat,0)</f>
        <v>500</v>
      </c>
      <c r="BP94" s="97">
        <f ca="1">ROUNDUP((1-MIN(ROUND(wg_wiz_cost_bonus*TblMili[[#This Row],[WG''s]],4),wg_wiz_cost_cap) + tech_1_9_2*TblTech[[#This Row],[1-9]] + tech_9_1_2*TblTech[[#This Row],[9-1]])*archmage_plat,0)</f>
        <v>1000</v>
      </c>
      <c r="BQ94" s="150"/>
      <c r="BR94" s="165">
        <f ca="1">TblConstr[[#This Row],[Homeland]]/TblConstr[[#This Row],[Land]]</f>
        <v>0.44</v>
      </c>
      <c r="BS94" s="165">
        <f ca="1">TblMili[[#This Row],[WG''s]]</f>
        <v>0</v>
      </c>
      <c r="BT94" s="271">
        <f ca="1">IF(mystic_cap="none",TblMili[[#This Row],[Hill]]/mystic_bonus,MIN(mystic_cap,TblMili[[#This Row],[Hill]]/mystic_bonus))</f>
        <v>2.1999999999999997</v>
      </c>
      <c r="BU94" s="271">
        <f ca="1">IF(druid_op_cap="none",TblMili[[#This Row],[Hill]]/druid_op_bonus,MIN(druid_op_cap,TblMili[[#This Row],[Hill]]/druid_op_bonus))</f>
        <v>2.1999999999999997</v>
      </c>
      <c r="BV94" s="271">
        <f ca="1">IF(druid_dp_cap="none",TblMili[[#This Row],[Hill]]/druid_dp_bonus,MIN(druid_dp_cap,TblMili[[#This Row],[Hill]]/druid_dp_bonus))</f>
        <v>2.1999999999999997</v>
      </c>
      <c r="BW94" s="271">
        <f ca="1">MIN(dryad_cap,TblMili[[#This Row],[Hill]]/dryad_bonus)</f>
        <v>2.1999999999999997</v>
      </c>
      <c r="BX94" s="271">
        <f ca="1">MIN(rocka_cap,TblMili[[#This Row],[Hill]]/rocka_bonus)</f>
        <v>2</v>
      </c>
      <c r="BY94" s="271">
        <f ca="1">MIN(adept_op_cap,TblMili[[#This Row],[WG]]/adept_op_bonus)</f>
        <v>0</v>
      </c>
      <c r="BZ94" s="271">
        <f ca="1">MIN(adept_dp_cap,TblMili[[#This Row],[WG]]/adept_dp_bonus)</f>
        <v>0</v>
      </c>
      <c r="CA94" s="97">
        <f ca="1">MIN(TblMili[[#This Row],[Unit 3]],TblMili[[#This Row],[Unit 4]])*2</f>
        <v>0</v>
      </c>
      <c r="CB94" s="97">
        <f ca="1">MIN(TblMili[[#This Row],[Unit 1]],TblMili[[#This Row],[Unit 4]])*2</f>
        <v>0</v>
      </c>
      <c r="CC94" s="271">
        <f ca="1">MIN(frost_mage_cap,TblMili[[#This Row],[Hill]]/frost_mage_bonus)</f>
        <v>2.1999999999999997</v>
      </c>
      <c r="CD94" s="45">
        <f ca="1">MIN(ice_elem_cap,TblMili[[#This Row],[Raw (2)]]*ice_elem_bonus)</f>
        <v>0.1</v>
      </c>
      <c r="CE94" s="271">
        <f t="shared" si="3"/>
        <v>1</v>
      </c>
      <c r="CF94" s="271">
        <f ca="1">MIN(nox_nightshade_cap,TblConstr[[#This Row],[Homeland]]/TblConstr[[#This Row],[Land]]/nox_nightshade_swamp_bonus)</f>
        <v>3</v>
      </c>
      <c r="CG94" s="272"/>
      <c r="CH94" s="272"/>
      <c r="CI94" s="272"/>
      <c r="CJ94" s="271">
        <f ca="1">MIN(6,TblMili[[#This Row],[Mystic]]+Races!$F$19)*1.8 +  IF(TblMili[[#This Row],[Mystic]]+Races!$F$19&gt;6,(TblMili[[#This Row],[Mystic]]+Races!$F$19-6)*0.2,0) - Races!$I$19</f>
        <v>3.6399999999999997</v>
      </c>
      <c r="CK9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97">
        <f ca="1">TblMili[[#This Row],[Mystic bonus]]*TblMili[[#This Row],[Unit 3]]+TblMili[[#This Row],[Druid bonus]]*TblMili[[#This Row],[Unit 4]]</f>
        <v>0</v>
      </c>
      <c r="CM94" s="163">
        <f ca="1">MIN(6,TblMili[[#This Row],[Dryad]]+Races!$F$35)*1.8 +  IF(TblMili[[#This Row],[Dryad]]+Races!$F$35&gt;6,(TblMili[[#This Row],[Dryad]]+Races!$F$35-6)*0.2,0) - Races!$I$19</f>
        <v>2.1599999999999993</v>
      </c>
      <c r="CN94" s="97">
        <f ca="1">sylvan*(TblMili[[#This Row],[Mystic bonus]]*TblMili[[#This Row],[Unit 3]])</f>
        <v>0</v>
      </c>
      <c r="CO94" s="163">
        <f ca="1">1.8 * MIN(MAX(Races!$E$27,TblMili[[#This Row],[Rockapult]]+Races!$F$27),6)  +  0.45 * MIN(MIN(Races!$E$27,TblMili[[#This Row],[Rockapult]]+Races!$F$27),6)  +  0.2 * ( MAX(Races!$E$27-6,0) + MAX(TblMili[[#This Row],[Rockapult]]+Races!$F$27-6,0) )  -  Races!$I$20</f>
        <v>5.8500000000000005</v>
      </c>
      <c r="CP94" s="97">
        <f ca="1">gnome*(TblMili[[#This Row],[Rockapult bonus]]*TblMili[[#This Row],[Unit 3]])</f>
        <v>0</v>
      </c>
      <c r="CQ94" s="163">
        <f ca="1">1.8 * MIN(MAX(TblMili[[#This Row],[Spellblade]]+Races!$E$47,TblMili[[#This Row],[Adept-DP]]+Races!$F$47),6)  +  0.45 * MIN(MIN(TblMili[[#This Row],[Spellblade]]+Races!$E$47,TblMili[[#This Row],[Adept-DP]]+Races!$F$47),6)  +  0.2 * ( MAX(TblMili[[#This Row],[Spellblade]]+Races!$E$47-6,0) + MAX(TblMili[[#This Row],[Adept-DP]]+Races!$F$47-6,0) )  -  Races!$I$47</f>
        <v>0</v>
      </c>
      <c r="CR94" s="97">
        <f ca="1">dark_elf*(TblMili[[#This Row],[Adept bonus]]*TblMili[[#This Row],[Unit 3]])</f>
        <v>0</v>
      </c>
      <c r="CS94" s="163">
        <f ca="1">1.8 * MIN(MAX(TblMili[[#This Row],[Frost Mage]]+Races!$F$71,Races!$E$71),6)  +  0.45 * MIN(MIN(TblMili[[#This Row],[Frost Mage]]+Races!$F$71,Races!$E$71),6)  +  0.2 * ( MAX(TblMili[[#This Row],[Frost Mage]]+Races!$F$71-6,0) + MAX(Races!$E$71-6,0) )  -  Races!$I$71</f>
        <v>3.9599999999999991</v>
      </c>
      <c r="CT94" s="163">
        <f ca="1">1.8 * MIN(MAX(TblMili[[#This Row],[Ice Elemental]]+Races!$E$71,Races!$F$71),6)  +  0.45 * MIN(MIN(TblMili[[#This Row],[Ice Elemental]]+Races!$E$71,Races!$F$71),6)  +  0.2 * ( MAX(TblMili[[#This Row],[Ice Elemental]]+Races!$E$71-6,0) + MAX(Races!$F$71-6,0) )  -  Races!$I$71</f>
        <v>0.17999999999999972</v>
      </c>
      <c r="CU94" s="97">
        <f ca="1">TblMili[[#This Row],[Frost Mage bonus]]*TblMili[[#This Row],[Unit 3]]+TblMili[[#This Row],[Ice Elemental bonus]]*TblMili[[#This Row],[Unit 4]]</f>
        <v>0</v>
      </c>
      <c r="CV94" s="273"/>
      <c r="CW94" s="151">
        <f ca="1">MIN(SUM(TblConstr[[#This Row],[Plain]:[Water]])/TblMili[[#This Row],[Land]]/favorable_terrain_bonus/100,favorable_terrain_max)</f>
        <v>0.1</v>
      </c>
      <c r="CX94" s="273"/>
      <c r="CY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50"/>
      <c r="DA94" s="274">
        <f ca="1">(TblMili[[#This Row],[Wizards]]+2*TblMili[[#This Row],[Archmages]])/TblConstr[[#This Row],[Land]]</f>
        <v>0.1</v>
      </c>
      <c r="DB94" s="274">
        <f ca="1">TblMili[[#This Row],[Raw (2)]]*(1+race_wizard_strength+IF(TblMili[[#This Row],[Hour]]&gt;72,tech_magical_weaponry_wiz*TblTech[[#This Row],[3-5]],0))</f>
        <v>0.1</v>
      </c>
    </row>
    <row r="95" spans="1:106" x14ac:dyDescent="0.2">
      <c r="A95" s="145">
        <f>TblRezone[[#This Row],[Hour]]</f>
        <v>92</v>
      </c>
      <c r="B95" s="266">
        <f ca="1">SUM(TblMili[[#This Row],[Unit 1]:[Archmages]])+SUM(OFFSET(TblMili[[#This Row],[Train Unit 1]],-8,0):TblMili[[#This Row],[Train Unit 2]]) + SUM(OFFSET(TblMili[[#This Row],[Train Unit 3]],-11,0):TblMili[[#This Row],[Train Arch]]) + TblMili[[#This Row],[Draftees]]</f>
        <v>826</v>
      </c>
      <c r="C95" s="165">
        <f ca="1">TblPop[[#This Row],[Military%]]</f>
        <v>0.35029686174724345</v>
      </c>
      <c r="D95" s="150"/>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f>
        <v>25</v>
      </c>
      <c r="J95" s="45">
        <f ca="1">OFFSET(TblMili[[#This Row],[Wizards]],-1,0) + OFFSET(TblMili[[#This Row],[Train Wiz]],-12,0) - TblMili[[#This Row],[Release Wizards]]-TblMili[[#This Row],[Train Arch]]</f>
        <v>25</v>
      </c>
      <c r="K95" s="45">
        <f ca="1">OFFSET(TblMili[[#This Row],[Archmages]],-1,0) + OFFSET(TblMili[[#This Row],[Train Arch]],-12,0) - TblMili[[#This Row],[Release Arch]]</f>
        <v>0</v>
      </c>
      <c r="L95" s="150"/>
      <c r="M95" s="97">
        <f ca="1">TblProd[[#This Row],[Networth]]</f>
        <v>6450</v>
      </c>
      <c r="N95" s="150"/>
      <c r="O95" s="267">
        <f ca="1">TblMili[[#This Row],[Unit 1]]*spec_op+TblMili[[#This Row],[Unit 3]]*(elite1_base_op)+TblMili[[#This Row],[Unit 4]]*(elite2_base_op+dark_elf*TblMili[[#This Row],[Spellblade]]+icekin*TblMili[[#This Row],[Ice Elemental]]+woodie*TblMili[[#This Row],[Druid (op)]]+orc*TblMili[[#This Row],[Orc]])+kobold*TblMili[[#This Row],[Overlords]]</f>
        <v>0</v>
      </c>
      <c r="P9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5" s="267">
        <f ca="1">TblMili[[#This Row],[Raw]]*(1+TblMili[[#This Row],[Mods_Off]])</f>
        <v>0</v>
      </c>
      <c r="R9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5" s="267">
        <f ca="1">TblMili[[#This Row],[Non Draft]]+TblMili[[#This Row],[Draftees]]</f>
        <v>1076</v>
      </c>
      <c r="T9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269">
        <f ca="1">TblMili[[#This Row],[Non Draft]] * (1 + TblMili[[#This Row],[Mods_Def]])</f>
        <v>450</v>
      </c>
      <c r="V95" s="267">
        <f ca="1">TblMili[[#This Row],[Draft]] * (1 + TblMili[[#This Row],[Mods_Def]])</f>
        <v>1076</v>
      </c>
      <c r="W95" s="267">
        <f ca="1">TblConstr[[#This Row],[Land]]</f>
        <v>250</v>
      </c>
      <c r="X95" s="270"/>
      <c r="Y95" s="275">
        <f ca="1">IF(TblMili[[#This Row],[Set]]&lt;&gt;"",TblMili[[#This Row],[Set]],OFFSET(TblMili[[#This Row],[Draftrate]],-1,0))</f>
        <v>0.35</v>
      </c>
      <c r="Z95" s="97">
        <f ca="1">OFFSET(TblMili[[#This Row],[Draftees]],-1,0)+OFFSET(TblPop[[#This Row],[Draft Growth]],-1,0) - SUM(TblMili[[#This Row],[Train Unit 1]:[Train Wiz]]) - TblMili[[#This Row],[Release Draft]] + SUM(TblMili[[#This Row],[Release Unit 1]:[Release Arch]]) -TblExplore[[#This Row],[Draftees (2)]]</f>
        <v>626</v>
      </c>
      <c r="AA95" s="162"/>
      <c r="AB95" s="188">
        <f ca="1">(TblConstr[[#This Row],[Tot Smi]]+TblConstr[[#This Row],[Dest Smi]])/(TblConstr[[#This Row],[Land]]-TblExplore[[#This Row],[Land Bonus]]*20)</f>
        <v>0</v>
      </c>
      <c r="AC95" s="145"/>
      <c r="AD95" s="266">
        <f>TblMili[[#This Row],[Hour]]</f>
        <v>92</v>
      </c>
      <c r="AE95" s="146">
        <f ca="1">TblExplore[[#This Row],[Time]]</f>
        <v>44814.541666666446</v>
      </c>
      <c r="AF95" s="187"/>
      <c r="AG95" s="187"/>
      <c r="AH95" s="187"/>
      <c r="AI95" s="187"/>
      <c r="AJ95" s="187"/>
      <c r="AK95" s="187"/>
      <c r="AL95" s="187"/>
      <c r="AM95" s="150"/>
      <c r="AN95" s="97">
        <f ca="1">TblProd[[#This Row],[Platinum]]</f>
        <v>600104</v>
      </c>
      <c r="AO95" s="97">
        <f ca="1">INDEX(TblProd[[#Headers],[Lumber]]:TblProd[[#This Row],[Ore]],COUNTA(TblProd[[#Headers],[Lumber]]:TblProd[[#This Row],[Lumber]]),MATCH(Military!$AO$2,TblProd[[#Headers],[Lumber]:[Ore]],0))</f>
        <v>0</v>
      </c>
      <c r="AP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97">
        <f ca="1">TblMili[[#This Row],[Train Unit 1]]*TblMili[[#This Row],[OP Ore]]+TblMili[[#This Row],[Train Unit 2]]*TblMili[[#This Row],[DP Ore]]+TblMili[[#This Row],[Train Unit 3]]*TblMili[[#This Row],[E1 Ore]]+TblMili[[#This Row],[Train Unit 4]]*TblMili[[#This Row],[E2 Ore]]</f>
        <v>0</v>
      </c>
      <c r="AR95" s="150">
        <f>TblMili[[#This Row],[Hour]]</f>
        <v>92</v>
      </c>
      <c r="AS95" s="160">
        <f ca="1">TblMili[[#This Row],[Time]]</f>
        <v>44814.541666666446</v>
      </c>
      <c r="AT95" s="97">
        <f ca="1">TblMili[[#This Row],[Draftees]]</f>
        <v>626</v>
      </c>
      <c r="AU95" s="187"/>
      <c r="AV95" s="187"/>
      <c r="AW95" s="187"/>
      <c r="AX95" s="187"/>
      <c r="AY95" s="187"/>
      <c r="AZ95" s="187"/>
      <c r="BA95" s="187"/>
      <c r="BB95" s="187"/>
      <c r="BC95" s="150"/>
      <c r="BD95" s="165">
        <f ca="1">TblConstr[[#This Row],[Tot WG]]/TblConstr[[#This Row],[Land]]</f>
        <v>0</v>
      </c>
      <c r="BE95" s="165">
        <f ca="1">TblConstr[[#This Row],[Tot Hav]]/TblConstr[[#This Row],[Land]]</f>
        <v>0</v>
      </c>
      <c r="BF95" s="97">
        <f ca="1">ROUNDUP((1-MIN(TblMili[[#This Row],[Smithies]]*smithy_bonus,smithy_bonus_cap) + tech_3_5*TblTech[[#This Row],[3-5]] + tech_5_3*TblTech[[#This Row],[5-3]] + tech_5_5*TblTech[[#This Row],[5-5]])*spec_op_plat,0)</f>
        <v>275</v>
      </c>
      <c r="BG95" s="97">
        <f ca="1">ROUNDUP(IF(race="Gnome",1,(1-MIN(TblMili[[#This Row],[Smithies]]*smithy_bonus,smithy_bonus_cap) + tech_3_5*TblTech[[#This Row],[3-5]] + tech_5_3*TblTech[[#This Row],[5-3]] + tech_5_5*TblTech[[#This Row],[5-5]]))*spec_op_ore,0)</f>
        <v>25</v>
      </c>
      <c r="BH95" s="97">
        <f ca="1">ROUNDUP((1-MIN(TblMili[[#This Row],[Smithies]]*smithy_bonus,smithy_bonus_cap) + tech_3_5*TblTech[[#This Row],[3-5]] + tech_5_3*TblTech[[#This Row],[5-3]] + tech_5_5*TblTech[[#This Row],[5-5]])*spec_dp_plat,0)</f>
        <v>275</v>
      </c>
      <c r="BI95" s="97">
        <f ca="1">ROUNDUP(IF(race="Gnome",1,(1-MIN(TblMili[[#This Row],[Smithies]]*smithy_bonus,smithy_bonus_cap) + tech_3_5*TblTech[[#This Row],[3-5]] + tech_5_3*TblTech[[#This Row],[5-3]] + tech_5_5*TblTech[[#This Row],[5-5]]))*spec_dp_ore,0)</f>
        <v>15</v>
      </c>
      <c r="BJ95" s="97">
        <f ca="1">ROUNDUP((1-MIN(TblMili[[#This Row],[Smithies]]*smithy_bonus,smithy_bonus_cap) + tech_3_5*TblTech[[#This Row],[3-5]] + tech_5_3*TblTech[[#This Row],[5-3]] + tech_5_5*TblTech[[#This Row],[5-5]])*elite1_plat,0)</f>
        <v>1000</v>
      </c>
      <c r="BK95" s="97">
        <f ca="1">ROUNDUP(IF(race="Gnome",1,(1-MIN(TblMili[[#This Row],[Smithies]]*smithy_bonus,smithy_bonus_cap) + tech_3_5*TblTech[[#This Row],[3-5]] + tech_5_3*TblTech[[#This Row],[5-3]] + tech_5_5*TblTech[[#This Row],[5-5]]))*elite1_ore,0)</f>
        <v>75</v>
      </c>
      <c r="BL95" s="97">
        <f ca="1">ROUNDUP((1-MIN(TblMili[[#This Row],[Smithies]]*smithy_bonus,smithy_bonus_cap) + tech_3_5*TblTech[[#This Row],[3-5]] + tech_5_3*TblTech[[#This Row],[5-3]] + tech_5_5*TblTech[[#This Row],[5-5]])*elite2_plat,0)</f>
        <v>1200</v>
      </c>
      <c r="BM95" s="97">
        <f ca="1">ROUNDUP(IF(race="Gnome",1,(1-MIN(TblMili[[#This Row],[Smithies]]*smithy_bonus,smithy_bonus_cap) + tech_3_5*TblTech[[#This Row],[3-5]] + tech_5_3*TblTech[[#This Row],[5-3]] + tech_5_5*TblTech[[#This Row],[5-5]]))*elite2_ore,0)</f>
        <v>100</v>
      </c>
      <c r="BN95" s="97">
        <f ca="1">ROUNDUP((1-MIN(ROUND(fh_spy_cost_red*TblMili[[#This Row],[FH''s]],4),fh_spy_cost_cap)+ tech_1_9*TblTech[[#This Row],[1-9]] + tech_9_1*TblTech[[#This Row],[9-1]])*spy_plat,0)</f>
        <v>500</v>
      </c>
      <c r="BO95" s="97">
        <f ca="1">ROUNDUP((1-MIN(ROUND(wg_wiz_cost_bonus*TblMili[[#This Row],[WG''s]],4),wg_wiz_cost_cap) + tech_1_9_2*TblTech[[#This Row],[1-9]] + tech_9_1_2*TblTech[[#This Row],[9-1]])*wizard_plat,0)</f>
        <v>500</v>
      </c>
      <c r="BP95" s="97">
        <f ca="1">ROUNDUP((1-MIN(ROUND(wg_wiz_cost_bonus*TblMili[[#This Row],[WG''s]],4),wg_wiz_cost_cap) + tech_1_9_2*TblTech[[#This Row],[1-9]] + tech_9_1_2*TblTech[[#This Row],[9-1]])*archmage_plat,0)</f>
        <v>1000</v>
      </c>
      <c r="BQ95" s="150"/>
      <c r="BR95" s="165">
        <f ca="1">TblConstr[[#This Row],[Homeland]]/TblConstr[[#This Row],[Land]]</f>
        <v>0.44</v>
      </c>
      <c r="BS95" s="165">
        <f ca="1">TblMili[[#This Row],[WG''s]]</f>
        <v>0</v>
      </c>
      <c r="BT95" s="271">
        <f ca="1">IF(mystic_cap="none",TblMili[[#This Row],[Hill]]/mystic_bonus,MIN(mystic_cap,TblMili[[#This Row],[Hill]]/mystic_bonus))</f>
        <v>2.1999999999999997</v>
      </c>
      <c r="BU95" s="271">
        <f ca="1">IF(druid_op_cap="none",TblMili[[#This Row],[Hill]]/druid_op_bonus,MIN(druid_op_cap,TblMili[[#This Row],[Hill]]/druid_op_bonus))</f>
        <v>2.1999999999999997</v>
      </c>
      <c r="BV95" s="271">
        <f ca="1">IF(druid_dp_cap="none",TblMili[[#This Row],[Hill]]/druid_dp_bonus,MIN(druid_dp_cap,TblMili[[#This Row],[Hill]]/druid_dp_bonus))</f>
        <v>2.1999999999999997</v>
      </c>
      <c r="BW95" s="271">
        <f ca="1">MIN(dryad_cap,TblMili[[#This Row],[Hill]]/dryad_bonus)</f>
        <v>2.1999999999999997</v>
      </c>
      <c r="BX95" s="271">
        <f ca="1">MIN(rocka_cap,TblMili[[#This Row],[Hill]]/rocka_bonus)</f>
        <v>2</v>
      </c>
      <c r="BY95" s="271">
        <f ca="1">MIN(adept_op_cap,TblMili[[#This Row],[WG]]/adept_op_bonus)</f>
        <v>0</v>
      </c>
      <c r="BZ95" s="271">
        <f ca="1">MIN(adept_dp_cap,TblMili[[#This Row],[WG]]/adept_dp_bonus)</f>
        <v>0</v>
      </c>
      <c r="CA95" s="97">
        <f ca="1">MIN(TblMili[[#This Row],[Unit 3]],TblMili[[#This Row],[Unit 4]])*2</f>
        <v>0</v>
      </c>
      <c r="CB95" s="97">
        <f ca="1">MIN(TblMili[[#This Row],[Unit 1]],TblMili[[#This Row],[Unit 4]])*2</f>
        <v>0</v>
      </c>
      <c r="CC95" s="271">
        <f ca="1">MIN(frost_mage_cap,TblMili[[#This Row],[Hill]]/frost_mage_bonus)</f>
        <v>2.1999999999999997</v>
      </c>
      <c r="CD95" s="45">
        <f ca="1">MIN(ice_elem_cap,TblMili[[#This Row],[Raw (2)]]*ice_elem_bonus)</f>
        <v>0.1</v>
      </c>
      <c r="CE95" s="271">
        <f t="shared" si="3"/>
        <v>1</v>
      </c>
      <c r="CF95" s="271">
        <f ca="1">MIN(nox_nightshade_cap,TblConstr[[#This Row],[Homeland]]/TblConstr[[#This Row],[Land]]/nox_nightshade_swamp_bonus)</f>
        <v>3</v>
      </c>
      <c r="CG95" s="272"/>
      <c r="CH95" s="272"/>
      <c r="CI95" s="272"/>
      <c r="CJ95" s="271">
        <f ca="1">MIN(6,TblMili[[#This Row],[Mystic]]+Races!$F$19)*1.8 +  IF(TblMili[[#This Row],[Mystic]]+Races!$F$19&gt;6,(TblMili[[#This Row],[Mystic]]+Races!$F$19-6)*0.2,0) - Races!$I$19</f>
        <v>3.6399999999999997</v>
      </c>
      <c r="CK9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97">
        <f ca="1">TblMili[[#This Row],[Mystic bonus]]*TblMili[[#This Row],[Unit 3]]+TblMili[[#This Row],[Druid bonus]]*TblMili[[#This Row],[Unit 4]]</f>
        <v>0</v>
      </c>
      <c r="CM95" s="163">
        <f ca="1">MIN(6,TblMili[[#This Row],[Dryad]]+Races!$F$35)*1.8 +  IF(TblMili[[#This Row],[Dryad]]+Races!$F$35&gt;6,(TblMili[[#This Row],[Dryad]]+Races!$F$35-6)*0.2,0) - Races!$I$19</f>
        <v>2.1599999999999993</v>
      </c>
      <c r="CN95" s="97">
        <f ca="1">sylvan*(TblMili[[#This Row],[Mystic bonus]]*TblMili[[#This Row],[Unit 3]])</f>
        <v>0</v>
      </c>
      <c r="CO95" s="163">
        <f ca="1">1.8 * MIN(MAX(Races!$E$27,TblMili[[#This Row],[Rockapult]]+Races!$F$27),6)  +  0.45 * MIN(MIN(Races!$E$27,TblMili[[#This Row],[Rockapult]]+Races!$F$27),6)  +  0.2 * ( MAX(Races!$E$27-6,0) + MAX(TblMili[[#This Row],[Rockapult]]+Races!$F$27-6,0) )  -  Races!$I$20</f>
        <v>5.8500000000000005</v>
      </c>
      <c r="CP95" s="97">
        <f ca="1">gnome*(TblMili[[#This Row],[Rockapult bonus]]*TblMili[[#This Row],[Unit 3]])</f>
        <v>0</v>
      </c>
      <c r="CQ95" s="163">
        <f ca="1">1.8 * MIN(MAX(TblMili[[#This Row],[Spellblade]]+Races!$E$47,TblMili[[#This Row],[Adept-DP]]+Races!$F$47),6)  +  0.45 * MIN(MIN(TblMili[[#This Row],[Spellblade]]+Races!$E$47,TblMili[[#This Row],[Adept-DP]]+Races!$F$47),6)  +  0.2 * ( MAX(TblMili[[#This Row],[Spellblade]]+Races!$E$47-6,0) + MAX(TblMili[[#This Row],[Adept-DP]]+Races!$F$47-6,0) )  -  Races!$I$47</f>
        <v>0</v>
      </c>
      <c r="CR95" s="97">
        <f ca="1">dark_elf*(TblMili[[#This Row],[Adept bonus]]*TblMili[[#This Row],[Unit 3]])</f>
        <v>0</v>
      </c>
      <c r="CS95" s="163">
        <f ca="1">1.8 * MIN(MAX(TblMili[[#This Row],[Frost Mage]]+Races!$F$71,Races!$E$71),6)  +  0.45 * MIN(MIN(TblMili[[#This Row],[Frost Mage]]+Races!$F$71,Races!$E$71),6)  +  0.2 * ( MAX(TblMili[[#This Row],[Frost Mage]]+Races!$F$71-6,0) + MAX(Races!$E$71-6,0) )  -  Races!$I$71</f>
        <v>3.9599999999999991</v>
      </c>
      <c r="CT95" s="163">
        <f ca="1">1.8 * MIN(MAX(TblMili[[#This Row],[Ice Elemental]]+Races!$E$71,Races!$F$71),6)  +  0.45 * MIN(MIN(TblMili[[#This Row],[Ice Elemental]]+Races!$E$71,Races!$F$71),6)  +  0.2 * ( MAX(TblMili[[#This Row],[Ice Elemental]]+Races!$E$71-6,0) + MAX(Races!$F$71-6,0) )  -  Races!$I$71</f>
        <v>0.17999999999999972</v>
      </c>
      <c r="CU95" s="97">
        <f ca="1">TblMili[[#This Row],[Frost Mage bonus]]*TblMili[[#This Row],[Unit 3]]+TblMili[[#This Row],[Ice Elemental bonus]]*TblMili[[#This Row],[Unit 4]]</f>
        <v>0</v>
      </c>
      <c r="CV95" s="273"/>
      <c r="CW95" s="151">
        <f ca="1">MIN(SUM(TblConstr[[#This Row],[Plain]:[Water]])/TblMili[[#This Row],[Land]]/favorable_terrain_bonus/100,favorable_terrain_max)</f>
        <v>0.1</v>
      </c>
      <c r="CX95" s="273"/>
      <c r="CY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50"/>
      <c r="DA95" s="274">
        <f ca="1">(TblMili[[#This Row],[Wizards]]+2*TblMili[[#This Row],[Archmages]])/TblConstr[[#This Row],[Land]]</f>
        <v>0.1</v>
      </c>
      <c r="DB95" s="274">
        <f ca="1">TblMili[[#This Row],[Raw (2)]]*(1+race_wizard_strength+IF(TblMili[[#This Row],[Hour]]&gt;72,tech_magical_weaponry_wiz*TblTech[[#This Row],[3-5]],0))</f>
        <v>0.1</v>
      </c>
    </row>
    <row r="96" spans="1:106" x14ac:dyDescent="0.2">
      <c r="A96" s="145">
        <f>TblRezone[[#This Row],[Hour]]</f>
        <v>93</v>
      </c>
      <c r="B96" s="266">
        <f ca="1">SUM(TblMili[[#This Row],[Unit 1]:[Archmages]])+SUM(OFFSET(TblMili[[#This Row],[Train Unit 1]],-8,0):TblMili[[#This Row],[Train Unit 2]]) + SUM(OFFSET(TblMili[[#This Row],[Train Unit 3]],-11,0):TblMili[[#This Row],[Train Arch]]) + TblMili[[#This Row],[Draftees]]</f>
        <v>826</v>
      </c>
      <c r="C96" s="165">
        <f ca="1">TblPop[[#This Row],[Military%]]</f>
        <v>0.35029686174724345</v>
      </c>
      <c r="D96" s="150"/>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f>
        <v>25</v>
      </c>
      <c r="J96" s="45">
        <f ca="1">OFFSET(TblMili[[#This Row],[Wizards]],-1,0) + OFFSET(TblMili[[#This Row],[Train Wiz]],-12,0) - TblMili[[#This Row],[Release Wizards]]-TblMili[[#This Row],[Train Arch]]</f>
        <v>25</v>
      </c>
      <c r="K96" s="45">
        <f ca="1">OFFSET(TblMili[[#This Row],[Archmages]],-1,0) + OFFSET(TblMili[[#This Row],[Train Arch]],-12,0) - TblMili[[#This Row],[Release Arch]]</f>
        <v>0</v>
      </c>
      <c r="L96" s="150"/>
      <c r="M96" s="97">
        <f ca="1">TblProd[[#This Row],[Networth]]</f>
        <v>6450</v>
      </c>
      <c r="N96" s="150"/>
      <c r="O96" s="267">
        <f ca="1">TblMili[[#This Row],[Unit 1]]*spec_op+TblMili[[#This Row],[Unit 3]]*(elite1_base_op)+TblMili[[#This Row],[Unit 4]]*(elite2_base_op+dark_elf*TblMili[[#This Row],[Spellblade]]+icekin*TblMili[[#This Row],[Ice Elemental]]+woodie*TblMili[[#This Row],[Druid (op)]]+orc*TblMili[[#This Row],[Orc]])+kobold*TblMili[[#This Row],[Overlords]]</f>
        <v>0</v>
      </c>
      <c r="P9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6" s="267">
        <f ca="1">TblMili[[#This Row],[Raw]]*(1+TblMili[[#This Row],[Mods_Off]])</f>
        <v>0</v>
      </c>
      <c r="R9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6" s="267">
        <f ca="1">TblMili[[#This Row],[Non Draft]]+TblMili[[#This Row],[Draftees]]</f>
        <v>1076</v>
      </c>
      <c r="T9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269">
        <f ca="1">TblMili[[#This Row],[Non Draft]] * (1 + TblMili[[#This Row],[Mods_Def]])</f>
        <v>450</v>
      </c>
      <c r="V96" s="267">
        <f ca="1">TblMili[[#This Row],[Draft]] * (1 + TblMili[[#This Row],[Mods_Def]])</f>
        <v>1076</v>
      </c>
      <c r="W96" s="267">
        <f ca="1">TblConstr[[#This Row],[Land]]</f>
        <v>250</v>
      </c>
      <c r="X96" s="270"/>
      <c r="Y96" s="275">
        <f ca="1">IF(TblMili[[#This Row],[Set]]&lt;&gt;"",TblMili[[#This Row],[Set]],OFFSET(TblMili[[#This Row],[Draftrate]],-1,0))</f>
        <v>0.35</v>
      </c>
      <c r="Z96" s="97">
        <f ca="1">OFFSET(TblMili[[#This Row],[Draftees]],-1,0)+OFFSET(TblPop[[#This Row],[Draft Growth]],-1,0) - SUM(TblMili[[#This Row],[Train Unit 1]:[Train Wiz]]) - TblMili[[#This Row],[Release Draft]] + SUM(TblMili[[#This Row],[Release Unit 1]:[Release Arch]]) -TblExplore[[#This Row],[Draftees (2)]]</f>
        <v>626</v>
      </c>
      <c r="AA96" s="162"/>
      <c r="AB96" s="188">
        <f ca="1">(TblConstr[[#This Row],[Tot Smi]]+TblConstr[[#This Row],[Dest Smi]])/(TblConstr[[#This Row],[Land]]-TblExplore[[#This Row],[Land Bonus]]*20)</f>
        <v>0</v>
      </c>
      <c r="AC96" s="145"/>
      <c r="AD96" s="266">
        <f>TblMili[[#This Row],[Hour]]</f>
        <v>93</v>
      </c>
      <c r="AE96" s="146">
        <f ca="1">TblExplore[[#This Row],[Time]]</f>
        <v>44814.58333333311</v>
      </c>
      <c r="AF96" s="187"/>
      <c r="AG96" s="187"/>
      <c r="AH96" s="187"/>
      <c r="AI96" s="187"/>
      <c r="AJ96" s="187"/>
      <c r="AK96" s="187"/>
      <c r="AL96" s="187"/>
      <c r="AM96" s="150"/>
      <c r="AN96" s="97">
        <f ca="1">TblProd[[#This Row],[Platinum]]</f>
        <v>605590</v>
      </c>
      <c r="AO96" s="97">
        <f ca="1">INDEX(TblProd[[#Headers],[Lumber]]:TblProd[[#This Row],[Ore]],COUNTA(TblProd[[#Headers],[Lumber]]:TblProd[[#This Row],[Lumber]]),MATCH(Military!$AO$2,TblProd[[#Headers],[Lumber]:[Ore]],0))</f>
        <v>0</v>
      </c>
      <c r="AP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97">
        <f ca="1">TblMili[[#This Row],[Train Unit 1]]*TblMili[[#This Row],[OP Ore]]+TblMili[[#This Row],[Train Unit 2]]*TblMili[[#This Row],[DP Ore]]+TblMili[[#This Row],[Train Unit 3]]*TblMili[[#This Row],[E1 Ore]]+TblMili[[#This Row],[Train Unit 4]]*TblMili[[#This Row],[E2 Ore]]</f>
        <v>0</v>
      </c>
      <c r="AR96" s="150">
        <f>TblMili[[#This Row],[Hour]]</f>
        <v>93</v>
      </c>
      <c r="AS96" s="160">
        <f ca="1">TblMili[[#This Row],[Time]]</f>
        <v>44814.58333333311</v>
      </c>
      <c r="AT96" s="97">
        <f ca="1">TblMili[[#This Row],[Draftees]]</f>
        <v>626</v>
      </c>
      <c r="AU96" s="187"/>
      <c r="AV96" s="187"/>
      <c r="AW96" s="187"/>
      <c r="AX96" s="187"/>
      <c r="AY96" s="187"/>
      <c r="AZ96" s="187"/>
      <c r="BA96" s="187"/>
      <c r="BB96" s="187"/>
      <c r="BC96" s="150"/>
      <c r="BD96" s="165">
        <f ca="1">TblConstr[[#This Row],[Tot WG]]/TblConstr[[#This Row],[Land]]</f>
        <v>0</v>
      </c>
      <c r="BE96" s="165">
        <f ca="1">TblConstr[[#This Row],[Tot Hav]]/TblConstr[[#This Row],[Land]]</f>
        <v>0</v>
      </c>
      <c r="BF96" s="97">
        <f ca="1">ROUNDUP((1-MIN(TblMili[[#This Row],[Smithies]]*smithy_bonus,smithy_bonus_cap) + tech_3_5*TblTech[[#This Row],[3-5]] + tech_5_3*TblTech[[#This Row],[5-3]] + tech_5_5*TblTech[[#This Row],[5-5]])*spec_op_plat,0)</f>
        <v>275</v>
      </c>
      <c r="BG96" s="97">
        <f ca="1">ROUNDUP(IF(race="Gnome",1,(1-MIN(TblMili[[#This Row],[Smithies]]*smithy_bonus,smithy_bonus_cap) + tech_3_5*TblTech[[#This Row],[3-5]] + tech_5_3*TblTech[[#This Row],[5-3]] + tech_5_5*TblTech[[#This Row],[5-5]]))*spec_op_ore,0)</f>
        <v>25</v>
      </c>
      <c r="BH96" s="97">
        <f ca="1">ROUNDUP((1-MIN(TblMili[[#This Row],[Smithies]]*smithy_bonus,smithy_bonus_cap) + tech_3_5*TblTech[[#This Row],[3-5]] + tech_5_3*TblTech[[#This Row],[5-3]] + tech_5_5*TblTech[[#This Row],[5-5]])*spec_dp_plat,0)</f>
        <v>275</v>
      </c>
      <c r="BI96" s="97">
        <f ca="1">ROUNDUP(IF(race="Gnome",1,(1-MIN(TblMili[[#This Row],[Smithies]]*smithy_bonus,smithy_bonus_cap) + tech_3_5*TblTech[[#This Row],[3-5]] + tech_5_3*TblTech[[#This Row],[5-3]] + tech_5_5*TblTech[[#This Row],[5-5]]))*spec_dp_ore,0)</f>
        <v>15</v>
      </c>
      <c r="BJ96" s="97">
        <f ca="1">ROUNDUP((1-MIN(TblMili[[#This Row],[Smithies]]*smithy_bonus,smithy_bonus_cap) + tech_3_5*TblTech[[#This Row],[3-5]] + tech_5_3*TblTech[[#This Row],[5-3]] + tech_5_5*TblTech[[#This Row],[5-5]])*elite1_plat,0)</f>
        <v>1000</v>
      </c>
      <c r="BK96" s="97">
        <f ca="1">ROUNDUP(IF(race="Gnome",1,(1-MIN(TblMili[[#This Row],[Smithies]]*smithy_bonus,smithy_bonus_cap) + tech_3_5*TblTech[[#This Row],[3-5]] + tech_5_3*TblTech[[#This Row],[5-3]] + tech_5_5*TblTech[[#This Row],[5-5]]))*elite1_ore,0)</f>
        <v>75</v>
      </c>
      <c r="BL96" s="97">
        <f ca="1">ROUNDUP((1-MIN(TblMili[[#This Row],[Smithies]]*smithy_bonus,smithy_bonus_cap) + tech_3_5*TblTech[[#This Row],[3-5]] + tech_5_3*TblTech[[#This Row],[5-3]] + tech_5_5*TblTech[[#This Row],[5-5]])*elite2_plat,0)</f>
        <v>1200</v>
      </c>
      <c r="BM96" s="97">
        <f ca="1">ROUNDUP(IF(race="Gnome",1,(1-MIN(TblMili[[#This Row],[Smithies]]*smithy_bonus,smithy_bonus_cap) + tech_3_5*TblTech[[#This Row],[3-5]] + tech_5_3*TblTech[[#This Row],[5-3]] + tech_5_5*TblTech[[#This Row],[5-5]]))*elite2_ore,0)</f>
        <v>100</v>
      </c>
      <c r="BN96" s="97">
        <f ca="1">ROUNDUP((1-MIN(ROUND(fh_spy_cost_red*TblMili[[#This Row],[FH''s]],4),fh_spy_cost_cap)+ tech_1_9*TblTech[[#This Row],[1-9]] + tech_9_1*TblTech[[#This Row],[9-1]])*spy_plat,0)</f>
        <v>500</v>
      </c>
      <c r="BO96" s="97">
        <f ca="1">ROUNDUP((1-MIN(ROUND(wg_wiz_cost_bonus*TblMili[[#This Row],[WG''s]],4),wg_wiz_cost_cap) + tech_1_9_2*TblTech[[#This Row],[1-9]] + tech_9_1_2*TblTech[[#This Row],[9-1]])*wizard_plat,0)</f>
        <v>500</v>
      </c>
      <c r="BP96" s="97">
        <f ca="1">ROUNDUP((1-MIN(ROUND(wg_wiz_cost_bonus*TblMili[[#This Row],[WG''s]],4),wg_wiz_cost_cap) + tech_1_9_2*TblTech[[#This Row],[1-9]] + tech_9_1_2*TblTech[[#This Row],[9-1]])*archmage_plat,0)</f>
        <v>1000</v>
      </c>
      <c r="BQ96" s="150"/>
      <c r="BR96" s="165">
        <f ca="1">TblConstr[[#This Row],[Homeland]]/TblConstr[[#This Row],[Land]]</f>
        <v>0.44</v>
      </c>
      <c r="BS96" s="165">
        <f ca="1">TblMili[[#This Row],[WG''s]]</f>
        <v>0</v>
      </c>
      <c r="BT96" s="271">
        <f ca="1">IF(mystic_cap="none",TblMili[[#This Row],[Hill]]/mystic_bonus,MIN(mystic_cap,TblMili[[#This Row],[Hill]]/mystic_bonus))</f>
        <v>2.1999999999999997</v>
      </c>
      <c r="BU96" s="271">
        <f ca="1">IF(druid_op_cap="none",TblMili[[#This Row],[Hill]]/druid_op_bonus,MIN(druid_op_cap,TblMili[[#This Row],[Hill]]/druid_op_bonus))</f>
        <v>2.1999999999999997</v>
      </c>
      <c r="BV96" s="271">
        <f ca="1">IF(druid_dp_cap="none",TblMili[[#This Row],[Hill]]/druid_dp_bonus,MIN(druid_dp_cap,TblMili[[#This Row],[Hill]]/druid_dp_bonus))</f>
        <v>2.1999999999999997</v>
      </c>
      <c r="BW96" s="271">
        <f ca="1">MIN(dryad_cap,TblMili[[#This Row],[Hill]]/dryad_bonus)</f>
        <v>2.1999999999999997</v>
      </c>
      <c r="BX96" s="271">
        <f ca="1">MIN(rocka_cap,TblMili[[#This Row],[Hill]]/rocka_bonus)</f>
        <v>2</v>
      </c>
      <c r="BY96" s="271">
        <f ca="1">MIN(adept_op_cap,TblMili[[#This Row],[WG]]/adept_op_bonus)</f>
        <v>0</v>
      </c>
      <c r="BZ96" s="271">
        <f ca="1">MIN(adept_dp_cap,TblMili[[#This Row],[WG]]/adept_dp_bonus)</f>
        <v>0</v>
      </c>
      <c r="CA96" s="97">
        <f ca="1">MIN(TblMili[[#This Row],[Unit 3]],TblMili[[#This Row],[Unit 4]])*2</f>
        <v>0</v>
      </c>
      <c r="CB96" s="97">
        <f ca="1">MIN(TblMili[[#This Row],[Unit 1]],TblMili[[#This Row],[Unit 4]])*2</f>
        <v>0</v>
      </c>
      <c r="CC96" s="271">
        <f ca="1">MIN(frost_mage_cap,TblMili[[#This Row],[Hill]]/frost_mage_bonus)</f>
        <v>2.1999999999999997</v>
      </c>
      <c r="CD96" s="45">
        <f ca="1">MIN(ice_elem_cap,TblMili[[#This Row],[Raw (2)]]*ice_elem_bonus)</f>
        <v>0.1</v>
      </c>
      <c r="CE96" s="271">
        <f t="shared" si="3"/>
        <v>1</v>
      </c>
      <c r="CF96" s="271">
        <f ca="1">MIN(nox_nightshade_cap,TblConstr[[#This Row],[Homeland]]/TblConstr[[#This Row],[Land]]/nox_nightshade_swamp_bonus)</f>
        <v>3</v>
      </c>
      <c r="CG96" s="272"/>
      <c r="CH96" s="272"/>
      <c r="CI96" s="272"/>
      <c r="CJ96" s="271">
        <f ca="1">MIN(6,TblMili[[#This Row],[Mystic]]+Races!$F$19)*1.8 +  IF(TblMili[[#This Row],[Mystic]]+Races!$F$19&gt;6,(TblMili[[#This Row],[Mystic]]+Races!$F$19-6)*0.2,0) - Races!$I$19</f>
        <v>3.6399999999999997</v>
      </c>
      <c r="CK9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97">
        <f ca="1">TblMili[[#This Row],[Mystic bonus]]*TblMili[[#This Row],[Unit 3]]+TblMili[[#This Row],[Druid bonus]]*TblMili[[#This Row],[Unit 4]]</f>
        <v>0</v>
      </c>
      <c r="CM96" s="163">
        <f ca="1">MIN(6,TblMili[[#This Row],[Dryad]]+Races!$F$35)*1.8 +  IF(TblMili[[#This Row],[Dryad]]+Races!$F$35&gt;6,(TblMili[[#This Row],[Dryad]]+Races!$F$35-6)*0.2,0) - Races!$I$19</f>
        <v>2.1599999999999993</v>
      </c>
      <c r="CN96" s="97">
        <f ca="1">sylvan*(TblMili[[#This Row],[Mystic bonus]]*TblMili[[#This Row],[Unit 3]])</f>
        <v>0</v>
      </c>
      <c r="CO96" s="163">
        <f ca="1">1.8 * MIN(MAX(Races!$E$27,TblMili[[#This Row],[Rockapult]]+Races!$F$27),6)  +  0.45 * MIN(MIN(Races!$E$27,TblMili[[#This Row],[Rockapult]]+Races!$F$27),6)  +  0.2 * ( MAX(Races!$E$27-6,0) + MAX(TblMili[[#This Row],[Rockapult]]+Races!$F$27-6,0) )  -  Races!$I$20</f>
        <v>5.8500000000000005</v>
      </c>
      <c r="CP96" s="97">
        <f ca="1">gnome*(TblMili[[#This Row],[Rockapult bonus]]*TblMili[[#This Row],[Unit 3]])</f>
        <v>0</v>
      </c>
      <c r="CQ96" s="163">
        <f ca="1">1.8 * MIN(MAX(TblMili[[#This Row],[Spellblade]]+Races!$E$47,TblMili[[#This Row],[Adept-DP]]+Races!$F$47),6)  +  0.45 * MIN(MIN(TblMili[[#This Row],[Spellblade]]+Races!$E$47,TblMili[[#This Row],[Adept-DP]]+Races!$F$47),6)  +  0.2 * ( MAX(TblMili[[#This Row],[Spellblade]]+Races!$E$47-6,0) + MAX(TblMili[[#This Row],[Adept-DP]]+Races!$F$47-6,0) )  -  Races!$I$47</f>
        <v>0</v>
      </c>
      <c r="CR96" s="97">
        <f ca="1">dark_elf*(TblMili[[#This Row],[Adept bonus]]*TblMili[[#This Row],[Unit 3]])</f>
        <v>0</v>
      </c>
      <c r="CS96" s="163">
        <f ca="1">1.8 * MIN(MAX(TblMili[[#This Row],[Frost Mage]]+Races!$F$71,Races!$E$71),6)  +  0.45 * MIN(MIN(TblMili[[#This Row],[Frost Mage]]+Races!$F$71,Races!$E$71),6)  +  0.2 * ( MAX(TblMili[[#This Row],[Frost Mage]]+Races!$F$71-6,0) + MAX(Races!$E$71-6,0) )  -  Races!$I$71</f>
        <v>3.9599999999999991</v>
      </c>
      <c r="CT96" s="163">
        <f ca="1">1.8 * MIN(MAX(TblMili[[#This Row],[Ice Elemental]]+Races!$E$71,Races!$F$71),6)  +  0.45 * MIN(MIN(TblMili[[#This Row],[Ice Elemental]]+Races!$E$71,Races!$F$71),6)  +  0.2 * ( MAX(TblMili[[#This Row],[Ice Elemental]]+Races!$E$71-6,0) + MAX(Races!$F$71-6,0) )  -  Races!$I$71</f>
        <v>0.17999999999999972</v>
      </c>
      <c r="CU96" s="97">
        <f ca="1">TblMili[[#This Row],[Frost Mage bonus]]*TblMili[[#This Row],[Unit 3]]+TblMili[[#This Row],[Ice Elemental bonus]]*TblMili[[#This Row],[Unit 4]]</f>
        <v>0</v>
      </c>
      <c r="CV96" s="273"/>
      <c r="CW96" s="151">
        <f ca="1">MIN(SUM(TblConstr[[#This Row],[Plain]:[Water]])/TblMili[[#This Row],[Land]]/favorable_terrain_bonus/100,favorable_terrain_max)</f>
        <v>0.1</v>
      </c>
      <c r="CX96" s="273"/>
      <c r="CY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50"/>
      <c r="DA96" s="274">
        <f ca="1">(TblMili[[#This Row],[Wizards]]+2*TblMili[[#This Row],[Archmages]])/TblConstr[[#This Row],[Land]]</f>
        <v>0.1</v>
      </c>
      <c r="DB96" s="274">
        <f ca="1">TblMili[[#This Row],[Raw (2)]]*(1+race_wizard_strength+IF(TblMili[[#This Row],[Hour]]&gt;72,tech_magical_weaponry_wiz*TblTech[[#This Row],[3-5]],0))</f>
        <v>0.1</v>
      </c>
    </row>
    <row r="97" spans="1:106" x14ac:dyDescent="0.2">
      <c r="A97" s="145">
        <f>TblRezone[[#This Row],[Hour]]</f>
        <v>94</v>
      </c>
      <c r="B97" s="266">
        <f ca="1">SUM(TblMili[[#This Row],[Unit 1]:[Archmages]])+SUM(OFFSET(TblMili[[#This Row],[Train Unit 1]],-8,0):TblMili[[#This Row],[Train Unit 2]]) + SUM(OFFSET(TblMili[[#This Row],[Train Unit 3]],-11,0):TblMili[[#This Row],[Train Arch]]) + TblMili[[#This Row],[Draftees]]</f>
        <v>826</v>
      </c>
      <c r="C97" s="165">
        <f ca="1">TblPop[[#This Row],[Military%]]</f>
        <v>0.35029686174724345</v>
      </c>
      <c r="D97" s="150"/>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f>
        <v>25</v>
      </c>
      <c r="J97" s="45">
        <f ca="1">OFFSET(TblMili[[#This Row],[Wizards]],-1,0) + OFFSET(TblMili[[#This Row],[Train Wiz]],-12,0) - TblMili[[#This Row],[Release Wizards]]-TblMili[[#This Row],[Train Arch]]</f>
        <v>25</v>
      </c>
      <c r="K97" s="45">
        <f ca="1">OFFSET(TblMili[[#This Row],[Archmages]],-1,0) + OFFSET(TblMili[[#This Row],[Train Arch]],-12,0) - TblMili[[#This Row],[Release Arch]]</f>
        <v>0</v>
      </c>
      <c r="L97" s="150"/>
      <c r="M97" s="97">
        <f ca="1">TblProd[[#This Row],[Networth]]</f>
        <v>6450</v>
      </c>
      <c r="N97" s="150"/>
      <c r="O97" s="267">
        <f ca="1">TblMili[[#This Row],[Unit 1]]*spec_op+TblMili[[#This Row],[Unit 3]]*(elite1_base_op)+TblMili[[#This Row],[Unit 4]]*(elite2_base_op+dark_elf*TblMili[[#This Row],[Spellblade]]+icekin*TblMili[[#This Row],[Ice Elemental]]+woodie*TblMili[[#This Row],[Druid (op)]]+orc*TblMili[[#This Row],[Orc]])+kobold*TblMili[[#This Row],[Overlords]]</f>
        <v>0</v>
      </c>
      <c r="P9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7" s="267">
        <f ca="1">TblMili[[#This Row],[Raw]]*(1+TblMili[[#This Row],[Mods_Off]])</f>
        <v>0</v>
      </c>
      <c r="R9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7" s="267">
        <f ca="1">TblMili[[#This Row],[Non Draft]]+TblMili[[#This Row],[Draftees]]</f>
        <v>1076</v>
      </c>
      <c r="T9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269">
        <f ca="1">TblMili[[#This Row],[Non Draft]] * (1 + TblMili[[#This Row],[Mods_Def]])</f>
        <v>450</v>
      </c>
      <c r="V97" s="267">
        <f ca="1">TblMili[[#This Row],[Draft]] * (1 + TblMili[[#This Row],[Mods_Def]])</f>
        <v>1076</v>
      </c>
      <c r="W97" s="267">
        <f ca="1">TblConstr[[#This Row],[Land]]</f>
        <v>250</v>
      </c>
      <c r="X97" s="270"/>
      <c r="Y97" s="275">
        <f ca="1">IF(TblMili[[#This Row],[Set]]&lt;&gt;"",TblMili[[#This Row],[Set]],OFFSET(TblMili[[#This Row],[Draftrate]],-1,0))</f>
        <v>0.35</v>
      </c>
      <c r="Z97" s="97">
        <f ca="1">OFFSET(TblMili[[#This Row],[Draftees]],-1,0)+OFFSET(TblPop[[#This Row],[Draft Growth]],-1,0) - SUM(TblMili[[#This Row],[Train Unit 1]:[Train Wiz]]) - TblMili[[#This Row],[Release Draft]] + SUM(TblMili[[#This Row],[Release Unit 1]:[Release Arch]]) -TblExplore[[#This Row],[Draftees (2)]]</f>
        <v>626</v>
      </c>
      <c r="AA97" s="162"/>
      <c r="AB97" s="188">
        <f ca="1">(TblConstr[[#This Row],[Tot Smi]]+TblConstr[[#This Row],[Dest Smi]])/(TblConstr[[#This Row],[Land]]-TblExplore[[#This Row],[Land Bonus]]*20)</f>
        <v>0</v>
      </c>
      <c r="AC97" s="145"/>
      <c r="AD97" s="266">
        <f>TblMili[[#This Row],[Hour]]</f>
        <v>94</v>
      </c>
      <c r="AE97" s="146">
        <f ca="1">TblExplore[[#This Row],[Time]]</f>
        <v>44814.624999999774</v>
      </c>
      <c r="AF97" s="187"/>
      <c r="AG97" s="187"/>
      <c r="AH97" s="187"/>
      <c r="AI97" s="187"/>
      <c r="AJ97" s="187"/>
      <c r="AK97" s="187"/>
      <c r="AL97" s="187"/>
      <c r="AM97" s="150"/>
      <c r="AN97" s="97">
        <f ca="1">TblProd[[#This Row],[Platinum]]</f>
        <v>611076</v>
      </c>
      <c r="AO97" s="97">
        <f ca="1">INDEX(TblProd[[#Headers],[Lumber]]:TblProd[[#This Row],[Ore]],COUNTA(TblProd[[#Headers],[Lumber]]:TblProd[[#This Row],[Lumber]]),MATCH(Military!$AO$2,TblProd[[#Headers],[Lumber]:[Ore]],0))</f>
        <v>0</v>
      </c>
      <c r="AP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97">
        <f ca="1">TblMili[[#This Row],[Train Unit 1]]*TblMili[[#This Row],[OP Ore]]+TblMili[[#This Row],[Train Unit 2]]*TblMili[[#This Row],[DP Ore]]+TblMili[[#This Row],[Train Unit 3]]*TblMili[[#This Row],[E1 Ore]]+TblMili[[#This Row],[Train Unit 4]]*TblMili[[#This Row],[E2 Ore]]</f>
        <v>0</v>
      </c>
      <c r="AR97" s="150">
        <f>TblMili[[#This Row],[Hour]]</f>
        <v>94</v>
      </c>
      <c r="AS97" s="160">
        <f ca="1">TblMili[[#This Row],[Time]]</f>
        <v>44814.624999999774</v>
      </c>
      <c r="AT97" s="97">
        <f ca="1">TblMili[[#This Row],[Draftees]]</f>
        <v>626</v>
      </c>
      <c r="AU97" s="187"/>
      <c r="AV97" s="187"/>
      <c r="AW97" s="187"/>
      <c r="AX97" s="187"/>
      <c r="AY97" s="187"/>
      <c r="AZ97" s="187"/>
      <c r="BA97" s="187"/>
      <c r="BB97" s="187"/>
      <c r="BC97" s="150"/>
      <c r="BD97" s="165">
        <f ca="1">TblConstr[[#This Row],[Tot WG]]/TblConstr[[#This Row],[Land]]</f>
        <v>0</v>
      </c>
      <c r="BE97" s="165">
        <f ca="1">TblConstr[[#This Row],[Tot Hav]]/TblConstr[[#This Row],[Land]]</f>
        <v>0</v>
      </c>
      <c r="BF97" s="97">
        <f ca="1">ROUNDUP((1-MIN(TblMili[[#This Row],[Smithies]]*smithy_bonus,smithy_bonus_cap) + tech_3_5*TblTech[[#This Row],[3-5]] + tech_5_3*TblTech[[#This Row],[5-3]] + tech_5_5*TblTech[[#This Row],[5-5]])*spec_op_plat,0)</f>
        <v>275</v>
      </c>
      <c r="BG97" s="97">
        <f ca="1">ROUNDUP(IF(race="Gnome",1,(1-MIN(TblMili[[#This Row],[Smithies]]*smithy_bonus,smithy_bonus_cap) + tech_3_5*TblTech[[#This Row],[3-5]] + tech_5_3*TblTech[[#This Row],[5-3]] + tech_5_5*TblTech[[#This Row],[5-5]]))*spec_op_ore,0)</f>
        <v>25</v>
      </c>
      <c r="BH97" s="97">
        <f ca="1">ROUNDUP((1-MIN(TblMili[[#This Row],[Smithies]]*smithy_bonus,smithy_bonus_cap) + tech_3_5*TblTech[[#This Row],[3-5]] + tech_5_3*TblTech[[#This Row],[5-3]] + tech_5_5*TblTech[[#This Row],[5-5]])*spec_dp_plat,0)</f>
        <v>275</v>
      </c>
      <c r="BI97" s="97">
        <f ca="1">ROUNDUP(IF(race="Gnome",1,(1-MIN(TblMili[[#This Row],[Smithies]]*smithy_bonus,smithy_bonus_cap) + tech_3_5*TblTech[[#This Row],[3-5]] + tech_5_3*TblTech[[#This Row],[5-3]] + tech_5_5*TblTech[[#This Row],[5-5]]))*spec_dp_ore,0)</f>
        <v>15</v>
      </c>
      <c r="BJ97" s="97">
        <f ca="1">ROUNDUP((1-MIN(TblMili[[#This Row],[Smithies]]*smithy_bonus,smithy_bonus_cap) + tech_3_5*TblTech[[#This Row],[3-5]] + tech_5_3*TblTech[[#This Row],[5-3]] + tech_5_5*TblTech[[#This Row],[5-5]])*elite1_plat,0)</f>
        <v>1000</v>
      </c>
      <c r="BK97" s="97">
        <f ca="1">ROUNDUP(IF(race="Gnome",1,(1-MIN(TblMili[[#This Row],[Smithies]]*smithy_bonus,smithy_bonus_cap) + tech_3_5*TblTech[[#This Row],[3-5]] + tech_5_3*TblTech[[#This Row],[5-3]] + tech_5_5*TblTech[[#This Row],[5-5]]))*elite1_ore,0)</f>
        <v>75</v>
      </c>
      <c r="BL97" s="97">
        <f ca="1">ROUNDUP((1-MIN(TblMili[[#This Row],[Smithies]]*smithy_bonus,smithy_bonus_cap) + tech_3_5*TblTech[[#This Row],[3-5]] + tech_5_3*TblTech[[#This Row],[5-3]] + tech_5_5*TblTech[[#This Row],[5-5]])*elite2_plat,0)</f>
        <v>1200</v>
      </c>
      <c r="BM97" s="97">
        <f ca="1">ROUNDUP(IF(race="Gnome",1,(1-MIN(TblMili[[#This Row],[Smithies]]*smithy_bonus,smithy_bonus_cap) + tech_3_5*TblTech[[#This Row],[3-5]] + tech_5_3*TblTech[[#This Row],[5-3]] + tech_5_5*TblTech[[#This Row],[5-5]]))*elite2_ore,0)</f>
        <v>100</v>
      </c>
      <c r="BN97" s="97">
        <f ca="1">ROUNDUP((1-MIN(ROUND(fh_spy_cost_red*TblMili[[#This Row],[FH''s]],4),fh_spy_cost_cap)+ tech_1_9*TblTech[[#This Row],[1-9]] + tech_9_1*TblTech[[#This Row],[9-1]])*spy_plat,0)</f>
        <v>500</v>
      </c>
      <c r="BO97" s="97">
        <f ca="1">ROUNDUP((1-MIN(ROUND(wg_wiz_cost_bonus*TblMili[[#This Row],[WG''s]],4),wg_wiz_cost_cap) + tech_1_9_2*TblTech[[#This Row],[1-9]] + tech_9_1_2*TblTech[[#This Row],[9-1]])*wizard_plat,0)</f>
        <v>500</v>
      </c>
      <c r="BP97" s="97">
        <f ca="1">ROUNDUP((1-MIN(ROUND(wg_wiz_cost_bonus*TblMili[[#This Row],[WG''s]],4),wg_wiz_cost_cap) + tech_1_9_2*TblTech[[#This Row],[1-9]] + tech_9_1_2*TblTech[[#This Row],[9-1]])*archmage_plat,0)</f>
        <v>1000</v>
      </c>
      <c r="BQ97" s="150"/>
      <c r="BR97" s="165">
        <f ca="1">TblConstr[[#This Row],[Homeland]]/TblConstr[[#This Row],[Land]]</f>
        <v>0.44</v>
      </c>
      <c r="BS97" s="165">
        <f ca="1">TblMili[[#This Row],[WG''s]]</f>
        <v>0</v>
      </c>
      <c r="BT97" s="271">
        <f ca="1">IF(mystic_cap="none",TblMili[[#This Row],[Hill]]/mystic_bonus,MIN(mystic_cap,TblMili[[#This Row],[Hill]]/mystic_bonus))</f>
        <v>2.1999999999999997</v>
      </c>
      <c r="BU97" s="271">
        <f ca="1">IF(druid_op_cap="none",TblMili[[#This Row],[Hill]]/druid_op_bonus,MIN(druid_op_cap,TblMili[[#This Row],[Hill]]/druid_op_bonus))</f>
        <v>2.1999999999999997</v>
      </c>
      <c r="BV97" s="271">
        <f ca="1">IF(druid_dp_cap="none",TblMili[[#This Row],[Hill]]/druid_dp_bonus,MIN(druid_dp_cap,TblMili[[#This Row],[Hill]]/druid_dp_bonus))</f>
        <v>2.1999999999999997</v>
      </c>
      <c r="BW97" s="271">
        <f ca="1">MIN(dryad_cap,TblMili[[#This Row],[Hill]]/dryad_bonus)</f>
        <v>2.1999999999999997</v>
      </c>
      <c r="BX97" s="271">
        <f ca="1">MIN(rocka_cap,TblMili[[#This Row],[Hill]]/rocka_bonus)</f>
        <v>2</v>
      </c>
      <c r="BY97" s="271">
        <f ca="1">MIN(adept_op_cap,TblMili[[#This Row],[WG]]/adept_op_bonus)</f>
        <v>0</v>
      </c>
      <c r="BZ97" s="271">
        <f ca="1">MIN(adept_dp_cap,TblMili[[#This Row],[WG]]/adept_dp_bonus)</f>
        <v>0</v>
      </c>
      <c r="CA97" s="97">
        <f ca="1">MIN(TblMili[[#This Row],[Unit 3]],TblMili[[#This Row],[Unit 4]])*2</f>
        <v>0</v>
      </c>
      <c r="CB97" s="97">
        <f ca="1">MIN(TblMili[[#This Row],[Unit 1]],TblMili[[#This Row],[Unit 4]])*2</f>
        <v>0</v>
      </c>
      <c r="CC97" s="271">
        <f ca="1">MIN(frost_mage_cap,TblMili[[#This Row],[Hill]]/frost_mage_bonus)</f>
        <v>2.1999999999999997</v>
      </c>
      <c r="CD97" s="45">
        <f ca="1">MIN(ice_elem_cap,TblMili[[#This Row],[Raw (2)]]*ice_elem_bonus)</f>
        <v>0.1</v>
      </c>
      <c r="CE97" s="271">
        <f t="shared" si="3"/>
        <v>1</v>
      </c>
      <c r="CF97" s="271">
        <f ca="1">MIN(nox_nightshade_cap,TblConstr[[#This Row],[Homeland]]/TblConstr[[#This Row],[Land]]/nox_nightshade_swamp_bonus)</f>
        <v>3</v>
      </c>
      <c r="CG97" s="272"/>
      <c r="CH97" s="272"/>
      <c r="CI97" s="272"/>
      <c r="CJ97" s="271">
        <f ca="1">MIN(6,TblMili[[#This Row],[Mystic]]+Races!$F$19)*1.8 +  IF(TblMili[[#This Row],[Mystic]]+Races!$F$19&gt;6,(TblMili[[#This Row],[Mystic]]+Races!$F$19-6)*0.2,0) - Races!$I$19</f>
        <v>3.6399999999999997</v>
      </c>
      <c r="CK9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97">
        <f ca="1">TblMili[[#This Row],[Mystic bonus]]*TblMili[[#This Row],[Unit 3]]+TblMili[[#This Row],[Druid bonus]]*TblMili[[#This Row],[Unit 4]]</f>
        <v>0</v>
      </c>
      <c r="CM97" s="163">
        <f ca="1">MIN(6,TblMili[[#This Row],[Dryad]]+Races!$F$35)*1.8 +  IF(TblMili[[#This Row],[Dryad]]+Races!$F$35&gt;6,(TblMili[[#This Row],[Dryad]]+Races!$F$35-6)*0.2,0) - Races!$I$19</f>
        <v>2.1599999999999993</v>
      </c>
      <c r="CN97" s="97">
        <f ca="1">sylvan*(TblMili[[#This Row],[Mystic bonus]]*TblMili[[#This Row],[Unit 3]])</f>
        <v>0</v>
      </c>
      <c r="CO97" s="163">
        <f ca="1">1.8 * MIN(MAX(Races!$E$27,TblMili[[#This Row],[Rockapult]]+Races!$F$27),6)  +  0.45 * MIN(MIN(Races!$E$27,TblMili[[#This Row],[Rockapult]]+Races!$F$27),6)  +  0.2 * ( MAX(Races!$E$27-6,0) + MAX(TblMili[[#This Row],[Rockapult]]+Races!$F$27-6,0) )  -  Races!$I$20</f>
        <v>5.8500000000000005</v>
      </c>
      <c r="CP97" s="97">
        <f ca="1">gnome*(TblMili[[#This Row],[Rockapult bonus]]*TblMili[[#This Row],[Unit 3]])</f>
        <v>0</v>
      </c>
      <c r="CQ97" s="163">
        <f ca="1">1.8 * MIN(MAX(TblMili[[#This Row],[Spellblade]]+Races!$E$47,TblMili[[#This Row],[Adept-DP]]+Races!$F$47),6)  +  0.45 * MIN(MIN(TblMili[[#This Row],[Spellblade]]+Races!$E$47,TblMili[[#This Row],[Adept-DP]]+Races!$F$47),6)  +  0.2 * ( MAX(TblMili[[#This Row],[Spellblade]]+Races!$E$47-6,0) + MAX(TblMili[[#This Row],[Adept-DP]]+Races!$F$47-6,0) )  -  Races!$I$47</f>
        <v>0</v>
      </c>
      <c r="CR97" s="97">
        <f ca="1">dark_elf*(TblMili[[#This Row],[Adept bonus]]*TblMili[[#This Row],[Unit 3]])</f>
        <v>0</v>
      </c>
      <c r="CS97" s="163">
        <f ca="1">1.8 * MIN(MAX(TblMili[[#This Row],[Frost Mage]]+Races!$F$71,Races!$E$71),6)  +  0.45 * MIN(MIN(TblMili[[#This Row],[Frost Mage]]+Races!$F$71,Races!$E$71),6)  +  0.2 * ( MAX(TblMili[[#This Row],[Frost Mage]]+Races!$F$71-6,0) + MAX(Races!$E$71-6,0) )  -  Races!$I$71</f>
        <v>3.9599999999999991</v>
      </c>
      <c r="CT97" s="163">
        <f ca="1">1.8 * MIN(MAX(TblMili[[#This Row],[Ice Elemental]]+Races!$E$71,Races!$F$71),6)  +  0.45 * MIN(MIN(TblMili[[#This Row],[Ice Elemental]]+Races!$E$71,Races!$F$71),6)  +  0.2 * ( MAX(TblMili[[#This Row],[Ice Elemental]]+Races!$E$71-6,0) + MAX(Races!$F$71-6,0) )  -  Races!$I$71</f>
        <v>0.17999999999999972</v>
      </c>
      <c r="CU97" s="97">
        <f ca="1">TblMili[[#This Row],[Frost Mage bonus]]*TblMili[[#This Row],[Unit 3]]+TblMili[[#This Row],[Ice Elemental bonus]]*TblMili[[#This Row],[Unit 4]]</f>
        <v>0</v>
      </c>
      <c r="CV97" s="273"/>
      <c r="CW97" s="151">
        <f ca="1">MIN(SUM(TblConstr[[#This Row],[Plain]:[Water]])/TblMili[[#This Row],[Land]]/favorable_terrain_bonus/100,favorable_terrain_max)</f>
        <v>0.1</v>
      </c>
      <c r="CX97" s="273"/>
      <c r="CY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50"/>
      <c r="DA97" s="274">
        <f ca="1">(TblMili[[#This Row],[Wizards]]+2*TblMili[[#This Row],[Archmages]])/TblConstr[[#This Row],[Land]]</f>
        <v>0.1</v>
      </c>
      <c r="DB97" s="274">
        <f ca="1">TblMili[[#This Row],[Raw (2)]]*(1+race_wizard_strength+IF(TblMili[[#This Row],[Hour]]&gt;72,tech_magical_weaponry_wiz*TblTech[[#This Row],[3-5]],0))</f>
        <v>0.1</v>
      </c>
    </row>
    <row r="98" spans="1:106" x14ac:dyDescent="0.2">
      <c r="A98" s="145">
        <f>TblRezone[[#This Row],[Hour]]</f>
        <v>95</v>
      </c>
      <c r="B98" s="266">
        <f ca="1">SUM(TblMili[[#This Row],[Unit 1]:[Archmages]])+SUM(OFFSET(TblMili[[#This Row],[Train Unit 1]],-8,0):TblMili[[#This Row],[Train Unit 2]]) + SUM(OFFSET(TblMili[[#This Row],[Train Unit 3]],-11,0):TblMili[[#This Row],[Train Arch]]) + TblMili[[#This Row],[Draftees]]</f>
        <v>826</v>
      </c>
      <c r="C98" s="165">
        <f ca="1">TblPop[[#This Row],[Military%]]</f>
        <v>0.35029686174724345</v>
      </c>
      <c r="D98" s="150"/>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f>
        <v>25</v>
      </c>
      <c r="J98" s="45">
        <f ca="1">OFFSET(TblMili[[#This Row],[Wizards]],-1,0) + OFFSET(TblMili[[#This Row],[Train Wiz]],-12,0) - TblMili[[#This Row],[Release Wizards]]-TblMili[[#This Row],[Train Arch]]</f>
        <v>25</v>
      </c>
      <c r="K98" s="45">
        <f ca="1">OFFSET(TblMili[[#This Row],[Archmages]],-1,0) + OFFSET(TblMili[[#This Row],[Train Arch]],-12,0) - TblMili[[#This Row],[Release Arch]]</f>
        <v>0</v>
      </c>
      <c r="L98" s="150"/>
      <c r="M98" s="97">
        <f ca="1">TblProd[[#This Row],[Networth]]</f>
        <v>6450</v>
      </c>
      <c r="N98" s="150"/>
      <c r="O98" s="267">
        <f ca="1">TblMili[[#This Row],[Unit 1]]*spec_op+TblMili[[#This Row],[Unit 3]]*(elite1_base_op)+TblMili[[#This Row],[Unit 4]]*(elite2_base_op+dark_elf*TblMili[[#This Row],[Spellblade]]+icekin*TblMili[[#This Row],[Ice Elemental]]+woodie*TblMili[[#This Row],[Druid (op)]]+orc*TblMili[[#This Row],[Orc]])+kobold*TblMili[[#This Row],[Overlords]]</f>
        <v>0</v>
      </c>
      <c r="P9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8" s="267">
        <f ca="1">TblMili[[#This Row],[Raw]]*(1+TblMili[[#This Row],[Mods_Off]])</f>
        <v>0</v>
      </c>
      <c r="R9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8" s="267">
        <f ca="1">TblMili[[#This Row],[Non Draft]]+TblMili[[#This Row],[Draftees]]</f>
        <v>1076</v>
      </c>
      <c r="T9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269">
        <f ca="1">TblMili[[#This Row],[Non Draft]] * (1 + TblMili[[#This Row],[Mods_Def]])</f>
        <v>450</v>
      </c>
      <c r="V98" s="267">
        <f ca="1">TblMili[[#This Row],[Draft]] * (1 + TblMili[[#This Row],[Mods_Def]])</f>
        <v>1076</v>
      </c>
      <c r="W98" s="267">
        <f ca="1">TblConstr[[#This Row],[Land]]</f>
        <v>250</v>
      </c>
      <c r="X98" s="270"/>
      <c r="Y98" s="275">
        <f ca="1">IF(TblMili[[#This Row],[Set]]&lt;&gt;"",TblMili[[#This Row],[Set]],OFFSET(TblMili[[#This Row],[Draftrate]],-1,0))</f>
        <v>0.35</v>
      </c>
      <c r="Z98" s="97">
        <f ca="1">OFFSET(TblMili[[#This Row],[Draftees]],-1,0)+OFFSET(TblPop[[#This Row],[Draft Growth]],-1,0) - SUM(TblMili[[#This Row],[Train Unit 1]:[Train Wiz]]) - TblMili[[#This Row],[Release Draft]] + SUM(TblMili[[#This Row],[Release Unit 1]:[Release Arch]]) -TblExplore[[#This Row],[Draftees (2)]]</f>
        <v>626</v>
      </c>
      <c r="AA98" s="162"/>
      <c r="AB98" s="188">
        <f ca="1">(TblConstr[[#This Row],[Tot Smi]]+TblConstr[[#This Row],[Dest Smi]])/(TblConstr[[#This Row],[Land]]-TblExplore[[#This Row],[Land Bonus]]*20)</f>
        <v>0</v>
      </c>
      <c r="AC98" s="145"/>
      <c r="AD98" s="266">
        <f>TblMili[[#This Row],[Hour]]</f>
        <v>95</v>
      </c>
      <c r="AE98" s="146">
        <f ca="1">TblExplore[[#This Row],[Time]]</f>
        <v>44814.666666666439</v>
      </c>
      <c r="AF98" s="187"/>
      <c r="AG98" s="187"/>
      <c r="AH98" s="187"/>
      <c r="AI98" s="187"/>
      <c r="AJ98" s="187"/>
      <c r="AK98" s="187"/>
      <c r="AL98" s="187"/>
      <c r="AM98" s="150"/>
      <c r="AN98" s="97">
        <f ca="1">TblProd[[#This Row],[Platinum]]</f>
        <v>616562</v>
      </c>
      <c r="AO98" s="97">
        <f ca="1">INDEX(TblProd[[#Headers],[Lumber]]:TblProd[[#This Row],[Ore]],COUNTA(TblProd[[#Headers],[Lumber]]:TblProd[[#This Row],[Lumber]]),MATCH(Military!$AO$2,TblProd[[#Headers],[Lumber]:[Ore]],0))</f>
        <v>0</v>
      </c>
      <c r="AP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97">
        <f ca="1">TblMili[[#This Row],[Train Unit 1]]*TblMili[[#This Row],[OP Ore]]+TblMili[[#This Row],[Train Unit 2]]*TblMili[[#This Row],[DP Ore]]+TblMili[[#This Row],[Train Unit 3]]*TblMili[[#This Row],[E1 Ore]]+TblMili[[#This Row],[Train Unit 4]]*TblMili[[#This Row],[E2 Ore]]</f>
        <v>0</v>
      </c>
      <c r="AR98" s="150">
        <f>TblMili[[#This Row],[Hour]]</f>
        <v>95</v>
      </c>
      <c r="AS98" s="160">
        <f ca="1">TblMili[[#This Row],[Time]]</f>
        <v>44814.666666666439</v>
      </c>
      <c r="AT98" s="97">
        <f ca="1">TblMili[[#This Row],[Draftees]]</f>
        <v>626</v>
      </c>
      <c r="AU98" s="187"/>
      <c r="AV98" s="187"/>
      <c r="AW98" s="187"/>
      <c r="AX98" s="187"/>
      <c r="AY98" s="187"/>
      <c r="AZ98" s="187"/>
      <c r="BA98" s="187"/>
      <c r="BB98" s="187"/>
      <c r="BC98" s="150"/>
      <c r="BD98" s="165">
        <f ca="1">TblConstr[[#This Row],[Tot WG]]/TblConstr[[#This Row],[Land]]</f>
        <v>0</v>
      </c>
      <c r="BE98" s="165">
        <f ca="1">TblConstr[[#This Row],[Tot Hav]]/TblConstr[[#This Row],[Land]]</f>
        <v>0</v>
      </c>
      <c r="BF98" s="97">
        <f ca="1">ROUNDUP((1-MIN(TblMili[[#This Row],[Smithies]]*smithy_bonus,smithy_bonus_cap) + tech_3_5*TblTech[[#This Row],[3-5]] + tech_5_3*TblTech[[#This Row],[5-3]] + tech_5_5*TblTech[[#This Row],[5-5]])*spec_op_plat,0)</f>
        <v>275</v>
      </c>
      <c r="BG98" s="97">
        <f ca="1">ROUNDUP(IF(race="Gnome",1,(1-MIN(TblMili[[#This Row],[Smithies]]*smithy_bonus,smithy_bonus_cap) + tech_3_5*TblTech[[#This Row],[3-5]] + tech_5_3*TblTech[[#This Row],[5-3]] + tech_5_5*TblTech[[#This Row],[5-5]]))*spec_op_ore,0)</f>
        <v>25</v>
      </c>
      <c r="BH98" s="97">
        <f ca="1">ROUNDUP((1-MIN(TblMili[[#This Row],[Smithies]]*smithy_bonus,smithy_bonus_cap) + tech_3_5*TblTech[[#This Row],[3-5]] + tech_5_3*TblTech[[#This Row],[5-3]] + tech_5_5*TblTech[[#This Row],[5-5]])*spec_dp_plat,0)</f>
        <v>275</v>
      </c>
      <c r="BI98" s="97">
        <f ca="1">ROUNDUP(IF(race="Gnome",1,(1-MIN(TblMili[[#This Row],[Smithies]]*smithy_bonus,smithy_bonus_cap) + tech_3_5*TblTech[[#This Row],[3-5]] + tech_5_3*TblTech[[#This Row],[5-3]] + tech_5_5*TblTech[[#This Row],[5-5]]))*spec_dp_ore,0)</f>
        <v>15</v>
      </c>
      <c r="BJ98" s="97">
        <f ca="1">ROUNDUP((1-MIN(TblMili[[#This Row],[Smithies]]*smithy_bonus,smithy_bonus_cap) + tech_3_5*TblTech[[#This Row],[3-5]] + tech_5_3*TblTech[[#This Row],[5-3]] + tech_5_5*TblTech[[#This Row],[5-5]])*elite1_plat,0)</f>
        <v>1000</v>
      </c>
      <c r="BK98" s="97">
        <f ca="1">ROUNDUP(IF(race="Gnome",1,(1-MIN(TblMili[[#This Row],[Smithies]]*smithy_bonus,smithy_bonus_cap) + tech_3_5*TblTech[[#This Row],[3-5]] + tech_5_3*TblTech[[#This Row],[5-3]] + tech_5_5*TblTech[[#This Row],[5-5]]))*elite1_ore,0)</f>
        <v>75</v>
      </c>
      <c r="BL98" s="97">
        <f ca="1">ROUNDUP((1-MIN(TblMili[[#This Row],[Smithies]]*smithy_bonus,smithy_bonus_cap) + tech_3_5*TblTech[[#This Row],[3-5]] + tech_5_3*TblTech[[#This Row],[5-3]] + tech_5_5*TblTech[[#This Row],[5-5]])*elite2_plat,0)</f>
        <v>1200</v>
      </c>
      <c r="BM98" s="97">
        <f ca="1">ROUNDUP(IF(race="Gnome",1,(1-MIN(TblMili[[#This Row],[Smithies]]*smithy_bonus,smithy_bonus_cap) + tech_3_5*TblTech[[#This Row],[3-5]] + tech_5_3*TblTech[[#This Row],[5-3]] + tech_5_5*TblTech[[#This Row],[5-5]]))*elite2_ore,0)</f>
        <v>100</v>
      </c>
      <c r="BN98" s="97">
        <f ca="1">ROUNDUP((1-MIN(ROUND(fh_spy_cost_red*TblMili[[#This Row],[FH''s]],4),fh_spy_cost_cap)+ tech_1_9*TblTech[[#This Row],[1-9]] + tech_9_1*TblTech[[#This Row],[9-1]])*spy_plat,0)</f>
        <v>500</v>
      </c>
      <c r="BO98" s="97">
        <f ca="1">ROUNDUP((1-MIN(ROUND(wg_wiz_cost_bonus*TblMili[[#This Row],[WG''s]],4),wg_wiz_cost_cap) + tech_1_9_2*TblTech[[#This Row],[1-9]] + tech_9_1_2*TblTech[[#This Row],[9-1]])*wizard_plat,0)</f>
        <v>500</v>
      </c>
      <c r="BP98" s="97">
        <f ca="1">ROUNDUP((1-MIN(ROUND(wg_wiz_cost_bonus*TblMili[[#This Row],[WG''s]],4),wg_wiz_cost_cap) + tech_1_9_2*TblTech[[#This Row],[1-9]] + tech_9_1_2*TblTech[[#This Row],[9-1]])*archmage_plat,0)</f>
        <v>1000</v>
      </c>
      <c r="BQ98" s="150"/>
      <c r="BR98" s="165">
        <f ca="1">TblConstr[[#This Row],[Homeland]]/TblConstr[[#This Row],[Land]]</f>
        <v>0.44</v>
      </c>
      <c r="BS98" s="165">
        <f ca="1">TblMili[[#This Row],[WG''s]]</f>
        <v>0</v>
      </c>
      <c r="BT98" s="271">
        <f ca="1">IF(mystic_cap="none",TblMili[[#This Row],[Hill]]/mystic_bonus,MIN(mystic_cap,TblMili[[#This Row],[Hill]]/mystic_bonus))</f>
        <v>2.1999999999999997</v>
      </c>
      <c r="BU98" s="271">
        <f ca="1">IF(druid_op_cap="none",TblMili[[#This Row],[Hill]]/druid_op_bonus,MIN(druid_op_cap,TblMili[[#This Row],[Hill]]/druid_op_bonus))</f>
        <v>2.1999999999999997</v>
      </c>
      <c r="BV98" s="271">
        <f ca="1">IF(druid_dp_cap="none",TblMili[[#This Row],[Hill]]/druid_dp_bonus,MIN(druid_dp_cap,TblMili[[#This Row],[Hill]]/druid_dp_bonus))</f>
        <v>2.1999999999999997</v>
      </c>
      <c r="BW98" s="271">
        <f ca="1">MIN(dryad_cap,TblMili[[#This Row],[Hill]]/dryad_bonus)</f>
        <v>2.1999999999999997</v>
      </c>
      <c r="BX98" s="271">
        <f ca="1">MIN(rocka_cap,TblMili[[#This Row],[Hill]]/rocka_bonus)</f>
        <v>2</v>
      </c>
      <c r="BY98" s="271">
        <f ca="1">MIN(adept_op_cap,TblMili[[#This Row],[WG]]/adept_op_bonus)</f>
        <v>0</v>
      </c>
      <c r="BZ98" s="271">
        <f ca="1">MIN(adept_dp_cap,TblMili[[#This Row],[WG]]/adept_dp_bonus)</f>
        <v>0</v>
      </c>
      <c r="CA98" s="97">
        <f ca="1">MIN(TblMili[[#This Row],[Unit 3]],TblMili[[#This Row],[Unit 4]])*2</f>
        <v>0</v>
      </c>
      <c r="CB98" s="97">
        <f ca="1">MIN(TblMili[[#This Row],[Unit 1]],TblMili[[#This Row],[Unit 4]])*2</f>
        <v>0</v>
      </c>
      <c r="CC98" s="271">
        <f ca="1">MIN(frost_mage_cap,TblMili[[#This Row],[Hill]]/frost_mage_bonus)</f>
        <v>2.1999999999999997</v>
      </c>
      <c r="CD98" s="45">
        <f ca="1">MIN(ice_elem_cap,TblMili[[#This Row],[Raw (2)]]*ice_elem_bonus)</f>
        <v>0.1</v>
      </c>
      <c r="CE98" s="271">
        <f t="shared" si="3"/>
        <v>1</v>
      </c>
      <c r="CF98" s="271">
        <f ca="1">MIN(nox_nightshade_cap,TblConstr[[#This Row],[Homeland]]/TblConstr[[#This Row],[Land]]/nox_nightshade_swamp_bonus)</f>
        <v>3</v>
      </c>
      <c r="CG98" s="272"/>
      <c r="CH98" s="272"/>
      <c r="CI98" s="272"/>
      <c r="CJ98" s="271">
        <f ca="1">MIN(6,TblMili[[#This Row],[Mystic]]+Races!$F$19)*1.8 +  IF(TblMili[[#This Row],[Mystic]]+Races!$F$19&gt;6,(TblMili[[#This Row],[Mystic]]+Races!$F$19-6)*0.2,0) - Races!$I$19</f>
        <v>3.6399999999999997</v>
      </c>
      <c r="CK9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97">
        <f ca="1">TblMili[[#This Row],[Mystic bonus]]*TblMili[[#This Row],[Unit 3]]+TblMili[[#This Row],[Druid bonus]]*TblMili[[#This Row],[Unit 4]]</f>
        <v>0</v>
      </c>
      <c r="CM98" s="163">
        <f ca="1">MIN(6,TblMili[[#This Row],[Dryad]]+Races!$F$35)*1.8 +  IF(TblMili[[#This Row],[Dryad]]+Races!$F$35&gt;6,(TblMili[[#This Row],[Dryad]]+Races!$F$35-6)*0.2,0) - Races!$I$19</f>
        <v>2.1599999999999993</v>
      </c>
      <c r="CN98" s="97">
        <f ca="1">sylvan*(TblMili[[#This Row],[Mystic bonus]]*TblMili[[#This Row],[Unit 3]])</f>
        <v>0</v>
      </c>
      <c r="CO98" s="163">
        <f ca="1">1.8 * MIN(MAX(Races!$E$27,TblMili[[#This Row],[Rockapult]]+Races!$F$27),6)  +  0.45 * MIN(MIN(Races!$E$27,TblMili[[#This Row],[Rockapult]]+Races!$F$27),6)  +  0.2 * ( MAX(Races!$E$27-6,0) + MAX(TblMili[[#This Row],[Rockapult]]+Races!$F$27-6,0) )  -  Races!$I$20</f>
        <v>5.8500000000000005</v>
      </c>
      <c r="CP98" s="97">
        <f ca="1">gnome*(TblMili[[#This Row],[Rockapult bonus]]*TblMili[[#This Row],[Unit 3]])</f>
        <v>0</v>
      </c>
      <c r="CQ98" s="163">
        <f ca="1">1.8 * MIN(MAX(TblMili[[#This Row],[Spellblade]]+Races!$E$47,TblMili[[#This Row],[Adept-DP]]+Races!$F$47),6)  +  0.45 * MIN(MIN(TblMili[[#This Row],[Spellblade]]+Races!$E$47,TblMili[[#This Row],[Adept-DP]]+Races!$F$47),6)  +  0.2 * ( MAX(TblMili[[#This Row],[Spellblade]]+Races!$E$47-6,0) + MAX(TblMili[[#This Row],[Adept-DP]]+Races!$F$47-6,0) )  -  Races!$I$47</f>
        <v>0</v>
      </c>
      <c r="CR98" s="97">
        <f ca="1">dark_elf*(TblMili[[#This Row],[Adept bonus]]*TblMili[[#This Row],[Unit 3]])</f>
        <v>0</v>
      </c>
      <c r="CS98" s="163">
        <f ca="1">1.8 * MIN(MAX(TblMili[[#This Row],[Frost Mage]]+Races!$F$71,Races!$E$71),6)  +  0.45 * MIN(MIN(TblMili[[#This Row],[Frost Mage]]+Races!$F$71,Races!$E$71),6)  +  0.2 * ( MAX(TblMili[[#This Row],[Frost Mage]]+Races!$F$71-6,0) + MAX(Races!$E$71-6,0) )  -  Races!$I$71</f>
        <v>3.9599999999999991</v>
      </c>
      <c r="CT98" s="163">
        <f ca="1">1.8 * MIN(MAX(TblMili[[#This Row],[Ice Elemental]]+Races!$E$71,Races!$F$71),6)  +  0.45 * MIN(MIN(TblMili[[#This Row],[Ice Elemental]]+Races!$E$71,Races!$F$71),6)  +  0.2 * ( MAX(TblMili[[#This Row],[Ice Elemental]]+Races!$E$71-6,0) + MAX(Races!$F$71-6,0) )  -  Races!$I$71</f>
        <v>0.17999999999999972</v>
      </c>
      <c r="CU98" s="97">
        <f ca="1">TblMili[[#This Row],[Frost Mage bonus]]*TblMili[[#This Row],[Unit 3]]+TblMili[[#This Row],[Ice Elemental bonus]]*TblMili[[#This Row],[Unit 4]]</f>
        <v>0</v>
      </c>
      <c r="CV98" s="273"/>
      <c r="CW98" s="151">
        <f ca="1">MIN(SUM(TblConstr[[#This Row],[Plain]:[Water]])/TblMili[[#This Row],[Land]]/favorable_terrain_bonus/100,favorable_terrain_max)</f>
        <v>0.1</v>
      </c>
      <c r="CX98" s="273"/>
      <c r="CY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50"/>
      <c r="DA98" s="274">
        <f ca="1">(TblMili[[#This Row],[Wizards]]+2*TblMili[[#This Row],[Archmages]])/TblConstr[[#This Row],[Land]]</f>
        <v>0.1</v>
      </c>
      <c r="DB98" s="274">
        <f ca="1">TblMili[[#This Row],[Raw (2)]]*(1+race_wizard_strength+IF(TblMili[[#This Row],[Hour]]&gt;72,tech_magical_weaponry_wiz*TblTech[[#This Row],[3-5]],0))</f>
        <v>0.1</v>
      </c>
    </row>
    <row r="99" spans="1:106" x14ac:dyDescent="0.2">
      <c r="A99" s="145">
        <f>TblRezone[[#This Row],[Hour]]</f>
        <v>96</v>
      </c>
      <c r="B99" s="266">
        <f ca="1">SUM(TblMili[[#This Row],[Unit 1]:[Archmages]])+SUM(OFFSET(TblMili[[#This Row],[Train Unit 1]],-8,0):TblMili[[#This Row],[Train Unit 2]]) + SUM(OFFSET(TblMili[[#This Row],[Train Unit 3]],-11,0):TblMili[[#This Row],[Train Arch]]) + TblMili[[#This Row],[Draftees]]</f>
        <v>826</v>
      </c>
      <c r="C99" s="165">
        <f ca="1">TblPop[[#This Row],[Military%]]</f>
        <v>0.35029686174724345</v>
      </c>
      <c r="D99" s="150"/>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f>
        <v>25</v>
      </c>
      <c r="J99" s="45">
        <f ca="1">OFFSET(TblMili[[#This Row],[Wizards]],-1,0) + OFFSET(TblMili[[#This Row],[Train Wiz]],-12,0) - TblMili[[#This Row],[Release Wizards]]-TblMili[[#This Row],[Train Arch]]</f>
        <v>25</v>
      </c>
      <c r="K99" s="45">
        <f ca="1">OFFSET(TblMili[[#This Row],[Archmages]],-1,0) + OFFSET(TblMili[[#This Row],[Train Arch]],-12,0) - TblMili[[#This Row],[Release Arch]]</f>
        <v>0</v>
      </c>
      <c r="L99" s="150"/>
      <c r="M99" s="97">
        <f ca="1">TblProd[[#This Row],[Networth]]</f>
        <v>6450</v>
      </c>
      <c r="N99" s="150"/>
      <c r="O99" s="267">
        <f ca="1">TblMili[[#This Row],[Unit 1]]*spec_op+TblMili[[#This Row],[Unit 3]]*(elite1_base_op)+TblMili[[#This Row],[Unit 4]]*(elite2_base_op+dark_elf*TblMili[[#This Row],[Spellblade]]+icekin*TblMili[[#This Row],[Ice Elemental]]+woodie*TblMili[[#This Row],[Druid (op)]]+orc*TblMili[[#This Row],[Orc]])+kobold*TblMili[[#This Row],[Overlords]]</f>
        <v>0</v>
      </c>
      <c r="P9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9" s="267">
        <f ca="1">TblMili[[#This Row],[Raw]]*(1+TblMili[[#This Row],[Mods_Off]])</f>
        <v>0</v>
      </c>
      <c r="R9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9" s="267">
        <f ca="1">TblMili[[#This Row],[Non Draft]]+TblMili[[#This Row],[Draftees]]</f>
        <v>1076</v>
      </c>
      <c r="T9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269">
        <f ca="1">TblMili[[#This Row],[Non Draft]] * (1 + TblMili[[#This Row],[Mods_Def]])</f>
        <v>450</v>
      </c>
      <c r="V99" s="267">
        <f ca="1">TblMili[[#This Row],[Draft]] * (1 + TblMili[[#This Row],[Mods_Def]])</f>
        <v>1076</v>
      </c>
      <c r="W99" s="267">
        <f ca="1">TblConstr[[#This Row],[Land]]</f>
        <v>250</v>
      </c>
      <c r="X99" s="270"/>
      <c r="Y99" s="275">
        <f ca="1">IF(TblMili[[#This Row],[Set]]&lt;&gt;"",TblMili[[#This Row],[Set]],OFFSET(TblMili[[#This Row],[Draftrate]],-1,0))</f>
        <v>0.35</v>
      </c>
      <c r="Z99" s="97">
        <f ca="1">OFFSET(TblMili[[#This Row],[Draftees]],-1,0)+OFFSET(TblPop[[#This Row],[Draft Growth]],-1,0) - SUM(TblMili[[#This Row],[Train Unit 1]:[Train Wiz]]) - TblMili[[#This Row],[Release Draft]] + SUM(TblMili[[#This Row],[Release Unit 1]:[Release Arch]]) -TblExplore[[#This Row],[Draftees (2)]]</f>
        <v>626</v>
      </c>
      <c r="AA99" s="162"/>
      <c r="AB99" s="188">
        <f ca="1">(TblConstr[[#This Row],[Tot Smi]]+TblConstr[[#This Row],[Dest Smi]])/(TblConstr[[#This Row],[Land]]-TblExplore[[#This Row],[Land Bonus]]*20)</f>
        <v>0</v>
      </c>
      <c r="AC99" s="145"/>
      <c r="AD99" s="266">
        <f>TblMili[[#This Row],[Hour]]</f>
        <v>96</v>
      </c>
      <c r="AE99" s="146">
        <f ca="1">TblExplore[[#This Row],[Time]]</f>
        <v>44814.708333333103</v>
      </c>
      <c r="AF99" s="187"/>
      <c r="AG99" s="187"/>
      <c r="AH99" s="187"/>
      <c r="AI99" s="187"/>
      <c r="AJ99" s="187"/>
      <c r="AK99" s="187"/>
      <c r="AL99" s="187"/>
      <c r="AM99" s="150"/>
      <c r="AN99" s="97">
        <f ca="1">TblProd[[#This Row],[Platinum]]</f>
        <v>622048</v>
      </c>
      <c r="AO99" s="97">
        <f ca="1">INDEX(TblProd[[#Headers],[Lumber]]:TblProd[[#This Row],[Ore]],COUNTA(TblProd[[#Headers],[Lumber]]:TblProd[[#This Row],[Lumber]]),MATCH(Military!$AO$2,TblProd[[#Headers],[Lumber]:[Ore]],0))</f>
        <v>0</v>
      </c>
      <c r="AP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97">
        <f ca="1">TblMili[[#This Row],[Train Unit 1]]*TblMili[[#This Row],[OP Ore]]+TblMili[[#This Row],[Train Unit 2]]*TblMili[[#This Row],[DP Ore]]+TblMili[[#This Row],[Train Unit 3]]*TblMili[[#This Row],[E1 Ore]]+TblMili[[#This Row],[Train Unit 4]]*TblMili[[#This Row],[E2 Ore]]</f>
        <v>0</v>
      </c>
      <c r="AR99" s="150">
        <f>TblMili[[#This Row],[Hour]]</f>
        <v>96</v>
      </c>
      <c r="AS99" s="160">
        <f ca="1">TblMili[[#This Row],[Time]]</f>
        <v>44814.708333333103</v>
      </c>
      <c r="AT99" s="97">
        <f ca="1">TblMili[[#This Row],[Draftees]]</f>
        <v>626</v>
      </c>
      <c r="AU99" s="187"/>
      <c r="AV99" s="187"/>
      <c r="AW99" s="187"/>
      <c r="AX99" s="187"/>
      <c r="AY99" s="187"/>
      <c r="AZ99" s="187"/>
      <c r="BA99" s="187"/>
      <c r="BB99" s="187"/>
      <c r="BC99" s="150"/>
      <c r="BD99" s="165">
        <f ca="1">TblConstr[[#This Row],[Tot WG]]/TblConstr[[#This Row],[Land]]</f>
        <v>0</v>
      </c>
      <c r="BE99" s="165">
        <f ca="1">TblConstr[[#This Row],[Tot Hav]]/TblConstr[[#This Row],[Land]]</f>
        <v>0</v>
      </c>
      <c r="BF99" s="97">
        <f ca="1">ROUNDUP((1-MIN(TblMili[[#This Row],[Smithies]]*smithy_bonus,smithy_bonus_cap) + tech_3_5*TblTech[[#This Row],[3-5]] + tech_5_3*TblTech[[#This Row],[5-3]] + tech_5_5*TblTech[[#This Row],[5-5]])*spec_op_plat,0)</f>
        <v>275</v>
      </c>
      <c r="BG99" s="97">
        <f ca="1">ROUNDUP(IF(race="Gnome",1,(1-MIN(TblMili[[#This Row],[Smithies]]*smithy_bonus,smithy_bonus_cap) + tech_3_5*TblTech[[#This Row],[3-5]] + tech_5_3*TblTech[[#This Row],[5-3]] + tech_5_5*TblTech[[#This Row],[5-5]]))*spec_op_ore,0)</f>
        <v>25</v>
      </c>
      <c r="BH99" s="97">
        <f ca="1">ROUNDUP((1-MIN(TblMili[[#This Row],[Smithies]]*smithy_bonus,smithy_bonus_cap) + tech_3_5*TblTech[[#This Row],[3-5]] + tech_5_3*TblTech[[#This Row],[5-3]] + tech_5_5*TblTech[[#This Row],[5-5]])*spec_dp_plat,0)</f>
        <v>275</v>
      </c>
      <c r="BI99" s="97">
        <f ca="1">ROUNDUP(IF(race="Gnome",1,(1-MIN(TblMili[[#This Row],[Smithies]]*smithy_bonus,smithy_bonus_cap) + tech_3_5*TblTech[[#This Row],[3-5]] + tech_5_3*TblTech[[#This Row],[5-3]] + tech_5_5*TblTech[[#This Row],[5-5]]))*spec_dp_ore,0)</f>
        <v>15</v>
      </c>
      <c r="BJ99" s="97">
        <f ca="1">ROUNDUP((1-MIN(TblMili[[#This Row],[Smithies]]*smithy_bonus,smithy_bonus_cap) + tech_3_5*TblTech[[#This Row],[3-5]] + tech_5_3*TblTech[[#This Row],[5-3]] + tech_5_5*TblTech[[#This Row],[5-5]])*elite1_plat,0)</f>
        <v>1000</v>
      </c>
      <c r="BK99" s="97">
        <f ca="1">ROUNDUP(IF(race="Gnome",1,(1-MIN(TblMili[[#This Row],[Smithies]]*smithy_bonus,smithy_bonus_cap) + tech_3_5*TblTech[[#This Row],[3-5]] + tech_5_3*TblTech[[#This Row],[5-3]] + tech_5_5*TblTech[[#This Row],[5-5]]))*elite1_ore,0)</f>
        <v>75</v>
      </c>
      <c r="BL99" s="97">
        <f ca="1">ROUNDUP((1-MIN(TblMili[[#This Row],[Smithies]]*smithy_bonus,smithy_bonus_cap) + tech_3_5*TblTech[[#This Row],[3-5]] + tech_5_3*TblTech[[#This Row],[5-3]] + tech_5_5*TblTech[[#This Row],[5-5]])*elite2_plat,0)</f>
        <v>1200</v>
      </c>
      <c r="BM99" s="97">
        <f ca="1">ROUNDUP(IF(race="Gnome",1,(1-MIN(TblMili[[#This Row],[Smithies]]*smithy_bonus,smithy_bonus_cap) + tech_3_5*TblTech[[#This Row],[3-5]] + tech_5_3*TblTech[[#This Row],[5-3]] + tech_5_5*TblTech[[#This Row],[5-5]]))*elite2_ore,0)</f>
        <v>100</v>
      </c>
      <c r="BN99" s="97">
        <f ca="1">ROUNDUP((1-MIN(ROUND(fh_spy_cost_red*TblMili[[#This Row],[FH''s]],4),fh_spy_cost_cap)+ tech_1_9*TblTech[[#This Row],[1-9]] + tech_9_1*TblTech[[#This Row],[9-1]])*spy_plat,0)</f>
        <v>500</v>
      </c>
      <c r="BO99" s="97">
        <f ca="1">ROUNDUP((1-MIN(ROUND(wg_wiz_cost_bonus*TblMili[[#This Row],[WG''s]],4),wg_wiz_cost_cap) + tech_1_9_2*TblTech[[#This Row],[1-9]] + tech_9_1_2*TblTech[[#This Row],[9-1]])*wizard_plat,0)</f>
        <v>500</v>
      </c>
      <c r="BP99" s="97">
        <f ca="1">ROUNDUP((1-MIN(ROUND(wg_wiz_cost_bonus*TblMili[[#This Row],[WG''s]],4),wg_wiz_cost_cap) + tech_1_9_2*TblTech[[#This Row],[1-9]] + tech_9_1_2*TblTech[[#This Row],[9-1]])*archmage_plat,0)</f>
        <v>1000</v>
      </c>
      <c r="BQ99" s="150"/>
      <c r="BR99" s="165">
        <f ca="1">TblConstr[[#This Row],[Homeland]]/TblConstr[[#This Row],[Land]]</f>
        <v>0.44</v>
      </c>
      <c r="BS99" s="165">
        <f ca="1">TblMili[[#This Row],[WG''s]]</f>
        <v>0</v>
      </c>
      <c r="BT99" s="271">
        <f ca="1">IF(mystic_cap="none",TblMili[[#This Row],[Hill]]/mystic_bonus,MIN(mystic_cap,TblMili[[#This Row],[Hill]]/mystic_bonus))</f>
        <v>2.1999999999999997</v>
      </c>
      <c r="BU99" s="271">
        <f ca="1">IF(druid_op_cap="none",TblMili[[#This Row],[Hill]]/druid_op_bonus,MIN(druid_op_cap,TblMili[[#This Row],[Hill]]/druid_op_bonus))</f>
        <v>2.1999999999999997</v>
      </c>
      <c r="BV99" s="271">
        <f ca="1">IF(druid_dp_cap="none",TblMili[[#This Row],[Hill]]/druid_dp_bonus,MIN(druid_dp_cap,TblMili[[#This Row],[Hill]]/druid_dp_bonus))</f>
        <v>2.1999999999999997</v>
      </c>
      <c r="BW99" s="271">
        <f ca="1">MIN(dryad_cap,TblMili[[#This Row],[Hill]]/dryad_bonus)</f>
        <v>2.1999999999999997</v>
      </c>
      <c r="BX99" s="271">
        <f ca="1">MIN(rocka_cap,TblMili[[#This Row],[Hill]]/rocka_bonus)</f>
        <v>2</v>
      </c>
      <c r="BY99" s="271">
        <f ca="1">MIN(adept_op_cap,TblMili[[#This Row],[WG]]/adept_op_bonus)</f>
        <v>0</v>
      </c>
      <c r="BZ99" s="271">
        <f ca="1">MIN(adept_dp_cap,TblMili[[#This Row],[WG]]/adept_dp_bonus)</f>
        <v>0</v>
      </c>
      <c r="CA99" s="97">
        <f ca="1">MIN(TblMili[[#This Row],[Unit 3]],TblMili[[#This Row],[Unit 4]])*2</f>
        <v>0</v>
      </c>
      <c r="CB99" s="97">
        <f ca="1">MIN(TblMili[[#This Row],[Unit 1]],TblMili[[#This Row],[Unit 4]])*2</f>
        <v>0</v>
      </c>
      <c r="CC99" s="271">
        <f ca="1">MIN(frost_mage_cap,TblMili[[#This Row],[Hill]]/frost_mage_bonus)</f>
        <v>2.1999999999999997</v>
      </c>
      <c r="CD99" s="45">
        <f ca="1">MIN(ice_elem_cap,TblMili[[#This Row],[Raw (2)]]*ice_elem_bonus)</f>
        <v>0.1</v>
      </c>
      <c r="CE99" s="271">
        <f t="shared" si="3"/>
        <v>1</v>
      </c>
      <c r="CF99" s="271">
        <f ca="1">MIN(nox_nightshade_cap,TblConstr[[#This Row],[Homeland]]/TblConstr[[#This Row],[Land]]/nox_nightshade_swamp_bonus)</f>
        <v>3</v>
      </c>
      <c r="CG99" s="272"/>
      <c r="CH99" s="272"/>
      <c r="CI99" s="272"/>
      <c r="CJ99" s="271">
        <f ca="1">MIN(6,TblMili[[#This Row],[Mystic]]+Races!$F$19)*1.8 +  IF(TblMili[[#This Row],[Mystic]]+Races!$F$19&gt;6,(TblMili[[#This Row],[Mystic]]+Races!$F$19-6)*0.2,0) - Races!$I$19</f>
        <v>3.6399999999999997</v>
      </c>
      <c r="CK9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97">
        <f ca="1">TblMili[[#This Row],[Mystic bonus]]*TblMili[[#This Row],[Unit 3]]+TblMili[[#This Row],[Druid bonus]]*TblMili[[#This Row],[Unit 4]]</f>
        <v>0</v>
      </c>
      <c r="CM99" s="163">
        <f ca="1">MIN(6,TblMili[[#This Row],[Dryad]]+Races!$F$35)*1.8 +  IF(TblMili[[#This Row],[Dryad]]+Races!$F$35&gt;6,(TblMili[[#This Row],[Dryad]]+Races!$F$35-6)*0.2,0) - Races!$I$19</f>
        <v>2.1599999999999993</v>
      </c>
      <c r="CN99" s="97">
        <f ca="1">sylvan*(TblMili[[#This Row],[Mystic bonus]]*TblMili[[#This Row],[Unit 3]])</f>
        <v>0</v>
      </c>
      <c r="CO99" s="163">
        <f ca="1">1.8 * MIN(MAX(Races!$E$27,TblMili[[#This Row],[Rockapult]]+Races!$F$27),6)  +  0.45 * MIN(MIN(Races!$E$27,TblMili[[#This Row],[Rockapult]]+Races!$F$27),6)  +  0.2 * ( MAX(Races!$E$27-6,0) + MAX(TblMili[[#This Row],[Rockapult]]+Races!$F$27-6,0) )  -  Races!$I$20</f>
        <v>5.8500000000000005</v>
      </c>
      <c r="CP99" s="97">
        <f ca="1">gnome*(TblMili[[#This Row],[Rockapult bonus]]*TblMili[[#This Row],[Unit 3]])</f>
        <v>0</v>
      </c>
      <c r="CQ99" s="163">
        <f ca="1">1.8 * MIN(MAX(TblMili[[#This Row],[Spellblade]]+Races!$E$47,TblMili[[#This Row],[Adept-DP]]+Races!$F$47),6)  +  0.45 * MIN(MIN(TblMili[[#This Row],[Spellblade]]+Races!$E$47,TblMili[[#This Row],[Adept-DP]]+Races!$F$47),6)  +  0.2 * ( MAX(TblMili[[#This Row],[Spellblade]]+Races!$E$47-6,0) + MAX(TblMili[[#This Row],[Adept-DP]]+Races!$F$47-6,0) )  -  Races!$I$47</f>
        <v>0</v>
      </c>
      <c r="CR99" s="97">
        <f ca="1">dark_elf*(TblMili[[#This Row],[Adept bonus]]*TblMili[[#This Row],[Unit 3]])</f>
        <v>0</v>
      </c>
      <c r="CS99" s="163">
        <f ca="1">1.8 * MIN(MAX(TblMili[[#This Row],[Frost Mage]]+Races!$F$71,Races!$E$71),6)  +  0.45 * MIN(MIN(TblMili[[#This Row],[Frost Mage]]+Races!$F$71,Races!$E$71),6)  +  0.2 * ( MAX(TblMili[[#This Row],[Frost Mage]]+Races!$F$71-6,0) + MAX(Races!$E$71-6,0) )  -  Races!$I$71</f>
        <v>3.9599999999999991</v>
      </c>
      <c r="CT99" s="163">
        <f ca="1">1.8 * MIN(MAX(TblMili[[#This Row],[Ice Elemental]]+Races!$E$71,Races!$F$71),6)  +  0.45 * MIN(MIN(TblMili[[#This Row],[Ice Elemental]]+Races!$E$71,Races!$F$71),6)  +  0.2 * ( MAX(TblMili[[#This Row],[Ice Elemental]]+Races!$E$71-6,0) + MAX(Races!$F$71-6,0) )  -  Races!$I$71</f>
        <v>0.17999999999999972</v>
      </c>
      <c r="CU99" s="97">
        <f ca="1">TblMili[[#This Row],[Frost Mage bonus]]*TblMili[[#This Row],[Unit 3]]+TblMili[[#This Row],[Ice Elemental bonus]]*TblMili[[#This Row],[Unit 4]]</f>
        <v>0</v>
      </c>
      <c r="CV99" s="273"/>
      <c r="CW99" s="151">
        <f ca="1">MIN(SUM(TblConstr[[#This Row],[Plain]:[Water]])/TblMili[[#This Row],[Land]]/favorable_terrain_bonus/100,favorable_terrain_max)</f>
        <v>0.1</v>
      </c>
      <c r="CX99" s="273"/>
      <c r="CY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50"/>
      <c r="DA99" s="274">
        <f ca="1">(TblMili[[#This Row],[Wizards]]+2*TblMili[[#This Row],[Archmages]])/TblConstr[[#This Row],[Land]]</f>
        <v>0.1</v>
      </c>
      <c r="DB99" s="274">
        <f ca="1">TblMili[[#This Row],[Raw (2)]]*(1+race_wizard_strength+IF(TblMili[[#This Row],[Hour]]&gt;72,tech_magical_weaponry_wiz*TblTech[[#This Row],[3-5]],0))</f>
        <v>0.1</v>
      </c>
    </row>
    <row r="100" spans="1:106" x14ac:dyDescent="0.2">
      <c r="A100" s="145">
        <f>TblRezone[[#This Row],[Hour]]</f>
        <v>97</v>
      </c>
      <c r="B100" s="266">
        <f ca="1">SUM(TblMili[[#This Row],[Unit 1]:[Archmages]])+SUM(OFFSET(TblMili[[#This Row],[Train Unit 1]],-8,0):TblMili[[#This Row],[Train Unit 2]]) + SUM(OFFSET(TblMili[[#This Row],[Train Unit 3]],-11,0):TblMili[[#This Row],[Train Arch]]) + TblMili[[#This Row],[Draftees]]</f>
        <v>826</v>
      </c>
      <c r="C100" s="165">
        <f ca="1">TblPop[[#This Row],[Military%]]</f>
        <v>0.35029686174724345</v>
      </c>
      <c r="D100" s="150"/>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f>
        <v>25</v>
      </c>
      <c r="J100" s="45">
        <f ca="1">OFFSET(TblMili[[#This Row],[Wizards]],-1,0) + OFFSET(TblMili[[#This Row],[Train Wiz]],-12,0) - TblMili[[#This Row],[Release Wizards]]-TblMili[[#This Row],[Train Arch]]</f>
        <v>25</v>
      </c>
      <c r="K100" s="45">
        <f ca="1">OFFSET(TblMili[[#This Row],[Archmages]],-1,0) + OFFSET(TblMili[[#This Row],[Train Arch]],-12,0) - TblMili[[#This Row],[Release Arch]]</f>
        <v>0</v>
      </c>
      <c r="L100" s="150"/>
      <c r="M100" s="97">
        <f ca="1">TblProd[[#This Row],[Networth]]</f>
        <v>6450</v>
      </c>
      <c r="N100" s="150"/>
      <c r="O100" s="267">
        <f ca="1">TblMili[[#This Row],[Unit 1]]*spec_op+TblMili[[#This Row],[Unit 3]]*(elite1_base_op)+TblMili[[#This Row],[Unit 4]]*(elite2_base_op+dark_elf*TblMili[[#This Row],[Spellblade]]+icekin*TblMili[[#This Row],[Ice Elemental]]+woodie*TblMili[[#This Row],[Druid (op)]]+orc*TblMili[[#This Row],[Orc]])+kobold*TblMili[[#This Row],[Overlords]]</f>
        <v>0</v>
      </c>
      <c r="P10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0" s="267">
        <f ca="1">TblMili[[#This Row],[Raw]]*(1+TblMili[[#This Row],[Mods_Off]])</f>
        <v>0</v>
      </c>
      <c r="R10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0" s="267">
        <f ca="1">TblMili[[#This Row],[Non Draft]]+TblMili[[#This Row],[Draftees]]</f>
        <v>1076</v>
      </c>
      <c r="T10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269">
        <f ca="1">TblMili[[#This Row],[Non Draft]] * (1 + TblMili[[#This Row],[Mods_Def]])</f>
        <v>450</v>
      </c>
      <c r="V100" s="267">
        <f ca="1">TblMili[[#This Row],[Draft]] * (1 + TblMili[[#This Row],[Mods_Def]])</f>
        <v>1076</v>
      </c>
      <c r="W100" s="267">
        <f ca="1">TblConstr[[#This Row],[Land]]</f>
        <v>250</v>
      </c>
      <c r="X100" s="270"/>
      <c r="Y100" s="275">
        <f ca="1">IF(TblMili[[#This Row],[Set]]&lt;&gt;"",TblMili[[#This Row],[Set]],OFFSET(TblMili[[#This Row],[Draftrate]],-1,0))</f>
        <v>0.35</v>
      </c>
      <c r="Z100" s="97">
        <f ca="1">OFFSET(TblMili[[#This Row],[Draftees]],-1,0)+OFFSET(TblPop[[#This Row],[Draft Growth]],-1,0) - SUM(TblMili[[#This Row],[Train Unit 1]:[Train Wiz]]) - TblMili[[#This Row],[Release Draft]] + SUM(TblMili[[#This Row],[Release Unit 1]:[Release Arch]]) -TblExplore[[#This Row],[Draftees (2)]]</f>
        <v>626</v>
      </c>
      <c r="AA100" s="162"/>
      <c r="AB100" s="188">
        <f ca="1">(TblConstr[[#This Row],[Tot Smi]]+TblConstr[[#This Row],[Dest Smi]])/(TblConstr[[#This Row],[Land]]-TblExplore[[#This Row],[Land Bonus]]*20)</f>
        <v>0</v>
      </c>
      <c r="AC100" s="145"/>
      <c r="AD100" s="266">
        <f>TblMili[[#This Row],[Hour]]</f>
        <v>97</v>
      </c>
      <c r="AE100" s="146">
        <f ca="1">TblExplore[[#This Row],[Time]]</f>
        <v>44814.749999999767</v>
      </c>
      <c r="AF100" s="187"/>
      <c r="AG100" s="187"/>
      <c r="AH100" s="187"/>
      <c r="AI100" s="187"/>
      <c r="AJ100" s="187"/>
      <c r="AK100" s="187"/>
      <c r="AL100" s="187"/>
      <c r="AM100" s="150"/>
      <c r="AN100" s="97">
        <f ca="1">TblProd[[#This Row],[Platinum]]</f>
        <v>627534</v>
      </c>
      <c r="AO100" s="97">
        <f ca="1">INDEX(TblProd[[#Headers],[Lumber]]:TblProd[[#This Row],[Ore]],COUNTA(TblProd[[#Headers],[Lumber]]:TblProd[[#This Row],[Lumber]]),MATCH(Military!$AO$2,TblProd[[#Headers],[Lumber]:[Ore]],0))</f>
        <v>0</v>
      </c>
      <c r="AP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97">
        <f ca="1">TblMili[[#This Row],[Train Unit 1]]*TblMili[[#This Row],[OP Ore]]+TblMili[[#This Row],[Train Unit 2]]*TblMili[[#This Row],[DP Ore]]+TblMili[[#This Row],[Train Unit 3]]*TblMili[[#This Row],[E1 Ore]]+TblMili[[#This Row],[Train Unit 4]]*TblMili[[#This Row],[E2 Ore]]</f>
        <v>0</v>
      </c>
      <c r="AR100" s="150">
        <f>TblMili[[#This Row],[Hour]]</f>
        <v>97</v>
      </c>
      <c r="AS100" s="160">
        <f ca="1">TblMili[[#This Row],[Time]]</f>
        <v>44814.749999999767</v>
      </c>
      <c r="AT100" s="97">
        <f ca="1">TblMili[[#This Row],[Draftees]]</f>
        <v>626</v>
      </c>
      <c r="AU100" s="187"/>
      <c r="AV100" s="187"/>
      <c r="AW100" s="187"/>
      <c r="AX100" s="187"/>
      <c r="AY100" s="187"/>
      <c r="AZ100" s="187"/>
      <c r="BA100" s="187"/>
      <c r="BB100" s="187"/>
      <c r="BC100" s="150"/>
      <c r="BD100" s="165">
        <f ca="1">TblConstr[[#This Row],[Tot WG]]/TblConstr[[#This Row],[Land]]</f>
        <v>0</v>
      </c>
      <c r="BE100" s="165">
        <f ca="1">TblConstr[[#This Row],[Tot Hav]]/TblConstr[[#This Row],[Land]]</f>
        <v>0</v>
      </c>
      <c r="BF100" s="97">
        <f ca="1">ROUNDUP((1-MIN(TblMili[[#This Row],[Smithies]]*smithy_bonus,smithy_bonus_cap) + tech_3_5*TblTech[[#This Row],[3-5]] + tech_5_3*TblTech[[#This Row],[5-3]] + tech_5_5*TblTech[[#This Row],[5-5]])*spec_op_plat,0)</f>
        <v>275</v>
      </c>
      <c r="BG100" s="97">
        <f ca="1">ROUNDUP(IF(race="Gnome",1,(1-MIN(TblMili[[#This Row],[Smithies]]*smithy_bonus,smithy_bonus_cap) + tech_3_5*TblTech[[#This Row],[3-5]] + tech_5_3*TblTech[[#This Row],[5-3]] + tech_5_5*TblTech[[#This Row],[5-5]]))*spec_op_ore,0)</f>
        <v>25</v>
      </c>
      <c r="BH100" s="97">
        <f ca="1">ROUNDUP((1-MIN(TblMili[[#This Row],[Smithies]]*smithy_bonus,smithy_bonus_cap) + tech_3_5*TblTech[[#This Row],[3-5]] + tech_5_3*TblTech[[#This Row],[5-3]] + tech_5_5*TblTech[[#This Row],[5-5]])*spec_dp_plat,0)</f>
        <v>275</v>
      </c>
      <c r="BI100" s="97">
        <f ca="1">ROUNDUP(IF(race="Gnome",1,(1-MIN(TblMili[[#This Row],[Smithies]]*smithy_bonus,smithy_bonus_cap) + tech_3_5*TblTech[[#This Row],[3-5]] + tech_5_3*TblTech[[#This Row],[5-3]] + tech_5_5*TblTech[[#This Row],[5-5]]))*spec_dp_ore,0)</f>
        <v>15</v>
      </c>
      <c r="BJ100" s="97">
        <f ca="1">ROUNDUP((1-MIN(TblMili[[#This Row],[Smithies]]*smithy_bonus,smithy_bonus_cap) + tech_3_5*TblTech[[#This Row],[3-5]] + tech_5_3*TblTech[[#This Row],[5-3]] + tech_5_5*TblTech[[#This Row],[5-5]])*elite1_plat,0)</f>
        <v>1000</v>
      </c>
      <c r="BK100" s="97">
        <f ca="1">ROUNDUP(IF(race="Gnome",1,(1-MIN(TblMili[[#This Row],[Smithies]]*smithy_bonus,smithy_bonus_cap) + tech_3_5*TblTech[[#This Row],[3-5]] + tech_5_3*TblTech[[#This Row],[5-3]] + tech_5_5*TblTech[[#This Row],[5-5]]))*elite1_ore,0)</f>
        <v>75</v>
      </c>
      <c r="BL100" s="97">
        <f ca="1">ROUNDUP((1-MIN(TblMili[[#This Row],[Smithies]]*smithy_bonus,smithy_bonus_cap) + tech_3_5*TblTech[[#This Row],[3-5]] + tech_5_3*TblTech[[#This Row],[5-3]] + tech_5_5*TblTech[[#This Row],[5-5]])*elite2_plat,0)</f>
        <v>1200</v>
      </c>
      <c r="BM100" s="97">
        <f ca="1">ROUNDUP(IF(race="Gnome",1,(1-MIN(TblMili[[#This Row],[Smithies]]*smithy_bonus,smithy_bonus_cap) + tech_3_5*TblTech[[#This Row],[3-5]] + tech_5_3*TblTech[[#This Row],[5-3]] + tech_5_5*TblTech[[#This Row],[5-5]]))*elite2_ore,0)</f>
        <v>100</v>
      </c>
      <c r="BN100" s="97">
        <f ca="1">ROUNDUP((1-MIN(ROUND(fh_spy_cost_red*TblMili[[#This Row],[FH''s]],4),fh_spy_cost_cap)+ tech_1_9*TblTech[[#This Row],[1-9]] + tech_9_1*TblTech[[#This Row],[9-1]])*spy_plat,0)</f>
        <v>500</v>
      </c>
      <c r="BO100" s="97">
        <f ca="1">ROUNDUP((1-MIN(ROUND(wg_wiz_cost_bonus*TblMili[[#This Row],[WG''s]],4),wg_wiz_cost_cap) + tech_1_9_2*TblTech[[#This Row],[1-9]] + tech_9_1_2*TblTech[[#This Row],[9-1]])*wizard_plat,0)</f>
        <v>500</v>
      </c>
      <c r="BP100" s="97">
        <f ca="1">ROUNDUP((1-MIN(ROUND(wg_wiz_cost_bonus*TblMili[[#This Row],[WG''s]],4),wg_wiz_cost_cap) + tech_1_9_2*TblTech[[#This Row],[1-9]] + tech_9_1_2*TblTech[[#This Row],[9-1]])*archmage_plat,0)</f>
        <v>1000</v>
      </c>
      <c r="BQ100" s="150"/>
      <c r="BR100" s="165">
        <f ca="1">TblConstr[[#This Row],[Homeland]]/TblConstr[[#This Row],[Land]]</f>
        <v>0.44</v>
      </c>
      <c r="BS100" s="165">
        <f ca="1">TblMili[[#This Row],[WG''s]]</f>
        <v>0</v>
      </c>
      <c r="BT100" s="271">
        <f ca="1">IF(mystic_cap="none",TblMili[[#This Row],[Hill]]/mystic_bonus,MIN(mystic_cap,TblMili[[#This Row],[Hill]]/mystic_bonus))</f>
        <v>2.1999999999999997</v>
      </c>
      <c r="BU100" s="271">
        <f ca="1">IF(druid_op_cap="none",TblMili[[#This Row],[Hill]]/druid_op_bonus,MIN(druid_op_cap,TblMili[[#This Row],[Hill]]/druid_op_bonus))</f>
        <v>2.1999999999999997</v>
      </c>
      <c r="BV100" s="271">
        <f ca="1">IF(druid_dp_cap="none",TblMili[[#This Row],[Hill]]/druid_dp_bonus,MIN(druid_dp_cap,TblMili[[#This Row],[Hill]]/druid_dp_bonus))</f>
        <v>2.1999999999999997</v>
      </c>
      <c r="BW100" s="271">
        <f ca="1">MIN(dryad_cap,TblMili[[#This Row],[Hill]]/dryad_bonus)</f>
        <v>2.1999999999999997</v>
      </c>
      <c r="BX100" s="271">
        <f ca="1">MIN(rocka_cap,TblMili[[#This Row],[Hill]]/rocka_bonus)</f>
        <v>2</v>
      </c>
      <c r="BY100" s="271">
        <f ca="1">MIN(adept_op_cap,TblMili[[#This Row],[WG]]/adept_op_bonus)</f>
        <v>0</v>
      </c>
      <c r="BZ100" s="271">
        <f ca="1">MIN(adept_dp_cap,TblMili[[#This Row],[WG]]/adept_dp_bonus)</f>
        <v>0</v>
      </c>
      <c r="CA100" s="97">
        <f ca="1">MIN(TblMili[[#This Row],[Unit 3]],TblMili[[#This Row],[Unit 4]])*2</f>
        <v>0</v>
      </c>
      <c r="CB100" s="97">
        <f ca="1">MIN(TblMili[[#This Row],[Unit 1]],TblMili[[#This Row],[Unit 4]])*2</f>
        <v>0</v>
      </c>
      <c r="CC100" s="271">
        <f ca="1">MIN(frost_mage_cap,TblMili[[#This Row],[Hill]]/frost_mage_bonus)</f>
        <v>2.1999999999999997</v>
      </c>
      <c r="CD100" s="45">
        <f ca="1">MIN(ice_elem_cap,TblMili[[#This Row],[Raw (2)]]*ice_elem_bonus)</f>
        <v>0.1</v>
      </c>
      <c r="CE100" s="271">
        <f t="shared" ref="CE100:CE136" si="4">MIN(bone_breaker_cap,250/bone_breaker_bonus)</f>
        <v>1</v>
      </c>
      <c r="CF100" s="271">
        <f ca="1">MIN(nox_nightshade_cap,TblConstr[[#This Row],[Homeland]]/TblConstr[[#This Row],[Land]]/nox_nightshade_swamp_bonus)</f>
        <v>3</v>
      </c>
      <c r="CG100" s="272"/>
      <c r="CH100" s="272"/>
      <c r="CI100" s="272"/>
      <c r="CJ100" s="271">
        <f ca="1">MIN(6,TblMili[[#This Row],[Mystic]]+Races!$F$19)*1.8 +  IF(TblMili[[#This Row],[Mystic]]+Races!$F$19&gt;6,(TblMili[[#This Row],[Mystic]]+Races!$F$19-6)*0.2,0) - Races!$I$19</f>
        <v>3.6399999999999997</v>
      </c>
      <c r="CK10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97">
        <f ca="1">TblMili[[#This Row],[Mystic bonus]]*TblMili[[#This Row],[Unit 3]]+TblMili[[#This Row],[Druid bonus]]*TblMili[[#This Row],[Unit 4]]</f>
        <v>0</v>
      </c>
      <c r="CM100" s="163">
        <f ca="1">MIN(6,TblMili[[#This Row],[Dryad]]+Races!$F$35)*1.8 +  IF(TblMili[[#This Row],[Dryad]]+Races!$F$35&gt;6,(TblMili[[#This Row],[Dryad]]+Races!$F$35-6)*0.2,0) - Races!$I$19</f>
        <v>2.1599999999999993</v>
      </c>
      <c r="CN100" s="97">
        <f ca="1">sylvan*(TblMili[[#This Row],[Mystic bonus]]*TblMili[[#This Row],[Unit 3]])</f>
        <v>0</v>
      </c>
      <c r="CO100" s="163">
        <f ca="1">1.8 * MIN(MAX(Races!$E$27,TblMili[[#This Row],[Rockapult]]+Races!$F$27),6)  +  0.45 * MIN(MIN(Races!$E$27,TblMili[[#This Row],[Rockapult]]+Races!$F$27),6)  +  0.2 * ( MAX(Races!$E$27-6,0) + MAX(TblMili[[#This Row],[Rockapult]]+Races!$F$27-6,0) )  -  Races!$I$20</f>
        <v>5.8500000000000005</v>
      </c>
      <c r="CP100" s="97">
        <f ca="1">gnome*(TblMili[[#This Row],[Rockapult bonus]]*TblMili[[#This Row],[Unit 3]])</f>
        <v>0</v>
      </c>
      <c r="CQ100" s="163">
        <f ca="1">1.8 * MIN(MAX(TblMili[[#This Row],[Spellblade]]+Races!$E$47,TblMili[[#This Row],[Adept-DP]]+Races!$F$47),6)  +  0.45 * MIN(MIN(TblMili[[#This Row],[Spellblade]]+Races!$E$47,TblMili[[#This Row],[Adept-DP]]+Races!$F$47),6)  +  0.2 * ( MAX(TblMili[[#This Row],[Spellblade]]+Races!$E$47-6,0) + MAX(TblMili[[#This Row],[Adept-DP]]+Races!$F$47-6,0) )  -  Races!$I$47</f>
        <v>0</v>
      </c>
      <c r="CR100" s="97">
        <f ca="1">dark_elf*(TblMili[[#This Row],[Adept bonus]]*TblMili[[#This Row],[Unit 3]])</f>
        <v>0</v>
      </c>
      <c r="CS100" s="163">
        <f ca="1">1.8 * MIN(MAX(TblMili[[#This Row],[Frost Mage]]+Races!$F$71,Races!$E$71),6)  +  0.45 * MIN(MIN(TblMili[[#This Row],[Frost Mage]]+Races!$F$71,Races!$E$71),6)  +  0.2 * ( MAX(TblMili[[#This Row],[Frost Mage]]+Races!$F$71-6,0) + MAX(Races!$E$71-6,0) )  -  Races!$I$71</f>
        <v>3.9599999999999991</v>
      </c>
      <c r="CT100" s="163">
        <f ca="1">1.8 * MIN(MAX(TblMili[[#This Row],[Ice Elemental]]+Races!$E$71,Races!$F$71),6)  +  0.45 * MIN(MIN(TblMili[[#This Row],[Ice Elemental]]+Races!$E$71,Races!$F$71),6)  +  0.2 * ( MAX(TblMili[[#This Row],[Ice Elemental]]+Races!$E$71-6,0) + MAX(Races!$F$71-6,0) )  -  Races!$I$71</f>
        <v>0.17999999999999972</v>
      </c>
      <c r="CU100" s="97">
        <f ca="1">TblMili[[#This Row],[Frost Mage bonus]]*TblMili[[#This Row],[Unit 3]]+TblMili[[#This Row],[Ice Elemental bonus]]*TblMili[[#This Row],[Unit 4]]</f>
        <v>0</v>
      </c>
      <c r="CV100" s="273"/>
      <c r="CW100" s="151">
        <f ca="1">MIN(SUM(TblConstr[[#This Row],[Plain]:[Water]])/TblMili[[#This Row],[Land]]/favorable_terrain_bonus/100,favorable_terrain_max)</f>
        <v>0.1</v>
      </c>
      <c r="CX100" s="273"/>
      <c r="CY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50"/>
      <c r="DA100" s="274">
        <f ca="1">(TblMili[[#This Row],[Wizards]]+2*TblMili[[#This Row],[Archmages]])/TblConstr[[#This Row],[Land]]</f>
        <v>0.1</v>
      </c>
      <c r="DB100" s="274">
        <f ca="1">TblMili[[#This Row],[Raw (2)]]*(1+race_wizard_strength+IF(TblMili[[#This Row],[Hour]]&gt;72,tech_magical_weaponry_wiz*TblTech[[#This Row],[3-5]],0))</f>
        <v>0.1</v>
      </c>
    </row>
    <row r="101" spans="1:106" x14ac:dyDescent="0.2">
      <c r="A101" s="145">
        <f>TblRezone[[#This Row],[Hour]]</f>
        <v>98</v>
      </c>
      <c r="B101" s="266">
        <f ca="1">SUM(TblMili[[#This Row],[Unit 1]:[Archmages]])+SUM(OFFSET(TblMili[[#This Row],[Train Unit 1]],-8,0):TblMili[[#This Row],[Train Unit 2]]) + SUM(OFFSET(TblMili[[#This Row],[Train Unit 3]],-11,0):TblMili[[#This Row],[Train Arch]]) + TblMili[[#This Row],[Draftees]]</f>
        <v>826</v>
      </c>
      <c r="C101" s="165">
        <f ca="1">TblPop[[#This Row],[Military%]]</f>
        <v>0.35029686174724345</v>
      </c>
      <c r="D101" s="150"/>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f>
        <v>25</v>
      </c>
      <c r="J101" s="45">
        <f ca="1">OFFSET(TblMili[[#This Row],[Wizards]],-1,0) + OFFSET(TblMili[[#This Row],[Train Wiz]],-12,0) - TblMili[[#This Row],[Release Wizards]]-TblMili[[#This Row],[Train Arch]]</f>
        <v>25</v>
      </c>
      <c r="K101" s="45">
        <f ca="1">OFFSET(TblMili[[#This Row],[Archmages]],-1,0) + OFFSET(TblMili[[#This Row],[Train Arch]],-12,0) - TblMili[[#This Row],[Release Arch]]</f>
        <v>0</v>
      </c>
      <c r="L101" s="150"/>
      <c r="M101" s="97">
        <f ca="1">TblProd[[#This Row],[Networth]]</f>
        <v>6450</v>
      </c>
      <c r="N101" s="150"/>
      <c r="O101" s="267">
        <f ca="1">TblMili[[#This Row],[Unit 1]]*spec_op+TblMili[[#This Row],[Unit 3]]*(elite1_base_op)+TblMili[[#This Row],[Unit 4]]*(elite2_base_op+dark_elf*TblMili[[#This Row],[Spellblade]]+icekin*TblMili[[#This Row],[Ice Elemental]]+woodie*TblMili[[#This Row],[Druid (op)]]+orc*TblMili[[#This Row],[Orc]])+kobold*TblMili[[#This Row],[Overlords]]</f>
        <v>0</v>
      </c>
      <c r="P10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1" s="267">
        <f ca="1">TblMili[[#This Row],[Raw]]*(1+TblMili[[#This Row],[Mods_Off]])</f>
        <v>0</v>
      </c>
      <c r="R10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1" s="267">
        <f ca="1">TblMili[[#This Row],[Non Draft]]+TblMili[[#This Row],[Draftees]]</f>
        <v>1076</v>
      </c>
      <c r="T10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269">
        <f ca="1">TblMili[[#This Row],[Non Draft]] * (1 + TblMili[[#This Row],[Mods_Def]])</f>
        <v>450</v>
      </c>
      <c r="V101" s="267">
        <f ca="1">TblMili[[#This Row],[Draft]] * (1 + TblMili[[#This Row],[Mods_Def]])</f>
        <v>1076</v>
      </c>
      <c r="W101" s="267">
        <f ca="1">TblConstr[[#This Row],[Land]]</f>
        <v>250</v>
      </c>
      <c r="X101" s="270"/>
      <c r="Y101" s="275">
        <f ca="1">IF(TblMili[[#This Row],[Set]]&lt;&gt;"",TblMili[[#This Row],[Set]],OFFSET(TblMili[[#This Row],[Draftrate]],-1,0))</f>
        <v>0.35</v>
      </c>
      <c r="Z101" s="97">
        <f ca="1">OFFSET(TblMili[[#This Row],[Draftees]],-1,0)+OFFSET(TblPop[[#This Row],[Draft Growth]],-1,0) - SUM(TblMili[[#This Row],[Train Unit 1]:[Train Wiz]]) - TblMili[[#This Row],[Release Draft]] + SUM(TblMili[[#This Row],[Release Unit 1]:[Release Arch]]) -TblExplore[[#This Row],[Draftees (2)]]</f>
        <v>626</v>
      </c>
      <c r="AA101" s="162"/>
      <c r="AB101" s="188">
        <f ca="1">(TblConstr[[#This Row],[Tot Smi]]+TblConstr[[#This Row],[Dest Smi]])/(TblConstr[[#This Row],[Land]]-TblExplore[[#This Row],[Land Bonus]]*20)</f>
        <v>0</v>
      </c>
      <c r="AC101" s="145"/>
      <c r="AD101" s="266">
        <f>TblMili[[#This Row],[Hour]]</f>
        <v>98</v>
      </c>
      <c r="AE101" s="146">
        <f ca="1">TblExplore[[#This Row],[Time]]</f>
        <v>44814.791666666431</v>
      </c>
      <c r="AF101" s="187"/>
      <c r="AG101" s="187"/>
      <c r="AH101" s="187"/>
      <c r="AI101" s="187"/>
      <c r="AJ101" s="187"/>
      <c r="AK101" s="187"/>
      <c r="AL101" s="187"/>
      <c r="AM101" s="150"/>
      <c r="AN101" s="97">
        <f ca="1">TblProd[[#This Row],[Platinum]]</f>
        <v>633020</v>
      </c>
      <c r="AO101" s="97">
        <f ca="1">INDEX(TblProd[[#Headers],[Lumber]]:TblProd[[#This Row],[Ore]],COUNTA(TblProd[[#Headers],[Lumber]]:TblProd[[#This Row],[Lumber]]),MATCH(Military!$AO$2,TblProd[[#Headers],[Lumber]:[Ore]],0))</f>
        <v>0</v>
      </c>
      <c r="AP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97">
        <f ca="1">TblMili[[#This Row],[Train Unit 1]]*TblMili[[#This Row],[OP Ore]]+TblMili[[#This Row],[Train Unit 2]]*TblMili[[#This Row],[DP Ore]]+TblMili[[#This Row],[Train Unit 3]]*TblMili[[#This Row],[E1 Ore]]+TblMili[[#This Row],[Train Unit 4]]*TblMili[[#This Row],[E2 Ore]]</f>
        <v>0</v>
      </c>
      <c r="AR101" s="150">
        <f>TblMili[[#This Row],[Hour]]</f>
        <v>98</v>
      </c>
      <c r="AS101" s="160">
        <f ca="1">TblMili[[#This Row],[Time]]</f>
        <v>44814.791666666431</v>
      </c>
      <c r="AT101" s="97">
        <f ca="1">TblMili[[#This Row],[Draftees]]</f>
        <v>626</v>
      </c>
      <c r="AU101" s="187"/>
      <c r="AV101" s="187"/>
      <c r="AW101" s="187"/>
      <c r="AX101" s="187"/>
      <c r="AY101" s="187"/>
      <c r="AZ101" s="187"/>
      <c r="BA101" s="187"/>
      <c r="BB101" s="187"/>
      <c r="BC101" s="150"/>
      <c r="BD101" s="165">
        <f ca="1">TblConstr[[#This Row],[Tot WG]]/TblConstr[[#This Row],[Land]]</f>
        <v>0</v>
      </c>
      <c r="BE101" s="165">
        <f ca="1">TblConstr[[#This Row],[Tot Hav]]/TblConstr[[#This Row],[Land]]</f>
        <v>0</v>
      </c>
      <c r="BF101" s="97">
        <f ca="1">ROUNDUP((1-MIN(TblMili[[#This Row],[Smithies]]*smithy_bonus,smithy_bonus_cap) + tech_3_5*TblTech[[#This Row],[3-5]] + tech_5_3*TblTech[[#This Row],[5-3]] + tech_5_5*TblTech[[#This Row],[5-5]])*spec_op_plat,0)</f>
        <v>275</v>
      </c>
      <c r="BG101" s="97">
        <f ca="1">ROUNDUP(IF(race="Gnome",1,(1-MIN(TblMili[[#This Row],[Smithies]]*smithy_bonus,smithy_bonus_cap) + tech_3_5*TblTech[[#This Row],[3-5]] + tech_5_3*TblTech[[#This Row],[5-3]] + tech_5_5*TblTech[[#This Row],[5-5]]))*spec_op_ore,0)</f>
        <v>25</v>
      </c>
      <c r="BH101" s="97">
        <f ca="1">ROUNDUP((1-MIN(TblMili[[#This Row],[Smithies]]*smithy_bonus,smithy_bonus_cap) + tech_3_5*TblTech[[#This Row],[3-5]] + tech_5_3*TblTech[[#This Row],[5-3]] + tech_5_5*TblTech[[#This Row],[5-5]])*spec_dp_plat,0)</f>
        <v>275</v>
      </c>
      <c r="BI101" s="97">
        <f ca="1">ROUNDUP(IF(race="Gnome",1,(1-MIN(TblMili[[#This Row],[Smithies]]*smithy_bonus,smithy_bonus_cap) + tech_3_5*TblTech[[#This Row],[3-5]] + tech_5_3*TblTech[[#This Row],[5-3]] + tech_5_5*TblTech[[#This Row],[5-5]]))*spec_dp_ore,0)</f>
        <v>15</v>
      </c>
      <c r="BJ101" s="97">
        <f ca="1">ROUNDUP((1-MIN(TblMili[[#This Row],[Smithies]]*smithy_bonus,smithy_bonus_cap) + tech_3_5*TblTech[[#This Row],[3-5]] + tech_5_3*TblTech[[#This Row],[5-3]] + tech_5_5*TblTech[[#This Row],[5-5]])*elite1_plat,0)</f>
        <v>1000</v>
      </c>
      <c r="BK101" s="97">
        <f ca="1">ROUNDUP(IF(race="Gnome",1,(1-MIN(TblMili[[#This Row],[Smithies]]*smithy_bonus,smithy_bonus_cap) + tech_3_5*TblTech[[#This Row],[3-5]] + tech_5_3*TblTech[[#This Row],[5-3]] + tech_5_5*TblTech[[#This Row],[5-5]]))*elite1_ore,0)</f>
        <v>75</v>
      </c>
      <c r="BL101" s="97">
        <f ca="1">ROUNDUP((1-MIN(TblMili[[#This Row],[Smithies]]*smithy_bonus,smithy_bonus_cap) + tech_3_5*TblTech[[#This Row],[3-5]] + tech_5_3*TblTech[[#This Row],[5-3]] + tech_5_5*TblTech[[#This Row],[5-5]])*elite2_plat,0)</f>
        <v>1200</v>
      </c>
      <c r="BM101" s="97">
        <f ca="1">ROUNDUP(IF(race="Gnome",1,(1-MIN(TblMili[[#This Row],[Smithies]]*smithy_bonus,smithy_bonus_cap) + tech_3_5*TblTech[[#This Row],[3-5]] + tech_5_3*TblTech[[#This Row],[5-3]] + tech_5_5*TblTech[[#This Row],[5-5]]))*elite2_ore,0)</f>
        <v>100</v>
      </c>
      <c r="BN101" s="97">
        <f ca="1">ROUNDUP((1-MIN(ROUND(fh_spy_cost_red*TblMili[[#This Row],[FH''s]],4),fh_spy_cost_cap)+ tech_1_9*TblTech[[#This Row],[1-9]] + tech_9_1*TblTech[[#This Row],[9-1]])*spy_plat,0)</f>
        <v>500</v>
      </c>
      <c r="BO101" s="97">
        <f ca="1">ROUNDUP((1-MIN(ROUND(wg_wiz_cost_bonus*TblMili[[#This Row],[WG''s]],4),wg_wiz_cost_cap) + tech_1_9_2*TblTech[[#This Row],[1-9]] + tech_9_1_2*TblTech[[#This Row],[9-1]])*wizard_plat,0)</f>
        <v>500</v>
      </c>
      <c r="BP101" s="97">
        <f ca="1">ROUNDUP((1-MIN(ROUND(wg_wiz_cost_bonus*TblMili[[#This Row],[WG''s]],4),wg_wiz_cost_cap) + tech_1_9_2*TblTech[[#This Row],[1-9]] + tech_9_1_2*TblTech[[#This Row],[9-1]])*archmage_plat,0)</f>
        <v>1000</v>
      </c>
      <c r="BQ101" s="150"/>
      <c r="BR101" s="165">
        <f ca="1">TblConstr[[#This Row],[Homeland]]/TblConstr[[#This Row],[Land]]</f>
        <v>0.44</v>
      </c>
      <c r="BS101" s="165">
        <f ca="1">TblMili[[#This Row],[WG''s]]</f>
        <v>0</v>
      </c>
      <c r="BT101" s="271">
        <f ca="1">IF(mystic_cap="none",TblMili[[#This Row],[Hill]]/mystic_bonus,MIN(mystic_cap,TblMili[[#This Row],[Hill]]/mystic_bonus))</f>
        <v>2.1999999999999997</v>
      </c>
      <c r="BU101" s="271">
        <f ca="1">IF(druid_op_cap="none",TblMili[[#This Row],[Hill]]/druid_op_bonus,MIN(druid_op_cap,TblMili[[#This Row],[Hill]]/druid_op_bonus))</f>
        <v>2.1999999999999997</v>
      </c>
      <c r="BV101" s="271">
        <f ca="1">IF(druid_dp_cap="none",TblMili[[#This Row],[Hill]]/druid_dp_bonus,MIN(druid_dp_cap,TblMili[[#This Row],[Hill]]/druid_dp_bonus))</f>
        <v>2.1999999999999997</v>
      </c>
      <c r="BW101" s="271">
        <f ca="1">MIN(dryad_cap,TblMili[[#This Row],[Hill]]/dryad_bonus)</f>
        <v>2.1999999999999997</v>
      </c>
      <c r="BX101" s="271">
        <f ca="1">MIN(rocka_cap,TblMili[[#This Row],[Hill]]/rocka_bonus)</f>
        <v>2</v>
      </c>
      <c r="BY101" s="271">
        <f ca="1">MIN(adept_op_cap,TblMili[[#This Row],[WG]]/adept_op_bonus)</f>
        <v>0</v>
      </c>
      <c r="BZ101" s="271">
        <f ca="1">MIN(adept_dp_cap,TblMili[[#This Row],[WG]]/adept_dp_bonus)</f>
        <v>0</v>
      </c>
      <c r="CA101" s="97">
        <f ca="1">MIN(TblMili[[#This Row],[Unit 3]],TblMili[[#This Row],[Unit 4]])*2</f>
        <v>0</v>
      </c>
      <c r="CB101" s="97">
        <f ca="1">MIN(TblMili[[#This Row],[Unit 1]],TblMili[[#This Row],[Unit 4]])*2</f>
        <v>0</v>
      </c>
      <c r="CC101" s="271">
        <f ca="1">MIN(frost_mage_cap,TblMili[[#This Row],[Hill]]/frost_mage_bonus)</f>
        <v>2.1999999999999997</v>
      </c>
      <c r="CD101" s="45">
        <f ca="1">MIN(ice_elem_cap,TblMili[[#This Row],[Raw (2)]]*ice_elem_bonus)</f>
        <v>0.1</v>
      </c>
      <c r="CE101" s="271">
        <f t="shared" si="4"/>
        <v>1</v>
      </c>
      <c r="CF101" s="271">
        <f ca="1">MIN(nox_nightshade_cap,TblConstr[[#This Row],[Homeland]]/TblConstr[[#This Row],[Land]]/nox_nightshade_swamp_bonus)</f>
        <v>3</v>
      </c>
      <c r="CG101" s="272"/>
      <c r="CH101" s="272"/>
      <c r="CI101" s="272"/>
      <c r="CJ101" s="271">
        <f ca="1">MIN(6,TblMili[[#This Row],[Mystic]]+Races!$F$19)*1.8 +  IF(TblMili[[#This Row],[Mystic]]+Races!$F$19&gt;6,(TblMili[[#This Row],[Mystic]]+Races!$F$19-6)*0.2,0) - Races!$I$19</f>
        <v>3.6399999999999997</v>
      </c>
      <c r="CK10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97">
        <f ca="1">TblMili[[#This Row],[Mystic bonus]]*TblMili[[#This Row],[Unit 3]]+TblMili[[#This Row],[Druid bonus]]*TblMili[[#This Row],[Unit 4]]</f>
        <v>0</v>
      </c>
      <c r="CM101" s="163">
        <f ca="1">MIN(6,TblMili[[#This Row],[Dryad]]+Races!$F$35)*1.8 +  IF(TblMili[[#This Row],[Dryad]]+Races!$F$35&gt;6,(TblMili[[#This Row],[Dryad]]+Races!$F$35-6)*0.2,0) - Races!$I$19</f>
        <v>2.1599999999999993</v>
      </c>
      <c r="CN101" s="97">
        <f ca="1">sylvan*(TblMili[[#This Row],[Mystic bonus]]*TblMili[[#This Row],[Unit 3]])</f>
        <v>0</v>
      </c>
      <c r="CO101" s="163">
        <f ca="1">1.8 * MIN(MAX(Races!$E$27,TblMili[[#This Row],[Rockapult]]+Races!$F$27),6)  +  0.45 * MIN(MIN(Races!$E$27,TblMili[[#This Row],[Rockapult]]+Races!$F$27),6)  +  0.2 * ( MAX(Races!$E$27-6,0) + MAX(TblMili[[#This Row],[Rockapult]]+Races!$F$27-6,0) )  -  Races!$I$20</f>
        <v>5.8500000000000005</v>
      </c>
      <c r="CP101" s="97">
        <f ca="1">gnome*(TblMili[[#This Row],[Rockapult bonus]]*TblMili[[#This Row],[Unit 3]])</f>
        <v>0</v>
      </c>
      <c r="CQ101" s="163">
        <f ca="1">1.8 * MIN(MAX(TblMili[[#This Row],[Spellblade]]+Races!$E$47,TblMili[[#This Row],[Adept-DP]]+Races!$F$47),6)  +  0.45 * MIN(MIN(TblMili[[#This Row],[Spellblade]]+Races!$E$47,TblMili[[#This Row],[Adept-DP]]+Races!$F$47),6)  +  0.2 * ( MAX(TblMili[[#This Row],[Spellblade]]+Races!$E$47-6,0) + MAX(TblMili[[#This Row],[Adept-DP]]+Races!$F$47-6,0) )  -  Races!$I$47</f>
        <v>0</v>
      </c>
      <c r="CR101" s="97">
        <f ca="1">dark_elf*(TblMili[[#This Row],[Adept bonus]]*TblMili[[#This Row],[Unit 3]])</f>
        <v>0</v>
      </c>
      <c r="CS101" s="163">
        <f ca="1">1.8 * MIN(MAX(TblMili[[#This Row],[Frost Mage]]+Races!$F$71,Races!$E$71),6)  +  0.45 * MIN(MIN(TblMili[[#This Row],[Frost Mage]]+Races!$F$71,Races!$E$71),6)  +  0.2 * ( MAX(TblMili[[#This Row],[Frost Mage]]+Races!$F$71-6,0) + MAX(Races!$E$71-6,0) )  -  Races!$I$71</f>
        <v>3.9599999999999991</v>
      </c>
      <c r="CT101" s="163">
        <f ca="1">1.8 * MIN(MAX(TblMili[[#This Row],[Ice Elemental]]+Races!$E$71,Races!$F$71),6)  +  0.45 * MIN(MIN(TblMili[[#This Row],[Ice Elemental]]+Races!$E$71,Races!$F$71),6)  +  0.2 * ( MAX(TblMili[[#This Row],[Ice Elemental]]+Races!$E$71-6,0) + MAX(Races!$F$71-6,0) )  -  Races!$I$71</f>
        <v>0.17999999999999972</v>
      </c>
      <c r="CU101" s="97">
        <f ca="1">TblMili[[#This Row],[Frost Mage bonus]]*TblMili[[#This Row],[Unit 3]]+TblMili[[#This Row],[Ice Elemental bonus]]*TblMili[[#This Row],[Unit 4]]</f>
        <v>0</v>
      </c>
      <c r="CV101" s="273"/>
      <c r="CW101" s="151">
        <f ca="1">MIN(SUM(TblConstr[[#This Row],[Plain]:[Water]])/TblMili[[#This Row],[Land]]/favorable_terrain_bonus/100,favorable_terrain_max)</f>
        <v>0.1</v>
      </c>
      <c r="CX101" s="273"/>
      <c r="CY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50"/>
      <c r="DA101" s="274">
        <f ca="1">(TblMili[[#This Row],[Wizards]]+2*TblMili[[#This Row],[Archmages]])/TblConstr[[#This Row],[Land]]</f>
        <v>0.1</v>
      </c>
      <c r="DB101" s="274">
        <f ca="1">TblMili[[#This Row],[Raw (2)]]*(1+race_wizard_strength+IF(TblMili[[#This Row],[Hour]]&gt;72,tech_magical_weaponry_wiz*TblTech[[#This Row],[3-5]],0))</f>
        <v>0.1</v>
      </c>
    </row>
    <row r="102" spans="1:106" x14ac:dyDescent="0.2">
      <c r="A102" s="145">
        <f>TblRezone[[#This Row],[Hour]]</f>
        <v>99</v>
      </c>
      <c r="B102" s="266">
        <f ca="1">SUM(TblMili[[#This Row],[Unit 1]:[Archmages]])+SUM(OFFSET(TblMili[[#This Row],[Train Unit 1]],-8,0):TblMili[[#This Row],[Train Unit 2]]) + SUM(OFFSET(TblMili[[#This Row],[Train Unit 3]],-11,0):TblMili[[#This Row],[Train Arch]]) + TblMili[[#This Row],[Draftees]]</f>
        <v>826</v>
      </c>
      <c r="C102" s="165">
        <f ca="1">TblPop[[#This Row],[Military%]]</f>
        <v>0.35029686174724345</v>
      </c>
      <c r="D102" s="150"/>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f>
        <v>25</v>
      </c>
      <c r="J102" s="45">
        <f ca="1">OFFSET(TblMili[[#This Row],[Wizards]],-1,0) + OFFSET(TblMili[[#This Row],[Train Wiz]],-12,0) - TblMili[[#This Row],[Release Wizards]]-TblMili[[#This Row],[Train Arch]]</f>
        <v>25</v>
      </c>
      <c r="K102" s="45">
        <f ca="1">OFFSET(TblMili[[#This Row],[Archmages]],-1,0) + OFFSET(TblMili[[#This Row],[Train Arch]],-12,0) - TblMili[[#This Row],[Release Arch]]</f>
        <v>0</v>
      </c>
      <c r="L102" s="150"/>
      <c r="M102" s="97">
        <f ca="1">TblProd[[#This Row],[Networth]]</f>
        <v>6450</v>
      </c>
      <c r="N102" s="150"/>
      <c r="O102" s="267">
        <f ca="1">TblMili[[#This Row],[Unit 1]]*spec_op+TblMili[[#This Row],[Unit 3]]*(elite1_base_op)+TblMili[[#This Row],[Unit 4]]*(elite2_base_op+dark_elf*TblMili[[#This Row],[Spellblade]]+icekin*TblMili[[#This Row],[Ice Elemental]]+woodie*TblMili[[#This Row],[Druid (op)]]+orc*TblMili[[#This Row],[Orc]])+kobold*TblMili[[#This Row],[Overlords]]</f>
        <v>0</v>
      </c>
      <c r="P10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2" s="267">
        <f ca="1">TblMili[[#This Row],[Raw]]*(1+TblMili[[#This Row],[Mods_Off]])</f>
        <v>0</v>
      </c>
      <c r="R10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2" s="267">
        <f ca="1">TblMili[[#This Row],[Non Draft]]+TblMili[[#This Row],[Draftees]]</f>
        <v>1076</v>
      </c>
      <c r="T10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269">
        <f ca="1">TblMili[[#This Row],[Non Draft]] * (1 + TblMili[[#This Row],[Mods_Def]])</f>
        <v>450</v>
      </c>
      <c r="V102" s="267">
        <f ca="1">TblMili[[#This Row],[Draft]] * (1 + TblMili[[#This Row],[Mods_Def]])</f>
        <v>1076</v>
      </c>
      <c r="W102" s="267">
        <f ca="1">TblConstr[[#This Row],[Land]]</f>
        <v>250</v>
      </c>
      <c r="X102" s="270"/>
      <c r="Y102" s="275">
        <f ca="1">IF(TblMili[[#This Row],[Set]]&lt;&gt;"",TblMili[[#This Row],[Set]],OFFSET(TblMili[[#This Row],[Draftrate]],-1,0))</f>
        <v>0.35</v>
      </c>
      <c r="Z102" s="97">
        <f ca="1">OFFSET(TblMili[[#This Row],[Draftees]],-1,0)+OFFSET(TblPop[[#This Row],[Draft Growth]],-1,0) - SUM(TblMili[[#This Row],[Train Unit 1]:[Train Wiz]]) - TblMili[[#This Row],[Release Draft]] + SUM(TblMili[[#This Row],[Release Unit 1]:[Release Arch]]) -TblExplore[[#This Row],[Draftees (2)]]</f>
        <v>626</v>
      </c>
      <c r="AA102" s="162"/>
      <c r="AB102" s="188">
        <f ca="1">(TblConstr[[#This Row],[Tot Smi]]+TblConstr[[#This Row],[Dest Smi]])/(TblConstr[[#This Row],[Land]]-TblExplore[[#This Row],[Land Bonus]]*20)</f>
        <v>0</v>
      </c>
      <c r="AC102" s="145"/>
      <c r="AD102" s="266">
        <f>TblMili[[#This Row],[Hour]]</f>
        <v>99</v>
      </c>
      <c r="AE102" s="146">
        <f ca="1">TblExplore[[#This Row],[Time]]</f>
        <v>44814.833333333096</v>
      </c>
      <c r="AF102" s="187"/>
      <c r="AG102" s="187"/>
      <c r="AH102" s="187"/>
      <c r="AI102" s="187"/>
      <c r="AJ102" s="187"/>
      <c r="AK102" s="187"/>
      <c r="AL102" s="187"/>
      <c r="AM102" s="150"/>
      <c r="AN102" s="97">
        <f ca="1">TblProd[[#This Row],[Platinum]]</f>
        <v>638506</v>
      </c>
      <c r="AO102" s="97">
        <f ca="1">INDEX(TblProd[[#Headers],[Lumber]]:TblProd[[#This Row],[Ore]],COUNTA(TblProd[[#Headers],[Lumber]]:TblProd[[#This Row],[Lumber]]),MATCH(Military!$AO$2,TblProd[[#Headers],[Lumber]:[Ore]],0))</f>
        <v>0</v>
      </c>
      <c r="AP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97">
        <f ca="1">TblMili[[#This Row],[Train Unit 1]]*TblMili[[#This Row],[OP Ore]]+TblMili[[#This Row],[Train Unit 2]]*TblMili[[#This Row],[DP Ore]]+TblMili[[#This Row],[Train Unit 3]]*TblMili[[#This Row],[E1 Ore]]+TblMili[[#This Row],[Train Unit 4]]*TblMili[[#This Row],[E2 Ore]]</f>
        <v>0</v>
      </c>
      <c r="AR102" s="150">
        <f>TblMili[[#This Row],[Hour]]</f>
        <v>99</v>
      </c>
      <c r="AS102" s="160">
        <f ca="1">TblMili[[#This Row],[Time]]</f>
        <v>44814.833333333096</v>
      </c>
      <c r="AT102" s="97">
        <f ca="1">TblMili[[#This Row],[Draftees]]</f>
        <v>626</v>
      </c>
      <c r="AU102" s="187"/>
      <c r="AV102" s="187"/>
      <c r="AW102" s="187"/>
      <c r="AX102" s="187"/>
      <c r="AY102" s="187"/>
      <c r="AZ102" s="187"/>
      <c r="BA102" s="187"/>
      <c r="BB102" s="187"/>
      <c r="BC102" s="150"/>
      <c r="BD102" s="165">
        <f ca="1">TblConstr[[#This Row],[Tot WG]]/TblConstr[[#This Row],[Land]]</f>
        <v>0</v>
      </c>
      <c r="BE102" s="165">
        <f ca="1">TblConstr[[#This Row],[Tot Hav]]/TblConstr[[#This Row],[Land]]</f>
        <v>0</v>
      </c>
      <c r="BF102" s="97">
        <f ca="1">ROUNDUP((1-MIN(TblMili[[#This Row],[Smithies]]*smithy_bonus,smithy_bonus_cap) + tech_3_5*TblTech[[#This Row],[3-5]] + tech_5_3*TblTech[[#This Row],[5-3]] + tech_5_5*TblTech[[#This Row],[5-5]])*spec_op_plat,0)</f>
        <v>275</v>
      </c>
      <c r="BG102" s="97">
        <f ca="1">ROUNDUP(IF(race="Gnome",1,(1-MIN(TblMili[[#This Row],[Smithies]]*smithy_bonus,smithy_bonus_cap) + tech_3_5*TblTech[[#This Row],[3-5]] + tech_5_3*TblTech[[#This Row],[5-3]] + tech_5_5*TblTech[[#This Row],[5-5]]))*spec_op_ore,0)</f>
        <v>25</v>
      </c>
      <c r="BH102" s="97">
        <f ca="1">ROUNDUP((1-MIN(TblMili[[#This Row],[Smithies]]*smithy_bonus,smithy_bonus_cap) + tech_3_5*TblTech[[#This Row],[3-5]] + tech_5_3*TblTech[[#This Row],[5-3]] + tech_5_5*TblTech[[#This Row],[5-5]])*spec_dp_plat,0)</f>
        <v>275</v>
      </c>
      <c r="BI102" s="97">
        <f ca="1">ROUNDUP(IF(race="Gnome",1,(1-MIN(TblMili[[#This Row],[Smithies]]*smithy_bonus,smithy_bonus_cap) + tech_3_5*TblTech[[#This Row],[3-5]] + tech_5_3*TblTech[[#This Row],[5-3]] + tech_5_5*TblTech[[#This Row],[5-5]]))*spec_dp_ore,0)</f>
        <v>15</v>
      </c>
      <c r="BJ102" s="97">
        <f ca="1">ROUNDUP((1-MIN(TblMili[[#This Row],[Smithies]]*smithy_bonus,smithy_bonus_cap) + tech_3_5*TblTech[[#This Row],[3-5]] + tech_5_3*TblTech[[#This Row],[5-3]] + tech_5_5*TblTech[[#This Row],[5-5]])*elite1_plat,0)</f>
        <v>1000</v>
      </c>
      <c r="BK102" s="97">
        <f ca="1">ROUNDUP(IF(race="Gnome",1,(1-MIN(TblMili[[#This Row],[Smithies]]*smithy_bonus,smithy_bonus_cap) + tech_3_5*TblTech[[#This Row],[3-5]] + tech_5_3*TblTech[[#This Row],[5-3]] + tech_5_5*TblTech[[#This Row],[5-5]]))*elite1_ore,0)</f>
        <v>75</v>
      </c>
      <c r="BL102" s="97">
        <f ca="1">ROUNDUP((1-MIN(TblMili[[#This Row],[Smithies]]*smithy_bonus,smithy_bonus_cap) + tech_3_5*TblTech[[#This Row],[3-5]] + tech_5_3*TblTech[[#This Row],[5-3]] + tech_5_5*TblTech[[#This Row],[5-5]])*elite2_plat,0)</f>
        <v>1200</v>
      </c>
      <c r="BM102" s="97">
        <f ca="1">ROUNDUP(IF(race="Gnome",1,(1-MIN(TblMili[[#This Row],[Smithies]]*smithy_bonus,smithy_bonus_cap) + tech_3_5*TblTech[[#This Row],[3-5]] + tech_5_3*TblTech[[#This Row],[5-3]] + tech_5_5*TblTech[[#This Row],[5-5]]))*elite2_ore,0)</f>
        <v>100</v>
      </c>
      <c r="BN102" s="97">
        <f ca="1">ROUNDUP((1-MIN(ROUND(fh_spy_cost_red*TblMili[[#This Row],[FH''s]],4),fh_spy_cost_cap)+ tech_1_9*TblTech[[#This Row],[1-9]] + tech_9_1*TblTech[[#This Row],[9-1]])*spy_plat,0)</f>
        <v>500</v>
      </c>
      <c r="BO102" s="97">
        <f ca="1">ROUNDUP((1-MIN(ROUND(wg_wiz_cost_bonus*TblMili[[#This Row],[WG''s]],4),wg_wiz_cost_cap) + tech_1_9_2*TblTech[[#This Row],[1-9]] + tech_9_1_2*TblTech[[#This Row],[9-1]])*wizard_plat,0)</f>
        <v>500</v>
      </c>
      <c r="BP102" s="97">
        <f ca="1">ROUNDUP((1-MIN(ROUND(wg_wiz_cost_bonus*TblMili[[#This Row],[WG''s]],4),wg_wiz_cost_cap) + tech_1_9_2*TblTech[[#This Row],[1-9]] + tech_9_1_2*TblTech[[#This Row],[9-1]])*archmage_plat,0)</f>
        <v>1000</v>
      </c>
      <c r="BQ102" s="150"/>
      <c r="BR102" s="165">
        <f ca="1">TblConstr[[#This Row],[Homeland]]/TblConstr[[#This Row],[Land]]</f>
        <v>0.44</v>
      </c>
      <c r="BS102" s="165">
        <f ca="1">TblMili[[#This Row],[WG''s]]</f>
        <v>0</v>
      </c>
      <c r="BT102" s="271">
        <f ca="1">IF(mystic_cap="none",TblMili[[#This Row],[Hill]]/mystic_bonus,MIN(mystic_cap,TblMili[[#This Row],[Hill]]/mystic_bonus))</f>
        <v>2.1999999999999997</v>
      </c>
      <c r="BU102" s="271">
        <f ca="1">IF(druid_op_cap="none",TblMili[[#This Row],[Hill]]/druid_op_bonus,MIN(druid_op_cap,TblMili[[#This Row],[Hill]]/druid_op_bonus))</f>
        <v>2.1999999999999997</v>
      </c>
      <c r="BV102" s="271">
        <f ca="1">IF(druid_dp_cap="none",TblMili[[#This Row],[Hill]]/druid_dp_bonus,MIN(druid_dp_cap,TblMili[[#This Row],[Hill]]/druid_dp_bonus))</f>
        <v>2.1999999999999997</v>
      </c>
      <c r="BW102" s="271">
        <f ca="1">MIN(dryad_cap,TblMili[[#This Row],[Hill]]/dryad_bonus)</f>
        <v>2.1999999999999997</v>
      </c>
      <c r="BX102" s="271">
        <f ca="1">MIN(rocka_cap,TblMili[[#This Row],[Hill]]/rocka_bonus)</f>
        <v>2</v>
      </c>
      <c r="BY102" s="271">
        <f ca="1">MIN(adept_op_cap,TblMili[[#This Row],[WG]]/adept_op_bonus)</f>
        <v>0</v>
      </c>
      <c r="BZ102" s="271">
        <f ca="1">MIN(adept_dp_cap,TblMili[[#This Row],[WG]]/adept_dp_bonus)</f>
        <v>0</v>
      </c>
      <c r="CA102" s="97">
        <f ca="1">MIN(TblMili[[#This Row],[Unit 3]],TblMili[[#This Row],[Unit 4]])*2</f>
        <v>0</v>
      </c>
      <c r="CB102" s="97">
        <f ca="1">MIN(TblMili[[#This Row],[Unit 1]],TblMili[[#This Row],[Unit 4]])*2</f>
        <v>0</v>
      </c>
      <c r="CC102" s="271">
        <f ca="1">MIN(frost_mage_cap,TblMili[[#This Row],[Hill]]/frost_mage_bonus)</f>
        <v>2.1999999999999997</v>
      </c>
      <c r="CD102" s="45">
        <f ca="1">MIN(ice_elem_cap,TblMili[[#This Row],[Raw (2)]]*ice_elem_bonus)</f>
        <v>0.1</v>
      </c>
      <c r="CE102" s="271">
        <f t="shared" si="4"/>
        <v>1</v>
      </c>
      <c r="CF102" s="271">
        <f ca="1">MIN(nox_nightshade_cap,TblConstr[[#This Row],[Homeland]]/TblConstr[[#This Row],[Land]]/nox_nightshade_swamp_bonus)</f>
        <v>3</v>
      </c>
      <c r="CG102" s="272"/>
      <c r="CH102" s="272"/>
      <c r="CI102" s="272"/>
      <c r="CJ102" s="271">
        <f ca="1">MIN(6,TblMili[[#This Row],[Mystic]]+Races!$F$19)*1.8 +  IF(TblMili[[#This Row],[Mystic]]+Races!$F$19&gt;6,(TblMili[[#This Row],[Mystic]]+Races!$F$19-6)*0.2,0) - Races!$I$19</f>
        <v>3.6399999999999997</v>
      </c>
      <c r="CK10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97">
        <f ca="1">TblMili[[#This Row],[Mystic bonus]]*TblMili[[#This Row],[Unit 3]]+TblMili[[#This Row],[Druid bonus]]*TblMili[[#This Row],[Unit 4]]</f>
        <v>0</v>
      </c>
      <c r="CM102" s="163">
        <f ca="1">MIN(6,TblMili[[#This Row],[Dryad]]+Races!$F$35)*1.8 +  IF(TblMili[[#This Row],[Dryad]]+Races!$F$35&gt;6,(TblMili[[#This Row],[Dryad]]+Races!$F$35-6)*0.2,0) - Races!$I$19</f>
        <v>2.1599999999999993</v>
      </c>
      <c r="CN102" s="97">
        <f ca="1">sylvan*(TblMili[[#This Row],[Mystic bonus]]*TblMili[[#This Row],[Unit 3]])</f>
        <v>0</v>
      </c>
      <c r="CO102" s="163">
        <f ca="1">1.8 * MIN(MAX(Races!$E$27,TblMili[[#This Row],[Rockapult]]+Races!$F$27),6)  +  0.45 * MIN(MIN(Races!$E$27,TblMili[[#This Row],[Rockapult]]+Races!$F$27),6)  +  0.2 * ( MAX(Races!$E$27-6,0) + MAX(TblMili[[#This Row],[Rockapult]]+Races!$F$27-6,0) )  -  Races!$I$20</f>
        <v>5.8500000000000005</v>
      </c>
      <c r="CP102" s="97">
        <f ca="1">gnome*(TblMili[[#This Row],[Rockapult bonus]]*TblMili[[#This Row],[Unit 3]])</f>
        <v>0</v>
      </c>
      <c r="CQ102" s="163">
        <f ca="1">1.8 * MIN(MAX(TblMili[[#This Row],[Spellblade]]+Races!$E$47,TblMili[[#This Row],[Adept-DP]]+Races!$F$47),6)  +  0.45 * MIN(MIN(TblMili[[#This Row],[Spellblade]]+Races!$E$47,TblMili[[#This Row],[Adept-DP]]+Races!$F$47),6)  +  0.2 * ( MAX(TblMili[[#This Row],[Spellblade]]+Races!$E$47-6,0) + MAX(TblMili[[#This Row],[Adept-DP]]+Races!$F$47-6,0) )  -  Races!$I$47</f>
        <v>0</v>
      </c>
      <c r="CR102" s="97">
        <f ca="1">dark_elf*(TblMili[[#This Row],[Adept bonus]]*TblMili[[#This Row],[Unit 3]])</f>
        <v>0</v>
      </c>
      <c r="CS102" s="163">
        <f ca="1">1.8 * MIN(MAX(TblMili[[#This Row],[Frost Mage]]+Races!$F$71,Races!$E$71),6)  +  0.45 * MIN(MIN(TblMili[[#This Row],[Frost Mage]]+Races!$F$71,Races!$E$71),6)  +  0.2 * ( MAX(TblMili[[#This Row],[Frost Mage]]+Races!$F$71-6,0) + MAX(Races!$E$71-6,0) )  -  Races!$I$71</f>
        <v>3.9599999999999991</v>
      </c>
      <c r="CT102" s="163">
        <f ca="1">1.8 * MIN(MAX(TblMili[[#This Row],[Ice Elemental]]+Races!$E$71,Races!$F$71),6)  +  0.45 * MIN(MIN(TblMili[[#This Row],[Ice Elemental]]+Races!$E$71,Races!$F$71),6)  +  0.2 * ( MAX(TblMili[[#This Row],[Ice Elemental]]+Races!$E$71-6,0) + MAX(Races!$F$71-6,0) )  -  Races!$I$71</f>
        <v>0.17999999999999972</v>
      </c>
      <c r="CU102" s="97">
        <f ca="1">TblMili[[#This Row],[Frost Mage bonus]]*TblMili[[#This Row],[Unit 3]]+TblMili[[#This Row],[Ice Elemental bonus]]*TblMili[[#This Row],[Unit 4]]</f>
        <v>0</v>
      </c>
      <c r="CV102" s="273"/>
      <c r="CW102" s="151">
        <f ca="1">MIN(SUM(TblConstr[[#This Row],[Plain]:[Water]])/TblMili[[#This Row],[Land]]/favorable_terrain_bonus/100,favorable_terrain_max)</f>
        <v>0.1</v>
      </c>
      <c r="CX102" s="273"/>
      <c r="CY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50"/>
      <c r="DA102" s="274">
        <f ca="1">(TblMili[[#This Row],[Wizards]]+2*TblMili[[#This Row],[Archmages]])/TblConstr[[#This Row],[Land]]</f>
        <v>0.1</v>
      </c>
      <c r="DB102" s="274">
        <f ca="1">TblMili[[#This Row],[Raw (2)]]*(1+race_wizard_strength+IF(TblMili[[#This Row],[Hour]]&gt;72,tech_magical_weaponry_wiz*TblTech[[#This Row],[3-5]],0))</f>
        <v>0.1</v>
      </c>
    </row>
    <row r="103" spans="1:106" x14ac:dyDescent="0.2">
      <c r="A103" s="145">
        <f>TblRezone[[#This Row],[Hour]]</f>
        <v>100</v>
      </c>
      <c r="B103" s="266">
        <f ca="1">SUM(TblMili[[#This Row],[Unit 1]:[Archmages]])+SUM(OFFSET(TblMili[[#This Row],[Train Unit 1]],-8,0):TblMili[[#This Row],[Train Unit 2]]) + SUM(OFFSET(TblMili[[#This Row],[Train Unit 3]],-11,0):TblMili[[#This Row],[Train Arch]]) + TblMili[[#This Row],[Draftees]]</f>
        <v>826</v>
      </c>
      <c r="C103" s="165">
        <f ca="1">TblPop[[#This Row],[Military%]]</f>
        <v>0.35029686174724345</v>
      </c>
      <c r="D103" s="150"/>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f>
        <v>25</v>
      </c>
      <c r="J103" s="45">
        <f ca="1">OFFSET(TblMili[[#This Row],[Wizards]],-1,0) + OFFSET(TblMili[[#This Row],[Train Wiz]],-12,0) - TblMili[[#This Row],[Release Wizards]]-TblMili[[#This Row],[Train Arch]]</f>
        <v>25</v>
      </c>
      <c r="K103" s="45">
        <f ca="1">OFFSET(TblMili[[#This Row],[Archmages]],-1,0) + OFFSET(TblMili[[#This Row],[Train Arch]],-12,0) - TblMili[[#This Row],[Release Arch]]</f>
        <v>0</v>
      </c>
      <c r="L103" s="150"/>
      <c r="M103" s="97">
        <f ca="1">TblProd[[#This Row],[Networth]]</f>
        <v>6450</v>
      </c>
      <c r="N103" s="150"/>
      <c r="O103" s="267">
        <f ca="1">TblMili[[#This Row],[Unit 1]]*spec_op+TblMili[[#This Row],[Unit 3]]*(elite1_base_op)+TblMili[[#This Row],[Unit 4]]*(elite2_base_op+dark_elf*TblMili[[#This Row],[Spellblade]]+icekin*TblMili[[#This Row],[Ice Elemental]]+woodie*TblMili[[#This Row],[Druid (op)]]+orc*TblMili[[#This Row],[Orc]])+kobold*TblMili[[#This Row],[Overlords]]</f>
        <v>0</v>
      </c>
      <c r="P10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3" s="267">
        <f ca="1">TblMili[[#This Row],[Raw]]*(1+TblMili[[#This Row],[Mods_Off]])</f>
        <v>0</v>
      </c>
      <c r="R10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3" s="267">
        <f ca="1">TblMili[[#This Row],[Non Draft]]+TblMili[[#This Row],[Draftees]]</f>
        <v>1076</v>
      </c>
      <c r="T10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269">
        <f ca="1">TblMili[[#This Row],[Non Draft]] * (1 + TblMili[[#This Row],[Mods_Def]])</f>
        <v>450</v>
      </c>
      <c r="V103" s="267">
        <f ca="1">TblMili[[#This Row],[Draft]] * (1 + TblMili[[#This Row],[Mods_Def]])</f>
        <v>1076</v>
      </c>
      <c r="W103" s="267">
        <f ca="1">TblConstr[[#This Row],[Land]]</f>
        <v>250</v>
      </c>
      <c r="X103" s="270"/>
      <c r="Y103" s="275">
        <f ca="1">IF(TblMili[[#This Row],[Set]]&lt;&gt;"",TblMili[[#This Row],[Set]],OFFSET(TblMili[[#This Row],[Draftrate]],-1,0))</f>
        <v>0.35</v>
      </c>
      <c r="Z103" s="97">
        <f ca="1">OFFSET(TblMili[[#This Row],[Draftees]],-1,0)+OFFSET(TblPop[[#This Row],[Draft Growth]],-1,0) - SUM(TblMili[[#This Row],[Train Unit 1]:[Train Wiz]]) - TblMili[[#This Row],[Release Draft]] + SUM(TblMili[[#This Row],[Release Unit 1]:[Release Arch]]) -TblExplore[[#This Row],[Draftees (2)]]</f>
        <v>626</v>
      </c>
      <c r="AA103" s="162"/>
      <c r="AB103" s="188">
        <f ca="1">(TblConstr[[#This Row],[Tot Smi]]+TblConstr[[#This Row],[Dest Smi]])/(TblConstr[[#This Row],[Land]]-TblExplore[[#This Row],[Land Bonus]]*20)</f>
        <v>0</v>
      </c>
      <c r="AC103" s="145"/>
      <c r="AD103" s="266">
        <f>TblMili[[#This Row],[Hour]]</f>
        <v>100</v>
      </c>
      <c r="AE103" s="146">
        <f ca="1">TblExplore[[#This Row],[Time]]</f>
        <v>44814.87499999976</v>
      </c>
      <c r="AF103" s="187"/>
      <c r="AG103" s="187"/>
      <c r="AH103" s="187"/>
      <c r="AI103" s="187"/>
      <c r="AJ103" s="187"/>
      <c r="AK103" s="187"/>
      <c r="AL103" s="187"/>
      <c r="AM103" s="150"/>
      <c r="AN103" s="97">
        <f ca="1">TblProd[[#This Row],[Platinum]]</f>
        <v>643992</v>
      </c>
      <c r="AO103" s="97">
        <f ca="1">INDEX(TblProd[[#Headers],[Lumber]]:TblProd[[#This Row],[Ore]],COUNTA(TblProd[[#Headers],[Lumber]]:TblProd[[#This Row],[Lumber]]),MATCH(Military!$AO$2,TblProd[[#Headers],[Lumber]:[Ore]],0))</f>
        <v>0</v>
      </c>
      <c r="AP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97">
        <f ca="1">TblMili[[#This Row],[Train Unit 1]]*TblMili[[#This Row],[OP Ore]]+TblMili[[#This Row],[Train Unit 2]]*TblMili[[#This Row],[DP Ore]]+TblMili[[#This Row],[Train Unit 3]]*TblMili[[#This Row],[E1 Ore]]+TblMili[[#This Row],[Train Unit 4]]*TblMili[[#This Row],[E2 Ore]]</f>
        <v>0</v>
      </c>
      <c r="AR103" s="150">
        <f>TblMili[[#This Row],[Hour]]</f>
        <v>100</v>
      </c>
      <c r="AS103" s="160">
        <f ca="1">TblMili[[#This Row],[Time]]</f>
        <v>44814.87499999976</v>
      </c>
      <c r="AT103" s="97">
        <f ca="1">TblMili[[#This Row],[Draftees]]</f>
        <v>626</v>
      </c>
      <c r="AU103" s="187"/>
      <c r="AV103" s="187"/>
      <c r="AW103" s="187"/>
      <c r="AX103" s="187"/>
      <c r="AY103" s="187"/>
      <c r="AZ103" s="187"/>
      <c r="BA103" s="187"/>
      <c r="BB103" s="187"/>
      <c r="BC103" s="150"/>
      <c r="BD103" s="165">
        <f ca="1">TblConstr[[#This Row],[Tot WG]]/TblConstr[[#This Row],[Land]]</f>
        <v>0</v>
      </c>
      <c r="BE103" s="165">
        <f ca="1">TblConstr[[#This Row],[Tot Hav]]/TblConstr[[#This Row],[Land]]</f>
        <v>0</v>
      </c>
      <c r="BF103" s="97">
        <f ca="1">ROUNDUP((1-MIN(TblMili[[#This Row],[Smithies]]*smithy_bonus,smithy_bonus_cap) + tech_3_5*TblTech[[#This Row],[3-5]] + tech_5_3*TblTech[[#This Row],[5-3]] + tech_5_5*TblTech[[#This Row],[5-5]])*spec_op_plat,0)</f>
        <v>275</v>
      </c>
      <c r="BG103" s="97">
        <f ca="1">ROUNDUP(IF(race="Gnome",1,(1-MIN(TblMili[[#This Row],[Smithies]]*smithy_bonus,smithy_bonus_cap) + tech_3_5*TblTech[[#This Row],[3-5]] + tech_5_3*TblTech[[#This Row],[5-3]] + tech_5_5*TblTech[[#This Row],[5-5]]))*spec_op_ore,0)</f>
        <v>25</v>
      </c>
      <c r="BH103" s="97">
        <f ca="1">ROUNDUP((1-MIN(TblMili[[#This Row],[Smithies]]*smithy_bonus,smithy_bonus_cap) + tech_3_5*TblTech[[#This Row],[3-5]] + tech_5_3*TblTech[[#This Row],[5-3]] + tech_5_5*TblTech[[#This Row],[5-5]])*spec_dp_plat,0)</f>
        <v>275</v>
      </c>
      <c r="BI103" s="97">
        <f ca="1">ROUNDUP(IF(race="Gnome",1,(1-MIN(TblMili[[#This Row],[Smithies]]*smithy_bonus,smithy_bonus_cap) + tech_3_5*TblTech[[#This Row],[3-5]] + tech_5_3*TblTech[[#This Row],[5-3]] + tech_5_5*TblTech[[#This Row],[5-5]]))*spec_dp_ore,0)</f>
        <v>15</v>
      </c>
      <c r="BJ103" s="97">
        <f ca="1">ROUNDUP((1-MIN(TblMili[[#This Row],[Smithies]]*smithy_bonus,smithy_bonus_cap) + tech_3_5*TblTech[[#This Row],[3-5]] + tech_5_3*TblTech[[#This Row],[5-3]] + tech_5_5*TblTech[[#This Row],[5-5]])*elite1_plat,0)</f>
        <v>1000</v>
      </c>
      <c r="BK103" s="97">
        <f ca="1">ROUNDUP(IF(race="Gnome",1,(1-MIN(TblMili[[#This Row],[Smithies]]*smithy_bonus,smithy_bonus_cap) + tech_3_5*TblTech[[#This Row],[3-5]] + tech_5_3*TblTech[[#This Row],[5-3]] + tech_5_5*TblTech[[#This Row],[5-5]]))*elite1_ore,0)</f>
        <v>75</v>
      </c>
      <c r="BL103" s="97">
        <f ca="1">ROUNDUP((1-MIN(TblMili[[#This Row],[Smithies]]*smithy_bonus,smithy_bonus_cap) + tech_3_5*TblTech[[#This Row],[3-5]] + tech_5_3*TblTech[[#This Row],[5-3]] + tech_5_5*TblTech[[#This Row],[5-5]])*elite2_plat,0)</f>
        <v>1200</v>
      </c>
      <c r="BM103" s="97">
        <f ca="1">ROUNDUP(IF(race="Gnome",1,(1-MIN(TblMili[[#This Row],[Smithies]]*smithy_bonus,smithy_bonus_cap) + tech_3_5*TblTech[[#This Row],[3-5]] + tech_5_3*TblTech[[#This Row],[5-3]] + tech_5_5*TblTech[[#This Row],[5-5]]))*elite2_ore,0)</f>
        <v>100</v>
      </c>
      <c r="BN103" s="97">
        <f ca="1">ROUNDUP((1-MIN(ROUND(fh_spy_cost_red*TblMili[[#This Row],[FH''s]],4),fh_spy_cost_cap)+ tech_1_9*TblTech[[#This Row],[1-9]] + tech_9_1*TblTech[[#This Row],[9-1]])*spy_plat,0)</f>
        <v>500</v>
      </c>
      <c r="BO103" s="97">
        <f ca="1">ROUNDUP((1-MIN(ROUND(wg_wiz_cost_bonus*TblMili[[#This Row],[WG''s]],4),wg_wiz_cost_cap) + tech_1_9_2*TblTech[[#This Row],[1-9]] + tech_9_1_2*TblTech[[#This Row],[9-1]])*wizard_plat,0)</f>
        <v>500</v>
      </c>
      <c r="BP103" s="97">
        <f ca="1">ROUNDUP((1-MIN(ROUND(wg_wiz_cost_bonus*TblMili[[#This Row],[WG''s]],4),wg_wiz_cost_cap) + tech_1_9_2*TblTech[[#This Row],[1-9]] + tech_9_1_2*TblTech[[#This Row],[9-1]])*archmage_plat,0)</f>
        <v>1000</v>
      </c>
      <c r="BQ103" s="150"/>
      <c r="BR103" s="165">
        <f ca="1">TblConstr[[#This Row],[Homeland]]/TblConstr[[#This Row],[Land]]</f>
        <v>0.44</v>
      </c>
      <c r="BS103" s="165">
        <f ca="1">TblMili[[#This Row],[WG''s]]</f>
        <v>0</v>
      </c>
      <c r="BT103" s="271">
        <f ca="1">IF(mystic_cap="none",TblMili[[#This Row],[Hill]]/mystic_bonus,MIN(mystic_cap,TblMili[[#This Row],[Hill]]/mystic_bonus))</f>
        <v>2.1999999999999997</v>
      </c>
      <c r="BU103" s="271">
        <f ca="1">IF(druid_op_cap="none",TblMili[[#This Row],[Hill]]/druid_op_bonus,MIN(druid_op_cap,TblMili[[#This Row],[Hill]]/druid_op_bonus))</f>
        <v>2.1999999999999997</v>
      </c>
      <c r="BV103" s="271">
        <f ca="1">IF(druid_dp_cap="none",TblMili[[#This Row],[Hill]]/druid_dp_bonus,MIN(druid_dp_cap,TblMili[[#This Row],[Hill]]/druid_dp_bonus))</f>
        <v>2.1999999999999997</v>
      </c>
      <c r="BW103" s="271">
        <f ca="1">MIN(dryad_cap,TblMili[[#This Row],[Hill]]/dryad_bonus)</f>
        <v>2.1999999999999997</v>
      </c>
      <c r="BX103" s="271">
        <f ca="1">MIN(rocka_cap,TblMili[[#This Row],[Hill]]/rocka_bonus)</f>
        <v>2</v>
      </c>
      <c r="BY103" s="271">
        <f ca="1">MIN(adept_op_cap,TblMili[[#This Row],[WG]]/adept_op_bonus)</f>
        <v>0</v>
      </c>
      <c r="BZ103" s="271">
        <f ca="1">MIN(adept_dp_cap,TblMili[[#This Row],[WG]]/adept_dp_bonus)</f>
        <v>0</v>
      </c>
      <c r="CA103" s="97">
        <f ca="1">MIN(TblMili[[#This Row],[Unit 3]],TblMili[[#This Row],[Unit 4]])*2</f>
        <v>0</v>
      </c>
      <c r="CB103" s="97">
        <f ca="1">MIN(TblMili[[#This Row],[Unit 1]],TblMili[[#This Row],[Unit 4]])*2</f>
        <v>0</v>
      </c>
      <c r="CC103" s="271">
        <f ca="1">MIN(frost_mage_cap,TblMili[[#This Row],[Hill]]/frost_mage_bonus)</f>
        <v>2.1999999999999997</v>
      </c>
      <c r="CD103" s="45">
        <f ca="1">MIN(ice_elem_cap,TblMili[[#This Row],[Raw (2)]]*ice_elem_bonus)</f>
        <v>0.1</v>
      </c>
      <c r="CE103" s="271">
        <f t="shared" si="4"/>
        <v>1</v>
      </c>
      <c r="CF103" s="271">
        <f ca="1">MIN(nox_nightshade_cap,TblConstr[[#This Row],[Homeland]]/TblConstr[[#This Row],[Land]]/nox_nightshade_swamp_bonus)</f>
        <v>3</v>
      </c>
      <c r="CG103" s="272"/>
      <c r="CH103" s="272"/>
      <c r="CI103" s="272"/>
      <c r="CJ103" s="271">
        <f ca="1">MIN(6,TblMili[[#This Row],[Mystic]]+Races!$F$19)*1.8 +  IF(TblMili[[#This Row],[Mystic]]+Races!$F$19&gt;6,(TblMili[[#This Row],[Mystic]]+Races!$F$19-6)*0.2,0) - Races!$I$19</f>
        <v>3.6399999999999997</v>
      </c>
      <c r="CK10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97">
        <f ca="1">TblMili[[#This Row],[Mystic bonus]]*TblMili[[#This Row],[Unit 3]]+TblMili[[#This Row],[Druid bonus]]*TblMili[[#This Row],[Unit 4]]</f>
        <v>0</v>
      </c>
      <c r="CM103" s="163">
        <f ca="1">MIN(6,TblMili[[#This Row],[Dryad]]+Races!$F$35)*1.8 +  IF(TblMili[[#This Row],[Dryad]]+Races!$F$35&gt;6,(TblMili[[#This Row],[Dryad]]+Races!$F$35-6)*0.2,0) - Races!$I$19</f>
        <v>2.1599999999999993</v>
      </c>
      <c r="CN103" s="97">
        <f ca="1">sylvan*(TblMili[[#This Row],[Mystic bonus]]*TblMili[[#This Row],[Unit 3]])</f>
        <v>0</v>
      </c>
      <c r="CO103" s="163">
        <f ca="1">1.8 * MIN(MAX(Races!$E$27,TblMili[[#This Row],[Rockapult]]+Races!$F$27),6)  +  0.45 * MIN(MIN(Races!$E$27,TblMili[[#This Row],[Rockapult]]+Races!$F$27),6)  +  0.2 * ( MAX(Races!$E$27-6,0) + MAX(TblMili[[#This Row],[Rockapult]]+Races!$F$27-6,0) )  -  Races!$I$20</f>
        <v>5.8500000000000005</v>
      </c>
      <c r="CP103" s="97">
        <f ca="1">gnome*(TblMili[[#This Row],[Rockapult bonus]]*TblMili[[#This Row],[Unit 3]])</f>
        <v>0</v>
      </c>
      <c r="CQ103" s="163">
        <f ca="1">1.8 * MIN(MAX(TblMili[[#This Row],[Spellblade]]+Races!$E$47,TblMili[[#This Row],[Adept-DP]]+Races!$F$47),6)  +  0.45 * MIN(MIN(TblMili[[#This Row],[Spellblade]]+Races!$E$47,TblMili[[#This Row],[Adept-DP]]+Races!$F$47),6)  +  0.2 * ( MAX(TblMili[[#This Row],[Spellblade]]+Races!$E$47-6,0) + MAX(TblMili[[#This Row],[Adept-DP]]+Races!$F$47-6,0) )  -  Races!$I$47</f>
        <v>0</v>
      </c>
      <c r="CR103" s="97">
        <f ca="1">dark_elf*(TblMili[[#This Row],[Adept bonus]]*TblMili[[#This Row],[Unit 3]])</f>
        <v>0</v>
      </c>
      <c r="CS103" s="163">
        <f ca="1">1.8 * MIN(MAX(TblMili[[#This Row],[Frost Mage]]+Races!$F$71,Races!$E$71),6)  +  0.45 * MIN(MIN(TblMili[[#This Row],[Frost Mage]]+Races!$F$71,Races!$E$71),6)  +  0.2 * ( MAX(TblMili[[#This Row],[Frost Mage]]+Races!$F$71-6,0) + MAX(Races!$E$71-6,0) )  -  Races!$I$71</f>
        <v>3.9599999999999991</v>
      </c>
      <c r="CT103" s="163">
        <f ca="1">1.8 * MIN(MAX(TblMili[[#This Row],[Ice Elemental]]+Races!$E$71,Races!$F$71),6)  +  0.45 * MIN(MIN(TblMili[[#This Row],[Ice Elemental]]+Races!$E$71,Races!$F$71),6)  +  0.2 * ( MAX(TblMili[[#This Row],[Ice Elemental]]+Races!$E$71-6,0) + MAX(Races!$F$71-6,0) )  -  Races!$I$71</f>
        <v>0.17999999999999972</v>
      </c>
      <c r="CU103" s="97">
        <f ca="1">TblMili[[#This Row],[Frost Mage bonus]]*TblMili[[#This Row],[Unit 3]]+TblMili[[#This Row],[Ice Elemental bonus]]*TblMili[[#This Row],[Unit 4]]</f>
        <v>0</v>
      </c>
      <c r="CV103" s="273"/>
      <c r="CW103" s="151">
        <f ca="1">MIN(SUM(TblConstr[[#This Row],[Plain]:[Water]])/TblMili[[#This Row],[Land]]/favorable_terrain_bonus/100,favorable_terrain_max)</f>
        <v>0.1</v>
      </c>
      <c r="CX103" s="273"/>
      <c r="CY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50"/>
      <c r="DA103" s="274">
        <f ca="1">(TblMili[[#This Row],[Wizards]]+2*TblMili[[#This Row],[Archmages]])/TblConstr[[#This Row],[Land]]</f>
        <v>0.1</v>
      </c>
      <c r="DB103" s="274">
        <f ca="1">TblMili[[#This Row],[Raw (2)]]*(1+race_wizard_strength+IF(TblMili[[#This Row],[Hour]]&gt;72,tech_magical_weaponry_wiz*TblTech[[#This Row],[3-5]],0))</f>
        <v>0.1</v>
      </c>
    </row>
    <row r="104" spans="1:106" x14ac:dyDescent="0.2">
      <c r="A104" s="145">
        <f>TblRezone[[#This Row],[Hour]]</f>
        <v>101</v>
      </c>
      <c r="B104" s="266">
        <f ca="1">SUM(TblMili[[#This Row],[Unit 1]:[Archmages]])+SUM(OFFSET(TblMili[[#This Row],[Train Unit 1]],-8,0):TblMili[[#This Row],[Train Unit 2]]) + SUM(OFFSET(TblMili[[#This Row],[Train Unit 3]],-11,0):TblMili[[#This Row],[Train Arch]]) + TblMili[[#This Row],[Draftees]]</f>
        <v>826</v>
      </c>
      <c r="C104" s="165">
        <f ca="1">TblPop[[#This Row],[Military%]]</f>
        <v>0.35029686174724345</v>
      </c>
      <c r="D104" s="150"/>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f>
        <v>25</v>
      </c>
      <c r="J104" s="45">
        <f ca="1">OFFSET(TblMili[[#This Row],[Wizards]],-1,0) + OFFSET(TblMili[[#This Row],[Train Wiz]],-12,0) - TblMili[[#This Row],[Release Wizards]]-TblMili[[#This Row],[Train Arch]]</f>
        <v>25</v>
      </c>
      <c r="K104" s="45">
        <f ca="1">OFFSET(TblMili[[#This Row],[Archmages]],-1,0) + OFFSET(TblMili[[#This Row],[Train Arch]],-12,0) - TblMili[[#This Row],[Release Arch]]</f>
        <v>0</v>
      </c>
      <c r="L104" s="150"/>
      <c r="M104" s="97">
        <f ca="1">TblProd[[#This Row],[Networth]]</f>
        <v>6450</v>
      </c>
      <c r="N104" s="150"/>
      <c r="O104" s="267">
        <f ca="1">TblMili[[#This Row],[Unit 1]]*spec_op+TblMili[[#This Row],[Unit 3]]*(elite1_base_op)+TblMili[[#This Row],[Unit 4]]*(elite2_base_op+dark_elf*TblMili[[#This Row],[Spellblade]]+icekin*TblMili[[#This Row],[Ice Elemental]]+woodie*TblMili[[#This Row],[Druid (op)]]+orc*TblMili[[#This Row],[Orc]])+kobold*TblMili[[#This Row],[Overlords]]</f>
        <v>0</v>
      </c>
      <c r="P10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4" s="267">
        <f ca="1">TblMili[[#This Row],[Raw]]*(1+TblMili[[#This Row],[Mods_Off]])</f>
        <v>0</v>
      </c>
      <c r="R10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4" s="267">
        <f ca="1">TblMili[[#This Row],[Non Draft]]+TblMili[[#This Row],[Draftees]]</f>
        <v>1076</v>
      </c>
      <c r="T10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269">
        <f ca="1">TblMili[[#This Row],[Non Draft]] * (1 + TblMili[[#This Row],[Mods_Def]])</f>
        <v>450</v>
      </c>
      <c r="V104" s="267">
        <f ca="1">TblMili[[#This Row],[Draft]] * (1 + TblMili[[#This Row],[Mods_Def]])</f>
        <v>1076</v>
      </c>
      <c r="W104" s="267">
        <f ca="1">TblConstr[[#This Row],[Land]]</f>
        <v>250</v>
      </c>
      <c r="X104" s="270"/>
      <c r="Y104" s="275">
        <f ca="1">IF(TblMili[[#This Row],[Set]]&lt;&gt;"",TblMili[[#This Row],[Set]],OFFSET(TblMili[[#This Row],[Draftrate]],-1,0))</f>
        <v>0.35</v>
      </c>
      <c r="Z104" s="97">
        <f ca="1">OFFSET(TblMili[[#This Row],[Draftees]],-1,0)+OFFSET(TblPop[[#This Row],[Draft Growth]],-1,0) - SUM(TblMili[[#This Row],[Train Unit 1]:[Train Wiz]]) - TblMili[[#This Row],[Release Draft]] + SUM(TblMili[[#This Row],[Release Unit 1]:[Release Arch]]) -TblExplore[[#This Row],[Draftees (2)]]</f>
        <v>626</v>
      </c>
      <c r="AA104" s="162"/>
      <c r="AB104" s="188">
        <f ca="1">(TblConstr[[#This Row],[Tot Smi]]+TblConstr[[#This Row],[Dest Smi]])/(TblConstr[[#This Row],[Land]]-TblExplore[[#This Row],[Land Bonus]]*20)</f>
        <v>0</v>
      </c>
      <c r="AC104" s="145"/>
      <c r="AD104" s="266">
        <f>TblMili[[#This Row],[Hour]]</f>
        <v>101</v>
      </c>
      <c r="AE104" s="146">
        <f ca="1">TblExplore[[#This Row],[Time]]</f>
        <v>44814.916666666424</v>
      </c>
      <c r="AF104" s="187"/>
      <c r="AG104" s="187"/>
      <c r="AH104" s="187"/>
      <c r="AI104" s="187"/>
      <c r="AJ104" s="187"/>
      <c r="AK104" s="187"/>
      <c r="AL104" s="187"/>
      <c r="AM104" s="150"/>
      <c r="AN104" s="97">
        <f ca="1">TblProd[[#This Row],[Platinum]]</f>
        <v>649478</v>
      </c>
      <c r="AO104" s="97">
        <f ca="1">INDEX(TblProd[[#Headers],[Lumber]]:TblProd[[#This Row],[Ore]],COUNTA(TblProd[[#Headers],[Lumber]]:TblProd[[#This Row],[Lumber]]),MATCH(Military!$AO$2,TblProd[[#Headers],[Lumber]:[Ore]],0))</f>
        <v>0</v>
      </c>
      <c r="AP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97">
        <f ca="1">TblMili[[#This Row],[Train Unit 1]]*TblMili[[#This Row],[OP Ore]]+TblMili[[#This Row],[Train Unit 2]]*TblMili[[#This Row],[DP Ore]]+TblMili[[#This Row],[Train Unit 3]]*TblMili[[#This Row],[E1 Ore]]+TblMili[[#This Row],[Train Unit 4]]*TblMili[[#This Row],[E2 Ore]]</f>
        <v>0</v>
      </c>
      <c r="AR104" s="150">
        <f>TblMili[[#This Row],[Hour]]</f>
        <v>101</v>
      </c>
      <c r="AS104" s="160">
        <f ca="1">TblMili[[#This Row],[Time]]</f>
        <v>44814.916666666424</v>
      </c>
      <c r="AT104" s="97">
        <f ca="1">TblMili[[#This Row],[Draftees]]</f>
        <v>626</v>
      </c>
      <c r="AU104" s="187"/>
      <c r="AV104" s="187"/>
      <c r="AW104" s="187"/>
      <c r="AX104" s="187"/>
      <c r="AY104" s="187"/>
      <c r="AZ104" s="187"/>
      <c r="BA104" s="187"/>
      <c r="BB104" s="187"/>
      <c r="BC104" s="150"/>
      <c r="BD104" s="165">
        <f ca="1">TblConstr[[#This Row],[Tot WG]]/TblConstr[[#This Row],[Land]]</f>
        <v>0</v>
      </c>
      <c r="BE104" s="165">
        <f ca="1">TblConstr[[#This Row],[Tot Hav]]/TblConstr[[#This Row],[Land]]</f>
        <v>0</v>
      </c>
      <c r="BF104" s="97">
        <f ca="1">ROUNDUP((1-MIN(TblMili[[#This Row],[Smithies]]*smithy_bonus,smithy_bonus_cap) + tech_3_5*TblTech[[#This Row],[3-5]] + tech_5_3*TblTech[[#This Row],[5-3]] + tech_5_5*TblTech[[#This Row],[5-5]])*spec_op_plat,0)</f>
        <v>275</v>
      </c>
      <c r="BG104" s="97">
        <f ca="1">ROUNDUP(IF(race="Gnome",1,(1-MIN(TblMili[[#This Row],[Smithies]]*smithy_bonus,smithy_bonus_cap) + tech_3_5*TblTech[[#This Row],[3-5]] + tech_5_3*TblTech[[#This Row],[5-3]] + tech_5_5*TblTech[[#This Row],[5-5]]))*spec_op_ore,0)</f>
        <v>25</v>
      </c>
      <c r="BH104" s="97">
        <f ca="1">ROUNDUP((1-MIN(TblMili[[#This Row],[Smithies]]*smithy_bonus,smithy_bonus_cap) + tech_3_5*TblTech[[#This Row],[3-5]] + tech_5_3*TblTech[[#This Row],[5-3]] + tech_5_5*TblTech[[#This Row],[5-5]])*spec_dp_plat,0)</f>
        <v>275</v>
      </c>
      <c r="BI104" s="97">
        <f ca="1">ROUNDUP(IF(race="Gnome",1,(1-MIN(TblMili[[#This Row],[Smithies]]*smithy_bonus,smithy_bonus_cap) + tech_3_5*TblTech[[#This Row],[3-5]] + tech_5_3*TblTech[[#This Row],[5-3]] + tech_5_5*TblTech[[#This Row],[5-5]]))*spec_dp_ore,0)</f>
        <v>15</v>
      </c>
      <c r="BJ104" s="97">
        <f ca="1">ROUNDUP((1-MIN(TblMili[[#This Row],[Smithies]]*smithy_bonus,smithy_bonus_cap) + tech_3_5*TblTech[[#This Row],[3-5]] + tech_5_3*TblTech[[#This Row],[5-3]] + tech_5_5*TblTech[[#This Row],[5-5]])*elite1_plat,0)</f>
        <v>1000</v>
      </c>
      <c r="BK104" s="97">
        <f ca="1">ROUNDUP(IF(race="Gnome",1,(1-MIN(TblMili[[#This Row],[Smithies]]*smithy_bonus,smithy_bonus_cap) + tech_3_5*TblTech[[#This Row],[3-5]] + tech_5_3*TblTech[[#This Row],[5-3]] + tech_5_5*TblTech[[#This Row],[5-5]]))*elite1_ore,0)</f>
        <v>75</v>
      </c>
      <c r="BL104" s="97">
        <f ca="1">ROUNDUP((1-MIN(TblMili[[#This Row],[Smithies]]*smithy_bonus,smithy_bonus_cap) + tech_3_5*TblTech[[#This Row],[3-5]] + tech_5_3*TblTech[[#This Row],[5-3]] + tech_5_5*TblTech[[#This Row],[5-5]])*elite2_plat,0)</f>
        <v>1200</v>
      </c>
      <c r="BM104" s="97">
        <f ca="1">ROUNDUP(IF(race="Gnome",1,(1-MIN(TblMili[[#This Row],[Smithies]]*smithy_bonus,smithy_bonus_cap) + tech_3_5*TblTech[[#This Row],[3-5]] + tech_5_3*TblTech[[#This Row],[5-3]] + tech_5_5*TblTech[[#This Row],[5-5]]))*elite2_ore,0)</f>
        <v>100</v>
      </c>
      <c r="BN104" s="97">
        <f ca="1">ROUNDUP((1-MIN(ROUND(fh_spy_cost_red*TblMili[[#This Row],[FH''s]],4),fh_spy_cost_cap)+ tech_1_9*TblTech[[#This Row],[1-9]] + tech_9_1*TblTech[[#This Row],[9-1]])*spy_plat,0)</f>
        <v>500</v>
      </c>
      <c r="BO104" s="97">
        <f ca="1">ROUNDUP((1-MIN(ROUND(wg_wiz_cost_bonus*TblMili[[#This Row],[WG''s]],4),wg_wiz_cost_cap) + tech_1_9_2*TblTech[[#This Row],[1-9]] + tech_9_1_2*TblTech[[#This Row],[9-1]])*wizard_plat,0)</f>
        <v>500</v>
      </c>
      <c r="BP104" s="97">
        <f ca="1">ROUNDUP((1-MIN(ROUND(wg_wiz_cost_bonus*TblMili[[#This Row],[WG''s]],4),wg_wiz_cost_cap) + tech_1_9_2*TblTech[[#This Row],[1-9]] + tech_9_1_2*TblTech[[#This Row],[9-1]])*archmage_plat,0)</f>
        <v>1000</v>
      </c>
      <c r="BQ104" s="150"/>
      <c r="BR104" s="165">
        <f ca="1">TblConstr[[#This Row],[Homeland]]/TblConstr[[#This Row],[Land]]</f>
        <v>0.44</v>
      </c>
      <c r="BS104" s="165">
        <f ca="1">TblMili[[#This Row],[WG''s]]</f>
        <v>0</v>
      </c>
      <c r="BT104" s="271">
        <f ca="1">IF(mystic_cap="none",TblMili[[#This Row],[Hill]]/mystic_bonus,MIN(mystic_cap,TblMili[[#This Row],[Hill]]/mystic_bonus))</f>
        <v>2.1999999999999997</v>
      </c>
      <c r="BU104" s="271">
        <f ca="1">IF(druid_op_cap="none",TblMili[[#This Row],[Hill]]/druid_op_bonus,MIN(druid_op_cap,TblMili[[#This Row],[Hill]]/druid_op_bonus))</f>
        <v>2.1999999999999997</v>
      </c>
      <c r="BV104" s="271">
        <f ca="1">IF(druid_dp_cap="none",TblMili[[#This Row],[Hill]]/druid_dp_bonus,MIN(druid_dp_cap,TblMili[[#This Row],[Hill]]/druid_dp_bonus))</f>
        <v>2.1999999999999997</v>
      </c>
      <c r="BW104" s="271">
        <f ca="1">MIN(dryad_cap,TblMili[[#This Row],[Hill]]/dryad_bonus)</f>
        <v>2.1999999999999997</v>
      </c>
      <c r="BX104" s="271">
        <f ca="1">MIN(rocka_cap,TblMili[[#This Row],[Hill]]/rocka_bonus)</f>
        <v>2</v>
      </c>
      <c r="BY104" s="271">
        <f ca="1">MIN(adept_op_cap,TblMili[[#This Row],[WG]]/adept_op_bonus)</f>
        <v>0</v>
      </c>
      <c r="BZ104" s="271">
        <f ca="1">MIN(adept_dp_cap,TblMili[[#This Row],[WG]]/adept_dp_bonus)</f>
        <v>0</v>
      </c>
      <c r="CA104" s="97">
        <f ca="1">MIN(TblMili[[#This Row],[Unit 3]],TblMili[[#This Row],[Unit 4]])*2</f>
        <v>0</v>
      </c>
      <c r="CB104" s="97">
        <f ca="1">MIN(TblMili[[#This Row],[Unit 1]],TblMili[[#This Row],[Unit 4]])*2</f>
        <v>0</v>
      </c>
      <c r="CC104" s="271">
        <f ca="1">MIN(frost_mage_cap,TblMili[[#This Row],[Hill]]/frost_mage_bonus)</f>
        <v>2.1999999999999997</v>
      </c>
      <c r="CD104" s="45">
        <f ca="1">MIN(ice_elem_cap,TblMili[[#This Row],[Raw (2)]]*ice_elem_bonus)</f>
        <v>0.1</v>
      </c>
      <c r="CE104" s="271">
        <f t="shared" si="4"/>
        <v>1</v>
      </c>
      <c r="CF104" s="271">
        <f ca="1">MIN(nox_nightshade_cap,TblConstr[[#This Row],[Homeland]]/TblConstr[[#This Row],[Land]]/nox_nightshade_swamp_bonus)</f>
        <v>3</v>
      </c>
      <c r="CG104" s="272"/>
      <c r="CH104" s="272"/>
      <c r="CI104" s="272"/>
      <c r="CJ104" s="271">
        <f ca="1">MIN(6,TblMili[[#This Row],[Mystic]]+Races!$F$19)*1.8 +  IF(TblMili[[#This Row],[Mystic]]+Races!$F$19&gt;6,(TblMili[[#This Row],[Mystic]]+Races!$F$19-6)*0.2,0) - Races!$I$19</f>
        <v>3.6399999999999997</v>
      </c>
      <c r="CK10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97">
        <f ca="1">TblMili[[#This Row],[Mystic bonus]]*TblMili[[#This Row],[Unit 3]]+TblMili[[#This Row],[Druid bonus]]*TblMili[[#This Row],[Unit 4]]</f>
        <v>0</v>
      </c>
      <c r="CM104" s="163">
        <f ca="1">MIN(6,TblMili[[#This Row],[Dryad]]+Races!$F$35)*1.8 +  IF(TblMili[[#This Row],[Dryad]]+Races!$F$35&gt;6,(TblMili[[#This Row],[Dryad]]+Races!$F$35-6)*0.2,0) - Races!$I$19</f>
        <v>2.1599999999999993</v>
      </c>
      <c r="CN104" s="97">
        <f ca="1">sylvan*(TblMili[[#This Row],[Mystic bonus]]*TblMili[[#This Row],[Unit 3]])</f>
        <v>0</v>
      </c>
      <c r="CO104" s="163">
        <f ca="1">1.8 * MIN(MAX(Races!$E$27,TblMili[[#This Row],[Rockapult]]+Races!$F$27),6)  +  0.45 * MIN(MIN(Races!$E$27,TblMili[[#This Row],[Rockapult]]+Races!$F$27),6)  +  0.2 * ( MAX(Races!$E$27-6,0) + MAX(TblMili[[#This Row],[Rockapult]]+Races!$F$27-6,0) )  -  Races!$I$20</f>
        <v>5.8500000000000005</v>
      </c>
      <c r="CP104" s="97">
        <f ca="1">gnome*(TblMili[[#This Row],[Rockapult bonus]]*TblMili[[#This Row],[Unit 3]])</f>
        <v>0</v>
      </c>
      <c r="CQ104" s="163">
        <f ca="1">1.8 * MIN(MAX(TblMili[[#This Row],[Spellblade]]+Races!$E$47,TblMili[[#This Row],[Adept-DP]]+Races!$F$47),6)  +  0.45 * MIN(MIN(TblMili[[#This Row],[Spellblade]]+Races!$E$47,TblMili[[#This Row],[Adept-DP]]+Races!$F$47),6)  +  0.2 * ( MAX(TblMili[[#This Row],[Spellblade]]+Races!$E$47-6,0) + MAX(TblMili[[#This Row],[Adept-DP]]+Races!$F$47-6,0) )  -  Races!$I$47</f>
        <v>0</v>
      </c>
      <c r="CR104" s="97">
        <f ca="1">dark_elf*(TblMili[[#This Row],[Adept bonus]]*TblMili[[#This Row],[Unit 3]])</f>
        <v>0</v>
      </c>
      <c r="CS104" s="163">
        <f ca="1">1.8 * MIN(MAX(TblMili[[#This Row],[Frost Mage]]+Races!$F$71,Races!$E$71),6)  +  0.45 * MIN(MIN(TblMili[[#This Row],[Frost Mage]]+Races!$F$71,Races!$E$71),6)  +  0.2 * ( MAX(TblMili[[#This Row],[Frost Mage]]+Races!$F$71-6,0) + MAX(Races!$E$71-6,0) )  -  Races!$I$71</f>
        <v>3.9599999999999991</v>
      </c>
      <c r="CT104" s="163">
        <f ca="1">1.8 * MIN(MAX(TblMili[[#This Row],[Ice Elemental]]+Races!$E$71,Races!$F$71),6)  +  0.45 * MIN(MIN(TblMili[[#This Row],[Ice Elemental]]+Races!$E$71,Races!$F$71),6)  +  0.2 * ( MAX(TblMili[[#This Row],[Ice Elemental]]+Races!$E$71-6,0) + MAX(Races!$F$71-6,0) )  -  Races!$I$71</f>
        <v>0.17999999999999972</v>
      </c>
      <c r="CU104" s="97">
        <f ca="1">TblMili[[#This Row],[Frost Mage bonus]]*TblMili[[#This Row],[Unit 3]]+TblMili[[#This Row],[Ice Elemental bonus]]*TblMili[[#This Row],[Unit 4]]</f>
        <v>0</v>
      </c>
      <c r="CV104" s="273"/>
      <c r="CW104" s="151">
        <f ca="1">MIN(SUM(TblConstr[[#This Row],[Plain]:[Water]])/TblMili[[#This Row],[Land]]/favorable_terrain_bonus/100,favorable_terrain_max)</f>
        <v>0.1</v>
      </c>
      <c r="CX104" s="273"/>
      <c r="CY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50"/>
      <c r="DA104" s="274">
        <f ca="1">(TblMili[[#This Row],[Wizards]]+2*TblMili[[#This Row],[Archmages]])/TblConstr[[#This Row],[Land]]</f>
        <v>0.1</v>
      </c>
      <c r="DB104" s="274">
        <f ca="1">TblMili[[#This Row],[Raw (2)]]*(1+race_wizard_strength+IF(TblMili[[#This Row],[Hour]]&gt;72,tech_magical_weaponry_wiz*TblTech[[#This Row],[3-5]],0))</f>
        <v>0.1</v>
      </c>
    </row>
    <row r="105" spans="1:106" x14ac:dyDescent="0.2">
      <c r="A105" s="145">
        <f>TblRezone[[#This Row],[Hour]]</f>
        <v>102</v>
      </c>
      <c r="B105" s="266">
        <f ca="1">SUM(TblMili[[#This Row],[Unit 1]:[Archmages]])+SUM(OFFSET(TblMili[[#This Row],[Train Unit 1]],-8,0):TblMili[[#This Row],[Train Unit 2]]) + SUM(OFFSET(TblMili[[#This Row],[Train Unit 3]],-11,0):TblMili[[#This Row],[Train Arch]]) + TblMili[[#This Row],[Draftees]]</f>
        <v>826</v>
      </c>
      <c r="C105" s="165">
        <f ca="1">TblPop[[#This Row],[Military%]]</f>
        <v>0.35029686174724345</v>
      </c>
      <c r="D105" s="150"/>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f>
        <v>25</v>
      </c>
      <c r="J105" s="45">
        <f ca="1">OFFSET(TblMili[[#This Row],[Wizards]],-1,0) + OFFSET(TblMili[[#This Row],[Train Wiz]],-12,0) - TblMili[[#This Row],[Release Wizards]]-TblMili[[#This Row],[Train Arch]]</f>
        <v>25</v>
      </c>
      <c r="K105" s="45">
        <f ca="1">OFFSET(TblMili[[#This Row],[Archmages]],-1,0) + OFFSET(TblMili[[#This Row],[Train Arch]],-12,0) - TblMili[[#This Row],[Release Arch]]</f>
        <v>0</v>
      </c>
      <c r="L105" s="150"/>
      <c r="M105" s="97">
        <f ca="1">TblProd[[#This Row],[Networth]]</f>
        <v>6450</v>
      </c>
      <c r="N105" s="150"/>
      <c r="O105" s="267">
        <f ca="1">TblMili[[#This Row],[Unit 1]]*spec_op+TblMili[[#This Row],[Unit 3]]*(elite1_base_op)+TblMili[[#This Row],[Unit 4]]*(elite2_base_op+dark_elf*TblMili[[#This Row],[Spellblade]]+icekin*TblMili[[#This Row],[Ice Elemental]]+woodie*TblMili[[#This Row],[Druid (op)]]+orc*TblMili[[#This Row],[Orc]])+kobold*TblMili[[#This Row],[Overlords]]</f>
        <v>0</v>
      </c>
      <c r="P10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5" s="267">
        <f ca="1">TblMili[[#This Row],[Raw]]*(1+TblMili[[#This Row],[Mods_Off]])</f>
        <v>0</v>
      </c>
      <c r="R10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5" s="267">
        <f ca="1">TblMili[[#This Row],[Non Draft]]+TblMili[[#This Row],[Draftees]]</f>
        <v>1076</v>
      </c>
      <c r="T10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269">
        <f ca="1">TblMili[[#This Row],[Non Draft]] * (1 + TblMili[[#This Row],[Mods_Def]])</f>
        <v>450</v>
      </c>
      <c r="V105" s="267">
        <f ca="1">TblMili[[#This Row],[Draft]] * (1 + TblMili[[#This Row],[Mods_Def]])</f>
        <v>1076</v>
      </c>
      <c r="W105" s="267">
        <f ca="1">TblConstr[[#This Row],[Land]]</f>
        <v>250</v>
      </c>
      <c r="X105" s="270"/>
      <c r="Y105" s="275">
        <f ca="1">IF(TblMili[[#This Row],[Set]]&lt;&gt;"",TblMili[[#This Row],[Set]],OFFSET(TblMili[[#This Row],[Draftrate]],-1,0))</f>
        <v>0.35</v>
      </c>
      <c r="Z105" s="97">
        <f ca="1">OFFSET(TblMili[[#This Row],[Draftees]],-1,0)+OFFSET(TblPop[[#This Row],[Draft Growth]],-1,0) - SUM(TblMili[[#This Row],[Train Unit 1]:[Train Wiz]]) - TblMili[[#This Row],[Release Draft]] + SUM(TblMili[[#This Row],[Release Unit 1]:[Release Arch]]) -TblExplore[[#This Row],[Draftees (2)]]</f>
        <v>626</v>
      </c>
      <c r="AA105" s="162"/>
      <c r="AB105" s="188">
        <f ca="1">(TblConstr[[#This Row],[Tot Smi]]+TblConstr[[#This Row],[Dest Smi]])/(TblConstr[[#This Row],[Land]]-TblExplore[[#This Row],[Land Bonus]]*20)</f>
        <v>0</v>
      </c>
      <c r="AC105" s="145"/>
      <c r="AD105" s="266">
        <f>TblMili[[#This Row],[Hour]]</f>
        <v>102</v>
      </c>
      <c r="AE105" s="146">
        <f ca="1">TblExplore[[#This Row],[Time]]</f>
        <v>44814.958333333088</v>
      </c>
      <c r="AF105" s="187"/>
      <c r="AG105" s="187"/>
      <c r="AH105" s="187"/>
      <c r="AI105" s="187"/>
      <c r="AJ105" s="187"/>
      <c r="AK105" s="187"/>
      <c r="AL105" s="187"/>
      <c r="AM105" s="150"/>
      <c r="AN105" s="97">
        <f ca="1">TblProd[[#This Row],[Platinum]]</f>
        <v>654964</v>
      </c>
      <c r="AO105" s="97">
        <f ca="1">INDEX(TblProd[[#Headers],[Lumber]]:TblProd[[#This Row],[Ore]],COUNTA(TblProd[[#Headers],[Lumber]]:TblProd[[#This Row],[Lumber]]),MATCH(Military!$AO$2,TblProd[[#Headers],[Lumber]:[Ore]],0))</f>
        <v>0</v>
      </c>
      <c r="AP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97">
        <f ca="1">TblMili[[#This Row],[Train Unit 1]]*TblMili[[#This Row],[OP Ore]]+TblMili[[#This Row],[Train Unit 2]]*TblMili[[#This Row],[DP Ore]]+TblMili[[#This Row],[Train Unit 3]]*TblMili[[#This Row],[E1 Ore]]+TblMili[[#This Row],[Train Unit 4]]*TblMili[[#This Row],[E2 Ore]]</f>
        <v>0</v>
      </c>
      <c r="AR105" s="150">
        <f>TblMili[[#This Row],[Hour]]</f>
        <v>102</v>
      </c>
      <c r="AS105" s="160">
        <f ca="1">TblMili[[#This Row],[Time]]</f>
        <v>44814.958333333088</v>
      </c>
      <c r="AT105" s="97">
        <f ca="1">TblMili[[#This Row],[Draftees]]</f>
        <v>626</v>
      </c>
      <c r="AU105" s="187"/>
      <c r="AV105" s="187"/>
      <c r="AW105" s="187"/>
      <c r="AX105" s="187"/>
      <c r="AY105" s="187"/>
      <c r="AZ105" s="187"/>
      <c r="BA105" s="187"/>
      <c r="BB105" s="187"/>
      <c r="BC105" s="150"/>
      <c r="BD105" s="165">
        <f ca="1">TblConstr[[#This Row],[Tot WG]]/TblConstr[[#This Row],[Land]]</f>
        <v>0</v>
      </c>
      <c r="BE105" s="165">
        <f ca="1">TblConstr[[#This Row],[Tot Hav]]/TblConstr[[#This Row],[Land]]</f>
        <v>0</v>
      </c>
      <c r="BF105" s="97">
        <f ca="1">ROUNDUP((1-MIN(TblMili[[#This Row],[Smithies]]*smithy_bonus,smithy_bonus_cap) + tech_3_5*TblTech[[#This Row],[3-5]] + tech_5_3*TblTech[[#This Row],[5-3]] + tech_5_5*TblTech[[#This Row],[5-5]])*spec_op_plat,0)</f>
        <v>275</v>
      </c>
      <c r="BG105" s="97">
        <f ca="1">ROUNDUP(IF(race="Gnome",1,(1-MIN(TblMili[[#This Row],[Smithies]]*smithy_bonus,smithy_bonus_cap) + tech_3_5*TblTech[[#This Row],[3-5]] + tech_5_3*TblTech[[#This Row],[5-3]] + tech_5_5*TblTech[[#This Row],[5-5]]))*spec_op_ore,0)</f>
        <v>25</v>
      </c>
      <c r="BH105" s="97">
        <f ca="1">ROUNDUP((1-MIN(TblMili[[#This Row],[Smithies]]*smithy_bonus,smithy_bonus_cap) + tech_3_5*TblTech[[#This Row],[3-5]] + tech_5_3*TblTech[[#This Row],[5-3]] + tech_5_5*TblTech[[#This Row],[5-5]])*spec_dp_plat,0)</f>
        <v>275</v>
      </c>
      <c r="BI105" s="97">
        <f ca="1">ROUNDUP(IF(race="Gnome",1,(1-MIN(TblMili[[#This Row],[Smithies]]*smithy_bonus,smithy_bonus_cap) + tech_3_5*TblTech[[#This Row],[3-5]] + tech_5_3*TblTech[[#This Row],[5-3]] + tech_5_5*TblTech[[#This Row],[5-5]]))*spec_dp_ore,0)</f>
        <v>15</v>
      </c>
      <c r="BJ105" s="97">
        <f ca="1">ROUNDUP((1-MIN(TblMili[[#This Row],[Smithies]]*smithy_bonus,smithy_bonus_cap) + tech_3_5*TblTech[[#This Row],[3-5]] + tech_5_3*TblTech[[#This Row],[5-3]] + tech_5_5*TblTech[[#This Row],[5-5]])*elite1_plat,0)</f>
        <v>1000</v>
      </c>
      <c r="BK105" s="97">
        <f ca="1">ROUNDUP(IF(race="Gnome",1,(1-MIN(TblMili[[#This Row],[Smithies]]*smithy_bonus,smithy_bonus_cap) + tech_3_5*TblTech[[#This Row],[3-5]] + tech_5_3*TblTech[[#This Row],[5-3]] + tech_5_5*TblTech[[#This Row],[5-5]]))*elite1_ore,0)</f>
        <v>75</v>
      </c>
      <c r="BL105" s="97">
        <f ca="1">ROUNDUP((1-MIN(TblMili[[#This Row],[Smithies]]*smithy_bonus,smithy_bonus_cap) + tech_3_5*TblTech[[#This Row],[3-5]] + tech_5_3*TblTech[[#This Row],[5-3]] + tech_5_5*TblTech[[#This Row],[5-5]])*elite2_plat,0)</f>
        <v>1200</v>
      </c>
      <c r="BM105" s="97">
        <f ca="1">ROUNDUP(IF(race="Gnome",1,(1-MIN(TblMili[[#This Row],[Smithies]]*smithy_bonus,smithy_bonus_cap) + tech_3_5*TblTech[[#This Row],[3-5]] + tech_5_3*TblTech[[#This Row],[5-3]] + tech_5_5*TblTech[[#This Row],[5-5]]))*elite2_ore,0)</f>
        <v>100</v>
      </c>
      <c r="BN105" s="97">
        <f ca="1">ROUNDUP((1-MIN(ROUND(fh_spy_cost_red*TblMili[[#This Row],[FH''s]],4),fh_spy_cost_cap)+ tech_1_9*TblTech[[#This Row],[1-9]] + tech_9_1*TblTech[[#This Row],[9-1]])*spy_plat,0)</f>
        <v>500</v>
      </c>
      <c r="BO105" s="97">
        <f ca="1">ROUNDUP((1-MIN(ROUND(wg_wiz_cost_bonus*TblMili[[#This Row],[WG''s]],4),wg_wiz_cost_cap) + tech_1_9_2*TblTech[[#This Row],[1-9]] + tech_9_1_2*TblTech[[#This Row],[9-1]])*wizard_plat,0)</f>
        <v>500</v>
      </c>
      <c r="BP105" s="97">
        <f ca="1">ROUNDUP((1-MIN(ROUND(wg_wiz_cost_bonus*TblMili[[#This Row],[WG''s]],4),wg_wiz_cost_cap) + tech_1_9_2*TblTech[[#This Row],[1-9]] + tech_9_1_2*TblTech[[#This Row],[9-1]])*archmage_plat,0)</f>
        <v>1000</v>
      </c>
      <c r="BQ105" s="150"/>
      <c r="BR105" s="165">
        <f ca="1">TblConstr[[#This Row],[Homeland]]/TblConstr[[#This Row],[Land]]</f>
        <v>0.44</v>
      </c>
      <c r="BS105" s="165">
        <f ca="1">TblMili[[#This Row],[WG''s]]</f>
        <v>0</v>
      </c>
      <c r="BT105" s="271">
        <f ca="1">IF(mystic_cap="none",TblMili[[#This Row],[Hill]]/mystic_bonus,MIN(mystic_cap,TblMili[[#This Row],[Hill]]/mystic_bonus))</f>
        <v>2.1999999999999997</v>
      </c>
      <c r="BU105" s="271">
        <f ca="1">IF(druid_op_cap="none",TblMili[[#This Row],[Hill]]/druid_op_bonus,MIN(druid_op_cap,TblMili[[#This Row],[Hill]]/druid_op_bonus))</f>
        <v>2.1999999999999997</v>
      </c>
      <c r="BV105" s="271">
        <f ca="1">IF(druid_dp_cap="none",TblMili[[#This Row],[Hill]]/druid_dp_bonus,MIN(druid_dp_cap,TblMili[[#This Row],[Hill]]/druid_dp_bonus))</f>
        <v>2.1999999999999997</v>
      </c>
      <c r="BW105" s="271">
        <f ca="1">MIN(dryad_cap,TblMili[[#This Row],[Hill]]/dryad_bonus)</f>
        <v>2.1999999999999997</v>
      </c>
      <c r="BX105" s="271">
        <f ca="1">MIN(rocka_cap,TblMili[[#This Row],[Hill]]/rocka_bonus)</f>
        <v>2</v>
      </c>
      <c r="BY105" s="271">
        <f ca="1">MIN(adept_op_cap,TblMili[[#This Row],[WG]]/adept_op_bonus)</f>
        <v>0</v>
      </c>
      <c r="BZ105" s="271">
        <f ca="1">MIN(adept_dp_cap,TblMili[[#This Row],[WG]]/adept_dp_bonus)</f>
        <v>0</v>
      </c>
      <c r="CA105" s="97">
        <f ca="1">MIN(TblMili[[#This Row],[Unit 3]],TblMili[[#This Row],[Unit 4]])*2</f>
        <v>0</v>
      </c>
      <c r="CB105" s="97">
        <f ca="1">MIN(TblMili[[#This Row],[Unit 1]],TblMili[[#This Row],[Unit 4]])*2</f>
        <v>0</v>
      </c>
      <c r="CC105" s="271">
        <f ca="1">MIN(frost_mage_cap,TblMili[[#This Row],[Hill]]/frost_mage_bonus)</f>
        <v>2.1999999999999997</v>
      </c>
      <c r="CD105" s="45">
        <f ca="1">MIN(ice_elem_cap,TblMili[[#This Row],[Raw (2)]]*ice_elem_bonus)</f>
        <v>0.1</v>
      </c>
      <c r="CE105" s="271">
        <f t="shared" si="4"/>
        <v>1</v>
      </c>
      <c r="CF105" s="271">
        <f ca="1">MIN(nox_nightshade_cap,TblConstr[[#This Row],[Homeland]]/TblConstr[[#This Row],[Land]]/nox_nightshade_swamp_bonus)</f>
        <v>3</v>
      </c>
      <c r="CG105" s="272"/>
      <c r="CH105" s="272"/>
      <c r="CI105" s="272"/>
      <c r="CJ105" s="271">
        <f ca="1">MIN(6,TblMili[[#This Row],[Mystic]]+Races!$F$19)*1.8 +  IF(TblMili[[#This Row],[Mystic]]+Races!$F$19&gt;6,(TblMili[[#This Row],[Mystic]]+Races!$F$19-6)*0.2,0) - Races!$I$19</f>
        <v>3.6399999999999997</v>
      </c>
      <c r="CK10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97">
        <f ca="1">TblMili[[#This Row],[Mystic bonus]]*TblMili[[#This Row],[Unit 3]]+TblMili[[#This Row],[Druid bonus]]*TblMili[[#This Row],[Unit 4]]</f>
        <v>0</v>
      </c>
      <c r="CM105" s="163">
        <f ca="1">MIN(6,TblMili[[#This Row],[Dryad]]+Races!$F$35)*1.8 +  IF(TblMili[[#This Row],[Dryad]]+Races!$F$35&gt;6,(TblMili[[#This Row],[Dryad]]+Races!$F$35-6)*0.2,0) - Races!$I$19</f>
        <v>2.1599999999999993</v>
      </c>
      <c r="CN105" s="97">
        <f ca="1">sylvan*(TblMili[[#This Row],[Mystic bonus]]*TblMili[[#This Row],[Unit 3]])</f>
        <v>0</v>
      </c>
      <c r="CO105" s="163">
        <f ca="1">1.8 * MIN(MAX(Races!$E$27,TblMili[[#This Row],[Rockapult]]+Races!$F$27),6)  +  0.45 * MIN(MIN(Races!$E$27,TblMili[[#This Row],[Rockapult]]+Races!$F$27),6)  +  0.2 * ( MAX(Races!$E$27-6,0) + MAX(TblMili[[#This Row],[Rockapult]]+Races!$F$27-6,0) )  -  Races!$I$20</f>
        <v>5.8500000000000005</v>
      </c>
      <c r="CP105" s="97">
        <f ca="1">gnome*(TblMili[[#This Row],[Rockapult bonus]]*TblMili[[#This Row],[Unit 3]])</f>
        <v>0</v>
      </c>
      <c r="CQ105" s="163">
        <f ca="1">1.8 * MIN(MAX(TblMili[[#This Row],[Spellblade]]+Races!$E$47,TblMili[[#This Row],[Adept-DP]]+Races!$F$47),6)  +  0.45 * MIN(MIN(TblMili[[#This Row],[Spellblade]]+Races!$E$47,TblMili[[#This Row],[Adept-DP]]+Races!$F$47),6)  +  0.2 * ( MAX(TblMili[[#This Row],[Spellblade]]+Races!$E$47-6,0) + MAX(TblMili[[#This Row],[Adept-DP]]+Races!$F$47-6,0) )  -  Races!$I$47</f>
        <v>0</v>
      </c>
      <c r="CR105" s="97">
        <f ca="1">dark_elf*(TblMili[[#This Row],[Adept bonus]]*TblMili[[#This Row],[Unit 3]])</f>
        <v>0</v>
      </c>
      <c r="CS105" s="163">
        <f ca="1">1.8 * MIN(MAX(TblMili[[#This Row],[Frost Mage]]+Races!$F$71,Races!$E$71),6)  +  0.45 * MIN(MIN(TblMili[[#This Row],[Frost Mage]]+Races!$F$71,Races!$E$71),6)  +  0.2 * ( MAX(TblMili[[#This Row],[Frost Mage]]+Races!$F$71-6,0) + MAX(Races!$E$71-6,0) )  -  Races!$I$71</f>
        <v>3.9599999999999991</v>
      </c>
      <c r="CT105" s="163">
        <f ca="1">1.8 * MIN(MAX(TblMili[[#This Row],[Ice Elemental]]+Races!$E$71,Races!$F$71),6)  +  0.45 * MIN(MIN(TblMili[[#This Row],[Ice Elemental]]+Races!$E$71,Races!$F$71),6)  +  0.2 * ( MAX(TblMili[[#This Row],[Ice Elemental]]+Races!$E$71-6,0) + MAX(Races!$F$71-6,0) )  -  Races!$I$71</f>
        <v>0.17999999999999972</v>
      </c>
      <c r="CU105" s="97">
        <f ca="1">TblMili[[#This Row],[Frost Mage bonus]]*TblMili[[#This Row],[Unit 3]]+TblMili[[#This Row],[Ice Elemental bonus]]*TblMili[[#This Row],[Unit 4]]</f>
        <v>0</v>
      </c>
      <c r="CV105" s="273"/>
      <c r="CW105" s="151">
        <f ca="1">MIN(SUM(TblConstr[[#This Row],[Plain]:[Water]])/TblMili[[#This Row],[Land]]/favorable_terrain_bonus/100,favorable_terrain_max)</f>
        <v>0.1</v>
      </c>
      <c r="CX105" s="273"/>
      <c r="CY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50"/>
      <c r="DA105" s="274">
        <f ca="1">(TblMili[[#This Row],[Wizards]]+2*TblMili[[#This Row],[Archmages]])/TblConstr[[#This Row],[Land]]</f>
        <v>0.1</v>
      </c>
      <c r="DB105" s="274">
        <f ca="1">TblMili[[#This Row],[Raw (2)]]*(1+race_wizard_strength+IF(TblMili[[#This Row],[Hour]]&gt;72,tech_magical_weaponry_wiz*TblTech[[#This Row],[3-5]],0))</f>
        <v>0.1</v>
      </c>
    </row>
    <row r="106" spans="1:106" x14ac:dyDescent="0.2">
      <c r="A106" s="145">
        <f>TblRezone[[#This Row],[Hour]]</f>
        <v>103</v>
      </c>
      <c r="B106" s="266">
        <f ca="1">SUM(TblMili[[#This Row],[Unit 1]:[Archmages]])+SUM(OFFSET(TblMili[[#This Row],[Train Unit 1]],-8,0):TblMili[[#This Row],[Train Unit 2]]) + SUM(OFFSET(TblMili[[#This Row],[Train Unit 3]],-11,0):TblMili[[#This Row],[Train Arch]]) + TblMili[[#This Row],[Draftees]]</f>
        <v>826</v>
      </c>
      <c r="C106" s="165">
        <f ca="1">TblPop[[#This Row],[Military%]]</f>
        <v>0.35029686174724345</v>
      </c>
      <c r="D106" s="150"/>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f>
        <v>25</v>
      </c>
      <c r="J106" s="45">
        <f ca="1">OFFSET(TblMili[[#This Row],[Wizards]],-1,0) + OFFSET(TblMili[[#This Row],[Train Wiz]],-12,0) - TblMili[[#This Row],[Release Wizards]]-TblMili[[#This Row],[Train Arch]]</f>
        <v>25</v>
      </c>
      <c r="K106" s="45">
        <f ca="1">OFFSET(TblMili[[#This Row],[Archmages]],-1,0) + OFFSET(TblMili[[#This Row],[Train Arch]],-12,0) - TblMili[[#This Row],[Release Arch]]</f>
        <v>0</v>
      </c>
      <c r="L106" s="150"/>
      <c r="M106" s="97">
        <f ca="1">TblProd[[#This Row],[Networth]]</f>
        <v>6450</v>
      </c>
      <c r="N106" s="150"/>
      <c r="O106" s="267">
        <f ca="1">TblMili[[#This Row],[Unit 1]]*spec_op+TblMili[[#This Row],[Unit 3]]*(elite1_base_op)+TblMili[[#This Row],[Unit 4]]*(elite2_base_op+dark_elf*TblMili[[#This Row],[Spellblade]]+icekin*TblMili[[#This Row],[Ice Elemental]]+woodie*TblMili[[#This Row],[Druid (op)]]+orc*TblMili[[#This Row],[Orc]])+kobold*TblMili[[#This Row],[Overlords]]</f>
        <v>0</v>
      </c>
      <c r="P10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6" s="267">
        <f ca="1">TblMili[[#This Row],[Raw]]*(1+TblMili[[#This Row],[Mods_Off]])</f>
        <v>0</v>
      </c>
      <c r="R10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6" s="267">
        <f ca="1">TblMili[[#This Row],[Non Draft]]+TblMili[[#This Row],[Draftees]]</f>
        <v>1076</v>
      </c>
      <c r="T10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269">
        <f ca="1">TblMili[[#This Row],[Non Draft]] * (1 + TblMili[[#This Row],[Mods_Def]])</f>
        <v>450</v>
      </c>
      <c r="V106" s="267">
        <f ca="1">TblMili[[#This Row],[Draft]] * (1 + TblMili[[#This Row],[Mods_Def]])</f>
        <v>1076</v>
      </c>
      <c r="W106" s="267">
        <f ca="1">TblConstr[[#This Row],[Land]]</f>
        <v>250</v>
      </c>
      <c r="X106" s="270"/>
      <c r="Y106" s="275">
        <f ca="1">IF(TblMili[[#This Row],[Set]]&lt;&gt;"",TblMili[[#This Row],[Set]],OFFSET(TblMili[[#This Row],[Draftrate]],-1,0))</f>
        <v>0.35</v>
      </c>
      <c r="Z106" s="97">
        <f ca="1">OFFSET(TblMili[[#This Row],[Draftees]],-1,0)+OFFSET(TblPop[[#This Row],[Draft Growth]],-1,0) - SUM(TblMili[[#This Row],[Train Unit 1]:[Train Wiz]]) - TblMili[[#This Row],[Release Draft]] + SUM(TblMili[[#This Row],[Release Unit 1]:[Release Arch]]) -TblExplore[[#This Row],[Draftees (2)]]</f>
        <v>626</v>
      </c>
      <c r="AA106" s="162"/>
      <c r="AB106" s="188">
        <f ca="1">(TblConstr[[#This Row],[Tot Smi]]+TblConstr[[#This Row],[Dest Smi]])/(TblConstr[[#This Row],[Land]]-TblExplore[[#This Row],[Land Bonus]]*20)</f>
        <v>0</v>
      </c>
      <c r="AC106" s="145"/>
      <c r="AD106" s="266">
        <f>TblMili[[#This Row],[Hour]]</f>
        <v>103</v>
      </c>
      <c r="AE106" s="146">
        <f ca="1">TblExplore[[#This Row],[Time]]</f>
        <v>44814.999999999753</v>
      </c>
      <c r="AF106" s="187"/>
      <c r="AG106" s="187"/>
      <c r="AH106" s="187"/>
      <c r="AI106" s="187"/>
      <c r="AJ106" s="187"/>
      <c r="AK106" s="187"/>
      <c r="AL106" s="187"/>
      <c r="AM106" s="150"/>
      <c r="AN106" s="97">
        <f ca="1">TblProd[[#This Row],[Platinum]]</f>
        <v>660450</v>
      </c>
      <c r="AO106" s="97">
        <f ca="1">INDEX(TblProd[[#Headers],[Lumber]]:TblProd[[#This Row],[Ore]],COUNTA(TblProd[[#Headers],[Lumber]]:TblProd[[#This Row],[Lumber]]),MATCH(Military!$AO$2,TblProd[[#Headers],[Lumber]:[Ore]],0))</f>
        <v>0</v>
      </c>
      <c r="AP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97">
        <f ca="1">TblMili[[#This Row],[Train Unit 1]]*TblMili[[#This Row],[OP Ore]]+TblMili[[#This Row],[Train Unit 2]]*TblMili[[#This Row],[DP Ore]]+TblMili[[#This Row],[Train Unit 3]]*TblMili[[#This Row],[E1 Ore]]+TblMili[[#This Row],[Train Unit 4]]*TblMili[[#This Row],[E2 Ore]]</f>
        <v>0</v>
      </c>
      <c r="AR106" s="150">
        <f>TblMili[[#This Row],[Hour]]</f>
        <v>103</v>
      </c>
      <c r="AS106" s="160">
        <f ca="1">TblMili[[#This Row],[Time]]</f>
        <v>44814.999999999753</v>
      </c>
      <c r="AT106" s="97">
        <f ca="1">TblMili[[#This Row],[Draftees]]</f>
        <v>626</v>
      </c>
      <c r="AU106" s="187"/>
      <c r="AV106" s="187"/>
      <c r="AW106" s="187"/>
      <c r="AX106" s="187"/>
      <c r="AY106" s="187"/>
      <c r="AZ106" s="187"/>
      <c r="BA106" s="187"/>
      <c r="BB106" s="187"/>
      <c r="BC106" s="150"/>
      <c r="BD106" s="165">
        <f ca="1">TblConstr[[#This Row],[Tot WG]]/TblConstr[[#This Row],[Land]]</f>
        <v>0</v>
      </c>
      <c r="BE106" s="165">
        <f ca="1">TblConstr[[#This Row],[Tot Hav]]/TblConstr[[#This Row],[Land]]</f>
        <v>0</v>
      </c>
      <c r="BF106" s="97">
        <f ca="1">ROUNDUP((1-MIN(TblMili[[#This Row],[Smithies]]*smithy_bonus,smithy_bonus_cap) + tech_3_5*TblTech[[#This Row],[3-5]] + tech_5_3*TblTech[[#This Row],[5-3]] + tech_5_5*TblTech[[#This Row],[5-5]])*spec_op_plat,0)</f>
        <v>275</v>
      </c>
      <c r="BG106" s="97">
        <f ca="1">ROUNDUP(IF(race="Gnome",1,(1-MIN(TblMili[[#This Row],[Smithies]]*smithy_bonus,smithy_bonus_cap) + tech_3_5*TblTech[[#This Row],[3-5]] + tech_5_3*TblTech[[#This Row],[5-3]] + tech_5_5*TblTech[[#This Row],[5-5]]))*spec_op_ore,0)</f>
        <v>25</v>
      </c>
      <c r="BH106" s="97">
        <f ca="1">ROUNDUP((1-MIN(TblMili[[#This Row],[Smithies]]*smithy_bonus,smithy_bonus_cap) + tech_3_5*TblTech[[#This Row],[3-5]] + tech_5_3*TblTech[[#This Row],[5-3]] + tech_5_5*TblTech[[#This Row],[5-5]])*spec_dp_plat,0)</f>
        <v>275</v>
      </c>
      <c r="BI106" s="97">
        <f ca="1">ROUNDUP(IF(race="Gnome",1,(1-MIN(TblMili[[#This Row],[Smithies]]*smithy_bonus,smithy_bonus_cap) + tech_3_5*TblTech[[#This Row],[3-5]] + tech_5_3*TblTech[[#This Row],[5-3]] + tech_5_5*TblTech[[#This Row],[5-5]]))*spec_dp_ore,0)</f>
        <v>15</v>
      </c>
      <c r="BJ106" s="97">
        <f ca="1">ROUNDUP((1-MIN(TblMili[[#This Row],[Smithies]]*smithy_bonus,smithy_bonus_cap) + tech_3_5*TblTech[[#This Row],[3-5]] + tech_5_3*TblTech[[#This Row],[5-3]] + tech_5_5*TblTech[[#This Row],[5-5]])*elite1_plat,0)</f>
        <v>1000</v>
      </c>
      <c r="BK106" s="97">
        <f ca="1">ROUNDUP(IF(race="Gnome",1,(1-MIN(TblMili[[#This Row],[Smithies]]*smithy_bonus,smithy_bonus_cap) + tech_3_5*TblTech[[#This Row],[3-5]] + tech_5_3*TblTech[[#This Row],[5-3]] + tech_5_5*TblTech[[#This Row],[5-5]]))*elite1_ore,0)</f>
        <v>75</v>
      </c>
      <c r="BL106" s="97">
        <f ca="1">ROUNDUP((1-MIN(TblMili[[#This Row],[Smithies]]*smithy_bonus,smithy_bonus_cap) + tech_3_5*TblTech[[#This Row],[3-5]] + tech_5_3*TblTech[[#This Row],[5-3]] + tech_5_5*TblTech[[#This Row],[5-5]])*elite2_plat,0)</f>
        <v>1200</v>
      </c>
      <c r="BM106" s="97">
        <f ca="1">ROUNDUP(IF(race="Gnome",1,(1-MIN(TblMili[[#This Row],[Smithies]]*smithy_bonus,smithy_bonus_cap) + tech_3_5*TblTech[[#This Row],[3-5]] + tech_5_3*TblTech[[#This Row],[5-3]] + tech_5_5*TblTech[[#This Row],[5-5]]))*elite2_ore,0)</f>
        <v>100</v>
      </c>
      <c r="BN106" s="97">
        <f ca="1">ROUNDUP((1-MIN(ROUND(fh_spy_cost_red*TblMili[[#This Row],[FH''s]],4),fh_spy_cost_cap)+ tech_1_9*TblTech[[#This Row],[1-9]] + tech_9_1*TblTech[[#This Row],[9-1]])*spy_plat,0)</f>
        <v>500</v>
      </c>
      <c r="BO106" s="97">
        <f ca="1">ROUNDUP((1-MIN(ROUND(wg_wiz_cost_bonus*TblMili[[#This Row],[WG''s]],4),wg_wiz_cost_cap) + tech_1_9_2*TblTech[[#This Row],[1-9]] + tech_9_1_2*TblTech[[#This Row],[9-1]])*wizard_plat,0)</f>
        <v>500</v>
      </c>
      <c r="BP106" s="97">
        <f ca="1">ROUNDUP((1-MIN(ROUND(wg_wiz_cost_bonus*TblMili[[#This Row],[WG''s]],4),wg_wiz_cost_cap) + tech_1_9_2*TblTech[[#This Row],[1-9]] + tech_9_1_2*TblTech[[#This Row],[9-1]])*archmage_plat,0)</f>
        <v>1000</v>
      </c>
      <c r="BQ106" s="150"/>
      <c r="BR106" s="165">
        <f ca="1">TblConstr[[#This Row],[Homeland]]/TblConstr[[#This Row],[Land]]</f>
        <v>0.44</v>
      </c>
      <c r="BS106" s="165">
        <f ca="1">TblMili[[#This Row],[WG''s]]</f>
        <v>0</v>
      </c>
      <c r="BT106" s="271">
        <f ca="1">IF(mystic_cap="none",TblMili[[#This Row],[Hill]]/mystic_bonus,MIN(mystic_cap,TblMili[[#This Row],[Hill]]/mystic_bonus))</f>
        <v>2.1999999999999997</v>
      </c>
      <c r="BU106" s="271">
        <f ca="1">IF(druid_op_cap="none",TblMili[[#This Row],[Hill]]/druid_op_bonus,MIN(druid_op_cap,TblMili[[#This Row],[Hill]]/druid_op_bonus))</f>
        <v>2.1999999999999997</v>
      </c>
      <c r="BV106" s="271">
        <f ca="1">IF(druid_dp_cap="none",TblMili[[#This Row],[Hill]]/druid_dp_bonus,MIN(druid_dp_cap,TblMili[[#This Row],[Hill]]/druid_dp_bonus))</f>
        <v>2.1999999999999997</v>
      </c>
      <c r="BW106" s="271">
        <f ca="1">MIN(dryad_cap,TblMili[[#This Row],[Hill]]/dryad_bonus)</f>
        <v>2.1999999999999997</v>
      </c>
      <c r="BX106" s="271">
        <f ca="1">MIN(rocka_cap,TblMili[[#This Row],[Hill]]/rocka_bonus)</f>
        <v>2</v>
      </c>
      <c r="BY106" s="271">
        <f ca="1">MIN(adept_op_cap,TblMili[[#This Row],[WG]]/adept_op_bonus)</f>
        <v>0</v>
      </c>
      <c r="BZ106" s="271">
        <f ca="1">MIN(adept_dp_cap,TblMili[[#This Row],[WG]]/adept_dp_bonus)</f>
        <v>0</v>
      </c>
      <c r="CA106" s="97">
        <f ca="1">MIN(TblMili[[#This Row],[Unit 3]],TblMili[[#This Row],[Unit 4]])*2</f>
        <v>0</v>
      </c>
      <c r="CB106" s="97">
        <f ca="1">MIN(TblMili[[#This Row],[Unit 1]],TblMili[[#This Row],[Unit 4]])*2</f>
        <v>0</v>
      </c>
      <c r="CC106" s="271">
        <f ca="1">MIN(frost_mage_cap,TblMili[[#This Row],[Hill]]/frost_mage_bonus)</f>
        <v>2.1999999999999997</v>
      </c>
      <c r="CD106" s="45">
        <f ca="1">MIN(ice_elem_cap,TblMili[[#This Row],[Raw (2)]]*ice_elem_bonus)</f>
        <v>0.1</v>
      </c>
      <c r="CE106" s="271">
        <f t="shared" si="4"/>
        <v>1</v>
      </c>
      <c r="CF106" s="271">
        <f ca="1">MIN(nox_nightshade_cap,TblConstr[[#This Row],[Homeland]]/TblConstr[[#This Row],[Land]]/nox_nightshade_swamp_bonus)</f>
        <v>3</v>
      </c>
      <c r="CG106" s="272"/>
      <c r="CH106" s="272"/>
      <c r="CI106" s="272"/>
      <c r="CJ106" s="271">
        <f ca="1">MIN(6,TblMili[[#This Row],[Mystic]]+Races!$F$19)*1.8 +  IF(TblMili[[#This Row],[Mystic]]+Races!$F$19&gt;6,(TblMili[[#This Row],[Mystic]]+Races!$F$19-6)*0.2,0) - Races!$I$19</f>
        <v>3.6399999999999997</v>
      </c>
      <c r="CK10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97">
        <f ca="1">TblMili[[#This Row],[Mystic bonus]]*TblMili[[#This Row],[Unit 3]]+TblMili[[#This Row],[Druid bonus]]*TblMili[[#This Row],[Unit 4]]</f>
        <v>0</v>
      </c>
      <c r="CM106" s="163">
        <f ca="1">MIN(6,TblMili[[#This Row],[Dryad]]+Races!$F$35)*1.8 +  IF(TblMili[[#This Row],[Dryad]]+Races!$F$35&gt;6,(TblMili[[#This Row],[Dryad]]+Races!$F$35-6)*0.2,0) - Races!$I$19</f>
        <v>2.1599999999999993</v>
      </c>
      <c r="CN106" s="97">
        <f ca="1">sylvan*(TblMili[[#This Row],[Mystic bonus]]*TblMili[[#This Row],[Unit 3]])</f>
        <v>0</v>
      </c>
      <c r="CO106" s="163">
        <f ca="1">1.8 * MIN(MAX(Races!$E$27,TblMili[[#This Row],[Rockapult]]+Races!$F$27),6)  +  0.45 * MIN(MIN(Races!$E$27,TblMili[[#This Row],[Rockapult]]+Races!$F$27),6)  +  0.2 * ( MAX(Races!$E$27-6,0) + MAX(TblMili[[#This Row],[Rockapult]]+Races!$F$27-6,0) )  -  Races!$I$20</f>
        <v>5.8500000000000005</v>
      </c>
      <c r="CP106" s="97">
        <f ca="1">gnome*(TblMili[[#This Row],[Rockapult bonus]]*TblMili[[#This Row],[Unit 3]])</f>
        <v>0</v>
      </c>
      <c r="CQ106" s="163">
        <f ca="1">1.8 * MIN(MAX(TblMili[[#This Row],[Spellblade]]+Races!$E$47,TblMili[[#This Row],[Adept-DP]]+Races!$F$47),6)  +  0.45 * MIN(MIN(TblMili[[#This Row],[Spellblade]]+Races!$E$47,TblMili[[#This Row],[Adept-DP]]+Races!$F$47),6)  +  0.2 * ( MAX(TblMili[[#This Row],[Spellblade]]+Races!$E$47-6,0) + MAX(TblMili[[#This Row],[Adept-DP]]+Races!$F$47-6,0) )  -  Races!$I$47</f>
        <v>0</v>
      </c>
      <c r="CR106" s="97">
        <f ca="1">dark_elf*(TblMili[[#This Row],[Adept bonus]]*TblMili[[#This Row],[Unit 3]])</f>
        <v>0</v>
      </c>
      <c r="CS106" s="163">
        <f ca="1">1.8 * MIN(MAX(TblMili[[#This Row],[Frost Mage]]+Races!$F$71,Races!$E$71),6)  +  0.45 * MIN(MIN(TblMili[[#This Row],[Frost Mage]]+Races!$F$71,Races!$E$71),6)  +  0.2 * ( MAX(TblMili[[#This Row],[Frost Mage]]+Races!$F$71-6,0) + MAX(Races!$E$71-6,0) )  -  Races!$I$71</f>
        <v>3.9599999999999991</v>
      </c>
      <c r="CT106" s="163">
        <f ca="1">1.8 * MIN(MAX(TblMili[[#This Row],[Ice Elemental]]+Races!$E$71,Races!$F$71),6)  +  0.45 * MIN(MIN(TblMili[[#This Row],[Ice Elemental]]+Races!$E$71,Races!$F$71),6)  +  0.2 * ( MAX(TblMili[[#This Row],[Ice Elemental]]+Races!$E$71-6,0) + MAX(Races!$F$71-6,0) )  -  Races!$I$71</f>
        <v>0.17999999999999972</v>
      </c>
      <c r="CU106" s="97">
        <f ca="1">TblMili[[#This Row],[Frost Mage bonus]]*TblMili[[#This Row],[Unit 3]]+TblMili[[#This Row],[Ice Elemental bonus]]*TblMili[[#This Row],[Unit 4]]</f>
        <v>0</v>
      </c>
      <c r="CV106" s="273"/>
      <c r="CW106" s="151">
        <f ca="1">MIN(SUM(TblConstr[[#This Row],[Plain]:[Water]])/TblMili[[#This Row],[Land]]/favorable_terrain_bonus/100,favorable_terrain_max)</f>
        <v>0.1</v>
      </c>
      <c r="CX106" s="273"/>
      <c r="CY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50"/>
      <c r="DA106" s="274">
        <f ca="1">(TblMili[[#This Row],[Wizards]]+2*TblMili[[#This Row],[Archmages]])/TblConstr[[#This Row],[Land]]</f>
        <v>0.1</v>
      </c>
      <c r="DB106" s="274">
        <f ca="1">TblMili[[#This Row],[Raw (2)]]*(1+race_wizard_strength+IF(TblMili[[#This Row],[Hour]]&gt;72,tech_magical_weaponry_wiz*TblTech[[#This Row],[3-5]],0))</f>
        <v>0.1</v>
      </c>
    </row>
    <row r="107" spans="1:106" x14ac:dyDescent="0.2">
      <c r="A107" s="145">
        <f>TblRezone[[#This Row],[Hour]]</f>
        <v>104</v>
      </c>
      <c r="B107" s="266">
        <f ca="1">SUM(TblMili[[#This Row],[Unit 1]:[Archmages]])+SUM(OFFSET(TblMili[[#This Row],[Train Unit 1]],-8,0):TblMili[[#This Row],[Train Unit 2]]) + SUM(OFFSET(TblMili[[#This Row],[Train Unit 3]],-11,0):TblMili[[#This Row],[Train Arch]]) + TblMili[[#This Row],[Draftees]]</f>
        <v>826</v>
      </c>
      <c r="C107" s="165">
        <f ca="1">TblPop[[#This Row],[Military%]]</f>
        <v>0.35029686174724345</v>
      </c>
      <c r="D107" s="150"/>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f>
        <v>25</v>
      </c>
      <c r="J107" s="45">
        <f ca="1">OFFSET(TblMili[[#This Row],[Wizards]],-1,0) + OFFSET(TblMili[[#This Row],[Train Wiz]],-12,0) - TblMili[[#This Row],[Release Wizards]]-TblMili[[#This Row],[Train Arch]]</f>
        <v>25</v>
      </c>
      <c r="K107" s="45">
        <f ca="1">OFFSET(TblMili[[#This Row],[Archmages]],-1,0) + OFFSET(TblMili[[#This Row],[Train Arch]],-12,0) - TblMili[[#This Row],[Release Arch]]</f>
        <v>0</v>
      </c>
      <c r="L107" s="150"/>
      <c r="M107" s="97">
        <f ca="1">TblProd[[#This Row],[Networth]]</f>
        <v>6450</v>
      </c>
      <c r="N107" s="150"/>
      <c r="O107" s="267">
        <f ca="1">TblMili[[#This Row],[Unit 1]]*spec_op+TblMili[[#This Row],[Unit 3]]*(elite1_base_op)+TblMili[[#This Row],[Unit 4]]*(elite2_base_op+dark_elf*TblMili[[#This Row],[Spellblade]]+icekin*TblMili[[#This Row],[Ice Elemental]]+woodie*TblMili[[#This Row],[Druid (op)]]+orc*TblMili[[#This Row],[Orc]])+kobold*TblMili[[#This Row],[Overlords]]</f>
        <v>0</v>
      </c>
      <c r="P10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7" s="267">
        <f ca="1">TblMili[[#This Row],[Raw]]*(1+TblMili[[#This Row],[Mods_Off]])</f>
        <v>0</v>
      </c>
      <c r="R10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7" s="267">
        <f ca="1">TblMili[[#This Row],[Non Draft]]+TblMili[[#This Row],[Draftees]]</f>
        <v>1076</v>
      </c>
      <c r="T10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269">
        <f ca="1">TblMili[[#This Row],[Non Draft]] * (1 + TblMili[[#This Row],[Mods_Def]])</f>
        <v>450</v>
      </c>
      <c r="V107" s="267">
        <f ca="1">TblMili[[#This Row],[Draft]] * (1 + TblMili[[#This Row],[Mods_Def]])</f>
        <v>1076</v>
      </c>
      <c r="W107" s="267">
        <f ca="1">TblConstr[[#This Row],[Land]]</f>
        <v>250</v>
      </c>
      <c r="X107" s="270"/>
      <c r="Y107" s="275">
        <f ca="1">IF(TblMili[[#This Row],[Set]]&lt;&gt;"",TblMili[[#This Row],[Set]],OFFSET(TblMili[[#This Row],[Draftrate]],-1,0))</f>
        <v>0.35</v>
      </c>
      <c r="Z107" s="97">
        <f ca="1">OFFSET(TblMili[[#This Row],[Draftees]],-1,0)+OFFSET(TblPop[[#This Row],[Draft Growth]],-1,0) - SUM(TblMili[[#This Row],[Train Unit 1]:[Train Wiz]]) - TblMili[[#This Row],[Release Draft]] + SUM(TblMili[[#This Row],[Release Unit 1]:[Release Arch]]) -TblExplore[[#This Row],[Draftees (2)]]</f>
        <v>626</v>
      </c>
      <c r="AA107" s="162"/>
      <c r="AB107" s="188">
        <f ca="1">(TblConstr[[#This Row],[Tot Smi]]+TblConstr[[#This Row],[Dest Smi]])/(TblConstr[[#This Row],[Land]]-TblExplore[[#This Row],[Land Bonus]]*20)</f>
        <v>0</v>
      </c>
      <c r="AC107" s="145"/>
      <c r="AD107" s="266">
        <f>TblMili[[#This Row],[Hour]]</f>
        <v>104</v>
      </c>
      <c r="AE107" s="146">
        <f ca="1">TblExplore[[#This Row],[Time]]</f>
        <v>44815.041666666417</v>
      </c>
      <c r="AF107" s="187"/>
      <c r="AG107" s="187"/>
      <c r="AH107" s="187"/>
      <c r="AI107" s="187"/>
      <c r="AJ107" s="187"/>
      <c r="AK107" s="187"/>
      <c r="AL107" s="187"/>
      <c r="AM107" s="150"/>
      <c r="AN107" s="97">
        <f ca="1">TblProd[[#This Row],[Platinum]]</f>
        <v>665936</v>
      </c>
      <c r="AO107" s="97">
        <f ca="1">INDEX(TblProd[[#Headers],[Lumber]]:TblProd[[#This Row],[Ore]],COUNTA(TblProd[[#Headers],[Lumber]]:TblProd[[#This Row],[Lumber]]),MATCH(Military!$AO$2,TblProd[[#Headers],[Lumber]:[Ore]],0))</f>
        <v>0</v>
      </c>
      <c r="AP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97">
        <f ca="1">TblMili[[#This Row],[Train Unit 1]]*TblMili[[#This Row],[OP Ore]]+TblMili[[#This Row],[Train Unit 2]]*TblMili[[#This Row],[DP Ore]]+TblMili[[#This Row],[Train Unit 3]]*TblMili[[#This Row],[E1 Ore]]+TblMili[[#This Row],[Train Unit 4]]*TblMili[[#This Row],[E2 Ore]]</f>
        <v>0</v>
      </c>
      <c r="AR107" s="150">
        <f>TblMili[[#This Row],[Hour]]</f>
        <v>104</v>
      </c>
      <c r="AS107" s="160">
        <f ca="1">TblMili[[#This Row],[Time]]</f>
        <v>44815.041666666417</v>
      </c>
      <c r="AT107" s="97">
        <f ca="1">TblMili[[#This Row],[Draftees]]</f>
        <v>626</v>
      </c>
      <c r="AU107" s="187"/>
      <c r="AV107" s="187"/>
      <c r="AW107" s="187"/>
      <c r="AX107" s="187"/>
      <c r="AY107" s="187"/>
      <c r="AZ107" s="187"/>
      <c r="BA107" s="187"/>
      <c r="BB107" s="187"/>
      <c r="BC107" s="150"/>
      <c r="BD107" s="165">
        <f ca="1">TblConstr[[#This Row],[Tot WG]]/TblConstr[[#This Row],[Land]]</f>
        <v>0</v>
      </c>
      <c r="BE107" s="165">
        <f ca="1">TblConstr[[#This Row],[Tot Hav]]/TblConstr[[#This Row],[Land]]</f>
        <v>0</v>
      </c>
      <c r="BF107" s="97">
        <f ca="1">ROUNDUP((1-MIN(TblMili[[#This Row],[Smithies]]*smithy_bonus,smithy_bonus_cap) + tech_3_5*TblTech[[#This Row],[3-5]] + tech_5_3*TblTech[[#This Row],[5-3]] + tech_5_5*TblTech[[#This Row],[5-5]])*spec_op_plat,0)</f>
        <v>275</v>
      </c>
      <c r="BG107" s="97">
        <f ca="1">ROUNDUP(IF(race="Gnome",1,(1-MIN(TblMili[[#This Row],[Smithies]]*smithy_bonus,smithy_bonus_cap) + tech_3_5*TblTech[[#This Row],[3-5]] + tech_5_3*TblTech[[#This Row],[5-3]] + tech_5_5*TblTech[[#This Row],[5-5]]))*spec_op_ore,0)</f>
        <v>25</v>
      </c>
      <c r="BH107" s="97">
        <f ca="1">ROUNDUP((1-MIN(TblMili[[#This Row],[Smithies]]*smithy_bonus,smithy_bonus_cap) + tech_3_5*TblTech[[#This Row],[3-5]] + tech_5_3*TblTech[[#This Row],[5-3]] + tech_5_5*TblTech[[#This Row],[5-5]])*spec_dp_plat,0)</f>
        <v>275</v>
      </c>
      <c r="BI107" s="97">
        <f ca="1">ROUNDUP(IF(race="Gnome",1,(1-MIN(TblMili[[#This Row],[Smithies]]*smithy_bonus,smithy_bonus_cap) + tech_3_5*TblTech[[#This Row],[3-5]] + tech_5_3*TblTech[[#This Row],[5-3]] + tech_5_5*TblTech[[#This Row],[5-5]]))*spec_dp_ore,0)</f>
        <v>15</v>
      </c>
      <c r="BJ107" s="97">
        <f ca="1">ROUNDUP((1-MIN(TblMili[[#This Row],[Smithies]]*smithy_bonus,smithy_bonus_cap) + tech_3_5*TblTech[[#This Row],[3-5]] + tech_5_3*TblTech[[#This Row],[5-3]] + tech_5_5*TblTech[[#This Row],[5-5]])*elite1_plat,0)</f>
        <v>1000</v>
      </c>
      <c r="BK107" s="97">
        <f ca="1">ROUNDUP(IF(race="Gnome",1,(1-MIN(TblMili[[#This Row],[Smithies]]*smithy_bonus,smithy_bonus_cap) + tech_3_5*TblTech[[#This Row],[3-5]] + tech_5_3*TblTech[[#This Row],[5-3]] + tech_5_5*TblTech[[#This Row],[5-5]]))*elite1_ore,0)</f>
        <v>75</v>
      </c>
      <c r="BL107" s="97">
        <f ca="1">ROUNDUP((1-MIN(TblMili[[#This Row],[Smithies]]*smithy_bonus,smithy_bonus_cap) + tech_3_5*TblTech[[#This Row],[3-5]] + tech_5_3*TblTech[[#This Row],[5-3]] + tech_5_5*TblTech[[#This Row],[5-5]])*elite2_plat,0)</f>
        <v>1200</v>
      </c>
      <c r="BM107" s="97">
        <f ca="1">ROUNDUP(IF(race="Gnome",1,(1-MIN(TblMili[[#This Row],[Smithies]]*smithy_bonus,smithy_bonus_cap) + tech_3_5*TblTech[[#This Row],[3-5]] + tech_5_3*TblTech[[#This Row],[5-3]] + tech_5_5*TblTech[[#This Row],[5-5]]))*elite2_ore,0)</f>
        <v>100</v>
      </c>
      <c r="BN107" s="97">
        <f ca="1">ROUNDUP((1-MIN(ROUND(fh_spy_cost_red*TblMili[[#This Row],[FH''s]],4),fh_spy_cost_cap)+ tech_1_9*TblTech[[#This Row],[1-9]] + tech_9_1*TblTech[[#This Row],[9-1]])*spy_plat,0)</f>
        <v>500</v>
      </c>
      <c r="BO107" s="97">
        <f ca="1">ROUNDUP((1-MIN(ROUND(wg_wiz_cost_bonus*TblMili[[#This Row],[WG''s]],4),wg_wiz_cost_cap) + tech_1_9_2*TblTech[[#This Row],[1-9]] + tech_9_1_2*TblTech[[#This Row],[9-1]])*wizard_plat,0)</f>
        <v>500</v>
      </c>
      <c r="BP107" s="97">
        <f ca="1">ROUNDUP((1-MIN(ROUND(wg_wiz_cost_bonus*TblMili[[#This Row],[WG''s]],4),wg_wiz_cost_cap) + tech_1_9_2*TblTech[[#This Row],[1-9]] + tech_9_1_2*TblTech[[#This Row],[9-1]])*archmage_plat,0)</f>
        <v>1000</v>
      </c>
      <c r="BQ107" s="150"/>
      <c r="BR107" s="165">
        <f ca="1">TblConstr[[#This Row],[Homeland]]/TblConstr[[#This Row],[Land]]</f>
        <v>0.44</v>
      </c>
      <c r="BS107" s="165">
        <f ca="1">TblMili[[#This Row],[WG''s]]</f>
        <v>0</v>
      </c>
      <c r="BT107" s="271">
        <f ca="1">IF(mystic_cap="none",TblMili[[#This Row],[Hill]]/mystic_bonus,MIN(mystic_cap,TblMili[[#This Row],[Hill]]/mystic_bonus))</f>
        <v>2.1999999999999997</v>
      </c>
      <c r="BU107" s="271">
        <f ca="1">IF(druid_op_cap="none",TblMili[[#This Row],[Hill]]/druid_op_bonus,MIN(druid_op_cap,TblMili[[#This Row],[Hill]]/druid_op_bonus))</f>
        <v>2.1999999999999997</v>
      </c>
      <c r="BV107" s="271">
        <f ca="1">IF(druid_dp_cap="none",TblMili[[#This Row],[Hill]]/druid_dp_bonus,MIN(druid_dp_cap,TblMili[[#This Row],[Hill]]/druid_dp_bonus))</f>
        <v>2.1999999999999997</v>
      </c>
      <c r="BW107" s="271">
        <f ca="1">MIN(dryad_cap,TblMili[[#This Row],[Hill]]/dryad_bonus)</f>
        <v>2.1999999999999997</v>
      </c>
      <c r="BX107" s="271">
        <f ca="1">MIN(rocka_cap,TblMili[[#This Row],[Hill]]/rocka_bonus)</f>
        <v>2</v>
      </c>
      <c r="BY107" s="271">
        <f ca="1">MIN(adept_op_cap,TblMili[[#This Row],[WG]]/adept_op_bonus)</f>
        <v>0</v>
      </c>
      <c r="BZ107" s="271">
        <f ca="1">MIN(adept_dp_cap,TblMili[[#This Row],[WG]]/adept_dp_bonus)</f>
        <v>0</v>
      </c>
      <c r="CA107" s="97">
        <f ca="1">MIN(TblMili[[#This Row],[Unit 3]],TblMili[[#This Row],[Unit 4]])*2</f>
        <v>0</v>
      </c>
      <c r="CB107" s="97">
        <f ca="1">MIN(TblMili[[#This Row],[Unit 1]],TblMili[[#This Row],[Unit 4]])*2</f>
        <v>0</v>
      </c>
      <c r="CC107" s="271">
        <f ca="1">MIN(frost_mage_cap,TblMili[[#This Row],[Hill]]/frost_mage_bonus)</f>
        <v>2.1999999999999997</v>
      </c>
      <c r="CD107" s="45">
        <f ca="1">MIN(ice_elem_cap,TblMili[[#This Row],[Raw (2)]]*ice_elem_bonus)</f>
        <v>0.1</v>
      </c>
      <c r="CE107" s="271">
        <f t="shared" si="4"/>
        <v>1</v>
      </c>
      <c r="CF107" s="271">
        <f ca="1">MIN(nox_nightshade_cap,TblConstr[[#This Row],[Homeland]]/TblConstr[[#This Row],[Land]]/nox_nightshade_swamp_bonus)</f>
        <v>3</v>
      </c>
      <c r="CG107" s="272"/>
      <c r="CH107" s="272"/>
      <c r="CI107" s="272"/>
      <c r="CJ107" s="271">
        <f ca="1">MIN(6,TblMili[[#This Row],[Mystic]]+Races!$F$19)*1.8 +  IF(TblMili[[#This Row],[Mystic]]+Races!$F$19&gt;6,(TblMili[[#This Row],[Mystic]]+Races!$F$19-6)*0.2,0) - Races!$I$19</f>
        <v>3.6399999999999997</v>
      </c>
      <c r="CK10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97">
        <f ca="1">TblMili[[#This Row],[Mystic bonus]]*TblMili[[#This Row],[Unit 3]]+TblMili[[#This Row],[Druid bonus]]*TblMili[[#This Row],[Unit 4]]</f>
        <v>0</v>
      </c>
      <c r="CM107" s="163">
        <f ca="1">MIN(6,TblMili[[#This Row],[Dryad]]+Races!$F$35)*1.8 +  IF(TblMili[[#This Row],[Dryad]]+Races!$F$35&gt;6,(TblMili[[#This Row],[Dryad]]+Races!$F$35-6)*0.2,0) - Races!$I$19</f>
        <v>2.1599999999999993</v>
      </c>
      <c r="CN107" s="97">
        <f ca="1">sylvan*(TblMili[[#This Row],[Mystic bonus]]*TblMili[[#This Row],[Unit 3]])</f>
        <v>0</v>
      </c>
      <c r="CO107" s="163">
        <f ca="1">1.8 * MIN(MAX(Races!$E$27,TblMili[[#This Row],[Rockapult]]+Races!$F$27),6)  +  0.45 * MIN(MIN(Races!$E$27,TblMili[[#This Row],[Rockapult]]+Races!$F$27),6)  +  0.2 * ( MAX(Races!$E$27-6,0) + MAX(TblMili[[#This Row],[Rockapult]]+Races!$F$27-6,0) )  -  Races!$I$20</f>
        <v>5.8500000000000005</v>
      </c>
      <c r="CP107" s="97">
        <f ca="1">gnome*(TblMili[[#This Row],[Rockapult bonus]]*TblMili[[#This Row],[Unit 3]])</f>
        <v>0</v>
      </c>
      <c r="CQ107" s="163">
        <f ca="1">1.8 * MIN(MAX(TblMili[[#This Row],[Spellblade]]+Races!$E$47,TblMili[[#This Row],[Adept-DP]]+Races!$F$47),6)  +  0.45 * MIN(MIN(TblMili[[#This Row],[Spellblade]]+Races!$E$47,TblMili[[#This Row],[Adept-DP]]+Races!$F$47),6)  +  0.2 * ( MAX(TblMili[[#This Row],[Spellblade]]+Races!$E$47-6,0) + MAX(TblMili[[#This Row],[Adept-DP]]+Races!$F$47-6,0) )  -  Races!$I$47</f>
        <v>0</v>
      </c>
      <c r="CR107" s="97">
        <f ca="1">dark_elf*(TblMili[[#This Row],[Adept bonus]]*TblMili[[#This Row],[Unit 3]])</f>
        <v>0</v>
      </c>
      <c r="CS107" s="163">
        <f ca="1">1.8 * MIN(MAX(TblMili[[#This Row],[Frost Mage]]+Races!$F$71,Races!$E$71),6)  +  0.45 * MIN(MIN(TblMili[[#This Row],[Frost Mage]]+Races!$F$71,Races!$E$71),6)  +  0.2 * ( MAX(TblMili[[#This Row],[Frost Mage]]+Races!$F$71-6,0) + MAX(Races!$E$71-6,0) )  -  Races!$I$71</f>
        <v>3.9599999999999991</v>
      </c>
      <c r="CT107" s="163">
        <f ca="1">1.8 * MIN(MAX(TblMili[[#This Row],[Ice Elemental]]+Races!$E$71,Races!$F$71),6)  +  0.45 * MIN(MIN(TblMili[[#This Row],[Ice Elemental]]+Races!$E$71,Races!$F$71),6)  +  0.2 * ( MAX(TblMili[[#This Row],[Ice Elemental]]+Races!$E$71-6,0) + MAX(Races!$F$71-6,0) )  -  Races!$I$71</f>
        <v>0.17999999999999972</v>
      </c>
      <c r="CU107" s="97">
        <f ca="1">TblMili[[#This Row],[Frost Mage bonus]]*TblMili[[#This Row],[Unit 3]]+TblMili[[#This Row],[Ice Elemental bonus]]*TblMili[[#This Row],[Unit 4]]</f>
        <v>0</v>
      </c>
      <c r="CV107" s="273"/>
      <c r="CW107" s="151">
        <f ca="1">MIN(SUM(TblConstr[[#This Row],[Plain]:[Water]])/TblMili[[#This Row],[Land]]/favorable_terrain_bonus/100,favorable_terrain_max)</f>
        <v>0.1</v>
      </c>
      <c r="CX107" s="273"/>
      <c r="CY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50"/>
      <c r="DA107" s="274">
        <f ca="1">(TblMili[[#This Row],[Wizards]]+2*TblMili[[#This Row],[Archmages]])/TblConstr[[#This Row],[Land]]</f>
        <v>0.1</v>
      </c>
      <c r="DB107" s="274">
        <f ca="1">TblMili[[#This Row],[Raw (2)]]*(1+race_wizard_strength+IF(TblMili[[#This Row],[Hour]]&gt;72,tech_magical_weaponry_wiz*TblTech[[#This Row],[3-5]],0))</f>
        <v>0.1</v>
      </c>
    </row>
    <row r="108" spans="1:106" x14ac:dyDescent="0.2">
      <c r="A108" s="145">
        <f>TblRezone[[#This Row],[Hour]]</f>
        <v>105</v>
      </c>
      <c r="B108" s="266">
        <f ca="1">SUM(TblMili[[#This Row],[Unit 1]:[Archmages]])+SUM(OFFSET(TblMili[[#This Row],[Train Unit 1]],-8,0):TblMili[[#This Row],[Train Unit 2]]) + SUM(OFFSET(TblMili[[#This Row],[Train Unit 3]],-11,0):TblMili[[#This Row],[Train Arch]]) + TblMili[[#This Row],[Draftees]]</f>
        <v>826</v>
      </c>
      <c r="C108" s="165">
        <f ca="1">TblPop[[#This Row],[Military%]]</f>
        <v>0.35029686174724345</v>
      </c>
      <c r="D108" s="150"/>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f>
        <v>25</v>
      </c>
      <c r="J108" s="45">
        <f ca="1">OFFSET(TblMili[[#This Row],[Wizards]],-1,0) + OFFSET(TblMili[[#This Row],[Train Wiz]],-12,0) - TblMili[[#This Row],[Release Wizards]]-TblMili[[#This Row],[Train Arch]]</f>
        <v>25</v>
      </c>
      <c r="K108" s="45">
        <f ca="1">OFFSET(TblMili[[#This Row],[Archmages]],-1,0) + OFFSET(TblMili[[#This Row],[Train Arch]],-12,0) - TblMili[[#This Row],[Release Arch]]</f>
        <v>0</v>
      </c>
      <c r="L108" s="150"/>
      <c r="M108" s="97">
        <f ca="1">TblProd[[#This Row],[Networth]]</f>
        <v>6450</v>
      </c>
      <c r="N108" s="150"/>
      <c r="O108" s="267">
        <f ca="1">TblMili[[#This Row],[Unit 1]]*spec_op+TblMili[[#This Row],[Unit 3]]*(elite1_base_op)+TblMili[[#This Row],[Unit 4]]*(elite2_base_op+dark_elf*TblMili[[#This Row],[Spellblade]]+icekin*TblMili[[#This Row],[Ice Elemental]]+woodie*TblMili[[#This Row],[Druid (op)]]+orc*TblMili[[#This Row],[Orc]])+kobold*TblMili[[#This Row],[Overlords]]</f>
        <v>0</v>
      </c>
      <c r="P10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8" s="267">
        <f ca="1">TblMili[[#This Row],[Raw]]*(1+TblMili[[#This Row],[Mods_Off]])</f>
        <v>0</v>
      </c>
      <c r="R10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8" s="267">
        <f ca="1">TblMili[[#This Row],[Non Draft]]+TblMili[[#This Row],[Draftees]]</f>
        <v>1076</v>
      </c>
      <c r="T10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269">
        <f ca="1">TblMili[[#This Row],[Non Draft]] * (1 + TblMili[[#This Row],[Mods_Def]])</f>
        <v>450</v>
      </c>
      <c r="V108" s="267">
        <f ca="1">TblMili[[#This Row],[Draft]] * (1 + TblMili[[#This Row],[Mods_Def]])</f>
        <v>1076</v>
      </c>
      <c r="W108" s="267">
        <f ca="1">TblConstr[[#This Row],[Land]]</f>
        <v>250</v>
      </c>
      <c r="X108" s="270"/>
      <c r="Y108" s="275">
        <f ca="1">IF(TblMili[[#This Row],[Set]]&lt;&gt;"",TblMili[[#This Row],[Set]],OFFSET(TblMili[[#This Row],[Draftrate]],-1,0))</f>
        <v>0.35</v>
      </c>
      <c r="Z108" s="97">
        <f ca="1">OFFSET(TblMili[[#This Row],[Draftees]],-1,0)+OFFSET(TblPop[[#This Row],[Draft Growth]],-1,0) - SUM(TblMili[[#This Row],[Train Unit 1]:[Train Wiz]]) - TblMili[[#This Row],[Release Draft]] + SUM(TblMili[[#This Row],[Release Unit 1]:[Release Arch]]) -TblExplore[[#This Row],[Draftees (2)]]</f>
        <v>626</v>
      </c>
      <c r="AA108" s="162"/>
      <c r="AB108" s="188">
        <f ca="1">(TblConstr[[#This Row],[Tot Smi]]+TblConstr[[#This Row],[Dest Smi]])/(TblConstr[[#This Row],[Land]]-TblExplore[[#This Row],[Land Bonus]]*20)</f>
        <v>0</v>
      </c>
      <c r="AC108" s="145"/>
      <c r="AD108" s="266">
        <f>TblMili[[#This Row],[Hour]]</f>
        <v>105</v>
      </c>
      <c r="AE108" s="146">
        <f ca="1">TblExplore[[#This Row],[Time]]</f>
        <v>44815.083333333081</v>
      </c>
      <c r="AF108" s="187"/>
      <c r="AG108" s="187"/>
      <c r="AH108" s="187"/>
      <c r="AI108" s="187"/>
      <c r="AJ108" s="187"/>
      <c r="AK108" s="187"/>
      <c r="AL108" s="187"/>
      <c r="AM108" s="150"/>
      <c r="AN108" s="97">
        <f ca="1">TblProd[[#This Row],[Platinum]]</f>
        <v>671422</v>
      </c>
      <c r="AO108" s="97">
        <f ca="1">INDEX(TblProd[[#Headers],[Lumber]]:TblProd[[#This Row],[Ore]],COUNTA(TblProd[[#Headers],[Lumber]]:TblProd[[#This Row],[Lumber]]),MATCH(Military!$AO$2,TblProd[[#Headers],[Lumber]:[Ore]],0))</f>
        <v>0</v>
      </c>
      <c r="AP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97">
        <f ca="1">TblMili[[#This Row],[Train Unit 1]]*TblMili[[#This Row],[OP Ore]]+TblMili[[#This Row],[Train Unit 2]]*TblMili[[#This Row],[DP Ore]]+TblMili[[#This Row],[Train Unit 3]]*TblMili[[#This Row],[E1 Ore]]+TblMili[[#This Row],[Train Unit 4]]*TblMili[[#This Row],[E2 Ore]]</f>
        <v>0</v>
      </c>
      <c r="AR108" s="150">
        <f>TblMili[[#This Row],[Hour]]</f>
        <v>105</v>
      </c>
      <c r="AS108" s="160">
        <f ca="1">TblMili[[#This Row],[Time]]</f>
        <v>44815.083333333081</v>
      </c>
      <c r="AT108" s="97">
        <f ca="1">TblMili[[#This Row],[Draftees]]</f>
        <v>626</v>
      </c>
      <c r="AU108" s="187"/>
      <c r="AV108" s="187"/>
      <c r="AW108" s="187"/>
      <c r="AX108" s="187"/>
      <c r="AY108" s="187"/>
      <c r="AZ108" s="187"/>
      <c r="BA108" s="187"/>
      <c r="BB108" s="187"/>
      <c r="BC108" s="150"/>
      <c r="BD108" s="165">
        <f ca="1">TblConstr[[#This Row],[Tot WG]]/TblConstr[[#This Row],[Land]]</f>
        <v>0</v>
      </c>
      <c r="BE108" s="165">
        <f ca="1">TblConstr[[#This Row],[Tot Hav]]/TblConstr[[#This Row],[Land]]</f>
        <v>0</v>
      </c>
      <c r="BF108" s="97">
        <f ca="1">ROUNDUP((1-MIN(TblMili[[#This Row],[Smithies]]*smithy_bonus,smithy_bonus_cap) + tech_3_5*TblTech[[#This Row],[3-5]] + tech_5_3*TblTech[[#This Row],[5-3]] + tech_5_5*TblTech[[#This Row],[5-5]])*spec_op_plat,0)</f>
        <v>275</v>
      </c>
      <c r="BG108" s="97">
        <f ca="1">ROUNDUP(IF(race="Gnome",1,(1-MIN(TblMili[[#This Row],[Smithies]]*smithy_bonus,smithy_bonus_cap) + tech_3_5*TblTech[[#This Row],[3-5]] + tech_5_3*TblTech[[#This Row],[5-3]] + tech_5_5*TblTech[[#This Row],[5-5]]))*spec_op_ore,0)</f>
        <v>25</v>
      </c>
      <c r="BH108" s="97">
        <f ca="1">ROUNDUP((1-MIN(TblMili[[#This Row],[Smithies]]*smithy_bonus,smithy_bonus_cap) + tech_3_5*TblTech[[#This Row],[3-5]] + tech_5_3*TblTech[[#This Row],[5-3]] + tech_5_5*TblTech[[#This Row],[5-5]])*spec_dp_plat,0)</f>
        <v>275</v>
      </c>
      <c r="BI108" s="97">
        <f ca="1">ROUNDUP(IF(race="Gnome",1,(1-MIN(TblMili[[#This Row],[Smithies]]*smithy_bonus,smithy_bonus_cap) + tech_3_5*TblTech[[#This Row],[3-5]] + tech_5_3*TblTech[[#This Row],[5-3]] + tech_5_5*TblTech[[#This Row],[5-5]]))*spec_dp_ore,0)</f>
        <v>15</v>
      </c>
      <c r="BJ108" s="97">
        <f ca="1">ROUNDUP((1-MIN(TblMili[[#This Row],[Smithies]]*smithy_bonus,smithy_bonus_cap) + tech_3_5*TblTech[[#This Row],[3-5]] + tech_5_3*TblTech[[#This Row],[5-3]] + tech_5_5*TblTech[[#This Row],[5-5]])*elite1_plat,0)</f>
        <v>1000</v>
      </c>
      <c r="BK108" s="97">
        <f ca="1">ROUNDUP(IF(race="Gnome",1,(1-MIN(TblMili[[#This Row],[Smithies]]*smithy_bonus,smithy_bonus_cap) + tech_3_5*TblTech[[#This Row],[3-5]] + tech_5_3*TblTech[[#This Row],[5-3]] + tech_5_5*TblTech[[#This Row],[5-5]]))*elite1_ore,0)</f>
        <v>75</v>
      </c>
      <c r="BL108" s="97">
        <f ca="1">ROUNDUP((1-MIN(TblMili[[#This Row],[Smithies]]*smithy_bonus,smithy_bonus_cap) + tech_3_5*TblTech[[#This Row],[3-5]] + tech_5_3*TblTech[[#This Row],[5-3]] + tech_5_5*TblTech[[#This Row],[5-5]])*elite2_plat,0)</f>
        <v>1200</v>
      </c>
      <c r="BM108" s="97">
        <f ca="1">ROUNDUP(IF(race="Gnome",1,(1-MIN(TblMili[[#This Row],[Smithies]]*smithy_bonus,smithy_bonus_cap) + tech_3_5*TblTech[[#This Row],[3-5]] + tech_5_3*TblTech[[#This Row],[5-3]] + tech_5_5*TblTech[[#This Row],[5-5]]))*elite2_ore,0)</f>
        <v>100</v>
      </c>
      <c r="BN108" s="97">
        <f ca="1">ROUNDUP((1-MIN(ROUND(fh_spy_cost_red*TblMili[[#This Row],[FH''s]],4),fh_spy_cost_cap)+ tech_1_9*TblTech[[#This Row],[1-9]] + tech_9_1*TblTech[[#This Row],[9-1]])*spy_plat,0)</f>
        <v>500</v>
      </c>
      <c r="BO108" s="97">
        <f ca="1">ROUNDUP((1-MIN(ROUND(wg_wiz_cost_bonus*TblMili[[#This Row],[WG''s]],4),wg_wiz_cost_cap) + tech_1_9_2*TblTech[[#This Row],[1-9]] + tech_9_1_2*TblTech[[#This Row],[9-1]])*wizard_plat,0)</f>
        <v>500</v>
      </c>
      <c r="BP108" s="97">
        <f ca="1">ROUNDUP((1-MIN(ROUND(wg_wiz_cost_bonus*TblMili[[#This Row],[WG''s]],4),wg_wiz_cost_cap) + tech_1_9_2*TblTech[[#This Row],[1-9]] + tech_9_1_2*TblTech[[#This Row],[9-1]])*archmage_plat,0)</f>
        <v>1000</v>
      </c>
      <c r="BQ108" s="150"/>
      <c r="BR108" s="165">
        <f ca="1">TblConstr[[#This Row],[Homeland]]/TblConstr[[#This Row],[Land]]</f>
        <v>0.44</v>
      </c>
      <c r="BS108" s="165">
        <f ca="1">TblMili[[#This Row],[WG''s]]</f>
        <v>0</v>
      </c>
      <c r="BT108" s="271">
        <f ca="1">IF(mystic_cap="none",TblMili[[#This Row],[Hill]]/mystic_bonus,MIN(mystic_cap,TblMili[[#This Row],[Hill]]/mystic_bonus))</f>
        <v>2.1999999999999997</v>
      </c>
      <c r="BU108" s="271">
        <f ca="1">IF(druid_op_cap="none",TblMili[[#This Row],[Hill]]/druid_op_bonus,MIN(druid_op_cap,TblMili[[#This Row],[Hill]]/druid_op_bonus))</f>
        <v>2.1999999999999997</v>
      </c>
      <c r="BV108" s="271">
        <f ca="1">IF(druid_dp_cap="none",TblMili[[#This Row],[Hill]]/druid_dp_bonus,MIN(druid_dp_cap,TblMili[[#This Row],[Hill]]/druid_dp_bonus))</f>
        <v>2.1999999999999997</v>
      </c>
      <c r="BW108" s="271">
        <f ca="1">MIN(dryad_cap,TblMili[[#This Row],[Hill]]/dryad_bonus)</f>
        <v>2.1999999999999997</v>
      </c>
      <c r="BX108" s="271">
        <f ca="1">MIN(rocka_cap,TblMili[[#This Row],[Hill]]/rocka_bonus)</f>
        <v>2</v>
      </c>
      <c r="BY108" s="271">
        <f ca="1">MIN(adept_op_cap,TblMili[[#This Row],[WG]]/adept_op_bonus)</f>
        <v>0</v>
      </c>
      <c r="BZ108" s="271">
        <f ca="1">MIN(adept_dp_cap,TblMili[[#This Row],[WG]]/adept_dp_bonus)</f>
        <v>0</v>
      </c>
      <c r="CA108" s="97">
        <f ca="1">MIN(TblMili[[#This Row],[Unit 3]],TblMili[[#This Row],[Unit 4]])*2</f>
        <v>0</v>
      </c>
      <c r="CB108" s="97">
        <f ca="1">MIN(TblMili[[#This Row],[Unit 1]],TblMili[[#This Row],[Unit 4]])*2</f>
        <v>0</v>
      </c>
      <c r="CC108" s="271">
        <f ca="1">MIN(frost_mage_cap,TblMili[[#This Row],[Hill]]/frost_mage_bonus)</f>
        <v>2.1999999999999997</v>
      </c>
      <c r="CD108" s="45">
        <f ca="1">MIN(ice_elem_cap,TblMili[[#This Row],[Raw (2)]]*ice_elem_bonus)</f>
        <v>0.1</v>
      </c>
      <c r="CE108" s="271">
        <f t="shared" si="4"/>
        <v>1</v>
      </c>
      <c r="CF108" s="271">
        <f ca="1">MIN(nox_nightshade_cap,TblConstr[[#This Row],[Homeland]]/TblConstr[[#This Row],[Land]]/nox_nightshade_swamp_bonus)</f>
        <v>3</v>
      </c>
      <c r="CG108" s="272"/>
      <c r="CH108" s="272"/>
      <c r="CI108" s="272"/>
      <c r="CJ108" s="271">
        <f ca="1">MIN(6,TblMili[[#This Row],[Mystic]]+Races!$F$19)*1.8 +  IF(TblMili[[#This Row],[Mystic]]+Races!$F$19&gt;6,(TblMili[[#This Row],[Mystic]]+Races!$F$19-6)*0.2,0) - Races!$I$19</f>
        <v>3.6399999999999997</v>
      </c>
      <c r="CK10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97">
        <f ca="1">TblMili[[#This Row],[Mystic bonus]]*TblMili[[#This Row],[Unit 3]]+TblMili[[#This Row],[Druid bonus]]*TblMili[[#This Row],[Unit 4]]</f>
        <v>0</v>
      </c>
      <c r="CM108" s="163">
        <f ca="1">MIN(6,TblMili[[#This Row],[Dryad]]+Races!$F$35)*1.8 +  IF(TblMili[[#This Row],[Dryad]]+Races!$F$35&gt;6,(TblMili[[#This Row],[Dryad]]+Races!$F$35-6)*0.2,0) - Races!$I$19</f>
        <v>2.1599999999999993</v>
      </c>
      <c r="CN108" s="97">
        <f ca="1">sylvan*(TblMili[[#This Row],[Mystic bonus]]*TblMili[[#This Row],[Unit 3]])</f>
        <v>0</v>
      </c>
      <c r="CO108" s="163">
        <f ca="1">1.8 * MIN(MAX(Races!$E$27,TblMili[[#This Row],[Rockapult]]+Races!$F$27),6)  +  0.45 * MIN(MIN(Races!$E$27,TblMili[[#This Row],[Rockapult]]+Races!$F$27),6)  +  0.2 * ( MAX(Races!$E$27-6,0) + MAX(TblMili[[#This Row],[Rockapult]]+Races!$F$27-6,0) )  -  Races!$I$20</f>
        <v>5.8500000000000005</v>
      </c>
      <c r="CP108" s="97">
        <f ca="1">gnome*(TblMili[[#This Row],[Rockapult bonus]]*TblMili[[#This Row],[Unit 3]])</f>
        <v>0</v>
      </c>
      <c r="CQ108" s="163">
        <f ca="1">1.8 * MIN(MAX(TblMili[[#This Row],[Spellblade]]+Races!$E$47,TblMili[[#This Row],[Adept-DP]]+Races!$F$47),6)  +  0.45 * MIN(MIN(TblMili[[#This Row],[Spellblade]]+Races!$E$47,TblMili[[#This Row],[Adept-DP]]+Races!$F$47),6)  +  0.2 * ( MAX(TblMili[[#This Row],[Spellblade]]+Races!$E$47-6,0) + MAX(TblMili[[#This Row],[Adept-DP]]+Races!$F$47-6,0) )  -  Races!$I$47</f>
        <v>0</v>
      </c>
      <c r="CR108" s="97">
        <f ca="1">dark_elf*(TblMili[[#This Row],[Adept bonus]]*TblMili[[#This Row],[Unit 3]])</f>
        <v>0</v>
      </c>
      <c r="CS108" s="163">
        <f ca="1">1.8 * MIN(MAX(TblMili[[#This Row],[Frost Mage]]+Races!$F$71,Races!$E$71),6)  +  0.45 * MIN(MIN(TblMili[[#This Row],[Frost Mage]]+Races!$F$71,Races!$E$71),6)  +  0.2 * ( MAX(TblMili[[#This Row],[Frost Mage]]+Races!$F$71-6,0) + MAX(Races!$E$71-6,0) )  -  Races!$I$71</f>
        <v>3.9599999999999991</v>
      </c>
      <c r="CT108" s="163">
        <f ca="1">1.8 * MIN(MAX(TblMili[[#This Row],[Ice Elemental]]+Races!$E$71,Races!$F$71),6)  +  0.45 * MIN(MIN(TblMili[[#This Row],[Ice Elemental]]+Races!$E$71,Races!$F$71),6)  +  0.2 * ( MAX(TblMili[[#This Row],[Ice Elemental]]+Races!$E$71-6,0) + MAX(Races!$F$71-6,0) )  -  Races!$I$71</f>
        <v>0.17999999999999972</v>
      </c>
      <c r="CU108" s="97">
        <f ca="1">TblMili[[#This Row],[Frost Mage bonus]]*TblMili[[#This Row],[Unit 3]]+TblMili[[#This Row],[Ice Elemental bonus]]*TblMili[[#This Row],[Unit 4]]</f>
        <v>0</v>
      </c>
      <c r="CV108" s="273"/>
      <c r="CW108" s="151">
        <f ca="1">MIN(SUM(TblConstr[[#This Row],[Plain]:[Water]])/TblMili[[#This Row],[Land]]/favorable_terrain_bonus/100,favorable_terrain_max)</f>
        <v>0.1</v>
      </c>
      <c r="CX108" s="273"/>
      <c r="CY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50"/>
      <c r="DA108" s="274">
        <f ca="1">(TblMili[[#This Row],[Wizards]]+2*TblMili[[#This Row],[Archmages]])/TblConstr[[#This Row],[Land]]</f>
        <v>0.1</v>
      </c>
      <c r="DB108" s="274">
        <f ca="1">TblMili[[#This Row],[Raw (2)]]*(1+race_wizard_strength+IF(TblMili[[#This Row],[Hour]]&gt;72,tech_magical_weaponry_wiz*TblTech[[#This Row],[3-5]],0))</f>
        <v>0.1</v>
      </c>
    </row>
    <row r="109" spans="1:106" x14ac:dyDescent="0.2">
      <c r="A109" s="145">
        <f>TblRezone[[#This Row],[Hour]]</f>
        <v>106</v>
      </c>
      <c r="B109" s="266">
        <f ca="1">SUM(TblMili[[#This Row],[Unit 1]:[Archmages]])+SUM(OFFSET(TblMili[[#This Row],[Train Unit 1]],-8,0):TblMili[[#This Row],[Train Unit 2]]) + SUM(OFFSET(TblMili[[#This Row],[Train Unit 3]],-11,0):TblMili[[#This Row],[Train Arch]]) + TblMili[[#This Row],[Draftees]]</f>
        <v>826</v>
      </c>
      <c r="C109" s="165">
        <f ca="1">TblPop[[#This Row],[Military%]]</f>
        <v>0.35029686174724345</v>
      </c>
      <c r="D109" s="150"/>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f>
        <v>25</v>
      </c>
      <c r="J109" s="45">
        <f ca="1">OFFSET(TblMili[[#This Row],[Wizards]],-1,0) + OFFSET(TblMili[[#This Row],[Train Wiz]],-12,0) - TblMili[[#This Row],[Release Wizards]]-TblMili[[#This Row],[Train Arch]]</f>
        <v>25</v>
      </c>
      <c r="K109" s="45">
        <f ca="1">OFFSET(TblMili[[#This Row],[Archmages]],-1,0) + OFFSET(TblMili[[#This Row],[Train Arch]],-12,0) - TblMili[[#This Row],[Release Arch]]</f>
        <v>0</v>
      </c>
      <c r="L109" s="150"/>
      <c r="M109" s="97">
        <f ca="1">TblProd[[#This Row],[Networth]]</f>
        <v>6450</v>
      </c>
      <c r="N109" s="150"/>
      <c r="O109" s="267">
        <f ca="1">TblMili[[#This Row],[Unit 1]]*spec_op+TblMili[[#This Row],[Unit 3]]*(elite1_base_op)+TblMili[[#This Row],[Unit 4]]*(elite2_base_op+dark_elf*TblMili[[#This Row],[Spellblade]]+icekin*TblMili[[#This Row],[Ice Elemental]]+woodie*TblMili[[#This Row],[Druid (op)]]+orc*TblMili[[#This Row],[Orc]])+kobold*TblMili[[#This Row],[Overlords]]</f>
        <v>0</v>
      </c>
      <c r="P10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9" s="267">
        <f ca="1">TblMili[[#This Row],[Raw]]*(1+TblMili[[#This Row],[Mods_Off]])</f>
        <v>0</v>
      </c>
      <c r="R10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9" s="267">
        <f ca="1">TblMili[[#This Row],[Non Draft]]+TblMili[[#This Row],[Draftees]]</f>
        <v>1076</v>
      </c>
      <c r="T10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269">
        <f ca="1">TblMili[[#This Row],[Non Draft]] * (1 + TblMili[[#This Row],[Mods_Def]])</f>
        <v>450</v>
      </c>
      <c r="V109" s="267">
        <f ca="1">TblMili[[#This Row],[Draft]] * (1 + TblMili[[#This Row],[Mods_Def]])</f>
        <v>1076</v>
      </c>
      <c r="W109" s="267">
        <f ca="1">TblConstr[[#This Row],[Land]]</f>
        <v>250</v>
      </c>
      <c r="X109" s="270"/>
      <c r="Y109" s="275">
        <f ca="1">IF(TblMili[[#This Row],[Set]]&lt;&gt;"",TblMili[[#This Row],[Set]],OFFSET(TblMili[[#This Row],[Draftrate]],-1,0))</f>
        <v>0.35</v>
      </c>
      <c r="Z109" s="97">
        <f ca="1">OFFSET(TblMili[[#This Row],[Draftees]],-1,0)+OFFSET(TblPop[[#This Row],[Draft Growth]],-1,0) - SUM(TblMili[[#This Row],[Train Unit 1]:[Train Wiz]]) - TblMili[[#This Row],[Release Draft]] + SUM(TblMili[[#This Row],[Release Unit 1]:[Release Arch]]) -TblExplore[[#This Row],[Draftees (2)]]</f>
        <v>626</v>
      </c>
      <c r="AA109" s="162"/>
      <c r="AB109" s="188">
        <f ca="1">(TblConstr[[#This Row],[Tot Smi]]+TblConstr[[#This Row],[Dest Smi]])/(TblConstr[[#This Row],[Land]]-TblExplore[[#This Row],[Land Bonus]]*20)</f>
        <v>0</v>
      </c>
      <c r="AC109" s="145"/>
      <c r="AD109" s="266">
        <f>TblMili[[#This Row],[Hour]]</f>
        <v>106</v>
      </c>
      <c r="AE109" s="146">
        <f ca="1">TblExplore[[#This Row],[Time]]</f>
        <v>44815.124999999745</v>
      </c>
      <c r="AF109" s="187"/>
      <c r="AG109" s="187"/>
      <c r="AH109" s="187"/>
      <c r="AI109" s="187"/>
      <c r="AJ109" s="187"/>
      <c r="AK109" s="187"/>
      <c r="AL109" s="187"/>
      <c r="AM109" s="150"/>
      <c r="AN109" s="97">
        <f ca="1">TblProd[[#This Row],[Platinum]]</f>
        <v>676908</v>
      </c>
      <c r="AO109" s="97">
        <f ca="1">INDEX(TblProd[[#Headers],[Lumber]]:TblProd[[#This Row],[Ore]],COUNTA(TblProd[[#Headers],[Lumber]]:TblProd[[#This Row],[Lumber]]),MATCH(Military!$AO$2,TblProd[[#Headers],[Lumber]:[Ore]],0))</f>
        <v>0</v>
      </c>
      <c r="AP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97">
        <f ca="1">TblMili[[#This Row],[Train Unit 1]]*TblMili[[#This Row],[OP Ore]]+TblMili[[#This Row],[Train Unit 2]]*TblMili[[#This Row],[DP Ore]]+TblMili[[#This Row],[Train Unit 3]]*TblMili[[#This Row],[E1 Ore]]+TblMili[[#This Row],[Train Unit 4]]*TblMili[[#This Row],[E2 Ore]]</f>
        <v>0</v>
      </c>
      <c r="AR109" s="150">
        <f>TblMili[[#This Row],[Hour]]</f>
        <v>106</v>
      </c>
      <c r="AS109" s="160">
        <f ca="1">TblMili[[#This Row],[Time]]</f>
        <v>44815.124999999745</v>
      </c>
      <c r="AT109" s="97">
        <f ca="1">TblMili[[#This Row],[Draftees]]</f>
        <v>626</v>
      </c>
      <c r="AU109" s="187"/>
      <c r="AV109" s="187"/>
      <c r="AW109" s="187"/>
      <c r="AX109" s="187"/>
      <c r="AY109" s="187"/>
      <c r="AZ109" s="187"/>
      <c r="BA109" s="187"/>
      <c r="BB109" s="187"/>
      <c r="BC109" s="150"/>
      <c r="BD109" s="165">
        <f ca="1">TblConstr[[#This Row],[Tot WG]]/TblConstr[[#This Row],[Land]]</f>
        <v>0</v>
      </c>
      <c r="BE109" s="165">
        <f ca="1">TblConstr[[#This Row],[Tot Hav]]/TblConstr[[#This Row],[Land]]</f>
        <v>0</v>
      </c>
      <c r="BF109" s="97">
        <f ca="1">ROUNDUP((1-MIN(TblMili[[#This Row],[Smithies]]*smithy_bonus,smithy_bonus_cap) + tech_3_5*TblTech[[#This Row],[3-5]] + tech_5_3*TblTech[[#This Row],[5-3]] + tech_5_5*TblTech[[#This Row],[5-5]])*spec_op_plat,0)</f>
        <v>275</v>
      </c>
      <c r="BG109" s="97">
        <f ca="1">ROUNDUP(IF(race="Gnome",1,(1-MIN(TblMili[[#This Row],[Smithies]]*smithy_bonus,smithy_bonus_cap) + tech_3_5*TblTech[[#This Row],[3-5]] + tech_5_3*TblTech[[#This Row],[5-3]] + tech_5_5*TblTech[[#This Row],[5-5]]))*spec_op_ore,0)</f>
        <v>25</v>
      </c>
      <c r="BH109" s="97">
        <f ca="1">ROUNDUP((1-MIN(TblMili[[#This Row],[Smithies]]*smithy_bonus,smithy_bonus_cap) + tech_3_5*TblTech[[#This Row],[3-5]] + tech_5_3*TblTech[[#This Row],[5-3]] + tech_5_5*TblTech[[#This Row],[5-5]])*spec_dp_plat,0)</f>
        <v>275</v>
      </c>
      <c r="BI109" s="97">
        <f ca="1">ROUNDUP(IF(race="Gnome",1,(1-MIN(TblMili[[#This Row],[Smithies]]*smithy_bonus,smithy_bonus_cap) + tech_3_5*TblTech[[#This Row],[3-5]] + tech_5_3*TblTech[[#This Row],[5-3]] + tech_5_5*TblTech[[#This Row],[5-5]]))*spec_dp_ore,0)</f>
        <v>15</v>
      </c>
      <c r="BJ109" s="97">
        <f ca="1">ROUNDUP((1-MIN(TblMili[[#This Row],[Smithies]]*smithy_bonus,smithy_bonus_cap) + tech_3_5*TblTech[[#This Row],[3-5]] + tech_5_3*TblTech[[#This Row],[5-3]] + tech_5_5*TblTech[[#This Row],[5-5]])*elite1_plat,0)</f>
        <v>1000</v>
      </c>
      <c r="BK109" s="97">
        <f ca="1">ROUNDUP(IF(race="Gnome",1,(1-MIN(TblMili[[#This Row],[Smithies]]*smithy_bonus,smithy_bonus_cap) + tech_3_5*TblTech[[#This Row],[3-5]] + tech_5_3*TblTech[[#This Row],[5-3]] + tech_5_5*TblTech[[#This Row],[5-5]]))*elite1_ore,0)</f>
        <v>75</v>
      </c>
      <c r="BL109" s="97">
        <f ca="1">ROUNDUP((1-MIN(TblMili[[#This Row],[Smithies]]*smithy_bonus,smithy_bonus_cap) + tech_3_5*TblTech[[#This Row],[3-5]] + tech_5_3*TblTech[[#This Row],[5-3]] + tech_5_5*TblTech[[#This Row],[5-5]])*elite2_plat,0)</f>
        <v>1200</v>
      </c>
      <c r="BM109" s="97">
        <f ca="1">ROUNDUP(IF(race="Gnome",1,(1-MIN(TblMili[[#This Row],[Smithies]]*smithy_bonus,smithy_bonus_cap) + tech_3_5*TblTech[[#This Row],[3-5]] + tech_5_3*TblTech[[#This Row],[5-3]] + tech_5_5*TblTech[[#This Row],[5-5]]))*elite2_ore,0)</f>
        <v>100</v>
      </c>
      <c r="BN109" s="97">
        <f ca="1">ROUNDUP((1-MIN(ROUND(fh_spy_cost_red*TblMili[[#This Row],[FH''s]],4),fh_spy_cost_cap)+ tech_1_9*TblTech[[#This Row],[1-9]] + tech_9_1*TblTech[[#This Row],[9-1]])*spy_plat,0)</f>
        <v>500</v>
      </c>
      <c r="BO109" s="97">
        <f ca="1">ROUNDUP((1-MIN(ROUND(wg_wiz_cost_bonus*TblMili[[#This Row],[WG''s]],4),wg_wiz_cost_cap) + tech_1_9_2*TblTech[[#This Row],[1-9]] + tech_9_1_2*TblTech[[#This Row],[9-1]])*wizard_plat,0)</f>
        <v>500</v>
      </c>
      <c r="BP109" s="97">
        <f ca="1">ROUNDUP((1-MIN(ROUND(wg_wiz_cost_bonus*TblMili[[#This Row],[WG''s]],4),wg_wiz_cost_cap) + tech_1_9_2*TblTech[[#This Row],[1-9]] + tech_9_1_2*TblTech[[#This Row],[9-1]])*archmage_plat,0)</f>
        <v>1000</v>
      </c>
      <c r="BQ109" s="150"/>
      <c r="BR109" s="165">
        <f ca="1">TblConstr[[#This Row],[Homeland]]/TblConstr[[#This Row],[Land]]</f>
        <v>0.44</v>
      </c>
      <c r="BS109" s="165">
        <f ca="1">TblMili[[#This Row],[WG''s]]</f>
        <v>0</v>
      </c>
      <c r="BT109" s="271">
        <f ca="1">IF(mystic_cap="none",TblMili[[#This Row],[Hill]]/mystic_bonus,MIN(mystic_cap,TblMili[[#This Row],[Hill]]/mystic_bonus))</f>
        <v>2.1999999999999997</v>
      </c>
      <c r="BU109" s="271">
        <f ca="1">IF(druid_op_cap="none",TblMili[[#This Row],[Hill]]/druid_op_bonus,MIN(druid_op_cap,TblMili[[#This Row],[Hill]]/druid_op_bonus))</f>
        <v>2.1999999999999997</v>
      </c>
      <c r="BV109" s="271">
        <f ca="1">IF(druid_dp_cap="none",TblMili[[#This Row],[Hill]]/druid_dp_bonus,MIN(druid_dp_cap,TblMili[[#This Row],[Hill]]/druid_dp_bonus))</f>
        <v>2.1999999999999997</v>
      </c>
      <c r="BW109" s="271">
        <f ca="1">MIN(dryad_cap,TblMili[[#This Row],[Hill]]/dryad_bonus)</f>
        <v>2.1999999999999997</v>
      </c>
      <c r="BX109" s="271">
        <f ca="1">MIN(rocka_cap,TblMili[[#This Row],[Hill]]/rocka_bonus)</f>
        <v>2</v>
      </c>
      <c r="BY109" s="271">
        <f ca="1">MIN(adept_op_cap,TblMili[[#This Row],[WG]]/adept_op_bonus)</f>
        <v>0</v>
      </c>
      <c r="BZ109" s="271">
        <f ca="1">MIN(adept_dp_cap,TblMili[[#This Row],[WG]]/adept_dp_bonus)</f>
        <v>0</v>
      </c>
      <c r="CA109" s="97">
        <f ca="1">MIN(TblMili[[#This Row],[Unit 3]],TblMili[[#This Row],[Unit 4]])*2</f>
        <v>0</v>
      </c>
      <c r="CB109" s="97">
        <f ca="1">MIN(TblMili[[#This Row],[Unit 1]],TblMili[[#This Row],[Unit 4]])*2</f>
        <v>0</v>
      </c>
      <c r="CC109" s="271">
        <f ca="1">MIN(frost_mage_cap,TblMili[[#This Row],[Hill]]/frost_mage_bonus)</f>
        <v>2.1999999999999997</v>
      </c>
      <c r="CD109" s="45">
        <f ca="1">MIN(ice_elem_cap,TblMili[[#This Row],[Raw (2)]]*ice_elem_bonus)</f>
        <v>0.1</v>
      </c>
      <c r="CE109" s="271">
        <f t="shared" si="4"/>
        <v>1</v>
      </c>
      <c r="CF109" s="271">
        <f ca="1">MIN(nox_nightshade_cap,TblConstr[[#This Row],[Homeland]]/TblConstr[[#This Row],[Land]]/nox_nightshade_swamp_bonus)</f>
        <v>3</v>
      </c>
      <c r="CG109" s="272"/>
      <c r="CH109" s="272"/>
      <c r="CI109" s="272"/>
      <c r="CJ109" s="271">
        <f ca="1">MIN(6,TblMili[[#This Row],[Mystic]]+Races!$F$19)*1.8 +  IF(TblMili[[#This Row],[Mystic]]+Races!$F$19&gt;6,(TblMili[[#This Row],[Mystic]]+Races!$F$19-6)*0.2,0) - Races!$I$19</f>
        <v>3.6399999999999997</v>
      </c>
      <c r="CK10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97">
        <f ca="1">TblMili[[#This Row],[Mystic bonus]]*TblMili[[#This Row],[Unit 3]]+TblMili[[#This Row],[Druid bonus]]*TblMili[[#This Row],[Unit 4]]</f>
        <v>0</v>
      </c>
      <c r="CM109" s="163">
        <f ca="1">MIN(6,TblMili[[#This Row],[Dryad]]+Races!$F$35)*1.8 +  IF(TblMili[[#This Row],[Dryad]]+Races!$F$35&gt;6,(TblMili[[#This Row],[Dryad]]+Races!$F$35-6)*0.2,0) - Races!$I$19</f>
        <v>2.1599999999999993</v>
      </c>
      <c r="CN109" s="97">
        <f ca="1">sylvan*(TblMili[[#This Row],[Mystic bonus]]*TblMili[[#This Row],[Unit 3]])</f>
        <v>0</v>
      </c>
      <c r="CO109" s="163">
        <f ca="1">1.8 * MIN(MAX(Races!$E$27,TblMili[[#This Row],[Rockapult]]+Races!$F$27),6)  +  0.45 * MIN(MIN(Races!$E$27,TblMili[[#This Row],[Rockapult]]+Races!$F$27),6)  +  0.2 * ( MAX(Races!$E$27-6,0) + MAX(TblMili[[#This Row],[Rockapult]]+Races!$F$27-6,0) )  -  Races!$I$20</f>
        <v>5.8500000000000005</v>
      </c>
      <c r="CP109" s="97">
        <f ca="1">gnome*(TblMili[[#This Row],[Rockapult bonus]]*TblMili[[#This Row],[Unit 3]])</f>
        <v>0</v>
      </c>
      <c r="CQ109" s="163">
        <f ca="1">1.8 * MIN(MAX(TblMili[[#This Row],[Spellblade]]+Races!$E$47,TblMili[[#This Row],[Adept-DP]]+Races!$F$47),6)  +  0.45 * MIN(MIN(TblMili[[#This Row],[Spellblade]]+Races!$E$47,TblMili[[#This Row],[Adept-DP]]+Races!$F$47),6)  +  0.2 * ( MAX(TblMili[[#This Row],[Spellblade]]+Races!$E$47-6,0) + MAX(TblMili[[#This Row],[Adept-DP]]+Races!$F$47-6,0) )  -  Races!$I$47</f>
        <v>0</v>
      </c>
      <c r="CR109" s="97">
        <f ca="1">dark_elf*(TblMili[[#This Row],[Adept bonus]]*TblMili[[#This Row],[Unit 3]])</f>
        <v>0</v>
      </c>
      <c r="CS109" s="163">
        <f ca="1">1.8 * MIN(MAX(TblMili[[#This Row],[Frost Mage]]+Races!$F$71,Races!$E$71),6)  +  0.45 * MIN(MIN(TblMili[[#This Row],[Frost Mage]]+Races!$F$71,Races!$E$71),6)  +  0.2 * ( MAX(TblMili[[#This Row],[Frost Mage]]+Races!$F$71-6,0) + MAX(Races!$E$71-6,0) )  -  Races!$I$71</f>
        <v>3.9599999999999991</v>
      </c>
      <c r="CT109" s="163">
        <f ca="1">1.8 * MIN(MAX(TblMili[[#This Row],[Ice Elemental]]+Races!$E$71,Races!$F$71),6)  +  0.45 * MIN(MIN(TblMili[[#This Row],[Ice Elemental]]+Races!$E$71,Races!$F$71),6)  +  0.2 * ( MAX(TblMili[[#This Row],[Ice Elemental]]+Races!$E$71-6,0) + MAX(Races!$F$71-6,0) )  -  Races!$I$71</f>
        <v>0.17999999999999972</v>
      </c>
      <c r="CU109" s="97">
        <f ca="1">TblMili[[#This Row],[Frost Mage bonus]]*TblMili[[#This Row],[Unit 3]]+TblMili[[#This Row],[Ice Elemental bonus]]*TblMili[[#This Row],[Unit 4]]</f>
        <v>0</v>
      </c>
      <c r="CV109" s="273"/>
      <c r="CW109" s="151">
        <f ca="1">MIN(SUM(TblConstr[[#This Row],[Plain]:[Water]])/TblMili[[#This Row],[Land]]/favorable_terrain_bonus/100,favorable_terrain_max)</f>
        <v>0.1</v>
      </c>
      <c r="CX109" s="273"/>
      <c r="CY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50"/>
      <c r="DA109" s="274">
        <f ca="1">(TblMili[[#This Row],[Wizards]]+2*TblMili[[#This Row],[Archmages]])/TblConstr[[#This Row],[Land]]</f>
        <v>0.1</v>
      </c>
      <c r="DB109" s="274">
        <f ca="1">TblMili[[#This Row],[Raw (2)]]*(1+race_wizard_strength+IF(TblMili[[#This Row],[Hour]]&gt;72,tech_magical_weaponry_wiz*TblTech[[#This Row],[3-5]],0))</f>
        <v>0.1</v>
      </c>
    </row>
    <row r="110" spans="1:106" x14ac:dyDescent="0.2">
      <c r="A110" s="145">
        <f>TblRezone[[#This Row],[Hour]]</f>
        <v>107</v>
      </c>
      <c r="B110" s="266">
        <f ca="1">SUM(TblMili[[#This Row],[Unit 1]:[Archmages]])+SUM(OFFSET(TblMili[[#This Row],[Train Unit 1]],-8,0):TblMili[[#This Row],[Train Unit 2]]) + SUM(OFFSET(TblMili[[#This Row],[Train Unit 3]],-11,0):TblMili[[#This Row],[Train Arch]]) + TblMili[[#This Row],[Draftees]]</f>
        <v>826</v>
      </c>
      <c r="C110" s="165">
        <f ca="1">TblPop[[#This Row],[Military%]]</f>
        <v>0.35029686174724345</v>
      </c>
      <c r="D110" s="150"/>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f>
        <v>25</v>
      </c>
      <c r="J110" s="45">
        <f ca="1">OFFSET(TblMili[[#This Row],[Wizards]],-1,0) + OFFSET(TblMili[[#This Row],[Train Wiz]],-12,0) - TblMili[[#This Row],[Release Wizards]]-TblMili[[#This Row],[Train Arch]]</f>
        <v>25</v>
      </c>
      <c r="K110" s="45">
        <f ca="1">OFFSET(TblMili[[#This Row],[Archmages]],-1,0) + OFFSET(TblMili[[#This Row],[Train Arch]],-12,0) - TblMili[[#This Row],[Release Arch]]</f>
        <v>0</v>
      </c>
      <c r="L110" s="150"/>
      <c r="M110" s="97">
        <f ca="1">TblProd[[#This Row],[Networth]]</f>
        <v>6450</v>
      </c>
      <c r="N110" s="150"/>
      <c r="O110" s="267">
        <f ca="1">TblMili[[#This Row],[Unit 1]]*spec_op+TblMili[[#This Row],[Unit 3]]*(elite1_base_op)+TblMili[[#This Row],[Unit 4]]*(elite2_base_op+dark_elf*TblMili[[#This Row],[Spellblade]]+icekin*TblMili[[#This Row],[Ice Elemental]]+woodie*TblMili[[#This Row],[Druid (op)]]+orc*TblMili[[#This Row],[Orc]])+kobold*TblMili[[#This Row],[Overlords]]</f>
        <v>0</v>
      </c>
      <c r="P11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0" s="267">
        <f ca="1">TblMili[[#This Row],[Raw]]*(1+TblMili[[#This Row],[Mods_Off]])</f>
        <v>0</v>
      </c>
      <c r="R11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0" s="267">
        <f ca="1">TblMili[[#This Row],[Non Draft]]+TblMili[[#This Row],[Draftees]]</f>
        <v>1076</v>
      </c>
      <c r="T11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269">
        <f ca="1">TblMili[[#This Row],[Non Draft]] * (1 + TblMili[[#This Row],[Mods_Def]])</f>
        <v>450</v>
      </c>
      <c r="V110" s="267">
        <f ca="1">TblMili[[#This Row],[Draft]] * (1 + TblMili[[#This Row],[Mods_Def]])</f>
        <v>1076</v>
      </c>
      <c r="W110" s="267">
        <f ca="1">TblConstr[[#This Row],[Land]]</f>
        <v>250</v>
      </c>
      <c r="X110" s="270"/>
      <c r="Y110" s="275">
        <f ca="1">IF(TblMili[[#This Row],[Set]]&lt;&gt;"",TblMili[[#This Row],[Set]],OFFSET(TblMili[[#This Row],[Draftrate]],-1,0))</f>
        <v>0.35</v>
      </c>
      <c r="Z110" s="97">
        <f ca="1">OFFSET(TblMili[[#This Row],[Draftees]],-1,0)+OFFSET(TblPop[[#This Row],[Draft Growth]],-1,0) - SUM(TblMili[[#This Row],[Train Unit 1]:[Train Wiz]]) - TblMili[[#This Row],[Release Draft]] + SUM(TblMili[[#This Row],[Release Unit 1]:[Release Arch]]) -TblExplore[[#This Row],[Draftees (2)]]</f>
        <v>626</v>
      </c>
      <c r="AA110" s="162"/>
      <c r="AB110" s="188">
        <f ca="1">(TblConstr[[#This Row],[Tot Smi]]+TblConstr[[#This Row],[Dest Smi]])/(TblConstr[[#This Row],[Land]]-TblExplore[[#This Row],[Land Bonus]]*20)</f>
        <v>0</v>
      </c>
      <c r="AC110" s="145"/>
      <c r="AD110" s="266">
        <f>TblMili[[#This Row],[Hour]]</f>
        <v>107</v>
      </c>
      <c r="AE110" s="146">
        <f ca="1">TblExplore[[#This Row],[Time]]</f>
        <v>44815.16666666641</v>
      </c>
      <c r="AF110" s="187"/>
      <c r="AG110" s="187"/>
      <c r="AH110" s="187"/>
      <c r="AI110" s="187"/>
      <c r="AJ110" s="187"/>
      <c r="AK110" s="187"/>
      <c r="AL110" s="187"/>
      <c r="AM110" s="150"/>
      <c r="AN110" s="97">
        <f ca="1">TblProd[[#This Row],[Platinum]]</f>
        <v>682394</v>
      </c>
      <c r="AO110" s="97">
        <f ca="1">INDEX(TblProd[[#Headers],[Lumber]]:TblProd[[#This Row],[Ore]],COUNTA(TblProd[[#Headers],[Lumber]]:TblProd[[#This Row],[Lumber]]),MATCH(Military!$AO$2,TblProd[[#Headers],[Lumber]:[Ore]],0))</f>
        <v>0</v>
      </c>
      <c r="AP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97">
        <f ca="1">TblMili[[#This Row],[Train Unit 1]]*TblMili[[#This Row],[OP Ore]]+TblMili[[#This Row],[Train Unit 2]]*TblMili[[#This Row],[DP Ore]]+TblMili[[#This Row],[Train Unit 3]]*TblMili[[#This Row],[E1 Ore]]+TblMili[[#This Row],[Train Unit 4]]*TblMili[[#This Row],[E2 Ore]]</f>
        <v>0</v>
      </c>
      <c r="AR110" s="150">
        <f>TblMili[[#This Row],[Hour]]</f>
        <v>107</v>
      </c>
      <c r="AS110" s="160">
        <f ca="1">TblMili[[#This Row],[Time]]</f>
        <v>44815.16666666641</v>
      </c>
      <c r="AT110" s="97">
        <f ca="1">TblMili[[#This Row],[Draftees]]</f>
        <v>626</v>
      </c>
      <c r="AU110" s="187"/>
      <c r="AV110" s="187"/>
      <c r="AW110" s="187"/>
      <c r="AX110" s="187"/>
      <c r="AY110" s="187"/>
      <c r="AZ110" s="187"/>
      <c r="BA110" s="187"/>
      <c r="BB110" s="187"/>
      <c r="BC110" s="150"/>
      <c r="BD110" s="165">
        <f ca="1">TblConstr[[#This Row],[Tot WG]]/TblConstr[[#This Row],[Land]]</f>
        <v>0</v>
      </c>
      <c r="BE110" s="165">
        <f ca="1">TblConstr[[#This Row],[Tot Hav]]/TblConstr[[#This Row],[Land]]</f>
        <v>0</v>
      </c>
      <c r="BF110" s="97">
        <f ca="1">ROUNDUP((1-MIN(TblMili[[#This Row],[Smithies]]*smithy_bonus,smithy_bonus_cap) + tech_3_5*TblTech[[#This Row],[3-5]] + tech_5_3*TblTech[[#This Row],[5-3]] + tech_5_5*TblTech[[#This Row],[5-5]])*spec_op_plat,0)</f>
        <v>275</v>
      </c>
      <c r="BG110" s="97">
        <f ca="1">ROUNDUP(IF(race="Gnome",1,(1-MIN(TblMili[[#This Row],[Smithies]]*smithy_bonus,smithy_bonus_cap) + tech_3_5*TblTech[[#This Row],[3-5]] + tech_5_3*TblTech[[#This Row],[5-3]] + tech_5_5*TblTech[[#This Row],[5-5]]))*spec_op_ore,0)</f>
        <v>25</v>
      </c>
      <c r="BH110" s="97">
        <f ca="1">ROUNDUP((1-MIN(TblMili[[#This Row],[Smithies]]*smithy_bonus,smithy_bonus_cap) + tech_3_5*TblTech[[#This Row],[3-5]] + tech_5_3*TblTech[[#This Row],[5-3]] + tech_5_5*TblTech[[#This Row],[5-5]])*spec_dp_plat,0)</f>
        <v>275</v>
      </c>
      <c r="BI110" s="97">
        <f ca="1">ROUNDUP(IF(race="Gnome",1,(1-MIN(TblMili[[#This Row],[Smithies]]*smithy_bonus,smithy_bonus_cap) + tech_3_5*TblTech[[#This Row],[3-5]] + tech_5_3*TblTech[[#This Row],[5-3]] + tech_5_5*TblTech[[#This Row],[5-5]]))*spec_dp_ore,0)</f>
        <v>15</v>
      </c>
      <c r="BJ110" s="97">
        <f ca="1">ROUNDUP((1-MIN(TblMili[[#This Row],[Smithies]]*smithy_bonus,smithy_bonus_cap) + tech_3_5*TblTech[[#This Row],[3-5]] + tech_5_3*TblTech[[#This Row],[5-3]] + tech_5_5*TblTech[[#This Row],[5-5]])*elite1_plat,0)</f>
        <v>1000</v>
      </c>
      <c r="BK110" s="97">
        <f ca="1">ROUNDUP(IF(race="Gnome",1,(1-MIN(TblMili[[#This Row],[Smithies]]*smithy_bonus,smithy_bonus_cap) + tech_3_5*TblTech[[#This Row],[3-5]] + tech_5_3*TblTech[[#This Row],[5-3]] + tech_5_5*TblTech[[#This Row],[5-5]]))*elite1_ore,0)</f>
        <v>75</v>
      </c>
      <c r="BL110" s="97">
        <f ca="1">ROUNDUP((1-MIN(TblMili[[#This Row],[Smithies]]*smithy_bonus,smithy_bonus_cap) + tech_3_5*TblTech[[#This Row],[3-5]] + tech_5_3*TblTech[[#This Row],[5-3]] + tech_5_5*TblTech[[#This Row],[5-5]])*elite2_plat,0)</f>
        <v>1200</v>
      </c>
      <c r="BM110" s="97">
        <f ca="1">ROUNDUP(IF(race="Gnome",1,(1-MIN(TblMili[[#This Row],[Smithies]]*smithy_bonus,smithy_bonus_cap) + tech_3_5*TblTech[[#This Row],[3-5]] + tech_5_3*TblTech[[#This Row],[5-3]] + tech_5_5*TblTech[[#This Row],[5-5]]))*elite2_ore,0)</f>
        <v>100</v>
      </c>
      <c r="BN110" s="97">
        <f ca="1">ROUNDUP((1-MIN(ROUND(fh_spy_cost_red*TblMili[[#This Row],[FH''s]],4),fh_spy_cost_cap)+ tech_1_9*TblTech[[#This Row],[1-9]] + tech_9_1*TblTech[[#This Row],[9-1]])*spy_plat,0)</f>
        <v>500</v>
      </c>
      <c r="BO110" s="97">
        <f ca="1">ROUNDUP((1-MIN(ROUND(wg_wiz_cost_bonus*TblMili[[#This Row],[WG''s]],4),wg_wiz_cost_cap) + tech_1_9_2*TblTech[[#This Row],[1-9]] + tech_9_1_2*TblTech[[#This Row],[9-1]])*wizard_plat,0)</f>
        <v>500</v>
      </c>
      <c r="BP110" s="97">
        <f ca="1">ROUNDUP((1-MIN(ROUND(wg_wiz_cost_bonus*TblMili[[#This Row],[WG''s]],4),wg_wiz_cost_cap) + tech_1_9_2*TblTech[[#This Row],[1-9]] + tech_9_1_2*TblTech[[#This Row],[9-1]])*archmage_plat,0)</f>
        <v>1000</v>
      </c>
      <c r="BQ110" s="150"/>
      <c r="BR110" s="165">
        <f ca="1">TblConstr[[#This Row],[Homeland]]/TblConstr[[#This Row],[Land]]</f>
        <v>0.44</v>
      </c>
      <c r="BS110" s="165">
        <f ca="1">TblMili[[#This Row],[WG''s]]</f>
        <v>0</v>
      </c>
      <c r="BT110" s="271">
        <f ca="1">IF(mystic_cap="none",TblMili[[#This Row],[Hill]]/mystic_bonus,MIN(mystic_cap,TblMili[[#This Row],[Hill]]/mystic_bonus))</f>
        <v>2.1999999999999997</v>
      </c>
      <c r="BU110" s="271">
        <f ca="1">IF(druid_op_cap="none",TblMili[[#This Row],[Hill]]/druid_op_bonus,MIN(druid_op_cap,TblMili[[#This Row],[Hill]]/druid_op_bonus))</f>
        <v>2.1999999999999997</v>
      </c>
      <c r="BV110" s="271">
        <f ca="1">IF(druid_dp_cap="none",TblMili[[#This Row],[Hill]]/druid_dp_bonus,MIN(druid_dp_cap,TblMili[[#This Row],[Hill]]/druid_dp_bonus))</f>
        <v>2.1999999999999997</v>
      </c>
      <c r="BW110" s="271">
        <f ca="1">MIN(dryad_cap,TblMili[[#This Row],[Hill]]/dryad_bonus)</f>
        <v>2.1999999999999997</v>
      </c>
      <c r="BX110" s="271">
        <f ca="1">MIN(rocka_cap,TblMili[[#This Row],[Hill]]/rocka_bonus)</f>
        <v>2</v>
      </c>
      <c r="BY110" s="271">
        <f ca="1">MIN(adept_op_cap,TblMili[[#This Row],[WG]]/adept_op_bonus)</f>
        <v>0</v>
      </c>
      <c r="BZ110" s="271">
        <f ca="1">MIN(adept_dp_cap,TblMili[[#This Row],[WG]]/adept_dp_bonus)</f>
        <v>0</v>
      </c>
      <c r="CA110" s="97">
        <f ca="1">MIN(TblMili[[#This Row],[Unit 3]],TblMili[[#This Row],[Unit 4]])*2</f>
        <v>0</v>
      </c>
      <c r="CB110" s="97">
        <f ca="1">MIN(TblMili[[#This Row],[Unit 1]],TblMili[[#This Row],[Unit 4]])*2</f>
        <v>0</v>
      </c>
      <c r="CC110" s="271">
        <f ca="1">MIN(frost_mage_cap,TblMili[[#This Row],[Hill]]/frost_mage_bonus)</f>
        <v>2.1999999999999997</v>
      </c>
      <c r="CD110" s="45">
        <f ca="1">MIN(ice_elem_cap,TblMili[[#This Row],[Raw (2)]]*ice_elem_bonus)</f>
        <v>0.1</v>
      </c>
      <c r="CE110" s="271">
        <f t="shared" si="4"/>
        <v>1</v>
      </c>
      <c r="CF110" s="271">
        <f ca="1">MIN(nox_nightshade_cap,TblConstr[[#This Row],[Homeland]]/TblConstr[[#This Row],[Land]]/nox_nightshade_swamp_bonus)</f>
        <v>3</v>
      </c>
      <c r="CG110" s="272"/>
      <c r="CH110" s="272"/>
      <c r="CI110" s="272"/>
      <c r="CJ110" s="271">
        <f ca="1">MIN(6,TblMili[[#This Row],[Mystic]]+Races!$F$19)*1.8 +  IF(TblMili[[#This Row],[Mystic]]+Races!$F$19&gt;6,(TblMili[[#This Row],[Mystic]]+Races!$F$19-6)*0.2,0) - Races!$I$19</f>
        <v>3.6399999999999997</v>
      </c>
      <c r="CK11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97">
        <f ca="1">TblMili[[#This Row],[Mystic bonus]]*TblMili[[#This Row],[Unit 3]]+TblMili[[#This Row],[Druid bonus]]*TblMili[[#This Row],[Unit 4]]</f>
        <v>0</v>
      </c>
      <c r="CM110" s="163">
        <f ca="1">MIN(6,TblMili[[#This Row],[Dryad]]+Races!$F$35)*1.8 +  IF(TblMili[[#This Row],[Dryad]]+Races!$F$35&gt;6,(TblMili[[#This Row],[Dryad]]+Races!$F$35-6)*0.2,0) - Races!$I$19</f>
        <v>2.1599999999999993</v>
      </c>
      <c r="CN110" s="97">
        <f ca="1">sylvan*(TblMili[[#This Row],[Mystic bonus]]*TblMili[[#This Row],[Unit 3]])</f>
        <v>0</v>
      </c>
      <c r="CO110" s="163">
        <f ca="1">1.8 * MIN(MAX(Races!$E$27,TblMili[[#This Row],[Rockapult]]+Races!$F$27),6)  +  0.45 * MIN(MIN(Races!$E$27,TblMili[[#This Row],[Rockapult]]+Races!$F$27),6)  +  0.2 * ( MAX(Races!$E$27-6,0) + MAX(TblMili[[#This Row],[Rockapult]]+Races!$F$27-6,0) )  -  Races!$I$20</f>
        <v>5.8500000000000005</v>
      </c>
      <c r="CP110" s="97">
        <f ca="1">gnome*(TblMili[[#This Row],[Rockapult bonus]]*TblMili[[#This Row],[Unit 3]])</f>
        <v>0</v>
      </c>
      <c r="CQ110" s="163">
        <f ca="1">1.8 * MIN(MAX(TblMili[[#This Row],[Spellblade]]+Races!$E$47,TblMili[[#This Row],[Adept-DP]]+Races!$F$47),6)  +  0.45 * MIN(MIN(TblMili[[#This Row],[Spellblade]]+Races!$E$47,TblMili[[#This Row],[Adept-DP]]+Races!$F$47),6)  +  0.2 * ( MAX(TblMili[[#This Row],[Spellblade]]+Races!$E$47-6,0) + MAX(TblMili[[#This Row],[Adept-DP]]+Races!$F$47-6,0) )  -  Races!$I$47</f>
        <v>0</v>
      </c>
      <c r="CR110" s="97">
        <f ca="1">dark_elf*(TblMili[[#This Row],[Adept bonus]]*TblMili[[#This Row],[Unit 3]])</f>
        <v>0</v>
      </c>
      <c r="CS110" s="163">
        <f ca="1">1.8 * MIN(MAX(TblMili[[#This Row],[Frost Mage]]+Races!$F$71,Races!$E$71),6)  +  0.45 * MIN(MIN(TblMili[[#This Row],[Frost Mage]]+Races!$F$71,Races!$E$71),6)  +  0.2 * ( MAX(TblMili[[#This Row],[Frost Mage]]+Races!$F$71-6,0) + MAX(Races!$E$71-6,0) )  -  Races!$I$71</f>
        <v>3.9599999999999991</v>
      </c>
      <c r="CT110" s="163">
        <f ca="1">1.8 * MIN(MAX(TblMili[[#This Row],[Ice Elemental]]+Races!$E$71,Races!$F$71),6)  +  0.45 * MIN(MIN(TblMili[[#This Row],[Ice Elemental]]+Races!$E$71,Races!$F$71),6)  +  0.2 * ( MAX(TblMili[[#This Row],[Ice Elemental]]+Races!$E$71-6,0) + MAX(Races!$F$71-6,0) )  -  Races!$I$71</f>
        <v>0.17999999999999972</v>
      </c>
      <c r="CU110" s="97">
        <f ca="1">TblMili[[#This Row],[Frost Mage bonus]]*TblMili[[#This Row],[Unit 3]]+TblMili[[#This Row],[Ice Elemental bonus]]*TblMili[[#This Row],[Unit 4]]</f>
        <v>0</v>
      </c>
      <c r="CV110" s="273"/>
      <c r="CW110" s="151">
        <f ca="1">MIN(SUM(TblConstr[[#This Row],[Plain]:[Water]])/TblMili[[#This Row],[Land]]/favorable_terrain_bonus/100,favorable_terrain_max)</f>
        <v>0.1</v>
      </c>
      <c r="CX110" s="273"/>
      <c r="CY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50"/>
      <c r="DA110" s="274">
        <f ca="1">(TblMili[[#This Row],[Wizards]]+2*TblMili[[#This Row],[Archmages]])/TblConstr[[#This Row],[Land]]</f>
        <v>0.1</v>
      </c>
      <c r="DB110" s="274">
        <f ca="1">TblMili[[#This Row],[Raw (2)]]*(1+race_wizard_strength+IF(TblMili[[#This Row],[Hour]]&gt;72,tech_magical_weaponry_wiz*TblTech[[#This Row],[3-5]],0))</f>
        <v>0.1</v>
      </c>
    </row>
    <row r="111" spans="1:106" x14ac:dyDescent="0.2">
      <c r="A111" s="145">
        <f>TblRezone[[#This Row],[Hour]]</f>
        <v>108</v>
      </c>
      <c r="B111" s="266">
        <f ca="1">SUM(TblMili[[#This Row],[Unit 1]:[Archmages]])+SUM(OFFSET(TblMili[[#This Row],[Train Unit 1]],-8,0):TblMili[[#This Row],[Train Unit 2]]) + SUM(OFFSET(TblMili[[#This Row],[Train Unit 3]],-11,0):TblMili[[#This Row],[Train Arch]]) + TblMili[[#This Row],[Draftees]]</f>
        <v>826</v>
      </c>
      <c r="C111" s="165">
        <f ca="1">TblPop[[#This Row],[Military%]]</f>
        <v>0.35029686174724345</v>
      </c>
      <c r="D111" s="150"/>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f>
        <v>25</v>
      </c>
      <c r="J111" s="45">
        <f ca="1">OFFSET(TblMili[[#This Row],[Wizards]],-1,0) + OFFSET(TblMili[[#This Row],[Train Wiz]],-12,0) - TblMili[[#This Row],[Release Wizards]]-TblMili[[#This Row],[Train Arch]]</f>
        <v>25</v>
      </c>
      <c r="K111" s="45">
        <f ca="1">OFFSET(TblMili[[#This Row],[Archmages]],-1,0) + OFFSET(TblMili[[#This Row],[Train Arch]],-12,0) - TblMili[[#This Row],[Release Arch]]</f>
        <v>0</v>
      </c>
      <c r="L111" s="150"/>
      <c r="M111" s="97">
        <f ca="1">TblProd[[#This Row],[Networth]]</f>
        <v>6450</v>
      </c>
      <c r="N111" s="150"/>
      <c r="O111" s="267">
        <f ca="1">TblMili[[#This Row],[Unit 1]]*spec_op+TblMili[[#This Row],[Unit 3]]*(elite1_base_op)+TblMili[[#This Row],[Unit 4]]*(elite2_base_op+dark_elf*TblMili[[#This Row],[Spellblade]]+icekin*TblMili[[#This Row],[Ice Elemental]]+woodie*TblMili[[#This Row],[Druid (op)]]+orc*TblMili[[#This Row],[Orc]])+kobold*TblMili[[#This Row],[Overlords]]</f>
        <v>0</v>
      </c>
      <c r="P11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1" s="267">
        <f ca="1">TblMili[[#This Row],[Raw]]*(1+TblMili[[#This Row],[Mods_Off]])</f>
        <v>0</v>
      </c>
      <c r="R11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1" s="267">
        <f ca="1">TblMili[[#This Row],[Non Draft]]+TblMili[[#This Row],[Draftees]]</f>
        <v>1076</v>
      </c>
      <c r="T11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269">
        <f ca="1">TblMili[[#This Row],[Non Draft]] * (1 + TblMili[[#This Row],[Mods_Def]])</f>
        <v>450</v>
      </c>
      <c r="V111" s="267">
        <f ca="1">TblMili[[#This Row],[Draft]] * (1 + TblMili[[#This Row],[Mods_Def]])</f>
        <v>1076</v>
      </c>
      <c r="W111" s="267">
        <f ca="1">TblConstr[[#This Row],[Land]]</f>
        <v>250</v>
      </c>
      <c r="X111" s="270"/>
      <c r="Y111" s="275">
        <f ca="1">IF(TblMili[[#This Row],[Set]]&lt;&gt;"",TblMili[[#This Row],[Set]],OFFSET(TblMili[[#This Row],[Draftrate]],-1,0))</f>
        <v>0.35</v>
      </c>
      <c r="Z111" s="97">
        <f ca="1">OFFSET(TblMili[[#This Row],[Draftees]],-1,0)+OFFSET(TblPop[[#This Row],[Draft Growth]],-1,0) - SUM(TblMili[[#This Row],[Train Unit 1]:[Train Wiz]]) - TblMili[[#This Row],[Release Draft]] + SUM(TblMili[[#This Row],[Release Unit 1]:[Release Arch]]) -TblExplore[[#This Row],[Draftees (2)]]</f>
        <v>626</v>
      </c>
      <c r="AA111" s="162"/>
      <c r="AB111" s="188">
        <f ca="1">(TblConstr[[#This Row],[Tot Smi]]+TblConstr[[#This Row],[Dest Smi]])/(TblConstr[[#This Row],[Land]]-TblExplore[[#This Row],[Land Bonus]]*20)</f>
        <v>0</v>
      </c>
      <c r="AC111" s="145"/>
      <c r="AD111" s="266">
        <f>TblMili[[#This Row],[Hour]]</f>
        <v>108</v>
      </c>
      <c r="AE111" s="146">
        <f ca="1">TblExplore[[#This Row],[Time]]</f>
        <v>44815.208333333074</v>
      </c>
      <c r="AF111" s="187"/>
      <c r="AG111" s="187"/>
      <c r="AH111" s="187"/>
      <c r="AI111" s="187"/>
      <c r="AJ111" s="187"/>
      <c r="AK111" s="187"/>
      <c r="AL111" s="187"/>
      <c r="AM111" s="150"/>
      <c r="AN111" s="97">
        <f ca="1">TblProd[[#This Row],[Platinum]]</f>
        <v>687880</v>
      </c>
      <c r="AO111" s="97">
        <f ca="1">INDEX(TblProd[[#Headers],[Lumber]]:TblProd[[#This Row],[Ore]],COUNTA(TblProd[[#Headers],[Lumber]]:TblProd[[#This Row],[Lumber]]),MATCH(Military!$AO$2,TblProd[[#Headers],[Lumber]:[Ore]],0))</f>
        <v>0</v>
      </c>
      <c r="AP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97">
        <f ca="1">TblMili[[#This Row],[Train Unit 1]]*TblMili[[#This Row],[OP Ore]]+TblMili[[#This Row],[Train Unit 2]]*TblMili[[#This Row],[DP Ore]]+TblMili[[#This Row],[Train Unit 3]]*TblMili[[#This Row],[E1 Ore]]+TblMili[[#This Row],[Train Unit 4]]*TblMili[[#This Row],[E2 Ore]]</f>
        <v>0</v>
      </c>
      <c r="AR111" s="150">
        <f>TblMili[[#This Row],[Hour]]</f>
        <v>108</v>
      </c>
      <c r="AS111" s="160">
        <f ca="1">TblMili[[#This Row],[Time]]</f>
        <v>44815.208333333074</v>
      </c>
      <c r="AT111" s="97">
        <f ca="1">TblMili[[#This Row],[Draftees]]</f>
        <v>626</v>
      </c>
      <c r="AU111" s="187"/>
      <c r="AV111" s="187"/>
      <c r="AW111" s="187"/>
      <c r="AX111" s="187"/>
      <c r="AY111" s="187"/>
      <c r="AZ111" s="187"/>
      <c r="BA111" s="187"/>
      <c r="BB111" s="187"/>
      <c r="BC111" s="150"/>
      <c r="BD111" s="165">
        <f ca="1">TblConstr[[#This Row],[Tot WG]]/TblConstr[[#This Row],[Land]]</f>
        <v>0</v>
      </c>
      <c r="BE111" s="165">
        <f ca="1">TblConstr[[#This Row],[Tot Hav]]/TblConstr[[#This Row],[Land]]</f>
        <v>0</v>
      </c>
      <c r="BF111" s="97">
        <f ca="1">ROUNDUP((1-MIN(TblMili[[#This Row],[Smithies]]*smithy_bonus,smithy_bonus_cap) + tech_3_5*TblTech[[#This Row],[3-5]] + tech_5_3*TblTech[[#This Row],[5-3]] + tech_5_5*TblTech[[#This Row],[5-5]])*spec_op_plat,0)</f>
        <v>275</v>
      </c>
      <c r="BG111" s="97">
        <f ca="1">ROUNDUP(IF(race="Gnome",1,(1-MIN(TblMili[[#This Row],[Smithies]]*smithy_bonus,smithy_bonus_cap) + tech_3_5*TblTech[[#This Row],[3-5]] + tech_5_3*TblTech[[#This Row],[5-3]] + tech_5_5*TblTech[[#This Row],[5-5]]))*spec_op_ore,0)</f>
        <v>25</v>
      </c>
      <c r="BH111" s="97">
        <f ca="1">ROUNDUP((1-MIN(TblMili[[#This Row],[Smithies]]*smithy_bonus,smithy_bonus_cap) + tech_3_5*TblTech[[#This Row],[3-5]] + tech_5_3*TblTech[[#This Row],[5-3]] + tech_5_5*TblTech[[#This Row],[5-5]])*spec_dp_plat,0)</f>
        <v>275</v>
      </c>
      <c r="BI111" s="97">
        <f ca="1">ROUNDUP(IF(race="Gnome",1,(1-MIN(TblMili[[#This Row],[Smithies]]*smithy_bonus,smithy_bonus_cap) + tech_3_5*TblTech[[#This Row],[3-5]] + tech_5_3*TblTech[[#This Row],[5-3]] + tech_5_5*TblTech[[#This Row],[5-5]]))*spec_dp_ore,0)</f>
        <v>15</v>
      </c>
      <c r="BJ111" s="97">
        <f ca="1">ROUNDUP((1-MIN(TblMili[[#This Row],[Smithies]]*smithy_bonus,smithy_bonus_cap) + tech_3_5*TblTech[[#This Row],[3-5]] + tech_5_3*TblTech[[#This Row],[5-3]] + tech_5_5*TblTech[[#This Row],[5-5]])*elite1_plat,0)</f>
        <v>1000</v>
      </c>
      <c r="BK111" s="97">
        <f ca="1">ROUNDUP(IF(race="Gnome",1,(1-MIN(TblMili[[#This Row],[Smithies]]*smithy_bonus,smithy_bonus_cap) + tech_3_5*TblTech[[#This Row],[3-5]] + tech_5_3*TblTech[[#This Row],[5-3]] + tech_5_5*TblTech[[#This Row],[5-5]]))*elite1_ore,0)</f>
        <v>75</v>
      </c>
      <c r="BL111" s="97">
        <f ca="1">ROUNDUP((1-MIN(TblMili[[#This Row],[Smithies]]*smithy_bonus,smithy_bonus_cap) + tech_3_5*TblTech[[#This Row],[3-5]] + tech_5_3*TblTech[[#This Row],[5-3]] + tech_5_5*TblTech[[#This Row],[5-5]])*elite2_plat,0)</f>
        <v>1200</v>
      </c>
      <c r="BM111" s="97">
        <f ca="1">ROUNDUP(IF(race="Gnome",1,(1-MIN(TblMili[[#This Row],[Smithies]]*smithy_bonus,smithy_bonus_cap) + tech_3_5*TblTech[[#This Row],[3-5]] + tech_5_3*TblTech[[#This Row],[5-3]] + tech_5_5*TblTech[[#This Row],[5-5]]))*elite2_ore,0)</f>
        <v>100</v>
      </c>
      <c r="BN111" s="97">
        <f ca="1">ROUNDUP((1-MIN(ROUND(fh_spy_cost_red*TblMili[[#This Row],[FH''s]],4),fh_spy_cost_cap)+ tech_1_9*TblTech[[#This Row],[1-9]] + tech_9_1*TblTech[[#This Row],[9-1]])*spy_plat,0)</f>
        <v>500</v>
      </c>
      <c r="BO111" s="97">
        <f ca="1">ROUNDUP((1-MIN(ROUND(wg_wiz_cost_bonus*TblMili[[#This Row],[WG''s]],4),wg_wiz_cost_cap) + tech_1_9_2*TblTech[[#This Row],[1-9]] + tech_9_1_2*TblTech[[#This Row],[9-1]])*wizard_plat,0)</f>
        <v>500</v>
      </c>
      <c r="BP111" s="97">
        <f ca="1">ROUNDUP((1-MIN(ROUND(wg_wiz_cost_bonus*TblMili[[#This Row],[WG''s]],4),wg_wiz_cost_cap) + tech_1_9_2*TblTech[[#This Row],[1-9]] + tech_9_1_2*TblTech[[#This Row],[9-1]])*archmage_plat,0)</f>
        <v>1000</v>
      </c>
      <c r="BQ111" s="150"/>
      <c r="BR111" s="165">
        <f ca="1">TblConstr[[#This Row],[Homeland]]/TblConstr[[#This Row],[Land]]</f>
        <v>0.44</v>
      </c>
      <c r="BS111" s="165">
        <f ca="1">TblMili[[#This Row],[WG''s]]</f>
        <v>0</v>
      </c>
      <c r="BT111" s="271">
        <f ca="1">IF(mystic_cap="none",TblMili[[#This Row],[Hill]]/mystic_bonus,MIN(mystic_cap,TblMili[[#This Row],[Hill]]/mystic_bonus))</f>
        <v>2.1999999999999997</v>
      </c>
      <c r="BU111" s="271">
        <f ca="1">IF(druid_op_cap="none",TblMili[[#This Row],[Hill]]/druid_op_bonus,MIN(druid_op_cap,TblMili[[#This Row],[Hill]]/druid_op_bonus))</f>
        <v>2.1999999999999997</v>
      </c>
      <c r="BV111" s="271">
        <f ca="1">IF(druid_dp_cap="none",TblMili[[#This Row],[Hill]]/druid_dp_bonus,MIN(druid_dp_cap,TblMili[[#This Row],[Hill]]/druid_dp_bonus))</f>
        <v>2.1999999999999997</v>
      </c>
      <c r="BW111" s="271">
        <f ca="1">MIN(dryad_cap,TblMili[[#This Row],[Hill]]/dryad_bonus)</f>
        <v>2.1999999999999997</v>
      </c>
      <c r="BX111" s="271">
        <f ca="1">MIN(rocka_cap,TblMili[[#This Row],[Hill]]/rocka_bonus)</f>
        <v>2</v>
      </c>
      <c r="BY111" s="271">
        <f ca="1">MIN(adept_op_cap,TblMili[[#This Row],[WG]]/adept_op_bonus)</f>
        <v>0</v>
      </c>
      <c r="BZ111" s="271">
        <f ca="1">MIN(adept_dp_cap,TblMili[[#This Row],[WG]]/adept_dp_bonus)</f>
        <v>0</v>
      </c>
      <c r="CA111" s="97">
        <f ca="1">MIN(TblMili[[#This Row],[Unit 3]],TblMili[[#This Row],[Unit 4]])*2</f>
        <v>0</v>
      </c>
      <c r="CB111" s="97">
        <f ca="1">MIN(TblMili[[#This Row],[Unit 1]],TblMili[[#This Row],[Unit 4]])*2</f>
        <v>0</v>
      </c>
      <c r="CC111" s="271">
        <f ca="1">MIN(frost_mage_cap,TblMili[[#This Row],[Hill]]/frost_mage_bonus)</f>
        <v>2.1999999999999997</v>
      </c>
      <c r="CD111" s="45">
        <f ca="1">MIN(ice_elem_cap,TblMili[[#This Row],[Raw (2)]]*ice_elem_bonus)</f>
        <v>0.1</v>
      </c>
      <c r="CE111" s="271">
        <f t="shared" si="4"/>
        <v>1</v>
      </c>
      <c r="CF111" s="271">
        <f ca="1">MIN(nox_nightshade_cap,TblConstr[[#This Row],[Homeland]]/TblConstr[[#This Row],[Land]]/nox_nightshade_swamp_bonus)</f>
        <v>3</v>
      </c>
      <c r="CG111" s="272"/>
      <c r="CH111" s="272"/>
      <c r="CI111" s="272"/>
      <c r="CJ111" s="271">
        <f ca="1">MIN(6,TblMili[[#This Row],[Mystic]]+Races!$F$19)*1.8 +  IF(TblMili[[#This Row],[Mystic]]+Races!$F$19&gt;6,(TblMili[[#This Row],[Mystic]]+Races!$F$19-6)*0.2,0) - Races!$I$19</f>
        <v>3.6399999999999997</v>
      </c>
      <c r="CK11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97">
        <f ca="1">TblMili[[#This Row],[Mystic bonus]]*TblMili[[#This Row],[Unit 3]]+TblMili[[#This Row],[Druid bonus]]*TblMili[[#This Row],[Unit 4]]</f>
        <v>0</v>
      </c>
      <c r="CM111" s="163">
        <f ca="1">MIN(6,TblMili[[#This Row],[Dryad]]+Races!$F$35)*1.8 +  IF(TblMili[[#This Row],[Dryad]]+Races!$F$35&gt;6,(TblMili[[#This Row],[Dryad]]+Races!$F$35-6)*0.2,0) - Races!$I$19</f>
        <v>2.1599999999999993</v>
      </c>
      <c r="CN111" s="97">
        <f ca="1">sylvan*(TblMili[[#This Row],[Mystic bonus]]*TblMili[[#This Row],[Unit 3]])</f>
        <v>0</v>
      </c>
      <c r="CO111" s="163">
        <f ca="1">1.8 * MIN(MAX(Races!$E$27,TblMili[[#This Row],[Rockapult]]+Races!$F$27),6)  +  0.45 * MIN(MIN(Races!$E$27,TblMili[[#This Row],[Rockapult]]+Races!$F$27),6)  +  0.2 * ( MAX(Races!$E$27-6,0) + MAX(TblMili[[#This Row],[Rockapult]]+Races!$F$27-6,0) )  -  Races!$I$20</f>
        <v>5.8500000000000005</v>
      </c>
      <c r="CP111" s="97">
        <f ca="1">gnome*(TblMili[[#This Row],[Rockapult bonus]]*TblMili[[#This Row],[Unit 3]])</f>
        <v>0</v>
      </c>
      <c r="CQ111" s="163">
        <f ca="1">1.8 * MIN(MAX(TblMili[[#This Row],[Spellblade]]+Races!$E$47,TblMili[[#This Row],[Adept-DP]]+Races!$F$47),6)  +  0.45 * MIN(MIN(TblMili[[#This Row],[Spellblade]]+Races!$E$47,TblMili[[#This Row],[Adept-DP]]+Races!$F$47),6)  +  0.2 * ( MAX(TblMili[[#This Row],[Spellblade]]+Races!$E$47-6,0) + MAX(TblMili[[#This Row],[Adept-DP]]+Races!$F$47-6,0) )  -  Races!$I$47</f>
        <v>0</v>
      </c>
      <c r="CR111" s="97">
        <f ca="1">dark_elf*(TblMili[[#This Row],[Adept bonus]]*TblMili[[#This Row],[Unit 3]])</f>
        <v>0</v>
      </c>
      <c r="CS111" s="163">
        <f ca="1">1.8 * MIN(MAX(TblMili[[#This Row],[Frost Mage]]+Races!$F$71,Races!$E$71),6)  +  0.45 * MIN(MIN(TblMili[[#This Row],[Frost Mage]]+Races!$F$71,Races!$E$71),6)  +  0.2 * ( MAX(TblMili[[#This Row],[Frost Mage]]+Races!$F$71-6,0) + MAX(Races!$E$71-6,0) )  -  Races!$I$71</f>
        <v>3.9599999999999991</v>
      </c>
      <c r="CT111" s="163">
        <f ca="1">1.8 * MIN(MAX(TblMili[[#This Row],[Ice Elemental]]+Races!$E$71,Races!$F$71),6)  +  0.45 * MIN(MIN(TblMili[[#This Row],[Ice Elemental]]+Races!$E$71,Races!$F$71),6)  +  0.2 * ( MAX(TblMili[[#This Row],[Ice Elemental]]+Races!$E$71-6,0) + MAX(Races!$F$71-6,0) )  -  Races!$I$71</f>
        <v>0.17999999999999972</v>
      </c>
      <c r="CU111" s="97">
        <f ca="1">TblMili[[#This Row],[Frost Mage bonus]]*TblMili[[#This Row],[Unit 3]]+TblMili[[#This Row],[Ice Elemental bonus]]*TblMili[[#This Row],[Unit 4]]</f>
        <v>0</v>
      </c>
      <c r="CV111" s="273"/>
      <c r="CW111" s="151">
        <f ca="1">MIN(SUM(TblConstr[[#This Row],[Plain]:[Water]])/TblMili[[#This Row],[Land]]/favorable_terrain_bonus/100,favorable_terrain_max)</f>
        <v>0.1</v>
      </c>
      <c r="CX111" s="273"/>
      <c r="CY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50"/>
      <c r="DA111" s="274">
        <f ca="1">(TblMili[[#This Row],[Wizards]]+2*TblMili[[#This Row],[Archmages]])/TblConstr[[#This Row],[Land]]</f>
        <v>0.1</v>
      </c>
      <c r="DB111" s="274">
        <f ca="1">TblMili[[#This Row],[Raw (2)]]*(1+race_wizard_strength+IF(TblMili[[#This Row],[Hour]]&gt;72,tech_magical_weaponry_wiz*TblTech[[#This Row],[3-5]],0))</f>
        <v>0.1</v>
      </c>
    </row>
    <row r="112" spans="1:106" x14ac:dyDescent="0.2">
      <c r="A112" s="145">
        <f>TblRezone[[#This Row],[Hour]]</f>
        <v>109</v>
      </c>
      <c r="B112" s="266">
        <f ca="1">SUM(TblMili[[#This Row],[Unit 1]:[Archmages]])+SUM(OFFSET(TblMili[[#This Row],[Train Unit 1]],-8,0):TblMili[[#This Row],[Train Unit 2]]) + SUM(OFFSET(TblMili[[#This Row],[Train Unit 3]],-11,0):TblMili[[#This Row],[Train Arch]]) + TblMili[[#This Row],[Draftees]]</f>
        <v>826</v>
      </c>
      <c r="C112" s="165">
        <f ca="1">TblPop[[#This Row],[Military%]]</f>
        <v>0.35029686174724345</v>
      </c>
      <c r="D112" s="150"/>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f>
        <v>25</v>
      </c>
      <c r="J112" s="45">
        <f ca="1">OFFSET(TblMili[[#This Row],[Wizards]],-1,0) + OFFSET(TblMili[[#This Row],[Train Wiz]],-12,0) - TblMili[[#This Row],[Release Wizards]]-TblMili[[#This Row],[Train Arch]]</f>
        <v>25</v>
      </c>
      <c r="K112" s="45">
        <f ca="1">OFFSET(TblMili[[#This Row],[Archmages]],-1,0) + OFFSET(TblMili[[#This Row],[Train Arch]],-12,0) - TblMili[[#This Row],[Release Arch]]</f>
        <v>0</v>
      </c>
      <c r="L112" s="150"/>
      <c r="M112" s="97">
        <f ca="1">TblProd[[#This Row],[Networth]]</f>
        <v>6450</v>
      </c>
      <c r="N112" s="150"/>
      <c r="O112" s="267">
        <f ca="1">TblMili[[#This Row],[Unit 1]]*spec_op+TblMili[[#This Row],[Unit 3]]*(elite1_base_op)+TblMili[[#This Row],[Unit 4]]*(elite2_base_op+dark_elf*TblMili[[#This Row],[Spellblade]]+icekin*TblMili[[#This Row],[Ice Elemental]]+woodie*TblMili[[#This Row],[Druid (op)]]+orc*TblMili[[#This Row],[Orc]])+kobold*TblMili[[#This Row],[Overlords]]</f>
        <v>0</v>
      </c>
      <c r="P11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2" s="267">
        <f ca="1">TblMili[[#This Row],[Raw]]*(1+TblMili[[#This Row],[Mods_Off]])</f>
        <v>0</v>
      </c>
      <c r="R11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2" s="267">
        <f ca="1">TblMili[[#This Row],[Non Draft]]+TblMili[[#This Row],[Draftees]]</f>
        <v>1076</v>
      </c>
      <c r="T11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269">
        <f ca="1">TblMili[[#This Row],[Non Draft]] * (1 + TblMili[[#This Row],[Mods_Def]])</f>
        <v>450</v>
      </c>
      <c r="V112" s="267">
        <f ca="1">TblMili[[#This Row],[Draft]] * (1 + TblMili[[#This Row],[Mods_Def]])</f>
        <v>1076</v>
      </c>
      <c r="W112" s="267">
        <f ca="1">TblConstr[[#This Row],[Land]]</f>
        <v>250</v>
      </c>
      <c r="X112" s="270"/>
      <c r="Y112" s="275">
        <f ca="1">IF(TblMili[[#This Row],[Set]]&lt;&gt;"",TblMili[[#This Row],[Set]],OFFSET(TblMili[[#This Row],[Draftrate]],-1,0))</f>
        <v>0.35</v>
      </c>
      <c r="Z112" s="97">
        <f ca="1">OFFSET(TblMili[[#This Row],[Draftees]],-1,0)+OFFSET(TblPop[[#This Row],[Draft Growth]],-1,0) - SUM(TblMili[[#This Row],[Train Unit 1]:[Train Wiz]]) - TblMili[[#This Row],[Release Draft]] + SUM(TblMili[[#This Row],[Release Unit 1]:[Release Arch]]) -TblExplore[[#This Row],[Draftees (2)]]</f>
        <v>626</v>
      </c>
      <c r="AA112" s="162"/>
      <c r="AB112" s="188">
        <f ca="1">(TblConstr[[#This Row],[Tot Smi]]+TblConstr[[#This Row],[Dest Smi]])/(TblConstr[[#This Row],[Land]]-TblExplore[[#This Row],[Land Bonus]]*20)</f>
        <v>0</v>
      </c>
      <c r="AC112" s="145"/>
      <c r="AD112" s="266">
        <f>TblMili[[#This Row],[Hour]]</f>
        <v>109</v>
      </c>
      <c r="AE112" s="146">
        <f ca="1">TblExplore[[#This Row],[Time]]</f>
        <v>44815.249999999738</v>
      </c>
      <c r="AF112" s="187"/>
      <c r="AG112" s="187"/>
      <c r="AH112" s="187"/>
      <c r="AI112" s="187"/>
      <c r="AJ112" s="187"/>
      <c r="AK112" s="187"/>
      <c r="AL112" s="187"/>
      <c r="AM112" s="150"/>
      <c r="AN112" s="97">
        <f ca="1">TblProd[[#This Row],[Platinum]]</f>
        <v>693366</v>
      </c>
      <c r="AO112" s="97">
        <f ca="1">INDEX(TblProd[[#Headers],[Lumber]]:TblProd[[#This Row],[Ore]],COUNTA(TblProd[[#Headers],[Lumber]]:TblProd[[#This Row],[Lumber]]),MATCH(Military!$AO$2,TblProd[[#Headers],[Lumber]:[Ore]],0))</f>
        <v>0</v>
      </c>
      <c r="AP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97">
        <f ca="1">TblMili[[#This Row],[Train Unit 1]]*TblMili[[#This Row],[OP Ore]]+TblMili[[#This Row],[Train Unit 2]]*TblMili[[#This Row],[DP Ore]]+TblMili[[#This Row],[Train Unit 3]]*TblMili[[#This Row],[E1 Ore]]+TblMili[[#This Row],[Train Unit 4]]*TblMili[[#This Row],[E2 Ore]]</f>
        <v>0</v>
      </c>
      <c r="AR112" s="150">
        <f>TblMili[[#This Row],[Hour]]</f>
        <v>109</v>
      </c>
      <c r="AS112" s="160">
        <f ca="1">TblMili[[#This Row],[Time]]</f>
        <v>44815.249999999738</v>
      </c>
      <c r="AT112" s="97">
        <f ca="1">TblMili[[#This Row],[Draftees]]</f>
        <v>626</v>
      </c>
      <c r="AU112" s="187"/>
      <c r="AV112" s="187"/>
      <c r="AW112" s="187"/>
      <c r="AX112" s="187"/>
      <c r="AY112" s="187"/>
      <c r="AZ112" s="187"/>
      <c r="BA112" s="187"/>
      <c r="BB112" s="187"/>
      <c r="BC112" s="150"/>
      <c r="BD112" s="165">
        <f ca="1">TblConstr[[#This Row],[Tot WG]]/TblConstr[[#This Row],[Land]]</f>
        <v>0</v>
      </c>
      <c r="BE112" s="165">
        <f ca="1">TblConstr[[#This Row],[Tot Hav]]/TblConstr[[#This Row],[Land]]</f>
        <v>0</v>
      </c>
      <c r="BF112" s="97">
        <f ca="1">ROUNDUP((1-MIN(TblMili[[#This Row],[Smithies]]*smithy_bonus,smithy_bonus_cap) + tech_3_5*TblTech[[#This Row],[3-5]] + tech_5_3*TblTech[[#This Row],[5-3]] + tech_5_5*TblTech[[#This Row],[5-5]])*spec_op_plat,0)</f>
        <v>275</v>
      </c>
      <c r="BG112" s="97">
        <f ca="1">ROUNDUP(IF(race="Gnome",1,(1-MIN(TblMili[[#This Row],[Smithies]]*smithy_bonus,smithy_bonus_cap) + tech_3_5*TblTech[[#This Row],[3-5]] + tech_5_3*TblTech[[#This Row],[5-3]] + tech_5_5*TblTech[[#This Row],[5-5]]))*spec_op_ore,0)</f>
        <v>25</v>
      </c>
      <c r="BH112" s="97">
        <f ca="1">ROUNDUP((1-MIN(TblMili[[#This Row],[Smithies]]*smithy_bonus,smithy_bonus_cap) + tech_3_5*TblTech[[#This Row],[3-5]] + tech_5_3*TblTech[[#This Row],[5-3]] + tech_5_5*TblTech[[#This Row],[5-5]])*spec_dp_plat,0)</f>
        <v>275</v>
      </c>
      <c r="BI112" s="97">
        <f ca="1">ROUNDUP(IF(race="Gnome",1,(1-MIN(TblMili[[#This Row],[Smithies]]*smithy_bonus,smithy_bonus_cap) + tech_3_5*TblTech[[#This Row],[3-5]] + tech_5_3*TblTech[[#This Row],[5-3]] + tech_5_5*TblTech[[#This Row],[5-5]]))*spec_dp_ore,0)</f>
        <v>15</v>
      </c>
      <c r="BJ112" s="97">
        <f ca="1">ROUNDUP((1-MIN(TblMili[[#This Row],[Smithies]]*smithy_bonus,smithy_bonus_cap) + tech_3_5*TblTech[[#This Row],[3-5]] + tech_5_3*TblTech[[#This Row],[5-3]] + tech_5_5*TblTech[[#This Row],[5-5]])*elite1_plat,0)</f>
        <v>1000</v>
      </c>
      <c r="BK112" s="97">
        <f ca="1">ROUNDUP(IF(race="Gnome",1,(1-MIN(TblMili[[#This Row],[Smithies]]*smithy_bonus,smithy_bonus_cap) + tech_3_5*TblTech[[#This Row],[3-5]] + tech_5_3*TblTech[[#This Row],[5-3]] + tech_5_5*TblTech[[#This Row],[5-5]]))*elite1_ore,0)</f>
        <v>75</v>
      </c>
      <c r="BL112" s="97">
        <f ca="1">ROUNDUP((1-MIN(TblMili[[#This Row],[Smithies]]*smithy_bonus,smithy_bonus_cap) + tech_3_5*TblTech[[#This Row],[3-5]] + tech_5_3*TblTech[[#This Row],[5-3]] + tech_5_5*TblTech[[#This Row],[5-5]])*elite2_plat,0)</f>
        <v>1200</v>
      </c>
      <c r="BM112" s="97">
        <f ca="1">ROUNDUP(IF(race="Gnome",1,(1-MIN(TblMili[[#This Row],[Smithies]]*smithy_bonus,smithy_bonus_cap) + tech_3_5*TblTech[[#This Row],[3-5]] + tech_5_3*TblTech[[#This Row],[5-3]] + tech_5_5*TblTech[[#This Row],[5-5]]))*elite2_ore,0)</f>
        <v>100</v>
      </c>
      <c r="BN112" s="97">
        <f ca="1">ROUNDUP((1-MIN(ROUND(fh_spy_cost_red*TblMili[[#This Row],[FH''s]],4),fh_spy_cost_cap)+ tech_1_9*TblTech[[#This Row],[1-9]] + tech_9_1*TblTech[[#This Row],[9-1]])*spy_plat,0)</f>
        <v>500</v>
      </c>
      <c r="BO112" s="97">
        <f ca="1">ROUNDUP((1-MIN(ROUND(wg_wiz_cost_bonus*TblMili[[#This Row],[WG''s]],4),wg_wiz_cost_cap) + tech_1_9_2*TblTech[[#This Row],[1-9]] + tech_9_1_2*TblTech[[#This Row],[9-1]])*wizard_plat,0)</f>
        <v>500</v>
      </c>
      <c r="BP112" s="97">
        <f ca="1">ROUNDUP((1-MIN(ROUND(wg_wiz_cost_bonus*TblMili[[#This Row],[WG''s]],4),wg_wiz_cost_cap) + tech_1_9_2*TblTech[[#This Row],[1-9]] + tech_9_1_2*TblTech[[#This Row],[9-1]])*archmage_plat,0)</f>
        <v>1000</v>
      </c>
      <c r="BQ112" s="150"/>
      <c r="BR112" s="165">
        <f ca="1">TblConstr[[#This Row],[Homeland]]/TblConstr[[#This Row],[Land]]</f>
        <v>0.44</v>
      </c>
      <c r="BS112" s="165">
        <f ca="1">TblMili[[#This Row],[WG''s]]</f>
        <v>0</v>
      </c>
      <c r="BT112" s="271">
        <f ca="1">IF(mystic_cap="none",TblMili[[#This Row],[Hill]]/mystic_bonus,MIN(mystic_cap,TblMili[[#This Row],[Hill]]/mystic_bonus))</f>
        <v>2.1999999999999997</v>
      </c>
      <c r="BU112" s="271">
        <f ca="1">IF(druid_op_cap="none",TblMili[[#This Row],[Hill]]/druid_op_bonus,MIN(druid_op_cap,TblMili[[#This Row],[Hill]]/druid_op_bonus))</f>
        <v>2.1999999999999997</v>
      </c>
      <c r="BV112" s="271">
        <f ca="1">IF(druid_dp_cap="none",TblMili[[#This Row],[Hill]]/druid_dp_bonus,MIN(druid_dp_cap,TblMili[[#This Row],[Hill]]/druid_dp_bonus))</f>
        <v>2.1999999999999997</v>
      </c>
      <c r="BW112" s="271">
        <f ca="1">MIN(dryad_cap,TblMili[[#This Row],[Hill]]/dryad_bonus)</f>
        <v>2.1999999999999997</v>
      </c>
      <c r="BX112" s="271">
        <f ca="1">MIN(rocka_cap,TblMili[[#This Row],[Hill]]/rocka_bonus)</f>
        <v>2</v>
      </c>
      <c r="BY112" s="271">
        <f ca="1">MIN(adept_op_cap,TblMili[[#This Row],[WG]]/adept_op_bonus)</f>
        <v>0</v>
      </c>
      <c r="BZ112" s="271">
        <f ca="1">MIN(adept_dp_cap,TblMili[[#This Row],[WG]]/adept_dp_bonus)</f>
        <v>0</v>
      </c>
      <c r="CA112" s="97">
        <f ca="1">MIN(TblMili[[#This Row],[Unit 3]],TblMili[[#This Row],[Unit 4]])*2</f>
        <v>0</v>
      </c>
      <c r="CB112" s="97">
        <f ca="1">MIN(TblMili[[#This Row],[Unit 1]],TblMili[[#This Row],[Unit 4]])*2</f>
        <v>0</v>
      </c>
      <c r="CC112" s="271">
        <f ca="1">MIN(frost_mage_cap,TblMili[[#This Row],[Hill]]/frost_mage_bonus)</f>
        <v>2.1999999999999997</v>
      </c>
      <c r="CD112" s="45">
        <f ca="1">MIN(ice_elem_cap,TblMili[[#This Row],[Raw (2)]]*ice_elem_bonus)</f>
        <v>0.1</v>
      </c>
      <c r="CE112" s="271">
        <f t="shared" si="4"/>
        <v>1</v>
      </c>
      <c r="CF112" s="271">
        <f ca="1">MIN(nox_nightshade_cap,TblConstr[[#This Row],[Homeland]]/TblConstr[[#This Row],[Land]]/nox_nightshade_swamp_bonus)</f>
        <v>3</v>
      </c>
      <c r="CG112" s="272"/>
      <c r="CH112" s="272"/>
      <c r="CI112" s="272"/>
      <c r="CJ112" s="271">
        <f ca="1">MIN(6,TblMili[[#This Row],[Mystic]]+Races!$F$19)*1.8 +  IF(TblMili[[#This Row],[Mystic]]+Races!$F$19&gt;6,(TblMili[[#This Row],[Mystic]]+Races!$F$19-6)*0.2,0) - Races!$I$19</f>
        <v>3.6399999999999997</v>
      </c>
      <c r="CK11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97">
        <f ca="1">TblMili[[#This Row],[Mystic bonus]]*TblMili[[#This Row],[Unit 3]]+TblMili[[#This Row],[Druid bonus]]*TblMili[[#This Row],[Unit 4]]</f>
        <v>0</v>
      </c>
      <c r="CM112" s="163">
        <f ca="1">MIN(6,TblMili[[#This Row],[Dryad]]+Races!$F$35)*1.8 +  IF(TblMili[[#This Row],[Dryad]]+Races!$F$35&gt;6,(TblMili[[#This Row],[Dryad]]+Races!$F$35-6)*0.2,0) - Races!$I$19</f>
        <v>2.1599999999999993</v>
      </c>
      <c r="CN112" s="97">
        <f ca="1">sylvan*(TblMili[[#This Row],[Mystic bonus]]*TblMili[[#This Row],[Unit 3]])</f>
        <v>0</v>
      </c>
      <c r="CO112" s="163">
        <f ca="1">1.8 * MIN(MAX(Races!$E$27,TblMili[[#This Row],[Rockapult]]+Races!$F$27),6)  +  0.45 * MIN(MIN(Races!$E$27,TblMili[[#This Row],[Rockapult]]+Races!$F$27),6)  +  0.2 * ( MAX(Races!$E$27-6,0) + MAX(TblMili[[#This Row],[Rockapult]]+Races!$F$27-6,0) )  -  Races!$I$20</f>
        <v>5.8500000000000005</v>
      </c>
      <c r="CP112" s="97">
        <f ca="1">gnome*(TblMili[[#This Row],[Rockapult bonus]]*TblMili[[#This Row],[Unit 3]])</f>
        <v>0</v>
      </c>
      <c r="CQ112" s="163">
        <f ca="1">1.8 * MIN(MAX(TblMili[[#This Row],[Spellblade]]+Races!$E$47,TblMili[[#This Row],[Adept-DP]]+Races!$F$47),6)  +  0.45 * MIN(MIN(TblMili[[#This Row],[Spellblade]]+Races!$E$47,TblMili[[#This Row],[Adept-DP]]+Races!$F$47),6)  +  0.2 * ( MAX(TblMili[[#This Row],[Spellblade]]+Races!$E$47-6,0) + MAX(TblMili[[#This Row],[Adept-DP]]+Races!$F$47-6,0) )  -  Races!$I$47</f>
        <v>0</v>
      </c>
      <c r="CR112" s="97">
        <f ca="1">dark_elf*(TblMili[[#This Row],[Adept bonus]]*TblMili[[#This Row],[Unit 3]])</f>
        <v>0</v>
      </c>
      <c r="CS112" s="163">
        <f ca="1">1.8 * MIN(MAX(TblMili[[#This Row],[Frost Mage]]+Races!$F$71,Races!$E$71),6)  +  0.45 * MIN(MIN(TblMili[[#This Row],[Frost Mage]]+Races!$F$71,Races!$E$71),6)  +  0.2 * ( MAX(TblMili[[#This Row],[Frost Mage]]+Races!$F$71-6,0) + MAX(Races!$E$71-6,0) )  -  Races!$I$71</f>
        <v>3.9599999999999991</v>
      </c>
      <c r="CT112" s="163">
        <f ca="1">1.8 * MIN(MAX(TblMili[[#This Row],[Ice Elemental]]+Races!$E$71,Races!$F$71),6)  +  0.45 * MIN(MIN(TblMili[[#This Row],[Ice Elemental]]+Races!$E$71,Races!$F$71),6)  +  0.2 * ( MAX(TblMili[[#This Row],[Ice Elemental]]+Races!$E$71-6,0) + MAX(Races!$F$71-6,0) )  -  Races!$I$71</f>
        <v>0.17999999999999972</v>
      </c>
      <c r="CU112" s="97">
        <f ca="1">TblMili[[#This Row],[Frost Mage bonus]]*TblMili[[#This Row],[Unit 3]]+TblMili[[#This Row],[Ice Elemental bonus]]*TblMili[[#This Row],[Unit 4]]</f>
        <v>0</v>
      </c>
      <c r="CV112" s="273"/>
      <c r="CW112" s="151">
        <f ca="1">MIN(SUM(TblConstr[[#This Row],[Plain]:[Water]])/TblMili[[#This Row],[Land]]/favorable_terrain_bonus/100,favorable_terrain_max)</f>
        <v>0.1</v>
      </c>
      <c r="CX112" s="273"/>
      <c r="CY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50"/>
      <c r="DA112" s="274">
        <f ca="1">(TblMili[[#This Row],[Wizards]]+2*TblMili[[#This Row],[Archmages]])/TblConstr[[#This Row],[Land]]</f>
        <v>0.1</v>
      </c>
      <c r="DB112" s="274">
        <f ca="1">TblMili[[#This Row],[Raw (2)]]*(1+race_wizard_strength+IF(TblMili[[#This Row],[Hour]]&gt;72,tech_magical_weaponry_wiz*TblTech[[#This Row],[3-5]],0))</f>
        <v>0.1</v>
      </c>
    </row>
    <row r="113" spans="1:106" x14ac:dyDescent="0.2">
      <c r="A113" s="145">
        <f>TblRezone[[#This Row],[Hour]]</f>
        <v>110</v>
      </c>
      <c r="B113" s="266">
        <f ca="1">SUM(TblMili[[#This Row],[Unit 1]:[Archmages]])+SUM(OFFSET(TblMili[[#This Row],[Train Unit 1]],-8,0):TblMili[[#This Row],[Train Unit 2]]) + SUM(OFFSET(TblMili[[#This Row],[Train Unit 3]],-11,0):TblMili[[#This Row],[Train Arch]]) + TblMili[[#This Row],[Draftees]]</f>
        <v>826</v>
      </c>
      <c r="C113" s="165">
        <f ca="1">TblPop[[#This Row],[Military%]]</f>
        <v>0.35029686174724345</v>
      </c>
      <c r="D113" s="150"/>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f>
        <v>25</v>
      </c>
      <c r="J113" s="45">
        <f ca="1">OFFSET(TblMili[[#This Row],[Wizards]],-1,0) + OFFSET(TblMili[[#This Row],[Train Wiz]],-12,0) - TblMili[[#This Row],[Release Wizards]]-TblMili[[#This Row],[Train Arch]]</f>
        <v>25</v>
      </c>
      <c r="K113" s="45">
        <f ca="1">OFFSET(TblMili[[#This Row],[Archmages]],-1,0) + OFFSET(TblMili[[#This Row],[Train Arch]],-12,0) - TblMili[[#This Row],[Release Arch]]</f>
        <v>0</v>
      </c>
      <c r="L113" s="150"/>
      <c r="M113" s="97">
        <f ca="1">TblProd[[#This Row],[Networth]]</f>
        <v>6450</v>
      </c>
      <c r="N113" s="150"/>
      <c r="O113" s="267">
        <f ca="1">TblMili[[#This Row],[Unit 1]]*spec_op+TblMili[[#This Row],[Unit 3]]*(elite1_base_op)+TblMili[[#This Row],[Unit 4]]*(elite2_base_op+dark_elf*TblMili[[#This Row],[Spellblade]]+icekin*TblMili[[#This Row],[Ice Elemental]]+woodie*TblMili[[#This Row],[Druid (op)]]+orc*TblMili[[#This Row],[Orc]])+kobold*TblMili[[#This Row],[Overlords]]</f>
        <v>0</v>
      </c>
      <c r="P11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3" s="267">
        <f ca="1">TblMili[[#This Row],[Raw]]*(1+TblMili[[#This Row],[Mods_Off]])</f>
        <v>0</v>
      </c>
      <c r="R11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3" s="267">
        <f ca="1">TblMili[[#This Row],[Non Draft]]+TblMili[[#This Row],[Draftees]]</f>
        <v>1076</v>
      </c>
      <c r="T11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269">
        <f ca="1">TblMili[[#This Row],[Non Draft]] * (1 + TblMili[[#This Row],[Mods_Def]])</f>
        <v>450</v>
      </c>
      <c r="V113" s="267">
        <f ca="1">TblMili[[#This Row],[Draft]] * (1 + TblMili[[#This Row],[Mods_Def]])</f>
        <v>1076</v>
      </c>
      <c r="W113" s="267">
        <f ca="1">TblConstr[[#This Row],[Land]]</f>
        <v>250</v>
      </c>
      <c r="X113" s="270"/>
      <c r="Y113" s="275">
        <f ca="1">IF(TblMili[[#This Row],[Set]]&lt;&gt;"",TblMili[[#This Row],[Set]],OFFSET(TblMili[[#This Row],[Draftrate]],-1,0))</f>
        <v>0.35</v>
      </c>
      <c r="Z113" s="97">
        <f ca="1">OFFSET(TblMili[[#This Row],[Draftees]],-1,0)+OFFSET(TblPop[[#This Row],[Draft Growth]],-1,0) - SUM(TblMili[[#This Row],[Train Unit 1]:[Train Wiz]]) - TblMili[[#This Row],[Release Draft]] + SUM(TblMili[[#This Row],[Release Unit 1]:[Release Arch]]) -TblExplore[[#This Row],[Draftees (2)]]</f>
        <v>626</v>
      </c>
      <c r="AA113" s="162"/>
      <c r="AB113" s="188">
        <f ca="1">(TblConstr[[#This Row],[Tot Smi]]+TblConstr[[#This Row],[Dest Smi]])/(TblConstr[[#This Row],[Land]]-TblExplore[[#This Row],[Land Bonus]]*20)</f>
        <v>0</v>
      </c>
      <c r="AC113" s="145"/>
      <c r="AD113" s="266">
        <f>TblMili[[#This Row],[Hour]]</f>
        <v>110</v>
      </c>
      <c r="AE113" s="146">
        <f ca="1">TblExplore[[#This Row],[Time]]</f>
        <v>44815.291666666402</v>
      </c>
      <c r="AF113" s="187"/>
      <c r="AG113" s="187"/>
      <c r="AH113" s="187"/>
      <c r="AI113" s="187"/>
      <c r="AJ113" s="187"/>
      <c r="AK113" s="187"/>
      <c r="AL113" s="187"/>
      <c r="AM113" s="150"/>
      <c r="AN113" s="97">
        <f ca="1">TblProd[[#This Row],[Platinum]]</f>
        <v>698852</v>
      </c>
      <c r="AO113" s="97">
        <f ca="1">INDEX(TblProd[[#Headers],[Lumber]]:TblProd[[#This Row],[Ore]],COUNTA(TblProd[[#Headers],[Lumber]]:TblProd[[#This Row],[Lumber]]),MATCH(Military!$AO$2,TblProd[[#Headers],[Lumber]:[Ore]],0))</f>
        <v>0</v>
      </c>
      <c r="AP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97">
        <f ca="1">TblMili[[#This Row],[Train Unit 1]]*TblMili[[#This Row],[OP Ore]]+TblMili[[#This Row],[Train Unit 2]]*TblMili[[#This Row],[DP Ore]]+TblMili[[#This Row],[Train Unit 3]]*TblMili[[#This Row],[E1 Ore]]+TblMili[[#This Row],[Train Unit 4]]*TblMili[[#This Row],[E2 Ore]]</f>
        <v>0</v>
      </c>
      <c r="AR113" s="150">
        <f>TblMili[[#This Row],[Hour]]</f>
        <v>110</v>
      </c>
      <c r="AS113" s="160">
        <f ca="1">TblMili[[#This Row],[Time]]</f>
        <v>44815.291666666402</v>
      </c>
      <c r="AT113" s="97">
        <f ca="1">TblMili[[#This Row],[Draftees]]</f>
        <v>626</v>
      </c>
      <c r="AU113" s="187"/>
      <c r="AV113" s="187"/>
      <c r="AW113" s="187"/>
      <c r="AX113" s="187"/>
      <c r="AY113" s="187"/>
      <c r="AZ113" s="187"/>
      <c r="BA113" s="187"/>
      <c r="BB113" s="187"/>
      <c r="BC113" s="150"/>
      <c r="BD113" s="165">
        <f ca="1">TblConstr[[#This Row],[Tot WG]]/TblConstr[[#This Row],[Land]]</f>
        <v>0</v>
      </c>
      <c r="BE113" s="165">
        <f ca="1">TblConstr[[#This Row],[Tot Hav]]/TblConstr[[#This Row],[Land]]</f>
        <v>0</v>
      </c>
      <c r="BF113" s="97">
        <f ca="1">ROUNDUP((1-MIN(TblMili[[#This Row],[Smithies]]*smithy_bonus,smithy_bonus_cap) + tech_3_5*TblTech[[#This Row],[3-5]] + tech_5_3*TblTech[[#This Row],[5-3]] + tech_5_5*TblTech[[#This Row],[5-5]])*spec_op_plat,0)</f>
        <v>275</v>
      </c>
      <c r="BG113" s="97">
        <f ca="1">ROUNDUP(IF(race="Gnome",1,(1-MIN(TblMili[[#This Row],[Smithies]]*smithy_bonus,smithy_bonus_cap) + tech_3_5*TblTech[[#This Row],[3-5]] + tech_5_3*TblTech[[#This Row],[5-3]] + tech_5_5*TblTech[[#This Row],[5-5]]))*spec_op_ore,0)</f>
        <v>25</v>
      </c>
      <c r="BH113" s="97">
        <f ca="1">ROUNDUP((1-MIN(TblMili[[#This Row],[Smithies]]*smithy_bonus,smithy_bonus_cap) + tech_3_5*TblTech[[#This Row],[3-5]] + tech_5_3*TblTech[[#This Row],[5-3]] + tech_5_5*TblTech[[#This Row],[5-5]])*spec_dp_plat,0)</f>
        <v>275</v>
      </c>
      <c r="BI113" s="97">
        <f ca="1">ROUNDUP(IF(race="Gnome",1,(1-MIN(TblMili[[#This Row],[Smithies]]*smithy_bonus,smithy_bonus_cap) + tech_3_5*TblTech[[#This Row],[3-5]] + tech_5_3*TblTech[[#This Row],[5-3]] + tech_5_5*TblTech[[#This Row],[5-5]]))*spec_dp_ore,0)</f>
        <v>15</v>
      </c>
      <c r="BJ113" s="97">
        <f ca="1">ROUNDUP((1-MIN(TblMili[[#This Row],[Smithies]]*smithy_bonus,smithy_bonus_cap) + tech_3_5*TblTech[[#This Row],[3-5]] + tech_5_3*TblTech[[#This Row],[5-3]] + tech_5_5*TblTech[[#This Row],[5-5]])*elite1_plat,0)</f>
        <v>1000</v>
      </c>
      <c r="BK113" s="97">
        <f ca="1">ROUNDUP(IF(race="Gnome",1,(1-MIN(TblMili[[#This Row],[Smithies]]*smithy_bonus,smithy_bonus_cap) + tech_3_5*TblTech[[#This Row],[3-5]] + tech_5_3*TblTech[[#This Row],[5-3]] + tech_5_5*TblTech[[#This Row],[5-5]]))*elite1_ore,0)</f>
        <v>75</v>
      </c>
      <c r="BL113" s="97">
        <f ca="1">ROUNDUP((1-MIN(TblMili[[#This Row],[Smithies]]*smithy_bonus,smithy_bonus_cap) + tech_3_5*TblTech[[#This Row],[3-5]] + tech_5_3*TblTech[[#This Row],[5-3]] + tech_5_5*TblTech[[#This Row],[5-5]])*elite2_plat,0)</f>
        <v>1200</v>
      </c>
      <c r="BM113" s="97">
        <f ca="1">ROUNDUP(IF(race="Gnome",1,(1-MIN(TblMili[[#This Row],[Smithies]]*smithy_bonus,smithy_bonus_cap) + tech_3_5*TblTech[[#This Row],[3-5]] + tech_5_3*TblTech[[#This Row],[5-3]] + tech_5_5*TblTech[[#This Row],[5-5]]))*elite2_ore,0)</f>
        <v>100</v>
      </c>
      <c r="BN113" s="97">
        <f ca="1">ROUNDUP((1-MIN(ROUND(fh_spy_cost_red*TblMili[[#This Row],[FH''s]],4),fh_spy_cost_cap)+ tech_1_9*TblTech[[#This Row],[1-9]] + tech_9_1*TblTech[[#This Row],[9-1]])*spy_plat,0)</f>
        <v>500</v>
      </c>
      <c r="BO113" s="97">
        <f ca="1">ROUNDUP((1-MIN(ROUND(wg_wiz_cost_bonus*TblMili[[#This Row],[WG''s]],4),wg_wiz_cost_cap) + tech_1_9_2*TblTech[[#This Row],[1-9]] + tech_9_1_2*TblTech[[#This Row],[9-1]])*wizard_plat,0)</f>
        <v>500</v>
      </c>
      <c r="BP113" s="97">
        <f ca="1">ROUNDUP((1-MIN(ROUND(wg_wiz_cost_bonus*TblMili[[#This Row],[WG''s]],4),wg_wiz_cost_cap) + tech_1_9_2*TblTech[[#This Row],[1-9]] + tech_9_1_2*TblTech[[#This Row],[9-1]])*archmage_plat,0)</f>
        <v>1000</v>
      </c>
      <c r="BQ113" s="150"/>
      <c r="BR113" s="165">
        <f ca="1">TblConstr[[#This Row],[Homeland]]/TblConstr[[#This Row],[Land]]</f>
        <v>0.44</v>
      </c>
      <c r="BS113" s="165">
        <f ca="1">TblMili[[#This Row],[WG''s]]</f>
        <v>0</v>
      </c>
      <c r="BT113" s="271">
        <f ca="1">IF(mystic_cap="none",TblMili[[#This Row],[Hill]]/mystic_bonus,MIN(mystic_cap,TblMili[[#This Row],[Hill]]/mystic_bonus))</f>
        <v>2.1999999999999997</v>
      </c>
      <c r="BU113" s="271">
        <f ca="1">IF(druid_op_cap="none",TblMili[[#This Row],[Hill]]/druid_op_bonus,MIN(druid_op_cap,TblMili[[#This Row],[Hill]]/druid_op_bonus))</f>
        <v>2.1999999999999997</v>
      </c>
      <c r="BV113" s="271">
        <f ca="1">IF(druid_dp_cap="none",TblMili[[#This Row],[Hill]]/druid_dp_bonus,MIN(druid_dp_cap,TblMili[[#This Row],[Hill]]/druid_dp_bonus))</f>
        <v>2.1999999999999997</v>
      </c>
      <c r="BW113" s="271">
        <f ca="1">MIN(dryad_cap,TblMili[[#This Row],[Hill]]/dryad_bonus)</f>
        <v>2.1999999999999997</v>
      </c>
      <c r="BX113" s="271">
        <f ca="1">MIN(rocka_cap,TblMili[[#This Row],[Hill]]/rocka_bonus)</f>
        <v>2</v>
      </c>
      <c r="BY113" s="271">
        <f ca="1">MIN(adept_op_cap,TblMili[[#This Row],[WG]]/adept_op_bonus)</f>
        <v>0</v>
      </c>
      <c r="BZ113" s="271">
        <f ca="1">MIN(adept_dp_cap,TblMili[[#This Row],[WG]]/adept_dp_bonus)</f>
        <v>0</v>
      </c>
      <c r="CA113" s="97">
        <f ca="1">MIN(TblMili[[#This Row],[Unit 3]],TblMili[[#This Row],[Unit 4]])*2</f>
        <v>0</v>
      </c>
      <c r="CB113" s="97">
        <f ca="1">MIN(TblMili[[#This Row],[Unit 1]],TblMili[[#This Row],[Unit 4]])*2</f>
        <v>0</v>
      </c>
      <c r="CC113" s="271">
        <f ca="1">MIN(frost_mage_cap,TblMili[[#This Row],[Hill]]/frost_mage_bonus)</f>
        <v>2.1999999999999997</v>
      </c>
      <c r="CD113" s="45">
        <f ca="1">MIN(ice_elem_cap,TblMili[[#This Row],[Raw (2)]]*ice_elem_bonus)</f>
        <v>0.1</v>
      </c>
      <c r="CE113" s="271">
        <f t="shared" si="4"/>
        <v>1</v>
      </c>
      <c r="CF113" s="271">
        <f ca="1">MIN(nox_nightshade_cap,TblConstr[[#This Row],[Homeland]]/TblConstr[[#This Row],[Land]]/nox_nightshade_swamp_bonus)</f>
        <v>3</v>
      </c>
      <c r="CG113" s="272"/>
      <c r="CH113" s="272"/>
      <c r="CI113" s="272"/>
      <c r="CJ113" s="271">
        <f ca="1">MIN(6,TblMili[[#This Row],[Mystic]]+Races!$F$19)*1.8 +  IF(TblMili[[#This Row],[Mystic]]+Races!$F$19&gt;6,(TblMili[[#This Row],[Mystic]]+Races!$F$19-6)*0.2,0) - Races!$I$19</f>
        <v>3.6399999999999997</v>
      </c>
      <c r="CK11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97">
        <f ca="1">TblMili[[#This Row],[Mystic bonus]]*TblMili[[#This Row],[Unit 3]]+TblMili[[#This Row],[Druid bonus]]*TblMili[[#This Row],[Unit 4]]</f>
        <v>0</v>
      </c>
      <c r="CM113" s="163">
        <f ca="1">MIN(6,TblMili[[#This Row],[Dryad]]+Races!$F$35)*1.8 +  IF(TblMili[[#This Row],[Dryad]]+Races!$F$35&gt;6,(TblMili[[#This Row],[Dryad]]+Races!$F$35-6)*0.2,0) - Races!$I$19</f>
        <v>2.1599999999999993</v>
      </c>
      <c r="CN113" s="97">
        <f ca="1">sylvan*(TblMili[[#This Row],[Mystic bonus]]*TblMili[[#This Row],[Unit 3]])</f>
        <v>0</v>
      </c>
      <c r="CO113" s="163">
        <f ca="1">1.8 * MIN(MAX(Races!$E$27,TblMili[[#This Row],[Rockapult]]+Races!$F$27),6)  +  0.45 * MIN(MIN(Races!$E$27,TblMili[[#This Row],[Rockapult]]+Races!$F$27),6)  +  0.2 * ( MAX(Races!$E$27-6,0) + MAX(TblMili[[#This Row],[Rockapult]]+Races!$F$27-6,0) )  -  Races!$I$20</f>
        <v>5.8500000000000005</v>
      </c>
      <c r="CP113" s="97">
        <f ca="1">gnome*(TblMili[[#This Row],[Rockapult bonus]]*TblMili[[#This Row],[Unit 3]])</f>
        <v>0</v>
      </c>
      <c r="CQ113" s="163">
        <f ca="1">1.8 * MIN(MAX(TblMili[[#This Row],[Spellblade]]+Races!$E$47,TblMili[[#This Row],[Adept-DP]]+Races!$F$47),6)  +  0.45 * MIN(MIN(TblMili[[#This Row],[Spellblade]]+Races!$E$47,TblMili[[#This Row],[Adept-DP]]+Races!$F$47),6)  +  0.2 * ( MAX(TblMili[[#This Row],[Spellblade]]+Races!$E$47-6,0) + MAX(TblMili[[#This Row],[Adept-DP]]+Races!$F$47-6,0) )  -  Races!$I$47</f>
        <v>0</v>
      </c>
      <c r="CR113" s="97">
        <f ca="1">dark_elf*(TblMili[[#This Row],[Adept bonus]]*TblMili[[#This Row],[Unit 3]])</f>
        <v>0</v>
      </c>
      <c r="CS113" s="163">
        <f ca="1">1.8 * MIN(MAX(TblMili[[#This Row],[Frost Mage]]+Races!$F$71,Races!$E$71),6)  +  0.45 * MIN(MIN(TblMili[[#This Row],[Frost Mage]]+Races!$F$71,Races!$E$71),6)  +  0.2 * ( MAX(TblMili[[#This Row],[Frost Mage]]+Races!$F$71-6,0) + MAX(Races!$E$71-6,0) )  -  Races!$I$71</f>
        <v>3.9599999999999991</v>
      </c>
      <c r="CT113" s="163">
        <f ca="1">1.8 * MIN(MAX(TblMili[[#This Row],[Ice Elemental]]+Races!$E$71,Races!$F$71),6)  +  0.45 * MIN(MIN(TblMili[[#This Row],[Ice Elemental]]+Races!$E$71,Races!$F$71),6)  +  0.2 * ( MAX(TblMili[[#This Row],[Ice Elemental]]+Races!$E$71-6,0) + MAX(Races!$F$71-6,0) )  -  Races!$I$71</f>
        <v>0.17999999999999972</v>
      </c>
      <c r="CU113" s="97">
        <f ca="1">TblMili[[#This Row],[Frost Mage bonus]]*TblMili[[#This Row],[Unit 3]]+TblMili[[#This Row],[Ice Elemental bonus]]*TblMili[[#This Row],[Unit 4]]</f>
        <v>0</v>
      </c>
      <c r="CV113" s="273"/>
      <c r="CW113" s="151">
        <f ca="1">MIN(SUM(TblConstr[[#This Row],[Plain]:[Water]])/TblMili[[#This Row],[Land]]/favorable_terrain_bonus/100,favorable_terrain_max)</f>
        <v>0.1</v>
      </c>
      <c r="CX113" s="273"/>
      <c r="CY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50"/>
      <c r="DA113" s="274">
        <f ca="1">(TblMili[[#This Row],[Wizards]]+2*TblMili[[#This Row],[Archmages]])/TblConstr[[#This Row],[Land]]</f>
        <v>0.1</v>
      </c>
      <c r="DB113" s="274">
        <f ca="1">TblMili[[#This Row],[Raw (2)]]*(1+race_wizard_strength+IF(TblMili[[#This Row],[Hour]]&gt;72,tech_magical_weaponry_wiz*TblTech[[#This Row],[3-5]],0))</f>
        <v>0.1</v>
      </c>
    </row>
    <row r="114" spans="1:106" x14ac:dyDescent="0.2">
      <c r="A114" s="145">
        <f>TblRezone[[#This Row],[Hour]]</f>
        <v>111</v>
      </c>
      <c r="B114" s="266">
        <f ca="1">SUM(TblMili[[#This Row],[Unit 1]:[Archmages]])+SUM(OFFSET(TblMili[[#This Row],[Train Unit 1]],-8,0):TblMili[[#This Row],[Train Unit 2]]) + SUM(OFFSET(TblMili[[#This Row],[Train Unit 3]],-11,0):TblMili[[#This Row],[Train Arch]]) + TblMili[[#This Row],[Draftees]]</f>
        <v>826</v>
      </c>
      <c r="C114" s="165">
        <f ca="1">TblPop[[#This Row],[Military%]]</f>
        <v>0.35029686174724345</v>
      </c>
      <c r="D114" s="150"/>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f>
        <v>25</v>
      </c>
      <c r="J114" s="45">
        <f ca="1">OFFSET(TblMili[[#This Row],[Wizards]],-1,0) + OFFSET(TblMili[[#This Row],[Train Wiz]],-12,0) - TblMili[[#This Row],[Release Wizards]]-TblMili[[#This Row],[Train Arch]]</f>
        <v>25</v>
      </c>
      <c r="K114" s="45">
        <f ca="1">OFFSET(TblMili[[#This Row],[Archmages]],-1,0) + OFFSET(TblMili[[#This Row],[Train Arch]],-12,0) - TblMili[[#This Row],[Release Arch]]</f>
        <v>0</v>
      </c>
      <c r="L114" s="150"/>
      <c r="M114" s="97">
        <f ca="1">TblProd[[#This Row],[Networth]]</f>
        <v>6450</v>
      </c>
      <c r="N114" s="150"/>
      <c r="O114" s="267">
        <f ca="1">TblMili[[#This Row],[Unit 1]]*spec_op+TblMili[[#This Row],[Unit 3]]*(elite1_base_op)+TblMili[[#This Row],[Unit 4]]*(elite2_base_op+dark_elf*TblMili[[#This Row],[Spellblade]]+icekin*TblMili[[#This Row],[Ice Elemental]]+woodie*TblMili[[#This Row],[Druid (op)]]+orc*TblMili[[#This Row],[Orc]])+kobold*TblMili[[#This Row],[Overlords]]</f>
        <v>0</v>
      </c>
      <c r="P11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4" s="267">
        <f ca="1">TblMili[[#This Row],[Raw]]*(1+TblMili[[#This Row],[Mods_Off]])</f>
        <v>0</v>
      </c>
      <c r="R11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4" s="267">
        <f ca="1">TblMili[[#This Row],[Non Draft]]+TblMili[[#This Row],[Draftees]]</f>
        <v>1076</v>
      </c>
      <c r="T11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269">
        <f ca="1">TblMili[[#This Row],[Non Draft]] * (1 + TblMili[[#This Row],[Mods_Def]])</f>
        <v>450</v>
      </c>
      <c r="V114" s="267">
        <f ca="1">TblMili[[#This Row],[Draft]] * (1 + TblMili[[#This Row],[Mods_Def]])</f>
        <v>1076</v>
      </c>
      <c r="W114" s="267">
        <f ca="1">TblConstr[[#This Row],[Land]]</f>
        <v>250</v>
      </c>
      <c r="X114" s="270"/>
      <c r="Y114" s="275">
        <f ca="1">IF(TblMili[[#This Row],[Set]]&lt;&gt;"",TblMili[[#This Row],[Set]],OFFSET(TblMili[[#This Row],[Draftrate]],-1,0))</f>
        <v>0.35</v>
      </c>
      <c r="Z114" s="97">
        <f ca="1">OFFSET(TblMili[[#This Row],[Draftees]],-1,0)+OFFSET(TblPop[[#This Row],[Draft Growth]],-1,0) - SUM(TblMili[[#This Row],[Train Unit 1]:[Train Wiz]]) - TblMili[[#This Row],[Release Draft]] + SUM(TblMili[[#This Row],[Release Unit 1]:[Release Arch]]) -TblExplore[[#This Row],[Draftees (2)]]</f>
        <v>626</v>
      </c>
      <c r="AA114" s="162"/>
      <c r="AB114" s="188">
        <f ca="1">(TblConstr[[#This Row],[Tot Smi]]+TblConstr[[#This Row],[Dest Smi]])/(TblConstr[[#This Row],[Land]]-TblExplore[[#This Row],[Land Bonus]]*20)</f>
        <v>0</v>
      </c>
      <c r="AC114" s="145"/>
      <c r="AD114" s="266">
        <f>TblMili[[#This Row],[Hour]]</f>
        <v>111</v>
      </c>
      <c r="AE114" s="146">
        <f ca="1">TblExplore[[#This Row],[Time]]</f>
        <v>44815.333333333067</v>
      </c>
      <c r="AF114" s="187"/>
      <c r="AG114" s="187"/>
      <c r="AH114" s="187"/>
      <c r="AI114" s="187"/>
      <c r="AJ114" s="187"/>
      <c r="AK114" s="187"/>
      <c r="AL114" s="187"/>
      <c r="AM114" s="150"/>
      <c r="AN114" s="97">
        <f ca="1">TblProd[[#This Row],[Platinum]]</f>
        <v>704338</v>
      </c>
      <c r="AO114" s="97">
        <f ca="1">INDEX(TblProd[[#Headers],[Lumber]]:TblProd[[#This Row],[Ore]],COUNTA(TblProd[[#Headers],[Lumber]]:TblProd[[#This Row],[Lumber]]),MATCH(Military!$AO$2,TblProd[[#Headers],[Lumber]:[Ore]],0))</f>
        <v>0</v>
      </c>
      <c r="AP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97">
        <f ca="1">TblMili[[#This Row],[Train Unit 1]]*TblMili[[#This Row],[OP Ore]]+TblMili[[#This Row],[Train Unit 2]]*TblMili[[#This Row],[DP Ore]]+TblMili[[#This Row],[Train Unit 3]]*TblMili[[#This Row],[E1 Ore]]+TblMili[[#This Row],[Train Unit 4]]*TblMili[[#This Row],[E2 Ore]]</f>
        <v>0</v>
      </c>
      <c r="AR114" s="150">
        <f>TblMili[[#This Row],[Hour]]</f>
        <v>111</v>
      </c>
      <c r="AS114" s="160">
        <f ca="1">TblMili[[#This Row],[Time]]</f>
        <v>44815.333333333067</v>
      </c>
      <c r="AT114" s="97">
        <f ca="1">TblMili[[#This Row],[Draftees]]</f>
        <v>626</v>
      </c>
      <c r="AU114" s="187"/>
      <c r="AV114" s="187"/>
      <c r="AW114" s="187"/>
      <c r="AX114" s="187"/>
      <c r="AY114" s="187"/>
      <c r="AZ114" s="187"/>
      <c r="BA114" s="187"/>
      <c r="BB114" s="187"/>
      <c r="BC114" s="150"/>
      <c r="BD114" s="165">
        <f ca="1">TblConstr[[#This Row],[Tot WG]]/TblConstr[[#This Row],[Land]]</f>
        <v>0</v>
      </c>
      <c r="BE114" s="165">
        <f ca="1">TblConstr[[#This Row],[Tot Hav]]/TblConstr[[#This Row],[Land]]</f>
        <v>0</v>
      </c>
      <c r="BF114" s="97">
        <f ca="1">ROUNDUP((1-MIN(TblMili[[#This Row],[Smithies]]*smithy_bonus,smithy_bonus_cap) + tech_3_5*TblTech[[#This Row],[3-5]] + tech_5_3*TblTech[[#This Row],[5-3]] + tech_5_5*TblTech[[#This Row],[5-5]])*spec_op_plat,0)</f>
        <v>275</v>
      </c>
      <c r="BG114" s="97">
        <f ca="1">ROUNDUP(IF(race="Gnome",1,(1-MIN(TblMili[[#This Row],[Smithies]]*smithy_bonus,smithy_bonus_cap) + tech_3_5*TblTech[[#This Row],[3-5]] + tech_5_3*TblTech[[#This Row],[5-3]] + tech_5_5*TblTech[[#This Row],[5-5]]))*spec_op_ore,0)</f>
        <v>25</v>
      </c>
      <c r="BH114" s="97">
        <f ca="1">ROUNDUP((1-MIN(TblMili[[#This Row],[Smithies]]*smithy_bonus,smithy_bonus_cap) + tech_3_5*TblTech[[#This Row],[3-5]] + tech_5_3*TblTech[[#This Row],[5-3]] + tech_5_5*TblTech[[#This Row],[5-5]])*spec_dp_plat,0)</f>
        <v>275</v>
      </c>
      <c r="BI114" s="97">
        <f ca="1">ROUNDUP(IF(race="Gnome",1,(1-MIN(TblMili[[#This Row],[Smithies]]*smithy_bonus,smithy_bonus_cap) + tech_3_5*TblTech[[#This Row],[3-5]] + tech_5_3*TblTech[[#This Row],[5-3]] + tech_5_5*TblTech[[#This Row],[5-5]]))*spec_dp_ore,0)</f>
        <v>15</v>
      </c>
      <c r="BJ114" s="97">
        <f ca="1">ROUNDUP((1-MIN(TblMili[[#This Row],[Smithies]]*smithy_bonus,smithy_bonus_cap) + tech_3_5*TblTech[[#This Row],[3-5]] + tech_5_3*TblTech[[#This Row],[5-3]] + tech_5_5*TblTech[[#This Row],[5-5]])*elite1_plat,0)</f>
        <v>1000</v>
      </c>
      <c r="BK114" s="97">
        <f ca="1">ROUNDUP(IF(race="Gnome",1,(1-MIN(TblMili[[#This Row],[Smithies]]*smithy_bonus,smithy_bonus_cap) + tech_3_5*TblTech[[#This Row],[3-5]] + tech_5_3*TblTech[[#This Row],[5-3]] + tech_5_5*TblTech[[#This Row],[5-5]]))*elite1_ore,0)</f>
        <v>75</v>
      </c>
      <c r="BL114" s="97">
        <f ca="1">ROUNDUP((1-MIN(TblMili[[#This Row],[Smithies]]*smithy_bonus,smithy_bonus_cap) + tech_3_5*TblTech[[#This Row],[3-5]] + tech_5_3*TblTech[[#This Row],[5-3]] + tech_5_5*TblTech[[#This Row],[5-5]])*elite2_plat,0)</f>
        <v>1200</v>
      </c>
      <c r="BM114" s="97">
        <f ca="1">ROUNDUP(IF(race="Gnome",1,(1-MIN(TblMili[[#This Row],[Smithies]]*smithy_bonus,smithy_bonus_cap) + tech_3_5*TblTech[[#This Row],[3-5]] + tech_5_3*TblTech[[#This Row],[5-3]] + tech_5_5*TblTech[[#This Row],[5-5]]))*elite2_ore,0)</f>
        <v>100</v>
      </c>
      <c r="BN114" s="97">
        <f ca="1">ROUNDUP((1-MIN(ROUND(fh_spy_cost_red*TblMili[[#This Row],[FH''s]],4),fh_spy_cost_cap)+ tech_1_9*TblTech[[#This Row],[1-9]] + tech_9_1*TblTech[[#This Row],[9-1]])*spy_plat,0)</f>
        <v>500</v>
      </c>
      <c r="BO114" s="97">
        <f ca="1">ROUNDUP((1-MIN(ROUND(wg_wiz_cost_bonus*TblMili[[#This Row],[WG''s]],4),wg_wiz_cost_cap) + tech_1_9_2*TblTech[[#This Row],[1-9]] + tech_9_1_2*TblTech[[#This Row],[9-1]])*wizard_plat,0)</f>
        <v>500</v>
      </c>
      <c r="BP114" s="97">
        <f ca="1">ROUNDUP((1-MIN(ROUND(wg_wiz_cost_bonus*TblMili[[#This Row],[WG''s]],4),wg_wiz_cost_cap) + tech_1_9_2*TblTech[[#This Row],[1-9]] + tech_9_1_2*TblTech[[#This Row],[9-1]])*archmage_plat,0)</f>
        <v>1000</v>
      </c>
      <c r="BQ114" s="150"/>
      <c r="BR114" s="165">
        <f ca="1">TblConstr[[#This Row],[Homeland]]/TblConstr[[#This Row],[Land]]</f>
        <v>0.44</v>
      </c>
      <c r="BS114" s="165">
        <f ca="1">TblMili[[#This Row],[WG''s]]</f>
        <v>0</v>
      </c>
      <c r="BT114" s="271">
        <f ca="1">IF(mystic_cap="none",TblMili[[#This Row],[Hill]]/mystic_bonus,MIN(mystic_cap,TblMili[[#This Row],[Hill]]/mystic_bonus))</f>
        <v>2.1999999999999997</v>
      </c>
      <c r="BU114" s="271">
        <f ca="1">IF(druid_op_cap="none",TblMili[[#This Row],[Hill]]/druid_op_bonus,MIN(druid_op_cap,TblMili[[#This Row],[Hill]]/druid_op_bonus))</f>
        <v>2.1999999999999997</v>
      </c>
      <c r="BV114" s="271">
        <f ca="1">IF(druid_dp_cap="none",TblMili[[#This Row],[Hill]]/druid_dp_bonus,MIN(druid_dp_cap,TblMili[[#This Row],[Hill]]/druid_dp_bonus))</f>
        <v>2.1999999999999997</v>
      </c>
      <c r="BW114" s="271">
        <f ca="1">MIN(dryad_cap,TblMili[[#This Row],[Hill]]/dryad_bonus)</f>
        <v>2.1999999999999997</v>
      </c>
      <c r="BX114" s="271">
        <f ca="1">MIN(rocka_cap,TblMili[[#This Row],[Hill]]/rocka_bonus)</f>
        <v>2</v>
      </c>
      <c r="BY114" s="271">
        <f ca="1">MIN(adept_op_cap,TblMili[[#This Row],[WG]]/adept_op_bonus)</f>
        <v>0</v>
      </c>
      <c r="BZ114" s="271">
        <f ca="1">MIN(adept_dp_cap,TblMili[[#This Row],[WG]]/adept_dp_bonus)</f>
        <v>0</v>
      </c>
      <c r="CA114" s="97">
        <f ca="1">MIN(TblMili[[#This Row],[Unit 3]],TblMili[[#This Row],[Unit 4]])*2</f>
        <v>0</v>
      </c>
      <c r="CB114" s="97">
        <f ca="1">MIN(TblMili[[#This Row],[Unit 1]],TblMili[[#This Row],[Unit 4]])*2</f>
        <v>0</v>
      </c>
      <c r="CC114" s="271">
        <f ca="1">MIN(frost_mage_cap,TblMili[[#This Row],[Hill]]/frost_mage_bonus)</f>
        <v>2.1999999999999997</v>
      </c>
      <c r="CD114" s="45">
        <f ca="1">MIN(ice_elem_cap,TblMili[[#This Row],[Raw (2)]]*ice_elem_bonus)</f>
        <v>0.1</v>
      </c>
      <c r="CE114" s="271">
        <f t="shared" si="4"/>
        <v>1</v>
      </c>
      <c r="CF114" s="271">
        <f ca="1">MIN(nox_nightshade_cap,TblConstr[[#This Row],[Homeland]]/TblConstr[[#This Row],[Land]]/nox_nightshade_swamp_bonus)</f>
        <v>3</v>
      </c>
      <c r="CG114" s="272"/>
      <c r="CH114" s="272"/>
      <c r="CI114" s="272"/>
      <c r="CJ114" s="271">
        <f ca="1">MIN(6,TblMili[[#This Row],[Mystic]]+Races!$F$19)*1.8 +  IF(TblMili[[#This Row],[Mystic]]+Races!$F$19&gt;6,(TblMili[[#This Row],[Mystic]]+Races!$F$19-6)*0.2,0) - Races!$I$19</f>
        <v>3.6399999999999997</v>
      </c>
      <c r="CK11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97">
        <f ca="1">TblMili[[#This Row],[Mystic bonus]]*TblMili[[#This Row],[Unit 3]]+TblMili[[#This Row],[Druid bonus]]*TblMili[[#This Row],[Unit 4]]</f>
        <v>0</v>
      </c>
      <c r="CM114" s="163">
        <f ca="1">MIN(6,TblMili[[#This Row],[Dryad]]+Races!$F$35)*1.8 +  IF(TblMili[[#This Row],[Dryad]]+Races!$F$35&gt;6,(TblMili[[#This Row],[Dryad]]+Races!$F$35-6)*0.2,0) - Races!$I$19</f>
        <v>2.1599999999999993</v>
      </c>
      <c r="CN114" s="97">
        <f ca="1">sylvan*(TblMili[[#This Row],[Mystic bonus]]*TblMili[[#This Row],[Unit 3]])</f>
        <v>0</v>
      </c>
      <c r="CO114" s="163">
        <f ca="1">1.8 * MIN(MAX(Races!$E$27,TblMili[[#This Row],[Rockapult]]+Races!$F$27),6)  +  0.45 * MIN(MIN(Races!$E$27,TblMili[[#This Row],[Rockapult]]+Races!$F$27),6)  +  0.2 * ( MAX(Races!$E$27-6,0) + MAX(TblMili[[#This Row],[Rockapult]]+Races!$F$27-6,0) )  -  Races!$I$20</f>
        <v>5.8500000000000005</v>
      </c>
      <c r="CP114" s="97">
        <f ca="1">gnome*(TblMili[[#This Row],[Rockapult bonus]]*TblMili[[#This Row],[Unit 3]])</f>
        <v>0</v>
      </c>
      <c r="CQ114" s="163">
        <f ca="1">1.8 * MIN(MAX(TblMili[[#This Row],[Spellblade]]+Races!$E$47,TblMili[[#This Row],[Adept-DP]]+Races!$F$47),6)  +  0.45 * MIN(MIN(TblMili[[#This Row],[Spellblade]]+Races!$E$47,TblMili[[#This Row],[Adept-DP]]+Races!$F$47),6)  +  0.2 * ( MAX(TblMili[[#This Row],[Spellblade]]+Races!$E$47-6,0) + MAX(TblMili[[#This Row],[Adept-DP]]+Races!$F$47-6,0) )  -  Races!$I$47</f>
        <v>0</v>
      </c>
      <c r="CR114" s="97">
        <f ca="1">dark_elf*(TblMili[[#This Row],[Adept bonus]]*TblMili[[#This Row],[Unit 3]])</f>
        <v>0</v>
      </c>
      <c r="CS114" s="163">
        <f ca="1">1.8 * MIN(MAX(TblMili[[#This Row],[Frost Mage]]+Races!$F$71,Races!$E$71),6)  +  0.45 * MIN(MIN(TblMili[[#This Row],[Frost Mage]]+Races!$F$71,Races!$E$71),6)  +  0.2 * ( MAX(TblMili[[#This Row],[Frost Mage]]+Races!$F$71-6,0) + MAX(Races!$E$71-6,0) )  -  Races!$I$71</f>
        <v>3.9599999999999991</v>
      </c>
      <c r="CT114" s="163">
        <f ca="1">1.8 * MIN(MAX(TblMili[[#This Row],[Ice Elemental]]+Races!$E$71,Races!$F$71),6)  +  0.45 * MIN(MIN(TblMili[[#This Row],[Ice Elemental]]+Races!$E$71,Races!$F$71),6)  +  0.2 * ( MAX(TblMili[[#This Row],[Ice Elemental]]+Races!$E$71-6,0) + MAX(Races!$F$71-6,0) )  -  Races!$I$71</f>
        <v>0.17999999999999972</v>
      </c>
      <c r="CU114" s="97">
        <f ca="1">TblMili[[#This Row],[Frost Mage bonus]]*TblMili[[#This Row],[Unit 3]]+TblMili[[#This Row],[Ice Elemental bonus]]*TblMili[[#This Row],[Unit 4]]</f>
        <v>0</v>
      </c>
      <c r="CV114" s="273"/>
      <c r="CW114" s="151">
        <f ca="1">MIN(SUM(TblConstr[[#This Row],[Plain]:[Water]])/TblMili[[#This Row],[Land]]/favorable_terrain_bonus/100,favorable_terrain_max)</f>
        <v>0.1</v>
      </c>
      <c r="CX114" s="273"/>
      <c r="CY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50"/>
      <c r="DA114" s="274">
        <f ca="1">(TblMili[[#This Row],[Wizards]]+2*TblMili[[#This Row],[Archmages]])/TblConstr[[#This Row],[Land]]</f>
        <v>0.1</v>
      </c>
      <c r="DB114" s="274">
        <f ca="1">TblMili[[#This Row],[Raw (2)]]*(1+race_wizard_strength+IF(TblMili[[#This Row],[Hour]]&gt;72,tech_magical_weaponry_wiz*TblTech[[#This Row],[3-5]],0))</f>
        <v>0.1</v>
      </c>
    </row>
    <row r="115" spans="1:106" x14ac:dyDescent="0.2">
      <c r="A115" s="145">
        <f>TblRezone[[#This Row],[Hour]]</f>
        <v>112</v>
      </c>
      <c r="B115" s="266">
        <f ca="1">SUM(TblMili[[#This Row],[Unit 1]:[Archmages]])+SUM(OFFSET(TblMili[[#This Row],[Train Unit 1]],-8,0):TblMili[[#This Row],[Train Unit 2]]) + SUM(OFFSET(TblMili[[#This Row],[Train Unit 3]],-11,0):TblMili[[#This Row],[Train Arch]]) + TblMili[[#This Row],[Draftees]]</f>
        <v>826</v>
      </c>
      <c r="C115" s="165">
        <f ca="1">TblPop[[#This Row],[Military%]]</f>
        <v>0.35029686174724345</v>
      </c>
      <c r="D115" s="150"/>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f>
        <v>25</v>
      </c>
      <c r="J115" s="45">
        <f ca="1">OFFSET(TblMili[[#This Row],[Wizards]],-1,0) + OFFSET(TblMili[[#This Row],[Train Wiz]],-12,0) - TblMili[[#This Row],[Release Wizards]]-TblMili[[#This Row],[Train Arch]]</f>
        <v>25</v>
      </c>
      <c r="K115" s="45">
        <f ca="1">OFFSET(TblMili[[#This Row],[Archmages]],-1,0) + OFFSET(TblMili[[#This Row],[Train Arch]],-12,0) - TblMili[[#This Row],[Release Arch]]</f>
        <v>0</v>
      </c>
      <c r="L115" s="150"/>
      <c r="M115" s="97">
        <f ca="1">TblProd[[#This Row],[Networth]]</f>
        <v>6450</v>
      </c>
      <c r="N115" s="150"/>
      <c r="O115" s="267">
        <f ca="1">TblMili[[#This Row],[Unit 1]]*spec_op+TblMili[[#This Row],[Unit 3]]*(elite1_base_op)+TblMili[[#This Row],[Unit 4]]*(elite2_base_op+dark_elf*TblMili[[#This Row],[Spellblade]]+icekin*TblMili[[#This Row],[Ice Elemental]]+woodie*TblMili[[#This Row],[Druid (op)]]+orc*TblMili[[#This Row],[Orc]])+kobold*TblMili[[#This Row],[Overlords]]</f>
        <v>0</v>
      </c>
      <c r="P11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5" s="267">
        <f ca="1">TblMili[[#This Row],[Raw]]*(1+TblMili[[#This Row],[Mods_Off]])</f>
        <v>0</v>
      </c>
      <c r="R11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5" s="267">
        <f ca="1">TblMili[[#This Row],[Non Draft]]+TblMili[[#This Row],[Draftees]]</f>
        <v>1076</v>
      </c>
      <c r="T11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269">
        <f ca="1">TblMili[[#This Row],[Non Draft]] * (1 + TblMili[[#This Row],[Mods_Def]])</f>
        <v>450</v>
      </c>
      <c r="V115" s="267">
        <f ca="1">TblMili[[#This Row],[Draft]] * (1 + TblMili[[#This Row],[Mods_Def]])</f>
        <v>1076</v>
      </c>
      <c r="W115" s="267">
        <f ca="1">TblConstr[[#This Row],[Land]]</f>
        <v>250</v>
      </c>
      <c r="X115" s="270"/>
      <c r="Y115" s="275">
        <f ca="1">IF(TblMili[[#This Row],[Set]]&lt;&gt;"",TblMili[[#This Row],[Set]],OFFSET(TblMili[[#This Row],[Draftrate]],-1,0))</f>
        <v>0.35</v>
      </c>
      <c r="Z115" s="97">
        <f ca="1">OFFSET(TblMili[[#This Row],[Draftees]],-1,0)+OFFSET(TblPop[[#This Row],[Draft Growth]],-1,0) - SUM(TblMili[[#This Row],[Train Unit 1]:[Train Wiz]]) - TblMili[[#This Row],[Release Draft]] + SUM(TblMili[[#This Row],[Release Unit 1]:[Release Arch]]) -TblExplore[[#This Row],[Draftees (2)]]</f>
        <v>626</v>
      </c>
      <c r="AA115" s="162"/>
      <c r="AB115" s="188">
        <f ca="1">(TblConstr[[#This Row],[Tot Smi]]+TblConstr[[#This Row],[Dest Smi]])/(TblConstr[[#This Row],[Land]]-TblExplore[[#This Row],[Land Bonus]]*20)</f>
        <v>0</v>
      </c>
      <c r="AC115" s="145"/>
      <c r="AD115" s="266">
        <f>TblMili[[#This Row],[Hour]]</f>
        <v>112</v>
      </c>
      <c r="AE115" s="146">
        <f ca="1">TblExplore[[#This Row],[Time]]</f>
        <v>44815.374999999731</v>
      </c>
      <c r="AF115" s="187"/>
      <c r="AG115" s="187"/>
      <c r="AH115" s="187"/>
      <c r="AI115" s="187"/>
      <c r="AJ115" s="187"/>
      <c r="AK115" s="187"/>
      <c r="AL115" s="187"/>
      <c r="AM115" s="150"/>
      <c r="AN115" s="97">
        <f ca="1">TblProd[[#This Row],[Platinum]]</f>
        <v>709824</v>
      </c>
      <c r="AO115" s="97">
        <f ca="1">INDEX(TblProd[[#Headers],[Lumber]]:TblProd[[#This Row],[Ore]],COUNTA(TblProd[[#Headers],[Lumber]]:TblProd[[#This Row],[Lumber]]),MATCH(Military!$AO$2,TblProd[[#Headers],[Lumber]:[Ore]],0))</f>
        <v>0</v>
      </c>
      <c r="AP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97">
        <f ca="1">TblMili[[#This Row],[Train Unit 1]]*TblMili[[#This Row],[OP Ore]]+TblMili[[#This Row],[Train Unit 2]]*TblMili[[#This Row],[DP Ore]]+TblMili[[#This Row],[Train Unit 3]]*TblMili[[#This Row],[E1 Ore]]+TblMili[[#This Row],[Train Unit 4]]*TblMili[[#This Row],[E2 Ore]]</f>
        <v>0</v>
      </c>
      <c r="AR115" s="150">
        <f>TblMili[[#This Row],[Hour]]</f>
        <v>112</v>
      </c>
      <c r="AS115" s="160">
        <f ca="1">TblMili[[#This Row],[Time]]</f>
        <v>44815.374999999731</v>
      </c>
      <c r="AT115" s="97">
        <f ca="1">TblMili[[#This Row],[Draftees]]</f>
        <v>626</v>
      </c>
      <c r="AU115" s="187"/>
      <c r="AV115" s="187"/>
      <c r="AW115" s="187"/>
      <c r="AX115" s="187"/>
      <c r="AY115" s="187"/>
      <c r="AZ115" s="187"/>
      <c r="BA115" s="187"/>
      <c r="BB115" s="187"/>
      <c r="BC115" s="150"/>
      <c r="BD115" s="165">
        <f ca="1">TblConstr[[#This Row],[Tot WG]]/TblConstr[[#This Row],[Land]]</f>
        <v>0</v>
      </c>
      <c r="BE115" s="165">
        <f ca="1">TblConstr[[#This Row],[Tot Hav]]/TblConstr[[#This Row],[Land]]</f>
        <v>0</v>
      </c>
      <c r="BF115" s="97">
        <f ca="1">ROUNDUP((1-MIN(TblMili[[#This Row],[Smithies]]*smithy_bonus,smithy_bonus_cap) + tech_3_5*TblTech[[#This Row],[3-5]] + tech_5_3*TblTech[[#This Row],[5-3]] + tech_5_5*TblTech[[#This Row],[5-5]])*spec_op_plat,0)</f>
        <v>275</v>
      </c>
      <c r="BG115" s="97">
        <f ca="1">ROUNDUP(IF(race="Gnome",1,(1-MIN(TblMili[[#This Row],[Smithies]]*smithy_bonus,smithy_bonus_cap) + tech_3_5*TblTech[[#This Row],[3-5]] + tech_5_3*TblTech[[#This Row],[5-3]] + tech_5_5*TblTech[[#This Row],[5-5]]))*spec_op_ore,0)</f>
        <v>25</v>
      </c>
      <c r="BH115" s="97">
        <f ca="1">ROUNDUP((1-MIN(TblMili[[#This Row],[Smithies]]*smithy_bonus,smithy_bonus_cap) + tech_3_5*TblTech[[#This Row],[3-5]] + tech_5_3*TblTech[[#This Row],[5-3]] + tech_5_5*TblTech[[#This Row],[5-5]])*spec_dp_plat,0)</f>
        <v>275</v>
      </c>
      <c r="BI115" s="97">
        <f ca="1">ROUNDUP(IF(race="Gnome",1,(1-MIN(TblMili[[#This Row],[Smithies]]*smithy_bonus,smithy_bonus_cap) + tech_3_5*TblTech[[#This Row],[3-5]] + tech_5_3*TblTech[[#This Row],[5-3]] + tech_5_5*TblTech[[#This Row],[5-5]]))*spec_dp_ore,0)</f>
        <v>15</v>
      </c>
      <c r="BJ115" s="97">
        <f ca="1">ROUNDUP((1-MIN(TblMili[[#This Row],[Smithies]]*smithy_bonus,smithy_bonus_cap) + tech_3_5*TblTech[[#This Row],[3-5]] + tech_5_3*TblTech[[#This Row],[5-3]] + tech_5_5*TblTech[[#This Row],[5-5]])*elite1_plat,0)</f>
        <v>1000</v>
      </c>
      <c r="BK115" s="97">
        <f ca="1">ROUNDUP(IF(race="Gnome",1,(1-MIN(TblMili[[#This Row],[Smithies]]*smithy_bonus,smithy_bonus_cap) + tech_3_5*TblTech[[#This Row],[3-5]] + tech_5_3*TblTech[[#This Row],[5-3]] + tech_5_5*TblTech[[#This Row],[5-5]]))*elite1_ore,0)</f>
        <v>75</v>
      </c>
      <c r="BL115" s="97">
        <f ca="1">ROUNDUP((1-MIN(TblMili[[#This Row],[Smithies]]*smithy_bonus,smithy_bonus_cap) + tech_3_5*TblTech[[#This Row],[3-5]] + tech_5_3*TblTech[[#This Row],[5-3]] + tech_5_5*TblTech[[#This Row],[5-5]])*elite2_plat,0)</f>
        <v>1200</v>
      </c>
      <c r="BM115" s="97">
        <f ca="1">ROUNDUP(IF(race="Gnome",1,(1-MIN(TblMili[[#This Row],[Smithies]]*smithy_bonus,smithy_bonus_cap) + tech_3_5*TblTech[[#This Row],[3-5]] + tech_5_3*TblTech[[#This Row],[5-3]] + tech_5_5*TblTech[[#This Row],[5-5]]))*elite2_ore,0)</f>
        <v>100</v>
      </c>
      <c r="BN115" s="97">
        <f ca="1">ROUNDUP((1-MIN(ROUND(fh_spy_cost_red*TblMili[[#This Row],[FH''s]],4),fh_spy_cost_cap)+ tech_1_9*TblTech[[#This Row],[1-9]] + tech_9_1*TblTech[[#This Row],[9-1]])*spy_plat,0)</f>
        <v>500</v>
      </c>
      <c r="BO115" s="97">
        <f ca="1">ROUNDUP((1-MIN(ROUND(wg_wiz_cost_bonus*TblMili[[#This Row],[WG''s]],4),wg_wiz_cost_cap) + tech_1_9_2*TblTech[[#This Row],[1-9]] + tech_9_1_2*TblTech[[#This Row],[9-1]])*wizard_plat,0)</f>
        <v>500</v>
      </c>
      <c r="BP115" s="97">
        <f ca="1">ROUNDUP((1-MIN(ROUND(wg_wiz_cost_bonus*TblMili[[#This Row],[WG''s]],4),wg_wiz_cost_cap) + tech_1_9_2*TblTech[[#This Row],[1-9]] + tech_9_1_2*TblTech[[#This Row],[9-1]])*archmage_plat,0)</f>
        <v>1000</v>
      </c>
      <c r="BQ115" s="150"/>
      <c r="BR115" s="165">
        <f ca="1">TblConstr[[#This Row],[Homeland]]/TblConstr[[#This Row],[Land]]</f>
        <v>0.44</v>
      </c>
      <c r="BS115" s="165">
        <f ca="1">TblMili[[#This Row],[WG''s]]</f>
        <v>0</v>
      </c>
      <c r="BT115" s="271">
        <f ca="1">IF(mystic_cap="none",TblMili[[#This Row],[Hill]]/mystic_bonus,MIN(mystic_cap,TblMili[[#This Row],[Hill]]/mystic_bonus))</f>
        <v>2.1999999999999997</v>
      </c>
      <c r="BU115" s="271">
        <f ca="1">IF(druid_op_cap="none",TblMili[[#This Row],[Hill]]/druid_op_bonus,MIN(druid_op_cap,TblMili[[#This Row],[Hill]]/druid_op_bonus))</f>
        <v>2.1999999999999997</v>
      </c>
      <c r="BV115" s="271">
        <f ca="1">IF(druid_dp_cap="none",TblMili[[#This Row],[Hill]]/druid_dp_bonus,MIN(druid_dp_cap,TblMili[[#This Row],[Hill]]/druid_dp_bonus))</f>
        <v>2.1999999999999997</v>
      </c>
      <c r="BW115" s="271">
        <f ca="1">MIN(dryad_cap,TblMili[[#This Row],[Hill]]/dryad_bonus)</f>
        <v>2.1999999999999997</v>
      </c>
      <c r="BX115" s="271">
        <f ca="1">MIN(rocka_cap,TblMili[[#This Row],[Hill]]/rocka_bonus)</f>
        <v>2</v>
      </c>
      <c r="BY115" s="271">
        <f ca="1">MIN(adept_op_cap,TblMili[[#This Row],[WG]]/adept_op_bonus)</f>
        <v>0</v>
      </c>
      <c r="BZ115" s="271">
        <f ca="1">MIN(adept_dp_cap,TblMili[[#This Row],[WG]]/adept_dp_bonus)</f>
        <v>0</v>
      </c>
      <c r="CA115" s="97">
        <f ca="1">MIN(TblMili[[#This Row],[Unit 3]],TblMili[[#This Row],[Unit 4]])*2</f>
        <v>0</v>
      </c>
      <c r="CB115" s="97">
        <f ca="1">MIN(TblMili[[#This Row],[Unit 1]],TblMili[[#This Row],[Unit 4]])*2</f>
        <v>0</v>
      </c>
      <c r="CC115" s="271">
        <f ca="1">MIN(frost_mage_cap,TblMili[[#This Row],[Hill]]/frost_mage_bonus)</f>
        <v>2.1999999999999997</v>
      </c>
      <c r="CD115" s="45">
        <f ca="1">MIN(ice_elem_cap,TblMili[[#This Row],[Raw (2)]]*ice_elem_bonus)</f>
        <v>0.1</v>
      </c>
      <c r="CE115" s="271">
        <f t="shared" si="4"/>
        <v>1</v>
      </c>
      <c r="CF115" s="271">
        <f ca="1">MIN(nox_nightshade_cap,TblConstr[[#This Row],[Homeland]]/TblConstr[[#This Row],[Land]]/nox_nightshade_swamp_bonus)</f>
        <v>3</v>
      </c>
      <c r="CG115" s="272"/>
      <c r="CH115" s="272"/>
      <c r="CI115" s="272"/>
      <c r="CJ115" s="271">
        <f ca="1">MIN(6,TblMili[[#This Row],[Mystic]]+Races!$F$19)*1.8 +  IF(TblMili[[#This Row],[Mystic]]+Races!$F$19&gt;6,(TblMili[[#This Row],[Mystic]]+Races!$F$19-6)*0.2,0) - Races!$I$19</f>
        <v>3.6399999999999997</v>
      </c>
      <c r="CK11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97">
        <f ca="1">TblMili[[#This Row],[Mystic bonus]]*TblMili[[#This Row],[Unit 3]]+TblMili[[#This Row],[Druid bonus]]*TblMili[[#This Row],[Unit 4]]</f>
        <v>0</v>
      </c>
      <c r="CM115" s="163">
        <f ca="1">MIN(6,TblMili[[#This Row],[Dryad]]+Races!$F$35)*1.8 +  IF(TblMili[[#This Row],[Dryad]]+Races!$F$35&gt;6,(TblMili[[#This Row],[Dryad]]+Races!$F$35-6)*0.2,0) - Races!$I$19</f>
        <v>2.1599999999999993</v>
      </c>
      <c r="CN115" s="97">
        <f ca="1">sylvan*(TblMili[[#This Row],[Mystic bonus]]*TblMili[[#This Row],[Unit 3]])</f>
        <v>0</v>
      </c>
      <c r="CO115" s="163">
        <f ca="1">1.8 * MIN(MAX(Races!$E$27,TblMili[[#This Row],[Rockapult]]+Races!$F$27),6)  +  0.45 * MIN(MIN(Races!$E$27,TblMili[[#This Row],[Rockapult]]+Races!$F$27),6)  +  0.2 * ( MAX(Races!$E$27-6,0) + MAX(TblMili[[#This Row],[Rockapult]]+Races!$F$27-6,0) )  -  Races!$I$20</f>
        <v>5.8500000000000005</v>
      </c>
      <c r="CP115" s="97">
        <f ca="1">gnome*(TblMili[[#This Row],[Rockapult bonus]]*TblMili[[#This Row],[Unit 3]])</f>
        <v>0</v>
      </c>
      <c r="CQ115" s="163">
        <f ca="1">1.8 * MIN(MAX(TblMili[[#This Row],[Spellblade]]+Races!$E$47,TblMili[[#This Row],[Adept-DP]]+Races!$F$47),6)  +  0.45 * MIN(MIN(TblMili[[#This Row],[Spellblade]]+Races!$E$47,TblMili[[#This Row],[Adept-DP]]+Races!$F$47),6)  +  0.2 * ( MAX(TblMili[[#This Row],[Spellblade]]+Races!$E$47-6,0) + MAX(TblMili[[#This Row],[Adept-DP]]+Races!$F$47-6,0) )  -  Races!$I$47</f>
        <v>0</v>
      </c>
      <c r="CR115" s="97">
        <f ca="1">dark_elf*(TblMili[[#This Row],[Adept bonus]]*TblMili[[#This Row],[Unit 3]])</f>
        <v>0</v>
      </c>
      <c r="CS115" s="163">
        <f ca="1">1.8 * MIN(MAX(TblMili[[#This Row],[Frost Mage]]+Races!$F$71,Races!$E$71),6)  +  0.45 * MIN(MIN(TblMili[[#This Row],[Frost Mage]]+Races!$F$71,Races!$E$71),6)  +  0.2 * ( MAX(TblMili[[#This Row],[Frost Mage]]+Races!$F$71-6,0) + MAX(Races!$E$71-6,0) )  -  Races!$I$71</f>
        <v>3.9599999999999991</v>
      </c>
      <c r="CT115" s="163">
        <f ca="1">1.8 * MIN(MAX(TblMili[[#This Row],[Ice Elemental]]+Races!$E$71,Races!$F$71),6)  +  0.45 * MIN(MIN(TblMili[[#This Row],[Ice Elemental]]+Races!$E$71,Races!$F$71),6)  +  0.2 * ( MAX(TblMili[[#This Row],[Ice Elemental]]+Races!$E$71-6,0) + MAX(Races!$F$71-6,0) )  -  Races!$I$71</f>
        <v>0.17999999999999972</v>
      </c>
      <c r="CU115" s="97">
        <f ca="1">TblMili[[#This Row],[Frost Mage bonus]]*TblMili[[#This Row],[Unit 3]]+TblMili[[#This Row],[Ice Elemental bonus]]*TblMili[[#This Row],[Unit 4]]</f>
        <v>0</v>
      </c>
      <c r="CV115" s="273"/>
      <c r="CW115" s="151">
        <f ca="1">MIN(SUM(TblConstr[[#This Row],[Plain]:[Water]])/TblMili[[#This Row],[Land]]/favorable_terrain_bonus/100,favorable_terrain_max)</f>
        <v>0.1</v>
      </c>
      <c r="CX115" s="273"/>
      <c r="CY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50"/>
      <c r="DA115" s="274">
        <f ca="1">(TblMili[[#This Row],[Wizards]]+2*TblMili[[#This Row],[Archmages]])/TblConstr[[#This Row],[Land]]</f>
        <v>0.1</v>
      </c>
      <c r="DB115" s="274">
        <f ca="1">TblMili[[#This Row],[Raw (2)]]*(1+race_wizard_strength+IF(TblMili[[#This Row],[Hour]]&gt;72,tech_magical_weaponry_wiz*TblTech[[#This Row],[3-5]],0))</f>
        <v>0.1</v>
      </c>
    </row>
    <row r="116" spans="1:106" x14ac:dyDescent="0.2">
      <c r="A116" s="145">
        <f>TblRezone[[#This Row],[Hour]]</f>
        <v>113</v>
      </c>
      <c r="B116" s="266">
        <f ca="1">SUM(TblMili[[#This Row],[Unit 1]:[Archmages]])+SUM(OFFSET(TblMili[[#This Row],[Train Unit 1]],-8,0):TblMili[[#This Row],[Train Unit 2]]) + SUM(OFFSET(TblMili[[#This Row],[Train Unit 3]],-11,0):TblMili[[#This Row],[Train Arch]]) + TblMili[[#This Row],[Draftees]]</f>
        <v>826</v>
      </c>
      <c r="C116" s="165">
        <f ca="1">TblPop[[#This Row],[Military%]]</f>
        <v>0.35029686174724345</v>
      </c>
      <c r="D116" s="150"/>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f>
        <v>25</v>
      </c>
      <c r="J116" s="45">
        <f ca="1">OFFSET(TblMili[[#This Row],[Wizards]],-1,0) + OFFSET(TblMili[[#This Row],[Train Wiz]],-12,0) - TblMili[[#This Row],[Release Wizards]]-TblMili[[#This Row],[Train Arch]]</f>
        <v>25</v>
      </c>
      <c r="K116" s="45">
        <f ca="1">OFFSET(TblMili[[#This Row],[Archmages]],-1,0) + OFFSET(TblMili[[#This Row],[Train Arch]],-12,0) - TblMili[[#This Row],[Release Arch]]</f>
        <v>0</v>
      </c>
      <c r="L116" s="150"/>
      <c r="M116" s="97">
        <f ca="1">TblProd[[#This Row],[Networth]]</f>
        <v>6450</v>
      </c>
      <c r="N116" s="150"/>
      <c r="O116" s="267">
        <f ca="1">TblMili[[#This Row],[Unit 1]]*spec_op+TblMili[[#This Row],[Unit 3]]*(elite1_base_op)+TblMili[[#This Row],[Unit 4]]*(elite2_base_op+dark_elf*TblMili[[#This Row],[Spellblade]]+icekin*TblMili[[#This Row],[Ice Elemental]]+woodie*TblMili[[#This Row],[Druid (op)]]+orc*TblMili[[#This Row],[Orc]])+kobold*TblMili[[#This Row],[Overlords]]</f>
        <v>0</v>
      </c>
      <c r="P11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6" s="267">
        <f ca="1">TblMili[[#This Row],[Raw]]*(1+TblMili[[#This Row],[Mods_Off]])</f>
        <v>0</v>
      </c>
      <c r="R11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6" s="267">
        <f ca="1">TblMili[[#This Row],[Non Draft]]+TblMili[[#This Row],[Draftees]]</f>
        <v>1076</v>
      </c>
      <c r="T11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269">
        <f ca="1">TblMili[[#This Row],[Non Draft]] * (1 + TblMili[[#This Row],[Mods_Def]])</f>
        <v>450</v>
      </c>
      <c r="V116" s="267">
        <f ca="1">TblMili[[#This Row],[Draft]] * (1 + TblMili[[#This Row],[Mods_Def]])</f>
        <v>1076</v>
      </c>
      <c r="W116" s="267">
        <f ca="1">TblConstr[[#This Row],[Land]]</f>
        <v>250</v>
      </c>
      <c r="X116" s="270"/>
      <c r="Y116" s="275">
        <f ca="1">IF(TblMili[[#This Row],[Set]]&lt;&gt;"",TblMili[[#This Row],[Set]],OFFSET(TblMili[[#This Row],[Draftrate]],-1,0))</f>
        <v>0.35</v>
      </c>
      <c r="Z116" s="97">
        <f ca="1">OFFSET(TblMili[[#This Row],[Draftees]],-1,0)+OFFSET(TblPop[[#This Row],[Draft Growth]],-1,0) - SUM(TblMili[[#This Row],[Train Unit 1]:[Train Wiz]]) - TblMili[[#This Row],[Release Draft]] + SUM(TblMili[[#This Row],[Release Unit 1]:[Release Arch]]) -TblExplore[[#This Row],[Draftees (2)]]</f>
        <v>626</v>
      </c>
      <c r="AA116" s="162"/>
      <c r="AB116" s="188">
        <f ca="1">(TblConstr[[#This Row],[Tot Smi]]+TblConstr[[#This Row],[Dest Smi]])/(TblConstr[[#This Row],[Land]]-TblExplore[[#This Row],[Land Bonus]]*20)</f>
        <v>0</v>
      </c>
      <c r="AC116" s="145"/>
      <c r="AD116" s="266">
        <f>TblMili[[#This Row],[Hour]]</f>
        <v>113</v>
      </c>
      <c r="AE116" s="146">
        <f ca="1">TblExplore[[#This Row],[Time]]</f>
        <v>44815.416666666395</v>
      </c>
      <c r="AF116" s="187"/>
      <c r="AG116" s="187"/>
      <c r="AH116" s="187"/>
      <c r="AI116" s="187"/>
      <c r="AJ116" s="187"/>
      <c r="AK116" s="187"/>
      <c r="AL116" s="187"/>
      <c r="AM116" s="150"/>
      <c r="AN116" s="97">
        <f ca="1">TblProd[[#This Row],[Platinum]]</f>
        <v>715310</v>
      </c>
      <c r="AO116" s="97">
        <f ca="1">INDEX(TblProd[[#Headers],[Lumber]]:TblProd[[#This Row],[Ore]],COUNTA(TblProd[[#Headers],[Lumber]]:TblProd[[#This Row],[Lumber]]),MATCH(Military!$AO$2,TblProd[[#Headers],[Lumber]:[Ore]],0))</f>
        <v>0</v>
      </c>
      <c r="AP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97">
        <f ca="1">TblMili[[#This Row],[Train Unit 1]]*TblMili[[#This Row],[OP Ore]]+TblMili[[#This Row],[Train Unit 2]]*TblMili[[#This Row],[DP Ore]]+TblMili[[#This Row],[Train Unit 3]]*TblMili[[#This Row],[E1 Ore]]+TblMili[[#This Row],[Train Unit 4]]*TblMili[[#This Row],[E2 Ore]]</f>
        <v>0</v>
      </c>
      <c r="AR116" s="150">
        <f>TblMili[[#This Row],[Hour]]</f>
        <v>113</v>
      </c>
      <c r="AS116" s="160">
        <f ca="1">TblMili[[#This Row],[Time]]</f>
        <v>44815.416666666395</v>
      </c>
      <c r="AT116" s="97">
        <f ca="1">TblMili[[#This Row],[Draftees]]</f>
        <v>626</v>
      </c>
      <c r="AU116" s="187"/>
      <c r="AV116" s="187"/>
      <c r="AW116" s="187"/>
      <c r="AX116" s="187"/>
      <c r="AY116" s="187"/>
      <c r="AZ116" s="187"/>
      <c r="BA116" s="187"/>
      <c r="BB116" s="187"/>
      <c r="BC116" s="150"/>
      <c r="BD116" s="165">
        <f ca="1">TblConstr[[#This Row],[Tot WG]]/TblConstr[[#This Row],[Land]]</f>
        <v>0</v>
      </c>
      <c r="BE116" s="165">
        <f ca="1">TblConstr[[#This Row],[Tot Hav]]/TblConstr[[#This Row],[Land]]</f>
        <v>0</v>
      </c>
      <c r="BF116" s="97">
        <f ca="1">ROUNDUP((1-MIN(TblMili[[#This Row],[Smithies]]*smithy_bonus,smithy_bonus_cap) + tech_3_5*TblTech[[#This Row],[3-5]] + tech_5_3*TblTech[[#This Row],[5-3]] + tech_5_5*TblTech[[#This Row],[5-5]])*spec_op_plat,0)</f>
        <v>275</v>
      </c>
      <c r="BG116" s="97">
        <f ca="1">ROUNDUP(IF(race="Gnome",1,(1-MIN(TblMili[[#This Row],[Smithies]]*smithy_bonus,smithy_bonus_cap) + tech_3_5*TblTech[[#This Row],[3-5]] + tech_5_3*TblTech[[#This Row],[5-3]] + tech_5_5*TblTech[[#This Row],[5-5]]))*spec_op_ore,0)</f>
        <v>25</v>
      </c>
      <c r="BH116" s="97">
        <f ca="1">ROUNDUP((1-MIN(TblMili[[#This Row],[Smithies]]*smithy_bonus,smithy_bonus_cap) + tech_3_5*TblTech[[#This Row],[3-5]] + tech_5_3*TblTech[[#This Row],[5-3]] + tech_5_5*TblTech[[#This Row],[5-5]])*spec_dp_plat,0)</f>
        <v>275</v>
      </c>
      <c r="BI116" s="97">
        <f ca="1">ROUNDUP(IF(race="Gnome",1,(1-MIN(TblMili[[#This Row],[Smithies]]*smithy_bonus,smithy_bonus_cap) + tech_3_5*TblTech[[#This Row],[3-5]] + tech_5_3*TblTech[[#This Row],[5-3]] + tech_5_5*TblTech[[#This Row],[5-5]]))*spec_dp_ore,0)</f>
        <v>15</v>
      </c>
      <c r="BJ116" s="97">
        <f ca="1">ROUNDUP((1-MIN(TblMili[[#This Row],[Smithies]]*smithy_bonus,smithy_bonus_cap) + tech_3_5*TblTech[[#This Row],[3-5]] + tech_5_3*TblTech[[#This Row],[5-3]] + tech_5_5*TblTech[[#This Row],[5-5]])*elite1_plat,0)</f>
        <v>1000</v>
      </c>
      <c r="BK116" s="97">
        <f ca="1">ROUNDUP(IF(race="Gnome",1,(1-MIN(TblMili[[#This Row],[Smithies]]*smithy_bonus,smithy_bonus_cap) + tech_3_5*TblTech[[#This Row],[3-5]] + tech_5_3*TblTech[[#This Row],[5-3]] + tech_5_5*TblTech[[#This Row],[5-5]]))*elite1_ore,0)</f>
        <v>75</v>
      </c>
      <c r="BL116" s="97">
        <f ca="1">ROUNDUP((1-MIN(TblMili[[#This Row],[Smithies]]*smithy_bonus,smithy_bonus_cap) + tech_3_5*TblTech[[#This Row],[3-5]] + tech_5_3*TblTech[[#This Row],[5-3]] + tech_5_5*TblTech[[#This Row],[5-5]])*elite2_plat,0)</f>
        <v>1200</v>
      </c>
      <c r="BM116" s="97">
        <f ca="1">ROUNDUP(IF(race="Gnome",1,(1-MIN(TblMili[[#This Row],[Smithies]]*smithy_bonus,smithy_bonus_cap) + tech_3_5*TblTech[[#This Row],[3-5]] + tech_5_3*TblTech[[#This Row],[5-3]] + tech_5_5*TblTech[[#This Row],[5-5]]))*elite2_ore,0)</f>
        <v>100</v>
      </c>
      <c r="BN116" s="97">
        <f ca="1">ROUNDUP((1-MIN(ROUND(fh_spy_cost_red*TblMili[[#This Row],[FH''s]],4),fh_spy_cost_cap)+ tech_1_9*TblTech[[#This Row],[1-9]] + tech_9_1*TblTech[[#This Row],[9-1]])*spy_plat,0)</f>
        <v>500</v>
      </c>
      <c r="BO116" s="97">
        <f ca="1">ROUNDUP((1-MIN(ROUND(wg_wiz_cost_bonus*TblMili[[#This Row],[WG''s]],4),wg_wiz_cost_cap) + tech_1_9_2*TblTech[[#This Row],[1-9]] + tech_9_1_2*TblTech[[#This Row],[9-1]])*wizard_plat,0)</f>
        <v>500</v>
      </c>
      <c r="BP116" s="97">
        <f ca="1">ROUNDUP((1-MIN(ROUND(wg_wiz_cost_bonus*TblMili[[#This Row],[WG''s]],4),wg_wiz_cost_cap) + tech_1_9_2*TblTech[[#This Row],[1-9]] + tech_9_1_2*TblTech[[#This Row],[9-1]])*archmage_plat,0)</f>
        <v>1000</v>
      </c>
      <c r="BQ116" s="150"/>
      <c r="BR116" s="165">
        <f ca="1">TblConstr[[#This Row],[Homeland]]/TblConstr[[#This Row],[Land]]</f>
        <v>0.44</v>
      </c>
      <c r="BS116" s="165">
        <f ca="1">TblMili[[#This Row],[WG''s]]</f>
        <v>0</v>
      </c>
      <c r="BT116" s="271">
        <f ca="1">IF(mystic_cap="none",TblMili[[#This Row],[Hill]]/mystic_bonus,MIN(mystic_cap,TblMili[[#This Row],[Hill]]/mystic_bonus))</f>
        <v>2.1999999999999997</v>
      </c>
      <c r="BU116" s="271">
        <f ca="1">IF(druid_op_cap="none",TblMili[[#This Row],[Hill]]/druid_op_bonus,MIN(druid_op_cap,TblMili[[#This Row],[Hill]]/druid_op_bonus))</f>
        <v>2.1999999999999997</v>
      </c>
      <c r="BV116" s="271">
        <f ca="1">IF(druid_dp_cap="none",TblMili[[#This Row],[Hill]]/druid_dp_bonus,MIN(druid_dp_cap,TblMili[[#This Row],[Hill]]/druid_dp_bonus))</f>
        <v>2.1999999999999997</v>
      </c>
      <c r="BW116" s="271">
        <f ca="1">MIN(dryad_cap,TblMili[[#This Row],[Hill]]/dryad_bonus)</f>
        <v>2.1999999999999997</v>
      </c>
      <c r="BX116" s="271">
        <f ca="1">MIN(rocka_cap,TblMili[[#This Row],[Hill]]/rocka_bonus)</f>
        <v>2</v>
      </c>
      <c r="BY116" s="271">
        <f ca="1">MIN(adept_op_cap,TblMili[[#This Row],[WG]]/adept_op_bonus)</f>
        <v>0</v>
      </c>
      <c r="BZ116" s="271">
        <f ca="1">MIN(adept_dp_cap,TblMili[[#This Row],[WG]]/adept_dp_bonus)</f>
        <v>0</v>
      </c>
      <c r="CA116" s="97">
        <f ca="1">MIN(TblMili[[#This Row],[Unit 3]],TblMili[[#This Row],[Unit 4]])*2</f>
        <v>0</v>
      </c>
      <c r="CB116" s="97">
        <f ca="1">MIN(TblMili[[#This Row],[Unit 1]],TblMili[[#This Row],[Unit 4]])*2</f>
        <v>0</v>
      </c>
      <c r="CC116" s="271">
        <f ca="1">MIN(frost_mage_cap,TblMili[[#This Row],[Hill]]/frost_mage_bonus)</f>
        <v>2.1999999999999997</v>
      </c>
      <c r="CD116" s="45">
        <f ca="1">MIN(ice_elem_cap,TblMili[[#This Row],[Raw (2)]]*ice_elem_bonus)</f>
        <v>0.1</v>
      </c>
      <c r="CE116" s="271">
        <f t="shared" si="4"/>
        <v>1</v>
      </c>
      <c r="CF116" s="271">
        <f ca="1">MIN(nox_nightshade_cap,TblConstr[[#This Row],[Homeland]]/TblConstr[[#This Row],[Land]]/nox_nightshade_swamp_bonus)</f>
        <v>3</v>
      </c>
      <c r="CG116" s="272"/>
      <c r="CH116" s="272"/>
      <c r="CI116" s="272"/>
      <c r="CJ116" s="271">
        <f ca="1">MIN(6,TblMili[[#This Row],[Mystic]]+Races!$F$19)*1.8 +  IF(TblMili[[#This Row],[Mystic]]+Races!$F$19&gt;6,(TblMili[[#This Row],[Mystic]]+Races!$F$19-6)*0.2,0) - Races!$I$19</f>
        <v>3.6399999999999997</v>
      </c>
      <c r="CK11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97">
        <f ca="1">TblMili[[#This Row],[Mystic bonus]]*TblMili[[#This Row],[Unit 3]]+TblMili[[#This Row],[Druid bonus]]*TblMili[[#This Row],[Unit 4]]</f>
        <v>0</v>
      </c>
      <c r="CM116" s="163">
        <f ca="1">MIN(6,TblMili[[#This Row],[Dryad]]+Races!$F$35)*1.8 +  IF(TblMili[[#This Row],[Dryad]]+Races!$F$35&gt;6,(TblMili[[#This Row],[Dryad]]+Races!$F$35-6)*0.2,0) - Races!$I$19</f>
        <v>2.1599999999999993</v>
      </c>
      <c r="CN116" s="97">
        <f ca="1">sylvan*(TblMili[[#This Row],[Mystic bonus]]*TblMili[[#This Row],[Unit 3]])</f>
        <v>0</v>
      </c>
      <c r="CO116" s="163">
        <f ca="1">1.8 * MIN(MAX(Races!$E$27,TblMili[[#This Row],[Rockapult]]+Races!$F$27),6)  +  0.45 * MIN(MIN(Races!$E$27,TblMili[[#This Row],[Rockapult]]+Races!$F$27),6)  +  0.2 * ( MAX(Races!$E$27-6,0) + MAX(TblMili[[#This Row],[Rockapult]]+Races!$F$27-6,0) )  -  Races!$I$20</f>
        <v>5.8500000000000005</v>
      </c>
      <c r="CP116" s="97">
        <f ca="1">gnome*(TblMili[[#This Row],[Rockapult bonus]]*TblMili[[#This Row],[Unit 3]])</f>
        <v>0</v>
      </c>
      <c r="CQ116" s="163">
        <f ca="1">1.8 * MIN(MAX(TblMili[[#This Row],[Spellblade]]+Races!$E$47,TblMili[[#This Row],[Adept-DP]]+Races!$F$47),6)  +  0.45 * MIN(MIN(TblMili[[#This Row],[Spellblade]]+Races!$E$47,TblMili[[#This Row],[Adept-DP]]+Races!$F$47),6)  +  0.2 * ( MAX(TblMili[[#This Row],[Spellblade]]+Races!$E$47-6,0) + MAX(TblMili[[#This Row],[Adept-DP]]+Races!$F$47-6,0) )  -  Races!$I$47</f>
        <v>0</v>
      </c>
      <c r="CR116" s="97">
        <f ca="1">dark_elf*(TblMili[[#This Row],[Adept bonus]]*TblMili[[#This Row],[Unit 3]])</f>
        <v>0</v>
      </c>
      <c r="CS116" s="163">
        <f ca="1">1.8 * MIN(MAX(TblMili[[#This Row],[Frost Mage]]+Races!$F$71,Races!$E$71),6)  +  0.45 * MIN(MIN(TblMili[[#This Row],[Frost Mage]]+Races!$F$71,Races!$E$71),6)  +  0.2 * ( MAX(TblMili[[#This Row],[Frost Mage]]+Races!$F$71-6,0) + MAX(Races!$E$71-6,0) )  -  Races!$I$71</f>
        <v>3.9599999999999991</v>
      </c>
      <c r="CT116" s="163">
        <f ca="1">1.8 * MIN(MAX(TblMili[[#This Row],[Ice Elemental]]+Races!$E$71,Races!$F$71),6)  +  0.45 * MIN(MIN(TblMili[[#This Row],[Ice Elemental]]+Races!$E$71,Races!$F$71),6)  +  0.2 * ( MAX(TblMili[[#This Row],[Ice Elemental]]+Races!$E$71-6,0) + MAX(Races!$F$71-6,0) )  -  Races!$I$71</f>
        <v>0.17999999999999972</v>
      </c>
      <c r="CU116" s="97">
        <f ca="1">TblMili[[#This Row],[Frost Mage bonus]]*TblMili[[#This Row],[Unit 3]]+TblMili[[#This Row],[Ice Elemental bonus]]*TblMili[[#This Row],[Unit 4]]</f>
        <v>0</v>
      </c>
      <c r="CV116" s="273"/>
      <c r="CW116" s="151">
        <f ca="1">MIN(SUM(TblConstr[[#This Row],[Plain]:[Water]])/TblMili[[#This Row],[Land]]/favorable_terrain_bonus/100,favorable_terrain_max)</f>
        <v>0.1</v>
      </c>
      <c r="CX116" s="273"/>
      <c r="CY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50"/>
      <c r="DA116" s="274">
        <f ca="1">(TblMili[[#This Row],[Wizards]]+2*TblMili[[#This Row],[Archmages]])/TblConstr[[#This Row],[Land]]</f>
        <v>0.1</v>
      </c>
      <c r="DB116" s="274">
        <f ca="1">TblMili[[#This Row],[Raw (2)]]*(1+race_wizard_strength+IF(TblMili[[#This Row],[Hour]]&gt;72,tech_magical_weaponry_wiz*TblTech[[#This Row],[3-5]],0))</f>
        <v>0.1</v>
      </c>
    </row>
    <row r="117" spans="1:106" x14ac:dyDescent="0.2">
      <c r="A117" s="145">
        <f>TblRezone[[#This Row],[Hour]]</f>
        <v>114</v>
      </c>
      <c r="B117" s="266">
        <f ca="1">SUM(TblMili[[#This Row],[Unit 1]:[Archmages]])+SUM(OFFSET(TblMili[[#This Row],[Train Unit 1]],-8,0):TblMili[[#This Row],[Train Unit 2]]) + SUM(OFFSET(TblMili[[#This Row],[Train Unit 3]],-11,0):TblMili[[#This Row],[Train Arch]]) + TblMili[[#This Row],[Draftees]]</f>
        <v>826</v>
      </c>
      <c r="C117" s="165">
        <f ca="1">TblPop[[#This Row],[Military%]]</f>
        <v>0.35029686174724345</v>
      </c>
      <c r="D117" s="150"/>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f>
        <v>25</v>
      </c>
      <c r="J117" s="45">
        <f ca="1">OFFSET(TblMili[[#This Row],[Wizards]],-1,0) + OFFSET(TblMili[[#This Row],[Train Wiz]],-12,0) - TblMili[[#This Row],[Release Wizards]]-TblMili[[#This Row],[Train Arch]]</f>
        <v>25</v>
      </c>
      <c r="K117" s="45">
        <f ca="1">OFFSET(TblMili[[#This Row],[Archmages]],-1,0) + OFFSET(TblMili[[#This Row],[Train Arch]],-12,0) - TblMili[[#This Row],[Release Arch]]</f>
        <v>0</v>
      </c>
      <c r="L117" s="150"/>
      <c r="M117" s="97">
        <f ca="1">TblProd[[#This Row],[Networth]]</f>
        <v>6450</v>
      </c>
      <c r="N117" s="150"/>
      <c r="O117" s="267">
        <f ca="1">TblMili[[#This Row],[Unit 1]]*spec_op+TblMili[[#This Row],[Unit 3]]*(elite1_base_op)+TblMili[[#This Row],[Unit 4]]*(elite2_base_op+dark_elf*TblMili[[#This Row],[Spellblade]]+icekin*TblMili[[#This Row],[Ice Elemental]]+woodie*TblMili[[#This Row],[Druid (op)]]+orc*TblMili[[#This Row],[Orc]])+kobold*TblMili[[#This Row],[Overlords]]</f>
        <v>0</v>
      </c>
      <c r="P11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7" s="267">
        <f ca="1">TblMili[[#This Row],[Raw]]*(1+TblMili[[#This Row],[Mods_Off]])</f>
        <v>0</v>
      </c>
      <c r="R11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7" s="267">
        <f ca="1">TblMili[[#This Row],[Non Draft]]+TblMili[[#This Row],[Draftees]]</f>
        <v>1076</v>
      </c>
      <c r="T11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269">
        <f ca="1">TblMili[[#This Row],[Non Draft]] * (1 + TblMili[[#This Row],[Mods_Def]])</f>
        <v>450</v>
      </c>
      <c r="V117" s="267">
        <f ca="1">TblMili[[#This Row],[Draft]] * (1 + TblMili[[#This Row],[Mods_Def]])</f>
        <v>1076</v>
      </c>
      <c r="W117" s="267">
        <f ca="1">TblConstr[[#This Row],[Land]]</f>
        <v>250</v>
      </c>
      <c r="X117" s="270"/>
      <c r="Y117" s="275">
        <f ca="1">IF(TblMili[[#This Row],[Set]]&lt;&gt;"",TblMili[[#This Row],[Set]],OFFSET(TblMili[[#This Row],[Draftrate]],-1,0))</f>
        <v>0.35</v>
      </c>
      <c r="Z117" s="97">
        <f ca="1">OFFSET(TblMili[[#This Row],[Draftees]],-1,0)+OFFSET(TblPop[[#This Row],[Draft Growth]],-1,0) - SUM(TblMili[[#This Row],[Train Unit 1]:[Train Wiz]]) - TblMili[[#This Row],[Release Draft]] + SUM(TblMili[[#This Row],[Release Unit 1]:[Release Arch]]) -TblExplore[[#This Row],[Draftees (2)]]</f>
        <v>626</v>
      </c>
      <c r="AA117" s="162"/>
      <c r="AB117" s="188">
        <f ca="1">(TblConstr[[#This Row],[Tot Smi]]+TblConstr[[#This Row],[Dest Smi]])/(TblConstr[[#This Row],[Land]]-TblExplore[[#This Row],[Land Bonus]]*20)</f>
        <v>0</v>
      </c>
      <c r="AC117" s="145"/>
      <c r="AD117" s="266">
        <f>TblMili[[#This Row],[Hour]]</f>
        <v>114</v>
      </c>
      <c r="AE117" s="146">
        <f ca="1">TblExplore[[#This Row],[Time]]</f>
        <v>44815.458333333059</v>
      </c>
      <c r="AF117" s="187"/>
      <c r="AG117" s="187"/>
      <c r="AH117" s="187"/>
      <c r="AI117" s="187"/>
      <c r="AJ117" s="187"/>
      <c r="AK117" s="187"/>
      <c r="AL117" s="187"/>
      <c r="AM117" s="150"/>
      <c r="AN117" s="97">
        <f ca="1">TblProd[[#This Row],[Platinum]]</f>
        <v>720796</v>
      </c>
      <c r="AO117" s="97">
        <f ca="1">INDEX(TblProd[[#Headers],[Lumber]]:TblProd[[#This Row],[Ore]],COUNTA(TblProd[[#Headers],[Lumber]]:TblProd[[#This Row],[Lumber]]),MATCH(Military!$AO$2,TblProd[[#Headers],[Lumber]:[Ore]],0))</f>
        <v>0</v>
      </c>
      <c r="AP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97">
        <f ca="1">TblMili[[#This Row],[Train Unit 1]]*TblMili[[#This Row],[OP Ore]]+TblMili[[#This Row],[Train Unit 2]]*TblMili[[#This Row],[DP Ore]]+TblMili[[#This Row],[Train Unit 3]]*TblMili[[#This Row],[E1 Ore]]+TblMili[[#This Row],[Train Unit 4]]*TblMili[[#This Row],[E2 Ore]]</f>
        <v>0</v>
      </c>
      <c r="AR117" s="150">
        <f>TblMili[[#This Row],[Hour]]</f>
        <v>114</v>
      </c>
      <c r="AS117" s="160">
        <f ca="1">TblMili[[#This Row],[Time]]</f>
        <v>44815.458333333059</v>
      </c>
      <c r="AT117" s="97">
        <f ca="1">TblMili[[#This Row],[Draftees]]</f>
        <v>626</v>
      </c>
      <c r="AU117" s="187"/>
      <c r="AV117" s="187"/>
      <c r="AW117" s="187"/>
      <c r="AX117" s="187"/>
      <c r="AY117" s="187"/>
      <c r="AZ117" s="187"/>
      <c r="BA117" s="187"/>
      <c r="BB117" s="187"/>
      <c r="BC117" s="150"/>
      <c r="BD117" s="165">
        <f ca="1">TblConstr[[#This Row],[Tot WG]]/TblConstr[[#This Row],[Land]]</f>
        <v>0</v>
      </c>
      <c r="BE117" s="165">
        <f ca="1">TblConstr[[#This Row],[Tot Hav]]/TblConstr[[#This Row],[Land]]</f>
        <v>0</v>
      </c>
      <c r="BF117" s="97">
        <f ca="1">ROUNDUP((1-MIN(TblMili[[#This Row],[Smithies]]*smithy_bonus,smithy_bonus_cap) + tech_3_5*TblTech[[#This Row],[3-5]] + tech_5_3*TblTech[[#This Row],[5-3]] + tech_5_5*TblTech[[#This Row],[5-5]])*spec_op_plat,0)</f>
        <v>275</v>
      </c>
      <c r="BG117" s="97">
        <f ca="1">ROUNDUP(IF(race="Gnome",1,(1-MIN(TblMili[[#This Row],[Smithies]]*smithy_bonus,smithy_bonus_cap) + tech_3_5*TblTech[[#This Row],[3-5]] + tech_5_3*TblTech[[#This Row],[5-3]] + tech_5_5*TblTech[[#This Row],[5-5]]))*spec_op_ore,0)</f>
        <v>25</v>
      </c>
      <c r="BH117" s="97">
        <f ca="1">ROUNDUP((1-MIN(TblMili[[#This Row],[Smithies]]*smithy_bonus,smithy_bonus_cap) + tech_3_5*TblTech[[#This Row],[3-5]] + tech_5_3*TblTech[[#This Row],[5-3]] + tech_5_5*TblTech[[#This Row],[5-5]])*spec_dp_plat,0)</f>
        <v>275</v>
      </c>
      <c r="BI117" s="97">
        <f ca="1">ROUNDUP(IF(race="Gnome",1,(1-MIN(TblMili[[#This Row],[Smithies]]*smithy_bonus,smithy_bonus_cap) + tech_3_5*TblTech[[#This Row],[3-5]] + tech_5_3*TblTech[[#This Row],[5-3]] + tech_5_5*TblTech[[#This Row],[5-5]]))*spec_dp_ore,0)</f>
        <v>15</v>
      </c>
      <c r="BJ117" s="97">
        <f ca="1">ROUNDUP((1-MIN(TblMili[[#This Row],[Smithies]]*smithy_bonus,smithy_bonus_cap) + tech_3_5*TblTech[[#This Row],[3-5]] + tech_5_3*TblTech[[#This Row],[5-3]] + tech_5_5*TblTech[[#This Row],[5-5]])*elite1_plat,0)</f>
        <v>1000</v>
      </c>
      <c r="BK117" s="97">
        <f ca="1">ROUNDUP(IF(race="Gnome",1,(1-MIN(TblMili[[#This Row],[Smithies]]*smithy_bonus,smithy_bonus_cap) + tech_3_5*TblTech[[#This Row],[3-5]] + tech_5_3*TblTech[[#This Row],[5-3]] + tech_5_5*TblTech[[#This Row],[5-5]]))*elite1_ore,0)</f>
        <v>75</v>
      </c>
      <c r="BL117" s="97">
        <f ca="1">ROUNDUP((1-MIN(TblMili[[#This Row],[Smithies]]*smithy_bonus,smithy_bonus_cap) + tech_3_5*TblTech[[#This Row],[3-5]] + tech_5_3*TblTech[[#This Row],[5-3]] + tech_5_5*TblTech[[#This Row],[5-5]])*elite2_plat,0)</f>
        <v>1200</v>
      </c>
      <c r="BM117" s="97">
        <f ca="1">ROUNDUP(IF(race="Gnome",1,(1-MIN(TblMili[[#This Row],[Smithies]]*smithy_bonus,smithy_bonus_cap) + tech_3_5*TblTech[[#This Row],[3-5]] + tech_5_3*TblTech[[#This Row],[5-3]] + tech_5_5*TblTech[[#This Row],[5-5]]))*elite2_ore,0)</f>
        <v>100</v>
      </c>
      <c r="BN117" s="97">
        <f ca="1">ROUNDUP((1-MIN(ROUND(fh_spy_cost_red*TblMili[[#This Row],[FH''s]],4),fh_spy_cost_cap)+ tech_1_9*TblTech[[#This Row],[1-9]] + tech_9_1*TblTech[[#This Row],[9-1]])*spy_plat,0)</f>
        <v>500</v>
      </c>
      <c r="BO117" s="97">
        <f ca="1">ROUNDUP((1-MIN(ROUND(wg_wiz_cost_bonus*TblMili[[#This Row],[WG''s]],4),wg_wiz_cost_cap) + tech_1_9_2*TblTech[[#This Row],[1-9]] + tech_9_1_2*TblTech[[#This Row],[9-1]])*wizard_plat,0)</f>
        <v>500</v>
      </c>
      <c r="BP117" s="97">
        <f ca="1">ROUNDUP((1-MIN(ROUND(wg_wiz_cost_bonus*TblMili[[#This Row],[WG''s]],4),wg_wiz_cost_cap) + tech_1_9_2*TblTech[[#This Row],[1-9]] + tech_9_1_2*TblTech[[#This Row],[9-1]])*archmage_plat,0)</f>
        <v>1000</v>
      </c>
      <c r="BQ117" s="150"/>
      <c r="BR117" s="165">
        <f ca="1">TblConstr[[#This Row],[Homeland]]/TblConstr[[#This Row],[Land]]</f>
        <v>0.44</v>
      </c>
      <c r="BS117" s="165">
        <f ca="1">TblMili[[#This Row],[WG''s]]</f>
        <v>0</v>
      </c>
      <c r="BT117" s="271">
        <f ca="1">IF(mystic_cap="none",TblMili[[#This Row],[Hill]]/mystic_bonus,MIN(mystic_cap,TblMili[[#This Row],[Hill]]/mystic_bonus))</f>
        <v>2.1999999999999997</v>
      </c>
      <c r="BU117" s="271">
        <f ca="1">IF(druid_op_cap="none",TblMili[[#This Row],[Hill]]/druid_op_bonus,MIN(druid_op_cap,TblMili[[#This Row],[Hill]]/druid_op_bonus))</f>
        <v>2.1999999999999997</v>
      </c>
      <c r="BV117" s="271">
        <f ca="1">IF(druid_dp_cap="none",TblMili[[#This Row],[Hill]]/druid_dp_bonus,MIN(druid_dp_cap,TblMili[[#This Row],[Hill]]/druid_dp_bonus))</f>
        <v>2.1999999999999997</v>
      </c>
      <c r="BW117" s="271">
        <f ca="1">MIN(dryad_cap,TblMili[[#This Row],[Hill]]/dryad_bonus)</f>
        <v>2.1999999999999997</v>
      </c>
      <c r="BX117" s="271">
        <f ca="1">MIN(rocka_cap,TblMili[[#This Row],[Hill]]/rocka_bonus)</f>
        <v>2</v>
      </c>
      <c r="BY117" s="271">
        <f ca="1">MIN(adept_op_cap,TblMili[[#This Row],[WG]]/adept_op_bonus)</f>
        <v>0</v>
      </c>
      <c r="BZ117" s="271">
        <f ca="1">MIN(adept_dp_cap,TblMili[[#This Row],[WG]]/adept_dp_bonus)</f>
        <v>0</v>
      </c>
      <c r="CA117" s="97">
        <f ca="1">MIN(TblMili[[#This Row],[Unit 3]],TblMili[[#This Row],[Unit 4]])*2</f>
        <v>0</v>
      </c>
      <c r="CB117" s="97">
        <f ca="1">MIN(TblMili[[#This Row],[Unit 1]],TblMili[[#This Row],[Unit 4]])*2</f>
        <v>0</v>
      </c>
      <c r="CC117" s="271">
        <f ca="1">MIN(frost_mage_cap,TblMili[[#This Row],[Hill]]/frost_mage_bonus)</f>
        <v>2.1999999999999997</v>
      </c>
      <c r="CD117" s="45">
        <f ca="1">MIN(ice_elem_cap,TblMili[[#This Row],[Raw (2)]]*ice_elem_bonus)</f>
        <v>0.1</v>
      </c>
      <c r="CE117" s="271">
        <f t="shared" si="4"/>
        <v>1</v>
      </c>
      <c r="CF117" s="271">
        <f ca="1">MIN(nox_nightshade_cap,TblConstr[[#This Row],[Homeland]]/TblConstr[[#This Row],[Land]]/nox_nightshade_swamp_bonus)</f>
        <v>3</v>
      </c>
      <c r="CG117" s="272"/>
      <c r="CH117" s="272"/>
      <c r="CI117" s="272"/>
      <c r="CJ117" s="271">
        <f ca="1">MIN(6,TblMili[[#This Row],[Mystic]]+Races!$F$19)*1.8 +  IF(TblMili[[#This Row],[Mystic]]+Races!$F$19&gt;6,(TblMili[[#This Row],[Mystic]]+Races!$F$19-6)*0.2,0) - Races!$I$19</f>
        <v>3.6399999999999997</v>
      </c>
      <c r="CK11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97">
        <f ca="1">TblMili[[#This Row],[Mystic bonus]]*TblMili[[#This Row],[Unit 3]]+TblMili[[#This Row],[Druid bonus]]*TblMili[[#This Row],[Unit 4]]</f>
        <v>0</v>
      </c>
      <c r="CM117" s="163">
        <f ca="1">MIN(6,TblMili[[#This Row],[Dryad]]+Races!$F$35)*1.8 +  IF(TblMili[[#This Row],[Dryad]]+Races!$F$35&gt;6,(TblMili[[#This Row],[Dryad]]+Races!$F$35-6)*0.2,0) - Races!$I$19</f>
        <v>2.1599999999999993</v>
      </c>
      <c r="CN117" s="97">
        <f ca="1">sylvan*(TblMili[[#This Row],[Mystic bonus]]*TblMili[[#This Row],[Unit 3]])</f>
        <v>0</v>
      </c>
      <c r="CO117" s="163">
        <f ca="1">1.8 * MIN(MAX(Races!$E$27,TblMili[[#This Row],[Rockapult]]+Races!$F$27),6)  +  0.45 * MIN(MIN(Races!$E$27,TblMili[[#This Row],[Rockapult]]+Races!$F$27),6)  +  0.2 * ( MAX(Races!$E$27-6,0) + MAX(TblMili[[#This Row],[Rockapult]]+Races!$F$27-6,0) )  -  Races!$I$20</f>
        <v>5.8500000000000005</v>
      </c>
      <c r="CP117" s="97">
        <f ca="1">gnome*(TblMili[[#This Row],[Rockapult bonus]]*TblMili[[#This Row],[Unit 3]])</f>
        <v>0</v>
      </c>
      <c r="CQ117" s="163">
        <f ca="1">1.8 * MIN(MAX(TblMili[[#This Row],[Spellblade]]+Races!$E$47,TblMili[[#This Row],[Adept-DP]]+Races!$F$47),6)  +  0.45 * MIN(MIN(TblMili[[#This Row],[Spellblade]]+Races!$E$47,TblMili[[#This Row],[Adept-DP]]+Races!$F$47),6)  +  0.2 * ( MAX(TblMili[[#This Row],[Spellblade]]+Races!$E$47-6,0) + MAX(TblMili[[#This Row],[Adept-DP]]+Races!$F$47-6,0) )  -  Races!$I$47</f>
        <v>0</v>
      </c>
      <c r="CR117" s="97">
        <f ca="1">dark_elf*(TblMili[[#This Row],[Adept bonus]]*TblMili[[#This Row],[Unit 3]])</f>
        <v>0</v>
      </c>
      <c r="CS117" s="163">
        <f ca="1">1.8 * MIN(MAX(TblMili[[#This Row],[Frost Mage]]+Races!$F$71,Races!$E$71),6)  +  0.45 * MIN(MIN(TblMili[[#This Row],[Frost Mage]]+Races!$F$71,Races!$E$71),6)  +  0.2 * ( MAX(TblMili[[#This Row],[Frost Mage]]+Races!$F$71-6,0) + MAX(Races!$E$71-6,0) )  -  Races!$I$71</f>
        <v>3.9599999999999991</v>
      </c>
      <c r="CT117" s="163">
        <f ca="1">1.8 * MIN(MAX(TblMili[[#This Row],[Ice Elemental]]+Races!$E$71,Races!$F$71),6)  +  0.45 * MIN(MIN(TblMili[[#This Row],[Ice Elemental]]+Races!$E$71,Races!$F$71),6)  +  0.2 * ( MAX(TblMili[[#This Row],[Ice Elemental]]+Races!$E$71-6,0) + MAX(Races!$F$71-6,0) )  -  Races!$I$71</f>
        <v>0.17999999999999972</v>
      </c>
      <c r="CU117" s="97">
        <f ca="1">TblMili[[#This Row],[Frost Mage bonus]]*TblMili[[#This Row],[Unit 3]]+TblMili[[#This Row],[Ice Elemental bonus]]*TblMili[[#This Row],[Unit 4]]</f>
        <v>0</v>
      </c>
      <c r="CV117" s="273"/>
      <c r="CW117" s="151">
        <f ca="1">MIN(SUM(TblConstr[[#This Row],[Plain]:[Water]])/TblMili[[#This Row],[Land]]/favorable_terrain_bonus/100,favorable_terrain_max)</f>
        <v>0.1</v>
      </c>
      <c r="CX117" s="273"/>
      <c r="CY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50"/>
      <c r="DA117" s="274">
        <f ca="1">(TblMili[[#This Row],[Wizards]]+2*TblMili[[#This Row],[Archmages]])/TblConstr[[#This Row],[Land]]</f>
        <v>0.1</v>
      </c>
      <c r="DB117" s="274">
        <f ca="1">TblMili[[#This Row],[Raw (2)]]*(1+race_wizard_strength+IF(TblMili[[#This Row],[Hour]]&gt;72,tech_magical_weaponry_wiz*TblTech[[#This Row],[3-5]],0))</f>
        <v>0.1</v>
      </c>
    </row>
    <row r="118" spans="1:106" x14ac:dyDescent="0.2">
      <c r="A118" s="145">
        <f>TblRezone[[#This Row],[Hour]]</f>
        <v>115</v>
      </c>
      <c r="B118" s="266">
        <f ca="1">SUM(TblMili[[#This Row],[Unit 1]:[Archmages]])+SUM(OFFSET(TblMili[[#This Row],[Train Unit 1]],-8,0):TblMili[[#This Row],[Train Unit 2]]) + SUM(OFFSET(TblMili[[#This Row],[Train Unit 3]],-11,0):TblMili[[#This Row],[Train Arch]]) + TblMili[[#This Row],[Draftees]]</f>
        <v>826</v>
      </c>
      <c r="C118" s="165">
        <f ca="1">TblPop[[#This Row],[Military%]]</f>
        <v>0.35029686174724345</v>
      </c>
      <c r="D118" s="150"/>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f>
        <v>25</v>
      </c>
      <c r="J118" s="45">
        <f ca="1">OFFSET(TblMili[[#This Row],[Wizards]],-1,0) + OFFSET(TblMili[[#This Row],[Train Wiz]],-12,0) - TblMili[[#This Row],[Release Wizards]]-TblMili[[#This Row],[Train Arch]]</f>
        <v>25</v>
      </c>
      <c r="K118" s="45">
        <f ca="1">OFFSET(TblMili[[#This Row],[Archmages]],-1,0) + OFFSET(TblMili[[#This Row],[Train Arch]],-12,0) - TblMili[[#This Row],[Release Arch]]</f>
        <v>0</v>
      </c>
      <c r="L118" s="150"/>
      <c r="M118" s="97">
        <f ca="1">TblProd[[#This Row],[Networth]]</f>
        <v>6450</v>
      </c>
      <c r="N118" s="150"/>
      <c r="O118" s="267">
        <f ca="1">TblMili[[#This Row],[Unit 1]]*spec_op+TblMili[[#This Row],[Unit 3]]*(elite1_base_op)+TblMili[[#This Row],[Unit 4]]*(elite2_base_op+dark_elf*TblMili[[#This Row],[Spellblade]]+icekin*TblMili[[#This Row],[Ice Elemental]]+woodie*TblMili[[#This Row],[Druid (op)]]+orc*TblMili[[#This Row],[Orc]])+kobold*TblMili[[#This Row],[Overlords]]</f>
        <v>0</v>
      </c>
      <c r="P11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8" s="267">
        <f ca="1">TblMili[[#This Row],[Raw]]*(1+TblMili[[#This Row],[Mods_Off]])</f>
        <v>0</v>
      </c>
      <c r="R11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8" s="267">
        <f ca="1">TblMili[[#This Row],[Non Draft]]+TblMili[[#This Row],[Draftees]]</f>
        <v>1076</v>
      </c>
      <c r="T11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269">
        <f ca="1">TblMili[[#This Row],[Non Draft]] * (1 + TblMili[[#This Row],[Mods_Def]])</f>
        <v>450</v>
      </c>
      <c r="V118" s="267">
        <f ca="1">TblMili[[#This Row],[Draft]] * (1 + TblMili[[#This Row],[Mods_Def]])</f>
        <v>1076</v>
      </c>
      <c r="W118" s="267">
        <f ca="1">TblConstr[[#This Row],[Land]]</f>
        <v>250</v>
      </c>
      <c r="X118" s="270"/>
      <c r="Y118" s="275">
        <f ca="1">IF(TblMili[[#This Row],[Set]]&lt;&gt;"",TblMili[[#This Row],[Set]],OFFSET(TblMili[[#This Row],[Draftrate]],-1,0))</f>
        <v>0.35</v>
      </c>
      <c r="Z118" s="97">
        <f ca="1">OFFSET(TblMili[[#This Row],[Draftees]],-1,0)+OFFSET(TblPop[[#This Row],[Draft Growth]],-1,0) - SUM(TblMili[[#This Row],[Train Unit 1]:[Train Wiz]]) - TblMili[[#This Row],[Release Draft]] + SUM(TblMili[[#This Row],[Release Unit 1]:[Release Arch]]) -TblExplore[[#This Row],[Draftees (2)]]</f>
        <v>626</v>
      </c>
      <c r="AA118" s="162"/>
      <c r="AB118" s="188">
        <f ca="1">(TblConstr[[#This Row],[Tot Smi]]+TblConstr[[#This Row],[Dest Smi]])/(TblConstr[[#This Row],[Land]]-TblExplore[[#This Row],[Land Bonus]]*20)</f>
        <v>0</v>
      </c>
      <c r="AC118" s="145"/>
      <c r="AD118" s="266">
        <f>TblMili[[#This Row],[Hour]]</f>
        <v>115</v>
      </c>
      <c r="AE118" s="146">
        <f ca="1">TblExplore[[#This Row],[Time]]</f>
        <v>44815.499999999724</v>
      </c>
      <c r="AF118" s="187"/>
      <c r="AG118" s="187"/>
      <c r="AH118" s="187"/>
      <c r="AI118" s="187"/>
      <c r="AJ118" s="187"/>
      <c r="AK118" s="187"/>
      <c r="AL118" s="187"/>
      <c r="AM118" s="150"/>
      <c r="AN118" s="97">
        <f ca="1">TblProd[[#This Row],[Platinum]]</f>
        <v>726282</v>
      </c>
      <c r="AO118" s="97">
        <f ca="1">INDEX(TblProd[[#Headers],[Lumber]]:TblProd[[#This Row],[Ore]],COUNTA(TblProd[[#Headers],[Lumber]]:TblProd[[#This Row],[Lumber]]),MATCH(Military!$AO$2,TblProd[[#Headers],[Lumber]:[Ore]],0))</f>
        <v>0</v>
      </c>
      <c r="AP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97">
        <f ca="1">TblMili[[#This Row],[Train Unit 1]]*TblMili[[#This Row],[OP Ore]]+TblMili[[#This Row],[Train Unit 2]]*TblMili[[#This Row],[DP Ore]]+TblMili[[#This Row],[Train Unit 3]]*TblMili[[#This Row],[E1 Ore]]+TblMili[[#This Row],[Train Unit 4]]*TblMili[[#This Row],[E2 Ore]]</f>
        <v>0</v>
      </c>
      <c r="AR118" s="150">
        <f>TblMili[[#This Row],[Hour]]</f>
        <v>115</v>
      </c>
      <c r="AS118" s="160">
        <f ca="1">TblMili[[#This Row],[Time]]</f>
        <v>44815.499999999724</v>
      </c>
      <c r="AT118" s="97">
        <f ca="1">TblMili[[#This Row],[Draftees]]</f>
        <v>626</v>
      </c>
      <c r="AU118" s="187"/>
      <c r="AV118" s="187"/>
      <c r="AW118" s="187"/>
      <c r="AX118" s="187"/>
      <c r="AY118" s="187"/>
      <c r="AZ118" s="187"/>
      <c r="BA118" s="187"/>
      <c r="BB118" s="187"/>
      <c r="BC118" s="150"/>
      <c r="BD118" s="165">
        <f ca="1">TblConstr[[#This Row],[Tot WG]]/TblConstr[[#This Row],[Land]]</f>
        <v>0</v>
      </c>
      <c r="BE118" s="165">
        <f ca="1">TblConstr[[#This Row],[Tot Hav]]/TblConstr[[#This Row],[Land]]</f>
        <v>0</v>
      </c>
      <c r="BF118" s="97">
        <f ca="1">ROUNDUP((1-MIN(TblMili[[#This Row],[Smithies]]*smithy_bonus,smithy_bonus_cap) + tech_3_5*TblTech[[#This Row],[3-5]] + tech_5_3*TblTech[[#This Row],[5-3]] + tech_5_5*TblTech[[#This Row],[5-5]])*spec_op_plat,0)</f>
        <v>275</v>
      </c>
      <c r="BG118" s="97">
        <f ca="1">ROUNDUP(IF(race="Gnome",1,(1-MIN(TblMili[[#This Row],[Smithies]]*smithy_bonus,smithy_bonus_cap) + tech_3_5*TblTech[[#This Row],[3-5]] + tech_5_3*TblTech[[#This Row],[5-3]] + tech_5_5*TblTech[[#This Row],[5-5]]))*spec_op_ore,0)</f>
        <v>25</v>
      </c>
      <c r="BH118" s="97">
        <f ca="1">ROUNDUP((1-MIN(TblMili[[#This Row],[Smithies]]*smithy_bonus,smithy_bonus_cap) + tech_3_5*TblTech[[#This Row],[3-5]] + tech_5_3*TblTech[[#This Row],[5-3]] + tech_5_5*TblTech[[#This Row],[5-5]])*spec_dp_plat,0)</f>
        <v>275</v>
      </c>
      <c r="BI118" s="97">
        <f ca="1">ROUNDUP(IF(race="Gnome",1,(1-MIN(TblMili[[#This Row],[Smithies]]*smithy_bonus,smithy_bonus_cap) + tech_3_5*TblTech[[#This Row],[3-5]] + tech_5_3*TblTech[[#This Row],[5-3]] + tech_5_5*TblTech[[#This Row],[5-5]]))*spec_dp_ore,0)</f>
        <v>15</v>
      </c>
      <c r="BJ118" s="97">
        <f ca="1">ROUNDUP((1-MIN(TblMili[[#This Row],[Smithies]]*smithy_bonus,smithy_bonus_cap) + tech_3_5*TblTech[[#This Row],[3-5]] + tech_5_3*TblTech[[#This Row],[5-3]] + tech_5_5*TblTech[[#This Row],[5-5]])*elite1_plat,0)</f>
        <v>1000</v>
      </c>
      <c r="BK118" s="97">
        <f ca="1">ROUNDUP(IF(race="Gnome",1,(1-MIN(TblMili[[#This Row],[Smithies]]*smithy_bonus,smithy_bonus_cap) + tech_3_5*TblTech[[#This Row],[3-5]] + tech_5_3*TblTech[[#This Row],[5-3]] + tech_5_5*TblTech[[#This Row],[5-5]]))*elite1_ore,0)</f>
        <v>75</v>
      </c>
      <c r="BL118" s="97">
        <f ca="1">ROUNDUP((1-MIN(TblMili[[#This Row],[Smithies]]*smithy_bonus,smithy_bonus_cap) + tech_3_5*TblTech[[#This Row],[3-5]] + tech_5_3*TblTech[[#This Row],[5-3]] + tech_5_5*TblTech[[#This Row],[5-5]])*elite2_plat,0)</f>
        <v>1200</v>
      </c>
      <c r="BM118" s="97">
        <f ca="1">ROUNDUP(IF(race="Gnome",1,(1-MIN(TblMili[[#This Row],[Smithies]]*smithy_bonus,smithy_bonus_cap) + tech_3_5*TblTech[[#This Row],[3-5]] + tech_5_3*TblTech[[#This Row],[5-3]] + tech_5_5*TblTech[[#This Row],[5-5]]))*elite2_ore,0)</f>
        <v>100</v>
      </c>
      <c r="BN118" s="97">
        <f ca="1">ROUNDUP((1-MIN(ROUND(fh_spy_cost_red*TblMili[[#This Row],[FH''s]],4),fh_spy_cost_cap)+ tech_1_9*TblTech[[#This Row],[1-9]] + tech_9_1*TblTech[[#This Row],[9-1]])*spy_plat,0)</f>
        <v>500</v>
      </c>
      <c r="BO118" s="97">
        <f ca="1">ROUNDUP((1-MIN(ROUND(wg_wiz_cost_bonus*TblMili[[#This Row],[WG''s]],4),wg_wiz_cost_cap) + tech_1_9_2*TblTech[[#This Row],[1-9]] + tech_9_1_2*TblTech[[#This Row],[9-1]])*wizard_plat,0)</f>
        <v>500</v>
      </c>
      <c r="BP118" s="97">
        <f ca="1">ROUNDUP((1-MIN(ROUND(wg_wiz_cost_bonus*TblMili[[#This Row],[WG''s]],4),wg_wiz_cost_cap) + tech_1_9_2*TblTech[[#This Row],[1-9]] + tech_9_1_2*TblTech[[#This Row],[9-1]])*archmage_plat,0)</f>
        <v>1000</v>
      </c>
      <c r="BQ118" s="150"/>
      <c r="BR118" s="165">
        <f ca="1">TblConstr[[#This Row],[Homeland]]/TblConstr[[#This Row],[Land]]</f>
        <v>0.44</v>
      </c>
      <c r="BS118" s="165">
        <f ca="1">TblMili[[#This Row],[WG''s]]</f>
        <v>0</v>
      </c>
      <c r="BT118" s="271">
        <f ca="1">IF(mystic_cap="none",TblMili[[#This Row],[Hill]]/mystic_bonus,MIN(mystic_cap,TblMili[[#This Row],[Hill]]/mystic_bonus))</f>
        <v>2.1999999999999997</v>
      </c>
      <c r="BU118" s="271">
        <f ca="1">IF(druid_op_cap="none",TblMili[[#This Row],[Hill]]/druid_op_bonus,MIN(druid_op_cap,TblMili[[#This Row],[Hill]]/druid_op_bonus))</f>
        <v>2.1999999999999997</v>
      </c>
      <c r="BV118" s="271">
        <f ca="1">IF(druid_dp_cap="none",TblMili[[#This Row],[Hill]]/druid_dp_bonus,MIN(druid_dp_cap,TblMili[[#This Row],[Hill]]/druid_dp_bonus))</f>
        <v>2.1999999999999997</v>
      </c>
      <c r="BW118" s="271">
        <f ca="1">MIN(dryad_cap,TblMili[[#This Row],[Hill]]/dryad_bonus)</f>
        <v>2.1999999999999997</v>
      </c>
      <c r="BX118" s="271">
        <f ca="1">MIN(rocka_cap,TblMili[[#This Row],[Hill]]/rocka_bonus)</f>
        <v>2</v>
      </c>
      <c r="BY118" s="271">
        <f ca="1">MIN(adept_op_cap,TblMili[[#This Row],[WG]]/adept_op_bonus)</f>
        <v>0</v>
      </c>
      <c r="BZ118" s="271">
        <f ca="1">MIN(adept_dp_cap,TblMili[[#This Row],[WG]]/adept_dp_bonus)</f>
        <v>0</v>
      </c>
      <c r="CA118" s="97">
        <f ca="1">MIN(TblMili[[#This Row],[Unit 3]],TblMili[[#This Row],[Unit 4]])*2</f>
        <v>0</v>
      </c>
      <c r="CB118" s="97">
        <f ca="1">MIN(TblMili[[#This Row],[Unit 1]],TblMili[[#This Row],[Unit 4]])*2</f>
        <v>0</v>
      </c>
      <c r="CC118" s="271">
        <f ca="1">MIN(frost_mage_cap,TblMili[[#This Row],[Hill]]/frost_mage_bonus)</f>
        <v>2.1999999999999997</v>
      </c>
      <c r="CD118" s="45">
        <f ca="1">MIN(ice_elem_cap,TblMili[[#This Row],[Raw (2)]]*ice_elem_bonus)</f>
        <v>0.1</v>
      </c>
      <c r="CE118" s="271">
        <f t="shared" si="4"/>
        <v>1</v>
      </c>
      <c r="CF118" s="271">
        <f ca="1">MIN(nox_nightshade_cap,TblConstr[[#This Row],[Homeland]]/TblConstr[[#This Row],[Land]]/nox_nightshade_swamp_bonus)</f>
        <v>3</v>
      </c>
      <c r="CG118" s="272"/>
      <c r="CH118" s="272"/>
      <c r="CI118" s="272"/>
      <c r="CJ118" s="271">
        <f ca="1">MIN(6,TblMili[[#This Row],[Mystic]]+Races!$F$19)*1.8 +  IF(TblMili[[#This Row],[Mystic]]+Races!$F$19&gt;6,(TblMili[[#This Row],[Mystic]]+Races!$F$19-6)*0.2,0) - Races!$I$19</f>
        <v>3.6399999999999997</v>
      </c>
      <c r="CK11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97">
        <f ca="1">TblMili[[#This Row],[Mystic bonus]]*TblMili[[#This Row],[Unit 3]]+TblMili[[#This Row],[Druid bonus]]*TblMili[[#This Row],[Unit 4]]</f>
        <v>0</v>
      </c>
      <c r="CM118" s="163">
        <f ca="1">MIN(6,TblMili[[#This Row],[Dryad]]+Races!$F$35)*1.8 +  IF(TblMili[[#This Row],[Dryad]]+Races!$F$35&gt;6,(TblMili[[#This Row],[Dryad]]+Races!$F$35-6)*0.2,0) - Races!$I$19</f>
        <v>2.1599999999999993</v>
      </c>
      <c r="CN118" s="97">
        <f ca="1">sylvan*(TblMili[[#This Row],[Mystic bonus]]*TblMili[[#This Row],[Unit 3]])</f>
        <v>0</v>
      </c>
      <c r="CO118" s="163">
        <f ca="1">1.8 * MIN(MAX(Races!$E$27,TblMili[[#This Row],[Rockapult]]+Races!$F$27),6)  +  0.45 * MIN(MIN(Races!$E$27,TblMili[[#This Row],[Rockapult]]+Races!$F$27),6)  +  0.2 * ( MAX(Races!$E$27-6,0) + MAX(TblMili[[#This Row],[Rockapult]]+Races!$F$27-6,0) )  -  Races!$I$20</f>
        <v>5.8500000000000005</v>
      </c>
      <c r="CP118" s="97">
        <f ca="1">gnome*(TblMili[[#This Row],[Rockapult bonus]]*TblMili[[#This Row],[Unit 3]])</f>
        <v>0</v>
      </c>
      <c r="CQ118" s="163">
        <f ca="1">1.8 * MIN(MAX(TblMili[[#This Row],[Spellblade]]+Races!$E$47,TblMili[[#This Row],[Adept-DP]]+Races!$F$47),6)  +  0.45 * MIN(MIN(TblMili[[#This Row],[Spellblade]]+Races!$E$47,TblMili[[#This Row],[Adept-DP]]+Races!$F$47),6)  +  0.2 * ( MAX(TblMili[[#This Row],[Spellblade]]+Races!$E$47-6,0) + MAX(TblMili[[#This Row],[Adept-DP]]+Races!$F$47-6,0) )  -  Races!$I$47</f>
        <v>0</v>
      </c>
      <c r="CR118" s="97">
        <f ca="1">dark_elf*(TblMili[[#This Row],[Adept bonus]]*TblMili[[#This Row],[Unit 3]])</f>
        <v>0</v>
      </c>
      <c r="CS118" s="163">
        <f ca="1">1.8 * MIN(MAX(TblMili[[#This Row],[Frost Mage]]+Races!$F$71,Races!$E$71),6)  +  0.45 * MIN(MIN(TblMili[[#This Row],[Frost Mage]]+Races!$F$71,Races!$E$71),6)  +  0.2 * ( MAX(TblMili[[#This Row],[Frost Mage]]+Races!$F$71-6,0) + MAX(Races!$E$71-6,0) )  -  Races!$I$71</f>
        <v>3.9599999999999991</v>
      </c>
      <c r="CT118" s="163">
        <f ca="1">1.8 * MIN(MAX(TblMili[[#This Row],[Ice Elemental]]+Races!$E$71,Races!$F$71),6)  +  0.45 * MIN(MIN(TblMili[[#This Row],[Ice Elemental]]+Races!$E$71,Races!$F$71),6)  +  0.2 * ( MAX(TblMili[[#This Row],[Ice Elemental]]+Races!$E$71-6,0) + MAX(Races!$F$71-6,0) )  -  Races!$I$71</f>
        <v>0.17999999999999972</v>
      </c>
      <c r="CU118" s="97">
        <f ca="1">TblMili[[#This Row],[Frost Mage bonus]]*TblMili[[#This Row],[Unit 3]]+TblMili[[#This Row],[Ice Elemental bonus]]*TblMili[[#This Row],[Unit 4]]</f>
        <v>0</v>
      </c>
      <c r="CV118" s="273"/>
      <c r="CW118" s="151">
        <f ca="1">MIN(SUM(TblConstr[[#This Row],[Plain]:[Water]])/TblMili[[#This Row],[Land]]/favorable_terrain_bonus/100,favorable_terrain_max)</f>
        <v>0.1</v>
      </c>
      <c r="CX118" s="273"/>
      <c r="CY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50"/>
      <c r="DA118" s="274">
        <f ca="1">(TblMili[[#This Row],[Wizards]]+2*TblMili[[#This Row],[Archmages]])/TblConstr[[#This Row],[Land]]</f>
        <v>0.1</v>
      </c>
      <c r="DB118" s="274">
        <f ca="1">TblMili[[#This Row],[Raw (2)]]*(1+race_wizard_strength+IF(TblMili[[#This Row],[Hour]]&gt;72,tech_magical_weaponry_wiz*TblTech[[#This Row],[3-5]],0))</f>
        <v>0.1</v>
      </c>
    </row>
    <row r="119" spans="1:106" x14ac:dyDescent="0.2">
      <c r="A119" s="145">
        <f>TblRezone[[#This Row],[Hour]]</f>
        <v>116</v>
      </c>
      <c r="B119" s="266">
        <f ca="1">SUM(TblMili[[#This Row],[Unit 1]:[Archmages]])+SUM(OFFSET(TblMili[[#This Row],[Train Unit 1]],-8,0):TblMili[[#This Row],[Train Unit 2]]) + SUM(OFFSET(TblMili[[#This Row],[Train Unit 3]],-11,0):TblMili[[#This Row],[Train Arch]]) + TblMili[[#This Row],[Draftees]]</f>
        <v>826</v>
      </c>
      <c r="C119" s="165">
        <f ca="1">TblPop[[#This Row],[Military%]]</f>
        <v>0.35029686174724345</v>
      </c>
      <c r="D119" s="150"/>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f>
        <v>25</v>
      </c>
      <c r="J119" s="45">
        <f ca="1">OFFSET(TblMili[[#This Row],[Wizards]],-1,0) + OFFSET(TblMili[[#This Row],[Train Wiz]],-12,0) - TblMili[[#This Row],[Release Wizards]]-TblMili[[#This Row],[Train Arch]]</f>
        <v>25</v>
      </c>
      <c r="K119" s="45">
        <f ca="1">OFFSET(TblMili[[#This Row],[Archmages]],-1,0) + OFFSET(TblMili[[#This Row],[Train Arch]],-12,0) - TblMili[[#This Row],[Release Arch]]</f>
        <v>0</v>
      </c>
      <c r="L119" s="150"/>
      <c r="M119" s="97">
        <f ca="1">TblProd[[#This Row],[Networth]]</f>
        <v>6450</v>
      </c>
      <c r="N119" s="150"/>
      <c r="O119" s="267">
        <f ca="1">TblMili[[#This Row],[Unit 1]]*spec_op+TblMili[[#This Row],[Unit 3]]*(elite1_base_op)+TblMili[[#This Row],[Unit 4]]*(elite2_base_op+dark_elf*TblMili[[#This Row],[Spellblade]]+icekin*TblMili[[#This Row],[Ice Elemental]]+woodie*TblMili[[#This Row],[Druid (op)]]+orc*TblMili[[#This Row],[Orc]])+kobold*TblMili[[#This Row],[Overlords]]</f>
        <v>0</v>
      </c>
      <c r="P11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9" s="267">
        <f ca="1">TblMili[[#This Row],[Raw]]*(1+TblMili[[#This Row],[Mods_Off]])</f>
        <v>0</v>
      </c>
      <c r="R11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9" s="267">
        <f ca="1">TblMili[[#This Row],[Non Draft]]+TblMili[[#This Row],[Draftees]]</f>
        <v>1076</v>
      </c>
      <c r="T11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269">
        <f ca="1">TblMili[[#This Row],[Non Draft]] * (1 + TblMili[[#This Row],[Mods_Def]])</f>
        <v>450</v>
      </c>
      <c r="V119" s="267">
        <f ca="1">TblMili[[#This Row],[Draft]] * (1 + TblMili[[#This Row],[Mods_Def]])</f>
        <v>1076</v>
      </c>
      <c r="W119" s="267">
        <f ca="1">TblConstr[[#This Row],[Land]]</f>
        <v>250</v>
      </c>
      <c r="X119" s="270"/>
      <c r="Y119" s="275">
        <f ca="1">IF(TblMili[[#This Row],[Set]]&lt;&gt;"",TblMili[[#This Row],[Set]],OFFSET(TblMili[[#This Row],[Draftrate]],-1,0))</f>
        <v>0.35</v>
      </c>
      <c r="Z119" s="97">
        <f ca="1">OFFSET(TblMili[[#This Row],[Draftees]],-1,0)+OFFSET(TblPop[[#This Row],[Draft Growth]],-1,0) - SUM(TblMili[[#This Row],[Train Unit 1]:[Train Wiz]]) - TblMili[[#This Row],[Release Draft]] + SUM(TblMili[[#This Row],[Release Unit 1]:[Release Arch]]) -TblExplore[[#This Row],[Draftees (2)]]</f>
        <v>626</v>
      </c>
      <c r="AA119" s="162"/>
      <c r="AB119" s="188">
        <f ca="1">(TblConstr[[#This Row],[Tot Smi]]+TblConstr[[#This Row],[Dest Smi]])/(TblConstr[[#This Row],[Land]]-TblExplore[[#This Row],[Land Bonus]]*20)</f>
        <v>0</v>
      </c>
      <c r="AC119" s="145"/>
      <c r="AD119" s="266">
        <f>TblMili[[#This Row],[Hour]]</f>
        <v>116</v>
      </c>
      <c r="AE119" s="146">
        <f ca="1">TblExplore[[#This Row],[Time]]</f>
        <v>44815.541666666388</v>
      </c>
      <c r="AF119" s="187"/>
      <c r="AG119" s="187"/>
      <c r="AH119" s="187"/>
      <c r="AI119" s="187"/>
      <c r="AJ119" s="187"/>
      <c r="AK119" s="187"/>
      <c r="AL119" s="187"/>
      <c r="AM119" s="150"/>
      <c r="AN119" s="97">
        <f ca="1">TblProd[[#This Row],[Platinum]]</f>
        <v>731768</v>
      </c>
      <c r="AO119" s="97">
        <f ca="1">INDEX(TblProd[[#Headers],[Lumber]]:TblProd[[#This Row],[Ore]],COUNTA(TblProd[[#Headers],[Lumber]]:TblProd[[#This Row],[Lumber]]),MATCH(Military!$AO$2,TblProd[[#Headers],[Lumber]:[Ore]],0))</f>
        <v>0</v>
      </c>
      <c r="AP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97">
        <f ca="1">TblMili[[#This Row],[Train Unit 1]]*TblMili[[#This Row],[OP Ore]]+TblMili[[#This Row],[Train Unit 2]]*TblMili[[#This Row],[DP Ore]]+TblMili[[#This Row],[Train Unit 3]]*TblMili[[#This Row],[E1 Ore]]+TblMili[[#This Row],[Train Unit 4]]*TblMili[[#This Row],[E2 Ore]]</f>
        <v>0</v>
      </c>
      <c r="AR119" s="150">
        <f>TblMili[[#This Row],[Hour]]</f>
        <v>116</v>
      </c>
      <c r="AS119" s="160">
        <f ca="1">TblMili[[#This Row],[Time]]</f>
        <v>44815.541666666388</v>
      </c>
      <c r="AT119" s="97">
        <f ca="1">TblMili[[#This Row],[Draftees]]</f>
        <v>626</v>
      </c>
      <c r="AU119" s="187"/>
      <c r="AV119" s="187"/>
      <c r="AW119" s="187"/>
      <c r="AX119" s="187"/>
      <c r="AY119" s="187"/>
      <c r="AZ119" s="187"/>
      <c r="BA119" s="187"/>
      <c r="BB119" s="187"/>
      <c r="BC119" s="150"/>
      <c r="BD119" s="165">
        <f ca="1">TblConstr[[#This Row],[Tot WG]]/TblConstr[[#This Row],[Land]]</f>
        <v>0</v>
      </c>
      <c r="BE119" s="165">
        <f ca="1">TblConstr[[#This Row],[Tot Hav]]/TblConstr[[#This Row],[Land]]</f>
        <v>0</v>
      </c>
      <c r="BF119" s="97">
        <f ca="1">ROUNDUP((1-MIN(TblMili[[#This Row],[Smithies]]*smithy_bonus,smithy_bonus_cap) + tech_3_5*TblTech[[#This Row],[3-5]] + tech_5_3*TblTech[[#This Row],[5-3]] + tech_5_5*TblTech[[#This Row],[5-5]])*spec_op_plat,0)</f>
        <v>275</v>
      </c>
      <c r="BG119" s="97">
        <f ca="1">ROUNDUP(IF(race="Gnome",1,(1-MIN(TblMili[[#This Row],[Smithies]]*smithy_bonus,smithy_bonus_cap) + tech_3_5*TblTech[[#This Row],[3-5]] + tech_5_3*TblTech[[#This Row],[5-3]] + tech_5_5*TblTech[[#This Row],[5-5]]))*spec_op_ore,0)</f>
        <v>25</v>
      </c>
      <c r="BH119" s="97">
        <f ca="1">ROUNDUP((1-MIN(TblMili[[#This Row],[Smithies]]*smithy_bonus,smithy_bonus_cap) + tech_3_5*TblTech[[#This Row],[3-5]] + tech_5_3*TblTech[[#This Row],[5-3]] + tech_5_5*TblTech[[#This Row],[5-5]])*spec_dp_plat,0)</f>
        <v>275</v>
      </c>
      <c r="BI119" s="97">
        <f ca="1">ROUNDUP(IF(race="Gnome",1,(1-MIN(TblMili[[#This Row],[Smithies]]*smithy_bonus,smithy_bonus_cap) + tech_3_5*TblTech[[#This Row],[3-5]] + tech_5_3*TblTech[[#This Row],[5-3]] + tech_5_5*TblTech[[#This Row],[5-5]]))*spec_dp_ore,0)</f>
        <v>15</v>
      </c>
      <c r="BJ119" s="97">
        <f ca="1">ROUNDUP((1-MIN(TblMili[[#This Row],[Smithies]]*smithy_bonus,smithy_bonus_cap) + tech_3_5*TblTech[[#This Row],[3-5]] + tech_5_3*TblTech[[#This Row],[5-3]] + tech_5_5*TblTech[[#This Row],[5-5]])*elite1_plat,0)</f>
        <v>1000</v>
      </c>
      <c r="BK119" s="97">
        <f ca="1">ROUNDUP(IF(race="Gnome",1,(1-MIN(TblMili[[#This Row],[Smithies]]*smithy_bonus,smithy_bonus_cap) + tech_3_5*TblTech[[#This Row],[3-5]] + tech_5_3*TblTech[[#This Row],[5-3]] + tech_5_5*TblTech[[#This Row],[5-5]]))*elite1_ore,0)</f>
        <v>75</v>
      </c>
      <c r="BL119" s="97">
        <f ca="1">ROUNDUP((1-MIN(TblMili[[#This Row],[Smithies]]*smithy_bonus,smithy_bonus_cap) + tech_3_5*TblTech[[#This Row],[3-5]] + tech_5_3*TblTech[[#This Row],[5-3]] + tech_5_5*TblTech[[#This Row],[5-5]])*elite2_plat,0)</f>
        <v>1200</v>
      </c>
      <c r="BM119" s="97">
        <f ca="1">ROUNDUP(IF(race="Gnome",1,(1-MIN(TblMili[[#This Row],[Smithies]]*smithy_bonus,smithy_bonus_cap) + tech_3_5*TblTech[[#This Row],[3-5]] + tech_5_3*TblTech[[#This Row],[5-3]] + tech_5_5*TblTech[[#This Row],[5-5]]))*elite2_ore,0)</f>
        <v>100</v>
      </c>
      <c r="BN119" s="97">
        <f ca="1">ROUNDUP((1-MIN(ROUND(fh_spy_cost_red*TblMili[[#This Row],[FH''s]],4),fh_spy_cost_cap)+ tech_1_9*TblTech[[#This Row],[1-9]] + tech_9_1*TblTech[[#This Row],[9-1]])*spy_plat,0)</f>
        <v>500</v>
      </c>
      <c r="BO119" s="97">
        <f ca="1">ROUNDUP((1-MIN(ROUND(wg_wiz_cost_bonus*TblMili[[#This Row],[WG''s]],4),wg_wiz_cost_cap) + tech_1_9_2*TblTech[[#This Row],[1-9]] + tech_9_1_2*TblTech[[#This Row],[9-1]])*wizard_plat,0)</f>
        <v>500</v>
      </c>
      <c r="BP119" s="97">
        <f ca="1">ROUNDUP((1-MIN(ROUND(wg_wiz_cost_bonus*TblMili[[#This Row],[WG''s]],4),wg_wiz_cost_cap) + tech_1_9_2*TblTech[[#This Row],[1-9]] + tech_9_1_2*TblTech[[#This Row],[9-1]])*archmage_plat,0)</f>
        <v>1000</v>
      </c>
      <c r="BQ119" s="150"/>
      <c r="BR119" s="165">
        <f ca="1">TblConstr[[#This Row],[Homeland]]/TblConstr[[#This Row],[Land]]</f>
        <v>0.44</v>
      </c>
      <c r="BS119" s="165">
        <f ca="1">TblMili[[#This Row],[WG''s]]</f>
        <v>0</v>
      </c>
      <c r="BT119" s="271">
        <f ca="1">IF(mystic_cap="none",TblMili[[#This Row],[Hill]]/mystic_bonus,MIN(mystic_cap,TblMili[[#This Row],[Hill]]/mystic_bonus))</f>
        <v>2.1999999999999997</v>
      </c>
      <c r="BU119" s="271">
        <f ca="1">IF(druid_op_cap="none",TblMili[[#This Row],[Hill]]/druid_op_bonus,MIN(druid_op_cap,TblMili[[#This Row],[Hill]]/druid_op_bonus))</f>
        <v>2.1999999999999997</v>
      </c>
      <c r="BV119" s="271">
        <f ca="1">IF(druid_dp_cap="none",TblMili[[#This Row],[Hill]]/druid_dp_bonus,MIN(druid_dp_cap,TblMili[[#This Row],[Hill]]/druid_dp_bonus))</f>
        <v>2.1999999999999997</v>
      </c>
      <c r="BW119" s="271">
        <f ca="1">MIN(dryad_cap,TblMili[[#This Row],[Hill]]/dryad_bonus)</f>
        <v>2.1999999999999997</v>
      </c>
      <c r="BX119" s="271">
        <f ca="1">MIN(rocka_cap,TblMili[[#This Row],[Hill]]/rocka_bonus)</f>
        <v>2</v>
      </c>
      <c r="BY119" s="271">
        <f ca="1">MIN(adept_op_cap,TblMili[[#This Row],[WG]]/adept_op_bonus)</f>
        <v>0</v>
      </c>
      <c r="BZ119" s="271">
        <f ca="1">MIN(adept_dp_cap,TblMili[[#This Row],[WG]]/adept_dp_bonus)</f>
        <v>0</v>
      </c>
      <c r="CA119" s="97">
        <f ca="1">MIN(TblMili[[#This Row],[Unit 3]],TblMili[[#This Row],[Unit 4]])*2</f>
        <v>0</v>
      </c>
      <c r="CB119" s="97">
        <f ca="1">MIN(TblMili[[#This Row],[Unit 1]],TblMili[[#This Row],[Unit 4]])*2</f>
        <v>0</v>
      </c>
      <c r="CC119" s="271">
        <f ca="1">MIN(frost_mage_cap,TblMili[[#This Row],[Hill]]/frost_mage_bonus)</f>
        <v>2.1999999999999997</v>
      </c>
      <c r="CD119" s="45">
        <f ca="1">MIN(ice_elem_cap,TblMili[[#This Row],[Raw (2)]]*ice_elem_bonus)</f>
        <v>0.1</v>
      </c>
      <c r="CE119" s="271">
        <f t="shared" si="4"/>
        <v>1</v>
      </c>
      <c r="CF119" s="271">
        <f ca="1">MIN(nox_nightshade_cap,TblConstr[[#This Row],[Homeland]]/TblConstr[[#This Row],[Land]]/nox_nightshade_swamp_bonus)</f>
        <v>3</v>
      </c>
      <c r="CG119" s="272"/>
      <c r="CH119" s="272"/>
      <c r="CI119" s="272"/>
      <c r="CJ119" s="271">
        <f ca="1">MIN(6,TblMili[[#This Row],[Mystic]]+Races!$F$19)*1.8 +  IF(TblMili[[#This Row],[Mystic]]+Races!$F$19&gt;6,(TblMili[[#This Row],[Mystic]]+Races!$F$19-6)*0.2,0) - Races!$I$19</f>
        <v>3.6399999999999997</v>
      </c>
      <c r="CK11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97">
        <f ca="1">TblMili[[#This Row],[Mystic bonus]]*TblMili[[#This Row],[Unit 3]]+TblMili[[#This Row],[Druid bonus]]*TblMili[[#This Row],[Unit 4]]</f>
        <v>0</v>
      </c>
      <c r="CM119" s="163">
        <f ca="1">MIN(6,TblMili[[#This Row],[Dryad]]+Races!$F$35)*1.8 +  IF(TblMili[[#This Row],[Dryad]]+Races!$F$35&gt;6,(TblMili[[#This Row],[Dryad]]+Races!$F$35-6)*0.2,0) - Races!$I$19</f>
        <v>2.1599999999999993</v>
      </c>
      <c r="CN119" s="97">
        <f ca="1">sylvan*(TblMili[[#This Row],[Mystic bonus]]*TblMili[[#This Row],[Unit 3]])</f>
        <v>0</v>
      </c>
      <c r="CO119" s="163">
        <f ca="1">1.8 * MIN(MAX(Races!$E$27,TblMili[[#This Row],[Rockapult]]+Races!$F$27),6)  +  0.45 * MIN(MIN(Races!$E$27,TblMili[[#This Row],[Rockapult]]+Races!$F$27),6)  +  0.2 * ( MAX(Races!$E$27-6,0) + MAX(TblMili[[#This Row],[Rockapult]]+Races!$F$27-6,0) )  -  Races!$I$20</f>
        <v>5.8500000000000005</v>
      </c>
      <c r="CP119" s="97">
        <f ca="1">gnome*(TblMili[[#This Row],[Rockapult bonus]]*TblMili[[#This Row],[Unit 3]])</f>
        <v>0</v>
      </c>
      <c r="CQ119" s="163">
        <f ca="1">1.8 * MIN(MAX(TblMili[[#This Row],[Spellblade]]+Races!$E$47,TblMili[[#This Row],[Adept-DP]]+Races!$F$47),6)  +  0.45 * MIN(MIN(TblMili[[#This Row],[Spellblade]]+Races!$E$47,TblMili[[#This Row],[Adept-DP]]+Races!$F$47),6)  +  0.2 * ( MAX(TblMili[[#This Row],[Spellblade]]+Races!$E$47-6,0) + MAX(TblMili[[#This Row],[Adept-DP]]+Races!$F$47-6,0) )  -  Races!$I$47</f>
        <v>0</v>
      </c>
      <c r="CR119" s="97">
        <f ca="1">dark_elf*(TblMili[[#This Row],[Adept bonus]]*TblMili[[#This Row],[Unit 3]])</f>
        <v>0</v>
      </c>
      <c r="CS119" s="163">
        <f ca="1">1.8 * MIN(MAX(TblMili[[#This Row],[Frost Mage]]+Races!$F$71,Races!$E$71),6)  +  0.45 * MIN(MIN(TblMili[[#This Row],[Frost Mage]]+Races!$F$71,Races!$E$71),6)  +  0.2 * ( MAX(TblMili[[#This Row],[Frost Mage]]+Races!$F$71-6,0) + MAX(Races!$E$71-6,0) )  -  Races!$I$71</f>
        <v>3.9599999999999991</v>
      </c>
      <c r="CT119" s="163">
        <f ca="1">1.8 * MIN(MAX(TblMili[[#This Row],[Ice Elemental]]+Races!$E$71,Races!$F$71),6)  +  0.45 * MIN(MIN(TblMili[[#This Row],[Ice Elemental]]+Races!$E$71,Races!$F$71),6)  +  0.2 * ( MAX(TblMili[[#This Row],[Ice Elemental]]+Races!$E$71-6,0) + MAX(Races!$F$71-6,0) )  -  Races!$I$71</f>
        <v>0.17999999999999972</v>
      </c>
      <c r="CU119" s="97">
        <f ca="1">TblMili[[#This Row],[Frost Mage bonus]]*TblMili[[#This Row],[Unit 3]]+TblMili[[#This Row],[Ice Elemental bonus]]*TblMili[[#This Row],[Unit 4]]</f>
        <v>0</v>
      </c>
      <c r="CV119" s="273"/>
      <c r="CW119" s="151">
        <f ca="1">MIN(SUM(TblConstr[[#This Row],[Plain]:[Water]])/TblMili[[#This Row],[Land]]/favorable_terrain_bonus/100,favorable_terrain_max)</f>
        <v>0.1</v>
      </c>
      <c r="CX119" s="273"/>
      <c r="CY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50"/>
      <c r="DA119" s="274">
        <f ca="1">(TblMili[[#This Row],[Wizards]]+2*TblMili[[#This Row],[Archmages]])/TblConstr[[#This Row],[Land]]</f>
        <v>0.1</v>
      </c>
      <c r="DB119" s="274">
        <f ca="1">TblMili[[#This Row],[Raw (2)]]*(1+race_wizard_strength+IF(TblMili[[#This Row],[Hour]]&gt;72,tech_magical_weaponry_wiz*TblTech[[#This Row],[3-5]],0))</f>
        <v>0.1</v>
      </c>
    </row>
    <row r="120" spans="1:106" x14ac:dyDescent="0.2">
      <c r="A120" s="145">
        <f>TblRezone[[#This Row],[Hour]]</f>
        <v>117</v>
      </c>
      <c r="B120" s="266">
        <f ca="1">SUM(TblMili[[#This Row],[Unit 1]:[Archmages]])+SUM(OFFSET(TblMili[[#This Row],[Train Unit 1]],-8,0):TblMili[[#This Row],[Train Unit 2]]) + SUM(OFFSET(TblMili[[#This Row],[Train Unit 3]],-11,0):TblMili[[#This Row],[Train Arch]]) + TblMili[[#This Row],[Draftees]]</f>
        <v>826</v>
      </c>
      <c r="C120" s="165">
        <f ca="1">TblPop[[#This Row],[Military%]]</f>
        <v>0.35029686174724345</v>
      </c>
      <c r="D120" s="150"/>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f>
        <v>25</v>
      </c>
      <c r="J120" s="45">
        <f ca="1">OFFSET(TblMili[[#This Row],[Wizards]],-1,0) + OFFSET(TblMili[[#This Row],[Train Wiz]],-12,0) - TblMili[[#This Row],[Release Wizards]]-TblMili[[#This Row],[Train Arch]]</f>
        <v>25</v>
      </c>
      <c r="K120" s="45">
        <f ca="1">OFFSET(TblMili[[#This Row],[Archmages]],-1,0) + OFFSET(TblMili[[#This Row],[Train Arch]],-12,0) - TblMili[[#This Row],[Release Arch]]</f>
        <v>0</v>
      </c>
      <c r="L120" s="150"/>
      <c r="M120" s="97">
        <f ca="1">TblProd[[#This Row],[Networth]]</f>
        <v>6450</v>
      </c>
      <c r="N120" s="150"/>
      <c r="O120" s="267">
        <f ca="1">TblMili[[#This Row],[Unit 1]]*spec_op+TblMili[[#This Row],[Unit 3]]*(elite1_base_op)+TblMili[[#This Row],[Unit 4]]*(elite2_base_op+dark_elf*TblMili[[#This Row],[Spellblade]]+icekin*TblMili[[#This Row],[Ice Elemental]]+woodie*TblMili[[#This Row],[Druid (op)]]+orc*TblMili[[#This Row],[Orc]])+kobold*TblMili[[#This Row],[Overlords]]</f>
        <v>0</v>
      </c>
      <c r="P12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0" s="267">
        <f ca="1">TblMili[[#This Row],[Raw]]*(1+TblMili[[#This Row],[Mods_Off]])</f>
        <v>0</v>
      </c>
      <c r="R12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0" s="267">
        <f ca="1">TblMili[[#This Row],[Non Draft]]+TblMili[[#This Row],[Draftees]]</f>
        <v>1076</v>
      </c>
      <c r="T12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269">
        <f ca="1">TblMili[[#This Row],[Non Draft]] * (1 + TblMili[[#This Row],[Mods_Def]])</f>
        <v>450</v>
      </c>
      <c r="V120" s="267">
        <f ca="1">TblMili[[#This Row],[Draft]] * (1 + TblMili[[#This Row],[Mods_Def]])</f>
        <v>1076</v>
      </c>
      <c r="W120" s="267">
        <f ca="1">TblConstr[[#This Row],[Land]]</f>
        <v>250</v>
      </c>
      <c r="X120" s="270"/>
      <c r="Y120" s="275">
        <f ca="1">IF(TblMili[[#This Row],[Set]]&lt;&gt;"",TblMili[[#This Row],[Set]],OFFSET(TblMili[[#This Row],[Draftrate]],-1,0))</f>
        <v>0.35</v>
      </c>
      <c r="Z120" s="97">
        <f ca="1">OFFSET(TblMili[[#This Row],[Draftees]],-1,0)+OFFSET(TblPop[[#This Row],[Draft Growth]],-1,0) - SUM(TblMili[[#This Row],[Train Unit 1]:[Train Wiz]]) - TblMili[[#This Row],[Release Draft]] + SUM(TblMili[[#This Row],[Release Unit 1]:[Release Arch]]) -TblExplore[[#This Row],[Draftees (2)]]</f>
        <v>626</v>
      </c>
      <c r="AA120" s="162"/>
      <c r="AB120" s="188">
        <f ca="1">(TblConstr[[#This Row],[Tot Smi]]+TblConstr[[#This Row],[Dest Smi]])/(TblConstr[[#This Row],[Land]]-TblExplore[[#This Row],[Land Bonus]]*20)</f>
        <v>0</v>
      </c>
      <c r="AC120" s="145"/>
      <c r="AD120" s="266">
        <f>TblMili[[#This Row],[Hour]]</f>
        <v>117</v>
      </c>
      <c r="AE120" s="146">
        <f ca="1">TblExplore[[#This Row],[Time]]</f>
        <v>44815.583333333052</v>
      </c>
      <c r="AF120" s="187"/>
      <c r="AG120" s="187"/>
      <c r="AH120" s="187"/>
      <c r="AI120" s="187"/>
      <c r="AJ120" s="187"/>
      <c r="AK120" s="187"/>
      <c r="AL120" s="187"/>
      <c r="AM120" s="150"/>
      <c r="AN120" s="97">
        <f ca="1">TblProd[[#This Row],[Platinum]]</f>
        <v>737254</v>
      </c>
      <c r="AO120" s="97">
        <f ca="1">INDEX(TblProd[[#Headers],[Lumber]]:TblProd[[#This Row],[Ore]],COUNTA(TblProd[[#Headers],[Lumber]]:TblProd[[#This Row],[Lumber]]),MATCH(Military!$AO$2,TblProd[[#Headers],[Lumber]:[Ore]],0))</f>
        <v>0</v>
      </c>
      <c r="AP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97">
        <f ca="1">TblMili[[#This Row],[Train Unit 1]]*TblMili[[#This Row],[OP Ore]]+TblMili[[#This Row],[Train Unit 2]]*TblMili[[#This Row],[DP Ore]]+TblMili[[#This Row],[Train Unit 3]]*TblMili[[#This Row],[E1 Ore]]+TblMili[[#This Row],[Train Unit 4]]*TblMili[[#This Row],[E2 Ore]]</f>
        <v>0</v>
      </c>
      <c r="AR120" s="150">
        <f>TblMili[[#This Row],[Hour]]</f>
        <v>117</v>
      </c>
      <c r="AS120" s="160">
        <f ca="1">TblMili[[#This Row],[Time]]</f>
        <v>44815.583333333052</v>
      </c>
      <c r="AT120" s="97">
        <f ca="1">TblMili[[#This Row],[Draftees]]</f>
        <v>626</v>
      </c>
      <c r="AU120" s="187"/>
      <c r="AV120" s="187"/>
      <c r="AW120" s="187"/>
      <c r="AX120" s="187"/>
      <c r="AY120" s="187"/>
      <c r="AZ120" s="187"/>
      <c r="BA120" s="187"/>
      <c r="BB120" s="187"/>
      <c r="BC120" s="150"/>
      <c r="BD120" s="165">
        <f ca="1">TblConstr[[#This Row],[Tot WG]]/TblConstr[[#This Row],[Land]]</f>
        <v>0</v>
      </c>
      <c r="BE120" s="165">
        <f ca="1">TblConstr[[#This Row],[Tot Hav]]/TblConstr[[#This Row],[Land]]</f>
        <v>0</v>
      </c>
      <c r="BF120" s="97">
        <f ca="1">ROUNDUP((1-MIN(TblMili[[#This Row],[Smithies]]*smithy_bonus,smithy_bonus_cap) + tech_3_5*TblTech[[#This Row],[3-5]] + tech_5_3*TblTech[[#This Row],[5-3]] + tech_5_5*TblTech[[#This Row],[5-5]])*spec_op_plat,0)</f>
        <v>275</v>
      </c>
      <c r="BG120" s="97">
        <f ca="1">ROUNDUP(IF(race="Gnome",1,(1-MIN(TblMili[[#This Row],[Smithies]]*smithy_bonus,smithy_bonus_cap) + tech_3_5*TblTech[[#This Row],[3-5]] + tech_5_3*TblTech[[#This Row],[5-3]] + tech_5_5*TblTech[[#This Row],[5-5]]))*spec_op_ore,0)</f>
        <v>25</v>
      </c>
      <c r="BH120" s="97">
        <f ca="1">ROUNDUP((1-MIN(TblMili[[#This Row],[Smithies]]*smithy_bonus,smithy_bonus_cap) + tech_3_5*TblTech[[#This Row],[3-5]] + tech_5_3*TblTech[[#This Row],[5-3]] + tech_5_5*TblTech[[#This Row],[5-5]])*spec_dp_plat,0)</f>
        <v>275</v>
      </c>
      <c r="BI120" s="97">
        <f ca="1">ROUNDUP(IF(race="Gnome",1,(1-MIN(TblMili[[#This Row],[Smithies]]*smithy_bonus,smithy_bonus_cap) + tech_3_5*TblTech[[#This Row],[3-5]] + tech_5_3*TblTech[[#This Row],[5-3]] + tech_5_5*TblTech[[#This Row],[5-5]]))*spec_dp_ore,0)</f>
        <v>15</v>
      </c>
      <c r="BJ120" s="97">
        <f ca="1">ROUNDUP((1-MIN(TblMili[[#This Row],[Smithies]]*smithy_bonus,smithy_bonus_cap) + tech_3_5*TblTech[[#This Row],[3-5]] + tech_5_3*TblTech[[#This Row],[5-3]] + tech_5_5*TblTech[[#This Row],[5-5]])*elite1_plat,0)</f>
        <v>1000</v>
      </c>
      <c r="BK120" s="97">
        <f ca="1">ROUNDUP(IF(race="Gnome",1,(1-MIN(TblMili[[#This Row],[Smithies]]*smithy_bonus,smithy_bonus_cap) + tech_3_5*TblTech[[#This Row],[3-5]] + tech_5_3*TblTech[[#This Row],[5-3]] + tech_5_5*TblTech[[#This Row],[5-5]]))*elite1_ore,0)</f>
        <v>75</v>
      </c>
      <c r="BL120" s="97">
        <f ca="1">ROUNDUP((1-MIN(TblMili[[#This Row],[Smithies]]*smithy_bonus,smithy_bonus_cap) + tech_3_5*TblTech[[#This Row],[3-5]] + tech_5_3*TblTech[[#This Row],[5-3]] + tech_5_5*TblTech[[#This Row],[5-5]])*elite2_plat,0)</f>
        <v>1200</v>
      </c>
      <c r="BM120" s="97">
        <f ca="1">ROUNDUP(IF(race="Gnome",1,(1-MIN(TblMili[[#This Row],[Smithies]]*smithy_bonus,smithy_bonus_cap) + tech_3_5*TblTech[[#This Row],[3-5]] + tech_5_3*TblTech[[#This Row],[5-3]] + tech_5_5*TblTech[[#This Row],[5-5]]))*elite2_ore,0)</f>
        <v>100</v>
      </c>
      <c r="BN120" s="97">
        <f ca="1">ROUNDUP((1-MIN(ROUND(fh_spy_cost_red*TblMili[[#This Row],[FH''s]],4),fh_spy_cost_cap)+ tech_1_9*TblTech[[#This Row],[1-9]] + tech_9_1*TblTech[[#This Row],[9-1]])*spy_plat,0)</f>
        <v>500</v>
      </c>
      <c r="BO120" s="97">
        <f ca="1">ROUNDUP((1-MIN(ROUND(wg_wiz_cost_bonus*TblMili[[#This Row],[WG''s]],4),wg_wiz_cost_cap) + tech_1_9_2*TblTech[[#This Row],[1-9]] + tech_9_1_2*TblTech[[#This Row],[9-1]])*wizard_plat,0)</f>
        <v>500</v>
      </c>
      <c r="BP120" s="97">
        <f ca="1">ROUNDUP((1-MIN(ROUND(wg_wiz_cost_bonus*TblMili[[#This Row],[WG''s]],4),wg_wiz_cost_cap) + tech_1_9_2*TblTech[[#This Row],[1-9]] + tech_9_1_2*TblTech[[#This Row],[9-1]])*archmage_plat,0)</f>
        <v>1000</v>
      </c>
      <c r="BQ120" s="150"/>
      <c r="BR120" s="165">
        <f ca="1">TblConstr[[#This Row],[Homeland]]/TblConstr[[#This Row],[Land]]</f>
        <v>0.44</v>
      </c>
      <c r="BS120" s="165">
        <f ca="1">TblMili[[#This Row],[WG''s]]</f>
        <v>0</v>
      </c>
      <c r="BT120" s="271">
        <f ca="1">IF(mystic_cap="none",TblMili[[#This Row],[Hill]]/mystic_bonus,MIN(mystic_cap,TblMili[[#This Row],[Hill]]/mystic_bonus))</f>
        <v>2.1999999999999997</v>
      </c>
      <c r="BU120" s="271">
        <f ca="1">IF(druid_op_cap="none",TblMili[[#This Row],[Hill]]/druid_op_bonus,MIN(druid_op_cap,TblMili[[#This Row],[Hill]]/druid_op_bonus))</f>
        <v>2.1999999999999997</v>
      </c>
      <c r="BV120" s="271">
        <f ca="1">IF(druid_dp_cap="none",TblMili[[#This Row],[Hill]]/druid_dp_bonus,MIN(druid_dp_cap,TblMili[[#This Row],[Hill]]/druid_dp_bonus))</f>
        <v>2.1999999999999997</v>
      </c>
      <c r="BW120" s="271">
        <f ca="1">MIN(dryad_cap,TblMili[[#This Row],[Hill]]/dryad_bonus)</f>
        <v>2.1999999999999997</v>
      </c>
      <c r="BX120" s="271">
        <f ca="1">MIN(rocka_cap,TblMili[[#This Row],[Hill]]/rocka_bonus)</f>
        <v>2</v>
      </c>
      <c r="BY120" s="271">
        <f ca="1">MIN(adept_op_cap,TblMili[[#This Row],[WG]]/adept_op_bonus)</f>
        <v>0</v>
      </c>
      <c r="BZ120" s="271">
        <f ca="1">MIN(adept_dp_cap,TblMili[[#This Row],[WG]]/adept_dp_bonus)</f>
        <v>0</v>
      </c>
      <c r="CA120" s="97">
        <f ca="1">MIN(TblMili[[#This Row],[Unit 3]],TblMili[[#This Row],[Unit 4]])*2</f>
        <v>0</v>
      </c>
      <c r="CB120" s="97">
        <f ca="1">MIN(TblMili[[#This Row],[Unit 1]],TblMili[[#This Row],[Unit 4]])*2</f>
        <v>0</v>
      </c>
      <c r="CC120" s="271">
        <f ca="1">MIN(frost_mage_cap,TblMili[[#This Row],[Hill]]/frost_mage_bonus)</f>
        <v>2.1999999999999997</v>
      </c>
      <c r="CD120" s="45">
        <f ca="1">MIN(ice_elem_cap,TblMili[[#This Row],[Raw (2)]]*ice_elem_bonus)</f>
        <v>0.1</v>
      </c>
      <c r="CE120" s="271">
        <f t="shared" si="4"/>
        <v>1</v>
      </c>
      <c r="CF120" s="271">
        <f ca="1">MIN(nox_nightshade_cap,TblConstr[[#This Row],[Homeland]]/TblConstr[[#This Row],[Land]]/nox_nightshade_swamp_bonus)</f>
        <v>3</v>
      </c>
      <c r="CG120" s="272"/>
      <c r="CH120" s="272"/>
      <c r="CI120" s="272"/>
      <c r="CJ120" s="271">
        <f ca="1">MIN(6,TblMili[[#This Row],[Mystic]]+Races!$F$19)*1.8 +  IF(TblMili[[#This Row],[Mystic]]+Races!$F$19&gt;6,(TblMili[[#This Row],[Mystic]]+Races!$F$19-6)*0.2,0) - Races!$I$19</f>
        <v>3.6399999999999997</v>
      </c>
      <c r="CK12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97">
        <f ca="1">TblMili[[#This Row],[Mystic bonus]]*TblMili[[#This Row],[Unit 3]]+TblMili[[#This Row],[Druid bonus]]*TblMili[[#This Row],[Unit 4]]</f>
        <v>0</v>
      </c>
      <c r="CM120" s="163">
        <f ca="1">MIN(6,TblMili[[#This Row],[Dryad]]+Races!$F$35)*1.8 +  IF(TblMili[[#This Row],[Dryad]]+Races!$F$35&gt;6,(TblMili[[#This Row],[Dryad]]+Races!$F$35-6)*0.2,0) - Races!$I$19</f>
        <v>2.1599999999999993</v>
      </c>
      <c r="CN120" s="97">
        <f ca="1">sylvan*(TblMili[[#This Row],[Mystic bonus]]*TblMili[[#This Row],[Unit 3]])</f>
        <v>0</v>
      </c>
      <c r="CO120" s="163">
        <f ca="1">1.8 * MIN(MAX(Races!$E$27,TblMili[[#This Row],[Rockapult]]+Races!$F$27),6)  +  0.45 * MIN(MIN(Races!$E$27,TblMili[[#This Row],[Rockapult]]+Races!$F$27),6)  +  0.2 * ( MAX(Races!$E$27-6,0) + MAX(TblMili[[#This Row],[Rockapult]]+Races!$F$27-6,0) )  -  Races!$I$20</f>
        <v>5.8500000000000005</v>
      </c>
      <c r="CP120" s="97">
        <f ca="1">gnome*(TblMili[[#This Row],[Rockapult bonus]]*TblMili[[#This Row],[Unit 3]])</f>
        <v>0</v>
      </c>
      <c r="CQ120" s="163">
        <f ca="1">1.8 * MIN(MAX(TblMili[[#This Row],[Spellblade]]+Races!$E$47,TblMili[[#This Row],[Adept-DP]]+Races!$F$47),6)  +  0.45 * MIN(MIN(TblMili[[#This Row],[Spellblade]]+Races!$E$47,TblMili[[#This Row],[Adept-DP]]+Races!$F$47),6)  +  0.2 * ( MAX(TblMili[[#This Row],[Spellblade]]+Races!$E$47-6,0) + MAX(TblMili[[#This Row],[Adept-DP]]+Races!$F$47-6,0) )  -  Races!$I$47</f>
        <v>0</v>
      </c>
      <c r="CR120" s="97">
        <f ca="1">dark_elf*(TblMili[[#This Row],[Adept bonus]]*TblMili[[#This Row],[Unit 3]])</f>
        <v>0</v>
      </c>
      <c r="CS120" s="163">
        <f ca="1">1.8 * MIN(MAX(TblMili[[#This Row],[Frost Mage]]+Races!$F$71,Races!$E$71),6)  +  0.45 * MIN(MIN(TblMili[[#This Row],[Frost Mage]]+Races!$F$71,Races!$E$71),6)  +  0.2 * ( MAX(TblMili[[#This Row],[Frost Mage]]+Races!$F$71-6,0) + MAX(Races!$E$71-6,0) )  -  Races!$I$71</f>
        <v>3.9599999999999991</v>
      </c>
      <c r="CT120" s="163">
        <f ca="1">1.8 * MIN(MAX(TblMili[[#This Row],[Ice Elemental]]+Races!$E$71,Races!$F$71),6)  +  0.45 * MIN(MIN(TblMili[[#This Row],[Ice Elemental]]+Races!$E$71,Races!$F$71),6)  +  0.2 * ( MAX(TblMili[[#This Row],[Ice Elemental]]+Races!$E$71-6,0) + MAX(Races!$F$71-6,0) )  -  Races!$I$71</f>
        <v>0.17999999999999972</v>
      </c>
      <c r="CU120" s="97">
        <f ca="1">TblMili[[#This Row],[Frost Mage bonus]]*TblMili[[#This Row],[Unit 3]]+TblMili[[#This Row],[Ice Elemental bonus]]*TblMili[[#This Row],[Unit 4]]</f>
        <v>0</v>
      </c>
      <c r="CV120" s="273"/>
      <c r="CW120" s="151">
        <f ca="1">MIN(SUM(TblConstr[[#This Row],[Plain]:[Water]])/TblMili[[#This Row],[Land]]/favorable_terrain_bonus/100,favorable_terrain_max)</f>
        <v>0.1</v>
      </c>
      <c r="CX120" s="273"/>
      <c r="CY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50"/>
      <c r="DA120" s="274">
        <f ca="1">(TblMili[[#This Row],[Wizards]]+2*TblMili[[#This Row],[Archmages]])/TblConstr[[#This Row],[Land]]</f>
        <v>0.1</v>
      </c>
      <c r="DB120" s="274">
        <f ca="1">TblMili[[#This Row],[Raw (2)]]*(1+race_wizard_strength+IF(TblMili[[#This Row],[Hour]]&gt;72,tech_magical_weaponry_wiz*TblTech[[#This Row],[3-5]],0))</f>
        <v>0.1</v>
      </c>
    </row>
    <row r="121" spans="1:106" x14ac:dyDescent="0.2">
      <c r="A121" s="145">
        <f>TblRezone[[#This Row],[Hour]]</f>
        <v>118</v>
      </c>
      <c r="B121" s="266">
        <f ca="1">SUM(TblMili[[#This Row],[Unit 1]:[Archmages]])+SUM(OFFSET(TblMili[[#This Row],[Train Unit 1]],-8,0):TblMili[[#This Row],[Train Unit 2]]) + SUM(OFFSET(TblMili[[#This Row],[Train Unit 3]],-11,0):TblMili[[#This Row],[Train Arch]]) + TblMili[[#This Row],[Draftees]]</f>
        <v>826</v>
      </c>
      <c r="C121" s="165">
        <f ca="1">TblPop[[#This Row],[Military%]]</f>
        <v>0.35029686174724345</v>
      </c>
      <c r="D121" s="150"/>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f>
        <v>25</v>
      </c>
      <c r="J121" s="45">
        <f ca="1">OFFSET(TblMili[[#This Row],[Wizards]],-1,0) + OFFSET(TblMili[[#This Row],[Train Wiz]],-12,0) - TblMili[[#This Row],[Release Wizards]]-TblMili[[#This Row],[Train Arch]]</f>
        <v>25</v>
      </c>
      <c r="K121" s="45">
        <f ca="1">OFFSET(TblMili[[#This Row],[Archmages]],-1,0) + OFFSET(TblMili[[#This Row],[Train Arch]],-12,0) - TblMili[[#This Row],[Release Arch]]</f>
        <v>0</v>
      </c>
      <c r="L121" s="150"/>
      <c r="M121" s="97">
        <f ca="1">TblProd[[#This Row],[Networth]]</f>
        <v>6450</v>
      </c>
      <c r="N121" s="150"/>
      <c r="O121" s="267">
        <f ca="1">TblMili[[#This Row],[Unit 1]]*spec_op+TblMili[[#This Row],[Unit 3]]*(elite1_base_op)+TblMili[[#This Row],[Unit 4]]*(elite2_base_op+dark_elf*TblMili[[#This Row],[Spellblade]]+icekin*TblMili[[#This Row],[Ice Elemental]]+woodie*TblMili[[#This Row],[Druid (op)]]+orc*TblMili[[#This Row],[Orc]])+kobold*TblMili[[#This Row],[Overlords]]</f>
        <v>0</v>
      </c>
      <c r="P12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1" s="267">
        <f ca="1">TblMili[[#This Row],[Raw]]*(1+TblMili[[#This Row],[Mods_Off]])</f>
        <v>0</v>
      </c>
      <c r="R12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1" s="267">
        <f ca="1">TblMili[[#This Row],[Non Draft]]+TblMili[[#This Row],[Draftees]]</f>
        <v>1076</v>
      </c>
      <c r="T12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269">
        <f ca="1">TblMili[[#This Row],[Non Draft]] * (1 + TblMili[[#This Row],[Mods_Def]])</f>
        <v>450</v>
      </c>
      <c r="V121" s="267">
        <f ca="1">TblMili[[#This Row],[Draft]] * (1 + TblMili[[#This Row],[Mods_Def]])</f>
        <v>1076</v>
      </c>
      <c r="W121" s="267">
        <f ca="1">TblConstr[[#This Row],[Land]]</f>
        <v>250</v>
      </c>
      <c r="X121" s="270"/>
      <c r="Y121" s="275">
        <f ca="1">IF(TblMili[[#This Row],[Set]]&lt;&gt;"",TblMili[[#This Row],[Set]],OFFSET(TblMili[[#This Row],[Draftrate]],-1,0))</f>
        <v>0.35</v>
      </c>
      <c r="Z121" s="97">
        <f ca="1">OFFSET(TblMili[[#This Row],[Draftees]],-1,0)+OFFSET(TblPop[[#This Row],[Draft Growth]],-1,0) - SUM(TblMili[[#This Row],[Train Unit 1]:[Train Wiz]]) - TblMili[[#This Row],[Release Draft]] + SUM(TblMili[[#This Row],[Release Unit 1]:[Release Arch]]) -TblExplore[[#This Row],[Draftees (2)]]</f>
        <v>626</v>
      </c>
      <c r="AA121" s="162"/>
      <c r="AB121" s="188">
        <f ca="1">(TblConstr[[#This Row],[Tot Smi]]+TblConstr[[#This Row],[Dest Smi]])/(TblConstr[[#This Row],[Land]]-TblExplore[[#This Row],[Land Bonus]]*20)</f>
        <v>0</v>
      </c>
      <c r="AC121" s="145"/>
      <c r="AD121" s="266">
        <f>TblMili[[#This Row],[Hour]]</f>
        <v>118</v>
      </c>
      <c r="AE121" s="146">
        <f ca="1">TblExplore[[#This Row],[Time]]</f>
        <v>44815.624999999716</v>
      </c>
      <c r="AF121" s="187"/>
      <c r="AG121" s="187"/>
      <c r="AH121" s="187"/>
      <c r="AI121" s="187"/>
      <c r="AJ121" s="187"/>
      <c r="AK121" s="187"/>
      <c r="AL121" s="187"/>
      <c r="AM121" s="150"/>
      <c r="AN121" s="97">
        <f ca="1">TblProd[[#This Row],[Platinum]]</f>
        <v>742740</v>
      </c>
      <c r="AO121" s="97">
        <f ca="1">INDEX(TblProd[[#Headers],[Lumber]]:TblProd[[#This Row],[Ore]],COUNTA(TblProd[[#Headers],[Lumber]]:TblProd[[#This Row],[Lumber]]),MATCH(Military!$AO$2,TblProd[[#Headers],[Lumber]:[Ore]],0))</f>
        <v>0</v>
      </c>
      <c r="AP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97">
        <f ca="1">TblMili[[#This Row],[Train Unit 1]]*TblMili[[#This Row],[OP Ore]]+TblMili[[#This Row],[Train Unit 2]]*TblMili[[#This Row],[DP Ore]]+TblMili[[#This Row],[Train Unit 3]]*TblMili[[#This Row],[E1 Ore]]+TblMili[[#This Row],[Train Unit 4]]*TblMili[[#This Row],[E2 Ore]]</f>
        <v>0</v>
      </c>
      <c r="AR121" s="150">
        <f>TblMili[[#This Row],[Hour]]</f>
        <v>118</v>
      </c>
      <c r="AS121" s="160">
        <f ca="1">TblMili[[#This Row],[Time]]</f>
        <v>44815.624999999716</v>
      </c>
      <c r="AT121" s="97">
        <f ca="1">TblMili[[#This Row],[Draftees]]</f>
        <v>626</v>
      </c>
      <c r="AU121" s="187"/>
      <c r="AV121" s="187"/>
      <c r="AW121" s="187"/>
      <c r="AX121" s="187"/>
      <c r="AY121" s="187"/>
      <c r="AZ121" s="187"/>
      <c r="BA121" s="187"/>
      <c r="BB121" s="187"/>
      <c r="BC121" s="150"/>
      <c r="BD121" s="165">
        <f ca="1">TblConstr[[#This Row],[Tot WG]]/TblConstr[[#This Row],[Land]]</f>
        <v>0</v>
      </c>
      <c r="BE121" s="165">
        <f ca="1">TblConstr[[#This Row],[Tot Hav]]/TblConstr[[#This Row],[Land]]</f>
        <v>0</v>
      </c>
      <c r="BF121" s="97">
        <f ca="1">ROUNDUP((1-MIN(TblMili[[#This Row],[Smithies]]*smithy_bonus,smithy_bonus_cap) + tech_3_5*TblTech[[#This Row],[3-5]] + tech_5_3*TblTech[[#This Row],[5-3]] + tech_5_5*TblTech[[#This Row],[5-5]])*spec_op_plat,0)</f>
        <v>275</v>
      </c>
      <c r="BG121" s="97">
        <f ca="1">ROUNDUP(IF(race="Gnome",1,(1-MIN(TblMili[[#This Row],[Smithies]]*smithy_bonus,smithy_bonus_cap) + tech_3_5*TblTech[[#This Row],[3-5]] + tech_5_3*TblTech[[#This Row],[5-3]] + tech_5_5*TblTech[[#This Row],[5-5]]))*spec_op_ore,0)</f>
        <v>25</v>
      </c>
      <c r="BH121" s="97">
        <f ca="1">ROUNDUP((1-MIN(TblMili[[#This Row],[Smithies]]*smithy_bonus,smithy_bonus_cap) + tech_3_5*TblTech[[#This Row],[3-5]] + tech_5_3*TblTech[[#This Row],[5-3]] + tech_5_5*TblTech[[#This Row],[5-5]])*spec_dp_plat,0)</f>
        <v>275</v>
      </c>
      <c r="BI121" s="97">
        <f ca="1">ROUNDUP(IF(race="Gnome",1,(1-MIN(TblMili[[#This Row],[Smithies]]*smithy_bonus,smithy_bonus_cap) + tech_3_5*TblTech[[#This Row],[3-5]] + tech_5_3*TblTech[[#This Row],[5-3]] + tech_5_5*TblTech[[#This Row],[5-5]]))*spec_dp_ore,0)</f>
        <v>15</v>
      </c>
      <c r="BJ121" s="97">
        <f ca="1">ROUNDUP((1-MIN(TblMili[[#This Row],[Smithies]]*smithy_bonus,smithy_bonus_cap) + tech_3_5*TblTech[[#This Row],[3-5]] + tech_5_3*TblTech[[#This Row],[5-3]] + tech_5_5*TblTech[[#This Row],[5-5]])*elite1_plat,0)</f>
        <v>1000</v>
      </c>
      <c r="BK121" s="97">
        <f ca="1">ROUNDUP(IF(race="Gnome",1,(1-MIN(TblMili[[#This Row],[Smithies]]*smithy_bonus,smithy_bonus_cap) + tech_3_5*TblTech[[#This Row],[3-5]] + tech_5_3*TblTech[[#This Row],[5-3]] + tech_5_5*TblTech[[#This Row],[5-5]]))*elite1_ore,0)</f>
        <v>75</v>
      </c>
      <c r="BL121" s="97">
        <f ca="1">ROUNDUP((1-MIN(TblMili[[#This Row],[Smithies]]*smithy_bonus,smithy_bonus_cap) + tech_3_5*TblTech[[#This Row],[3-5]] + tech_5_3*TblTech[[#This Row],[5-3]] + tech_5_5*TblTech[[#This Row],[5-5]])*elite2_plat,0)</f>
        <v>1200</v>
      </c>
      <c r="BM121" s="97">
        <f ca="1">ROUNDUP(IF(race="Gnome",1,(1-MIN(TblMili[[#This Row],[Smithies]]*smithy_bonus,smithy_bonus_cap) + tech_3_5*TblTech[[#This Row],[3-5]] + tech_5_3*TblTech[[#This Row],[5-3]] + tech_5_5*TblTech[[#This Row],[5-5]]))*elite2_ore,0)</f>
        <v>100</v>
      </c>
      <c r="BN121" s="97">
        <f ca="1">ROUNDUP((1-MIN(ROUND(fh_spy_cost_red*TblMili[[#This Row],[FH''s]],4),fh_spy_cost_cap)+ tech_1_9*TblTech[[#This Row],[1-9]] + tech_9_1*TblTech[[#This Row],[9-1]])*spy_plat,0)</f>
        <v>500</v>
      </c>
      <c r="BO121" s="97">
        <f ca="1">ROUNDUP((1-MIN(ROUND(wg_wiz_cost_bonus*TblMili[[#This Row],[WG''s]],4),wg_wiz_cost_cap) + tech_1_9_2*TblTech[[#This Row],[1-9]] + tech_9_1_2*TblTech[[#This Row],[9-1]])*wizard_plat,0)</f>
        <v>500</v>
      </c>
      <c r="BP121" s="97">
        <f ca="1">ROUNDUP((1-MIN(ROUND(wg_wiz_cost_bonus*TblMili[[#This Row],[WG''s]],4),wg_wiz_cost_cap) + tech_1_9_2*TblTech[[#This Row],[1-9]] + tech_9_1_2*TblTech[[#This Row],[9-1]])*archmage_plat,0)</f>
        <v>1000</v>
      </c>
      <c r="BQ121" s="150"/>
      <c r="BR121" s="165">
        <f ca="1">TblConstr[[#This Row],[Homeland]]/TblConstr[[#This Row],[Land]]</f>
        <v>0.44</v>
      </c>
      <c r="BS121" s="165">
        <f ca="1">TblMili[[#This Row],[WG''s]]</f>
        <v>0</v>
      </c>
      <c r="BT121" s="271">
        <f ca="1">IF(mystic_cap="none",TblMili[[#This Row],[Hill]]/mystic_bonus,MIN(mystic_cap,TblMili[[#This Row],[Hill]]/mystic_bonus))</f>
        <v>2.1999999999999997</v>
      </c>
      <c r="BU121" s="271">
        <f ca="1">IF(druid_op_cap="none",TblMili[[#This Row],[Hill]]/druid_op_bonus,MIN(druid_op_cap,TblMili[[#This Row],[Hill]]/druid_op_bonus))</f>
        <v>2.1999999999999997</v>
      </c>
      <c r="BV121" s="271">
        <f ca="1">IF(druid_dp_cap="none",TblMili[[#This Row],[Hill]]/druid_dp_bonus,MIN(druid_dp_cap,TblMili[[#This Row],[Hill]]/druid_dp_bonus))</f>
        <v>2.1999999999999997</v>
      </c>
      <c r="BW121" s="271">
        <f ca="1">MIN(dryad_cap,TblMili[[#This Row],[Hill]]/dryad_bonus)</f>
        <v>2.1999999999999997</v>
      </c>
      <c r="BX121" s="271">
        <f ca="1">MIN(rocka_cap,TblMili[[#This Row],[Hill]]/rocka_bonus)</f>
        <v>2</v>
      </c>
      <c r="BY121" s="271">
        <f ca="1">MIN(adept_op_cap,TblMili[[#This Row],[WG]]/adept_op_bonus)</f>
        <v>0</v>
      </c>
      <c r="BZ121" s="271">
        <f ca="1">MIN(adept_dp_cap,TblMili[[#This Row],[WG]]/adept_dp_bonus)</f>
        <v>0</v>
      </c>
      <c r="CA121" s="97">
        <f ca="1">MIN(TblMili[[#This Row],[Unit 3]],TblMili[[#This Row],[Unit 4]])*2</f>
        <v>0</v>
      </c>
      <c r="CB121" s="97">
        <f ca="1">MIN(TblMili[[#This Row],[Unit 1]],TblMili[[#This Row],[Unit 4]])*2</f>
        <v>0</v>
      </c>
      <c r="CC121" s="271">
        <f ca="1">MIN(frost_mage_cap,TblMili[[#This Row],[Hill]]/frost_mage_bonus)</f>
        <v>2.1999999999999997</v>
      </c>
      <c r="CD121" s="45">
        <f ca="1">MIN(ice_elem_cap,TblMili[[#This Row],[Raw (2)]]*ice_elem_bonus)</f>
        <v>0.1</v>
      </c>
      <c r="CE121" s="271">
        <f t="shared" si="4"/>
        <v>1</v>
      </c>
      <c r="CF121" s="271">
        <f ca="1">MIN(nox_nightshade_cap,TblConstr[[#This Row],[Homeland]]/TblConstr[[#This Row],[Land]]/nox_nightshade_swamp_bonus)</f>
        <v>3</v>
      </c>
      <c r="CG121" s="272"/>
      <c r="CH121" s="272"/>
      <c r="CI121" s="272"/>
      <c r="CJ121" s="271">
        <f ca="1">MIN(6,TblMili[[#This Row],[Mystic]]+Races!$F$19)*1.8 +  IF(TblMili[[#This Row],[Mystic]]+Races!$F$19&gt;6,(TblMili[[#This Row],[Mystic]]+Races!$F$19-6)*0.2,0) - Races!$I$19</f>
        <v>3.6399999999999997</v>
      </c>
      <c r="CK12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97">
        <f ca="1">TblMili[[#This Row],[Mystic bonus]]*TblMili[[#This Row],[Unit 3]]+TblMili[[#This Row],[Druid bonus]]*TblMili[[#This Row],[Unit 4]]</f>
        <v>0</v>
      </c>
      <c r="CM121" s="163">
        <f ca="1">MIN(6,TblMili[[#This Row],[Dryad]]+Races!$F$35)*1.8 +  IF(TblMili[[#This Row],[Dryad]]+Races!$F$35&gt;6,(TblMili[[#This Row],[Dryad]]+Races!$F$35-6)*0.2,0) - Races!$I$19</f>
        <v>2.1599999999999993</v>
      </c>
      <c r="CN121" s="97">
        <f ca="1">sylvan*(TblMili[[#This Row],[Mystic bonus]]*TblMili[[#This Row],[Unit 3]])</f>
        <v>0</v>
      </c>
      <c r="CO121" s="163">
        <f ca="1">1.8 * MIN(MAX(Races!$E$27,TblMili[[#This Row],[Rockapult]]+Races!$F$27),6)  +  0.45 * MIN(MIN(Races!$E$27,TblMili[[#This Row],[Rockapult]]+Races!$F$27),6)  +  0.2 * ( MAX(Races!$E$27-6,0) + MAX(TblMili[[#This Row],[Rockapult]]+Races!$F$27-6,0) )  -  Races!$I$20</f>
        <v>5.8500000000000005</v>
      </c>
      <c r="CP121" s="97">
        <f ca="1">gnome*(TblMili[[#This Row],[Rockapult bonus]]*TblMili[[#This Row],[Unit 3]])</f>
        <v>0</v>
      </c>
      <c r="CQ121" s="163">
        <f ca="1">1.8 * MIN(MAX(TblMili[[#This Row],[Spellblade]]+Races!$E$47,TblMili[[#This Row],[Adept-DP]]+Races!$F$47),6)  +  0.45 * MIN(MIN(TblMili[[#This Row],[Spellblade]]+Races!$E$47,TblMili[[#This Row],[Adept-DP]]+Races!$F$47),6)  +  0.2 * ( MAX(TblMili[[#This Row],[Spellblade]]+Races!$E$47-6,0) + MAX(TblMili[[#This Row],[Adept-DP]]+Races!$F$47-6,0) )  -  Races!$I$47</f>
        <v>0</v>
      </c>
      <c r="CR121" s="97">
        <f ca="1">dark_elf*(TblMili[[#This Row],[Adept bonus]]*TblMili[[#This Row],[Unit 3]])</f>
        <v>0</v>
      </c>
      <c r="CS121" s="163">
        <f ca="1">1.8 * MIN(MAX(TblMili[[#This Row],[Frost Mage]]+Races!$F$71,Races!$E$71),6)  +  0.45 * MIN(MIN(TblMili[[#This Row],[Frost Mage]]+Races!$F$71,Races!$E$71),6)  +  0.2 * ( MAX(TblMili[[#This Row],[Frost Mage]]+Races!$F$71-6,0) + MAX(Races!$E$71-6,0) )  -  Races!$I$71</f>
        <v>3.9599999999999991</v>
      </c>
      <c r="CT121" s="163">
        <f ca="1">1.8 * MIN(MAX(TblMili[[#This Row],[Ice Elemental]]+Races!$E$71,Races!$F$71),6)  +  0.45 * MIN(MIN(TblMili[[#This Row],[Ice Elemental]]+Races!$E$71,Races!$F$71),6)  +  0.2 * ( MAX(TblMili[[#This Row],[Ice Elemental]]+Races!$E$71-6,0) + MAX(Races!$F$71-6,0) )  -  Races!$I$71</f>
        <v>0.17999999999999972</v>
      </c>
      <c r="CU121" s="97">
        <f ca="1">TblMili[[#This Row],[Frost Mage bonus]]*TblMili[[#This Row],[Unit 3]]+TblMili[[#This Row],[Ice Elemental bonus]]*TblMili[[#This Row],[Unit 4]]</f>
        <v>0</v>
      </c>
      <c r="CV121" s="273"/>
      <c r="CW121" s="151">
        <f ca="1">MIN(SUM(TblConstr[[#This Row],[Plain]:[Water]])/TblMili[[#This Row],[Land]]/favorable_terrain_bonus/100,favorable_terrain_max)</f>
        <v>0.1</v>
      </c>
      <c r="CX121" s="273"/>
      <c r="CY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50"/>
      <c r="DA121" s="274">
        <f ca="1">(TblMili[[#This Row],[Wizards]]+2*TblMili[[#This Row],[Archmages]])/TblConstr[[#This Row],[Land]]</f>
        <v>0.1</v>
      </c>
      <c r="DB121" s="274">
        <f ca="1">TblMili[[#This Row],[Raw (2)]]*(1+race_wizard_strength+IF(TblMili[[#This Row],[Hour]]&gt;72,tech_magical_weaponry_wiz*TblTech[[#This Row],[3-5]],0))</f>
        <v>0.1</v>
      </c>
    </row>
    <row r="122" spans="1:106" x14ac:dyDescent="0.2">
      <c r="A122" s="145">
        <f>TblRezone[[#This Row],[Hour]]</f>
        <v>119</v>
      </c>
      <c r="B122" s="266">
        <f ca="1">SUM(TblMili[[#This Row],[Unit 1]:[Archmages]])+SUM(OFFSET(TblMili[[#This Row],[Train Unit 1]],-8,0):TblMili[[#This Row],[Train Unit 2]]) + SUM(OFFSET(TblMili[[#This Row],[Train Unit 3]],-11,0):TblMili[[#This Row],[Train Arch]]) + TblMili[[#This Row],[Draftees]]</f>
        <v>826</v>
      </c>
      <c r="C122" s="165">
        <f ca="1">TblPop[[#This Row],[Military%]]</f>
        <v>0.35029686174724345</v>
      </c>
      <c r="D122" s="150"/>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f>
        <v>25</v>
      </c>
      <c r="J122" s="45">
        <f ca="1">OFFSET(TblMili[[#This Row],[Wizards]],-1,0) + OFFSET(TblMili[[#This Row],[Train Wiz]],-12,0) - TblMili[[#This Row],[Release Wizards]]-TblMili[[#This Row],[Train Arch]]</f>
        <v>25</v>
      </c>
      <c r="K122" s="45">
        <f ca="1">OFFSET(TblMili[[#This Row],[Archmages]],-1,0) + OFFSET(TblMili[[#This Row],[Train Arch]],-12,0) - TblMili[[#This Row],[Release Arch]]</f>
        <v>0</v>
      </c>
      <c r="L122" s="150"/>
      <c r="M122" s="97">
        <f ca="1">TblProd[[#This Row],[Networth]]</f>
        <v>6450</v>
      </c>
      <c r="N122" s="150"/>
      <c r="O122" s="267">
        <f ca="1">TblMili[[#This Row],[Unit 1]]*spec_op+TblMili[[#This Row],[Unit 3]]*(elite1_base_op)+TblMili[[#This Row],[Unit 4]]*(elite2_base_op+dark_elf*TblMili[[#This Row],[Spellblade]]+icekin*TblMili[[#This Row],[Ice Elemental]]+woodie*TblMili[[#This Row],[Druid (op)]]+orc*TblMili[[#This Row],[Orc]])+kobold*TblMili[[#This Row],[Overlords]]</f>
        <v>0</v>
      </c>
      <c r="P12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2" s="267">
        <f ca="1">TblMili[[#This Row],[Raw]]*(1+TblMili[[#This Row],[Mods_Off]])</f>
        <v>0</v>
      </c>
      <c r="R12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2" s="267">
        <f ca="1">TblMili[[#This Row],[Non Draft]]+TblMili[[#This Row],[Draftees]]</f>
        <v>1076</v>
      </c>
      <c r="T12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269">
        <f ca="1">TblMili[[#This Row],[Non Draft]] * (1 + TblMili[[#This Row],[Mods_Def]])</f>
        <v>450</v>
      </c>
      <c r="V122" s="267">
        <f ca="1">TblMili[[#This Row],[Draft]] * (1 + TblMili[[#This Row],[Mods_Def]])</f>
        <v>1076</v>
      </c>
      <c r="W122" s="267">
        <f ca="1">TblConstr[[#This Row],[Land]]</f>
        <v>250</v>
      </c>
      <c r="X122" s="270"/>
      <c r="Y122" s="275">
        <f ca="1">IF(TblMili[[#This Row],[Set]]&lt;&gt;"",TblMili[[#This Row],[Set]],OFFSET(TblMili[[#This Row],[Draftrate]],-1,0))</f>
        <v>0.35</v>
      </c>
      <c r="Z122" s="97">
        <f ca="1">OFFSET(TblMili[[#This Row],[Draftees]],-1,0)+OFFSET(TblPop[[#This Row],[Draft Growth]],-1,0) - SUM(TblMili[[#This Row],[Train Unit 1]:[Train Wiz]]) - TblMili[[#This Row],[Release Draft]] + SUM(TblMili[[#This Row],[Release Unit 1]:[Release Arch]]) -TblExplore[[#This Row],[Draftees (2)]]</f>
        <v>626</v>
      </c>
      <c r="AA122" s="162"/>
      <c r="AB122" s="188">
        <f ca="1">(TblConstr[[#This Row],[Tot Smi]]+TblConstr[[#This Row],[Dest Smi]])/(TblConstr[[#This Row],[Land]]-TblExplore[[#This Row],[Land Bonus]]*20)</f>
        <v>0</v>
      </c>
      <c r="AC122" s="145"/>
      <c r="AD122" s="266">
        <f>TblMili[[#This Row],[Hour]]</f>
        <v>119</v>
      </c>
      <c r="AE122" s="146">
        <f ca="1">TblExplore[[#This Row],[Time]]</f>
        <v>44815.66666666638</v>
      </c>
      <c r="AF122" s="187"/>
      <c r="AG122" s="187"/>
      <c r="AH122" s="187"/>
      <c r="AI122" s="187"/>
      <c r="AJ122" s="187"/>
      <c r="AK122" s="187"/>
      <c r="AL122" s="187"/>
      <c r="AM122" s="150"/>
      <c r="AN122" s="97">
        <f ca="1">TblProd[[#This Row],[Platinum]]</f>
        <v>748226</v>
      </c>
      <c r="AO122" s="97">
        <f ca="1">INDEX(TblProd[[#Headers],[Lumber]]:TblProd[[#This Row],[Ore]],COUNTA(TblProd[[#Headers],[Lumber]]:TblProd[[#This Row],[Lumber]]),MATCH(Military!$AO$2,TblProd[[#Headers],[Lumber]:[Ore]],0))</f>
        <v>0</v>
      </c>
      <c r="AP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97">
        <f ca="1">TblMili[[#This Row],[Train Unit 1]]*TblMili[[#This Row],[OP Ore]]+TblMili[[#This Row],[Train Unit 2]]*TblMili[[#This Row],[DP Ore]]+TblMili[[#This Row],[Train Unit 3]]*TblMili[[#This Row],[E1 Ore]]+TblMili[[#This Row],[Train Unit 4]]*TblMili[[#This Row],[E2 Ore]]</f>
        <v>0</v>
      </c>
      <c r="AR122" s="150">
        <f>TblMili[[#This Row],[Hour]]</f>
        <v>119</v>
      </c>
      <c r="AS122" s="160">
        <f ca="1">TblMili[[#This Row],[Time]]</f>
        <v>44815.66666666638</v>
      </c>
      <c r="AT122" s="97">
        <f ca="1">TblMili[[#This Row],[Draftees]]</f>
        <v>626</v>
      </c>
      <c r="AU122" s="187"/>
      <c r="AV122" s="187"/>
      <c r="AW122" s="187"/>
      <c r="AX122" s="187"/>
      <c r="AY122" s="187"/>
      <c r="AZ122" s="187"/>
      <c r="BA122" s="187"/>
      <c r="BB122" s="187"/>
      <c r="BC122" s="150"/>
      <c r="BD122" s="165">
        <f ca="1">TblConstr[[#This Row],[Tot WG]]/TblConstr[[#This Row],[Land]]</f>
        <v>0</v>
      </c>
      <c r="BE122" s="165">
        <f ca="1">TblConstr[[#This Row],[Tot Hav]]/TblConstr[[#This Row],[Land]]</f>
        <v>0</v>
      </c>
      <c r="BF122" s="97">
        <f ca="1">ROUNDUP((1-MIN(TblMili[[#This Row],[Smithies]]*smithy_bonus,smithy_bonus_cap) + tech_3_5*TblTech[[#This Row],[3-5]] + tech_5_3*TblTech[[#This Row],[5-3]] + tech_5_5*TblTech[[#This Row],[5-5]])*spec_op_plat,0)</f>
        <v>275</v>
      </c>
      <c r="BG122" s="97">
        <f ca="1">ROUNDUP(IF(race="Gnome",1,(1-MIN(TblMili[[#This Row],[Smithies]]*smithy_bonus,smithy_bonus_cap) + tech_3_5*TblTech[[#This Row],[3-5]] + tech_5_3*TblTech[[#This Row],[5-3]] + tech_5_5*TblTech[[#This Row],[5-5]]))*spec_op_ore,0)</f>
        <v>25</v>
      </c>
      <c r="BH122" s="97">
        <f ca="1">ROUNDUP((1-MIN(TblMili[[#This Row],[Smithies]]*smithy_bonus,smithy_bonus_cap) + tech_3_5*TblTech[[#This Row],[3-5]] + tech_5_3*TblTech[[#This Row],[5-3]] + tech_5_5*TblTech[[#This Row],[5-5]])*spec_dp_plat,0)</f>
        <v>275</v>
      </c>
      <c r="BI122" s="97">
        <f ca="1">ROUNDUP(IF(race="Gnome",1,(1-MIN(TblMili[[#This Row],[Smithies]]*smithy_bonus,smithy_bonus_cap) + tech_3_5*TblTech[[#This Row],[3-5]] + tech_5_3*TblTech[[#This Row],[5-3]] + tech_5_5*TblTech[[#This Row],[5-5]]))*spec_dp_ore,0)</f>
        <v>15</v>
      </c>
      <c r="BJ122" s="97">
        <f ca="1">ROUNDUP((1-MIN(TblMili[[#This Row],[Smithies]]*smithy_bonus,smithy_bonus_cap) + tech_3_5*TblTech[[#This Row],[3-5]] + tech_5_3*TblTech[[#This Row],[5-3]] + tech_5_5*TblTech[[#This Row],[5-5]])*elite1_plat,0)</f>
        <v>1000</v>
      </c>
      <c r="BK122" s="97">
        <f ca="1">ROUNDUP(IF(race="Gnome",1,(1-MIN(TblMili[[#This Row],[Smithies]]*smithy_bonus,smithy_bonus_cap) + tech_3_5*TblTech[[#This Row],[3-5]] + tech_5_3*TblTech[[#This Row],[5-3]] + tech_5_5*TblTech[[#This Row],[5-5]]))*elite1_ore,0)</f>
        <v>75</v>
      </c>
      <c r="BL122" s="97">
        <f ca="1">ROUNDUP((1-MIN(TblMili[[#This Row],[Smithies]]*smithy_bonus,smithy_bonus_cap) + tech_3_5*TblTech[[#This Row],[3-5]] + tech_5_3*TblTech[[#This Row],[5-3]] + tech_5_5*TblTech[[#This Row],[5-5]])*elite2_plat,0)</f>
        <v>1200</v>
      </c>
      <c r="BM122" s="97">
        <f ca="1">ROUNDUP(IF(race="Gnome",1,(1-MIN(TblMili[[#This Row],[Smithies]]*smithy_bonus,smithy_bonus_cap) + tech_3_5*TblTech[[#This Row],[3-5]] + tech_5_3*TblTech[[#This Row],[5-3]] + tech_5_5*TblTech[[#This Row],[5-5]]))*elite2_ore,0)</f>
        <v>100</v>
      </c>
      <c r="BN122" s="97">
        <f ca="1">ROUNDUP((1-MIN(ROUND(fh_spy_cost_red*TblMili[[#This Row],[FH''s]],4),fh_spy_cost_cap)+ tech_1_9*TblTech[[#This Row],[1-9]] + tech_9_1*TblTech[[#This Row],[9-1]])*spy_plat,0)</f>
        <v>500</v>
      </c>
      <c r="BO122" s="97">
        <f ca="1">ROUNDUP((1-MIN(ROUND(wg_wiz_cost_bonus*TblMili[[#This Row],[WG''s]],4),wg_wiz_cost_cap) + tech_1_9_2*TblTech[[#This Row],[1-9]] + tech_9_1_2*TblTech[[#This Row],[9-1]])*wizard_plat,0)</f>
        <v>500</v>
      </c>
      <c r="BP122" s="97">
        <f ca="1">ROUNDUP((1-MIN(ROUND(wg_wiz_cost_bonus*TblMili[[#This Row],[WG''s]],4),wg_wiz_cost_cap) + tech_1_9_2*TblTech[[#This Row],[1-9]] + tech_9_1_2*TblTech[[#This Row],[9-1]])*archmage_plat,0)</f>
        <v>1000</v>
      </c>
      <c r="BQ122" s="150"/>
      <c r="BR122" s="165">
        <f ca="1">TblConstr[[#This Row],[Homeland]]/TblConstr[[#This Row],[Land]]</f>
        <v>0.44</v>
      </c>
      <c r="BS122" s="165">
        <f ca="1">TblMili[[#This Row],[WG''s]]</f>
        <v>0</v>
      </c>
      <c r="BT122" s="271">
        <f ca="1">IF(mystic_cap="none",TblMili[[#This Row],[Hill]]/mystic_bonus,MIN(mystic_cap,TblMili[[#This Row],[Hill]]/mystic_bonus))</f>
        <v>2.1999999999999997</v>
      </c>
      <c r="BU122" s="271">
        <f ca="1">IF(druid_op_cap="none",TblMili[[#This Row],[Hill]]/druid_op_bonus,MIN(druid_op_cap,TblMili[[#This Row],[Hill]]/druid_op_bonus))</f>
        <v>2.1999999999999997</v>
      </c>
      <c r="BV122" s="271">
        <f ca="1">IF(druid_dp_cap="none",TblMili[[#This Row],[Hill]]/druid_dp_bonus,MIN(druid_dp_cap,TblMili[[#This Row],[Hill]]/druid_dp_bonus))</f>
        <v>2.1999999999999997</v>
      </c>
      <c r="BW122" s="271">
        <f ca="1">MIN(dryad_cap,TblMili[[#This Row],[Hill]]/dryad_bonus)</f>
        <v>2.1999999999999997</v>
      </c>
      <c r="BX122" s="271">
        <f ca="1">MIN(rocka_cap,TblMili[[#This Row],[Hill]]/rocka_bonus)</f>
        <v>2</v>
      </c>
      <c r="BY122" s="271">
        <f ca="1">MIN(adept_op_cap,TblMili[[#This Row],[WG]]/adept_op_bonus)</f>
        <v>0</v>
      </c>
      <c r="BZ122" s="271">
        <f ca="1">MIN(adept_dp_cap,TblMili[[#This Row],[WG]]/adept_dp_bonus)</f>
        <v>0</v>
      </c>
      <c r="CA122" s="97">
        <f ca="1">MIN(TblMili[[#This Row],[Unit 3]],TblMili[[#This Row],[Unit 4]])*2</f>
        <v>0</v>
      </c>
      <c r="CB122" s="97">
        <f ca="1">MIN(TblMili[[#This Row],[Unit 1]],TblMili[[#This Row],[Unit 4]])*2</f>
        <v>0</v>
      </c>
      <c r="CC122" s="271">
        <f ca="1">MIN(frost_mage_cap,TblMili[[#This Row],[Hill]]/frost_mage_bonus)</f>
        <v>2.1999999999999997</v>
      </c>
      <c r="CD122" s="45">
        <f ca="1">MIN(ice_elem_cap,TblMili[[#This Row],[Raw (2)]]*ice_elem_bonus)</f>
        <v>0.1</v>
      </c>
      <c r="CE122" s="271">
        <f t="shared" si="4"/>
        <v>1</v>
      </c>
      <c r="CF122" s="271">
        <f ca="1">MIN(nox_nightshade_cap,TblConstr[[#This Row],[Homeland]]/TblConstr[[#This Row],[Land]]/nox_nightshade_swamp_bonus)</f>
        <v>3</v>
      </c>
      <c r="CG122" s="272"/>
      <c r="CH122" s="272"/>
      <c r="CI122" s="272"/>
      <c r="CJ122" s="271">
        <f ca="1">MIN(6,TblMili[[#This Row],[Mystic]]+Races!$F$19)*1.8 +  IF(TblMili[[#This Row],[Mystic]]+Races!$F$19&gt;6,(TblMili[[#This Row],[Mystic]]+Races!$F$19-6)*0.2,0) - Races!$I$19</f>
        <v>3.6399999999999997</v>
      </c>
      <c r="CK12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97">
        <f ca="1">TblMili[[#This Row],[Mystic bonus]]*TblMili[[#This Row],[Unit 3]]+TblMili[[#This Row],[Druid bonus]]*TblMili[[#This Row],[Unit 4]]</f>
        <v>0</v>
      </c>
      <c r="CM122" s="163">
        <f ca="1">MIN(6,TblMili[[#This Row],[Dryad]]+Races!$F$35)*1.8 +  IF(TblMili[[#This Row],[Dryad]]+Races!$F$35&gt;6,(TblMili[[#This Row],[Dryad]]+Races!$F$35-6)*0.2,0) - Races!$I$19</f>
        <v>2.1599999999999993</v>
      </c>
      <c r="CN122" s="97">
        <f ca="1">sylvan*(TblMili[[#This Row],[Mystic bonus]]*TblMili[[#This Row],[Unit 3]])</f>
        <v>0</v>
      </c>
      <c r="CO122" s="163">
        <f ca="1">1.8 * MIN(MAX(Races!$E$27,TblMili[[#This Row],[Rockapult]]+Races!$F$27),6)  +  0.45 * MIN(MIN(Races!$E$27,TblMili[[#This Row],[Rockapult]]+Races!$F$27),6)  +  0.2 * ( MAX(Races!$E$27-6,0) + MAX(TblMili[[#This Row],[Rockapult]]+Races!$F$27-6,0) )  -  Races!$I$20</f>
        <v>5.8500000000000005</v>
      </c>
      <c r="CP122" s="97">
        <f ca="1">gnome*(TblMili[[#This Row],[Rockapult bonus]]*TblMili[[#This Row],[Unit 3]])</f>
        <v>0</v>
      </c>
      <c r="CQ122" s="163">
        <f ca="1">1.8 * MIN(MAX(TblMili[[#This Row],[Spellblade]]+Races!$E$47,TblMili[[#This Row],[Adept-DP]]+Races!$F$47),6)  +  0.45 * MIN(MIN(TblMili[[#This Row],[Spellblade]]+Races!$E$47,TblMili[[#This Row],[Adept-DP]]+Races!$F$47),6)  +  0.2 * ( MAX(TblMili[[#This Row],[Spellblade]]+Races!$E$47-6,0) + MAX(TblMili[[#This Row],[Adept-DP]]+Races!$F$47-6,0) )  -  Races!$I$47</f>
        <v>0</v>
      </c>
      <c r="CR122" s="97">
        <f ca="1">dark_elf*(TblMili[[#This Row],[Adept bonus]]*TblMili[[#This Row],[Unit 3]])</f>
        <v>0</v>
      </c>
      <c r="CS122" s="163">
        <f ca="1">1.8 * MIN(MAX(TblMili[[#This Row],[Frost Mage]]+Races!$F$71,Races!$E$71),6)  +  0.45 * MIN(MIN(TblMili[[#This Row],[Frost Mage]]+Races!$F$71,Races!$E$71),6)  +  0.2 * ( MAX(TblMili[[#This Row],[Frost Mage]]+Races!$F$71-6,0) + MAX(Races!$E$71-6,0) )  -  Races!$I$71</f>
        <v>3.9599999999999991</v>
      </c>
      <c r="CT122" s="163">
        <f ca="1">1.8 * MIN(MAX(TblMili[[#This Row],[Ice Elemental]]+Races!$E$71,Races!$F$71),6)  +  0.45 * MIN(MIN(TblMili[[#This Row],[Ice Elemental]]+Races!$E$71,Races!$F$71),6)  +  0.2 * ( MAX(TblMili[[#This Row],[Ice Elemental]]+Races!$E$71-6,0) + MAX(Races!$F$71-6,0) )  -  Races!$I$71</f>
        <v>0.17999999999999972</v>
      </c>
      <c r="CU122" s="97">
        <f ca="1">TblMili[[#This Row],[Frost Mage bonus]]*TblMili[[#This Row],[Unit 3]]+TblMili[[#This Row],[Ice Elemental bonus]]*TblMili[[#This Row],[Unit 4]]</f>
        <v>0</v>
      </c>
      <c r="CV122" s="273"/>
      <c r="CW122" s="151">
        <f ca="1">MIN(SUM(TblConstr[[#This Row],[Plain]:[Water]])/TblMili[[#This Row],[Land]]/favorable_terrain_bonus/100,favorable_terrain_max)</f>
        <v>0.1</v>
      </c>
      <c r="CX122" s="273"/>
      <c r="CY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50"/>
      <c r="DA122" s="274">
        <f ca="1">(TblMili[[#This Row],[Wizards]]+2*TblMili[[#This Row],[Archmages]])/TblConstr[[#This Row],[Land]]</f>
        <v>0.1</v>
      </c>
      <c r="DB122" s="274">
        <f ca="1">TblMili[[#This Row],[Raw (2)]]*(1+race_wizard_strength+IF(TblMili[[#This Row],[Hour]]&gt;72,tech_magical_weaponry_wiz*TblTech[[#This Row],[3-5]],0))</f>
        <v>0.1</v>
      </c>
    </row>
    <row r="123" spans="1:106" x14ac:dyDescent="0.2">
      <c r="A123" s="145">
        <f>TblRezone[[#This Row],[Hour]]</f>
        <v>120</v>
      </c>
      <c r="B123" s="266">
        <f ca="1">SUM(TblMili[[#This Row],[Unit 1]:[Archmages]])+SUM(OFFSET(TblMili[[#This Row],[Train Unit 1]],-8,0):TblMili[[#This Row],[Train Unit 2]]) + SUM(OFFSET(TblMili[[#This Row],[Train Unit 3]],-11,0):TblMili[[#This Row],[Train Arch]]) + TblMili[[#This Row],[Draftees]]</f>
        <v>826</v>
      </c>
      <c r="C123" s="165">
        <f ca="1">TblPop[[#This Row],[Military%]]</f>
        <v>0.35029686174724345</v>
      </c>
      <c r="D123" s="150"/>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f>
        <v>25</v>
      </c>
      <c r="J123" s="45">
        <f ca="1">OFFSET(TblMili[[#This Row],[Wizards]],-1,0) + OFFSET(TblMili[[#This Row],[Train Wiz]],-12,0) - TblMili[[#This Row],[Release Wizards]]-TblMili[[#This Row],[Train Arch]]</f>
        <v>25</v>
      </c>
      <c r="K123" s="45">
        <f ca="1">OFFSET(TblMili[[#This Row],[Archmages]],-1,0) + OFFSET(TblMili[[#This Row],[Train Arch]],-12,0) - TblMili[[#This Row],[Release Arch]]</f>
        <v>0</v>
      </c>
      <c r="L123" s="150"/>
      <c r="M123" s="97">
        <f ca="1">TblProd[[#This Row],[Networth]]</f>
        <v>6450</v>
      </c>
      <c r="N123" s="150"/>
      <c r="O123" s="267">
        <f ca="1">TblMili[[#This Row],[Unit 1]]*spec_op+TblMili[[#This Row],[Unit 3]]*(elite1_base_op)+TblMili[[#This Row],[Unit 4]]*(elite2_base_op+dark_elf*TblMili[[#This Row],[Spellblade]]+icekin*TblMili[[#This Row],[Ice Elemental]]+woodie*TblMili[[#This Row],[Druid (op)]]+orc*TblMili[[#This Row],[Orc]])+kobold*TblMili[[#This Row],[Overlords]]</f>
        <v>0</v>
      </c>
      <c r="P12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3" s="267">
        <f ca="1">TblMili[[#This Row],[Raw]]*(1+TblMili[[#This Row],[Mods_Off]])</f>
        <v>0</v>
      </c>
      <c r="R12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3" s="267">
        <f ca="1">TblMili[[#This Row],[Non Draft]]+TblMili[[#This Row],[Draftees]]</f>
        <v>1076</v>
      </c>
      <c r="T12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269">
        <f ca="1">TblMili[[#This Row],[Non Draft]] * (1 + TblMili[[#This Row],[Mods_Def]])</f>
        <v>450</v>
      </c>
      <c r="V123" s="267">
        <f ca="1">TblMili[[#This Row],[Draft]] * (1 + TblMili[[#This Row],[Mods_Def]])</f>
        <v>1076</v>
      </c>
      <c r="W123" s="267">
        <f ca="1">TblConstr[[#This Row],[Land]]</f>
        <v>250</v>
      </c>
      <c r="X123" s="270"/>
      <c r="Y123" s="275">
        <f ca="1">IF(TblMili[[#This Row],[Set]]&lt;&gt;"",TblMili[[#This Row],[Set]],OFFSET(TblMili[[#This Row],[Draftrate]],-1,0))</f>
        <v>0.35</v>
      </c>
      <c r="Z123" s="97">
        <f ca="1">OFFSET(TblMili[[#This Row],[Draftees]],-1,0)+OFFSET(TblPop[[#This Row],[Draft Growth]],-1,0) - SUM(TblMili[[#This Row],[Train Unit 1]:[Train Wiz]]) - TblMili[[#This Row],[Release Draft]] + SUM(TblMili[[#This Row],[Release Unit 1]:[Release Arch]]) -TblExplore[[#This Row],[Draftees (2)]]</f>
        <v>626</v>
      </c>
      <c r="AA123" s="162"/>
      <c r="AB123" s="188">
        <f ca="1">(TblConstr[[#This Row],[Tot Smi]]+TblConstr[[#This Row],[Dest Smi]])/(TblConstr[[#This Row],[Land]]-TblExplore[[#This Row],[Land Bonus]]*20)</f>
        <v>0</v>
      </c>
      <c r="AC123" s="145"/>
      <c r="AD123" s="266">
        <f>TblMili[[#This Row],[Hour]]</f>
        <v>120</v>
      </c>
      <c r="AE123" s="146">
        <f ca="1">TblExplore[[#This Row],[Time]]</f>
        <v>44815.708333333045</v>
      </c>
      <c r="AF123" s="187"/>
      <c r="AG123" s="187"/>
      <c r="AH123" s="187"/>
      <c r="AI123" s="187"/>
      <c r="AJ123" s="187"/>
      <c r="AK123" s="187"/>
      <c r="AL123" s="187"/>
      <c r="AM123" s="150"/>
      <c r="AN123" s="97">
        <f ca="1">TblProd[[#This Row],[Platinum]]</f>
        <v>753712</v>
      </c>
      <c r="AO123" s="97">
        <f ca="1">INDEX(TblProd[[#Headers],[Lumber]]:TblProd[[#This Row],[Ore]],COUNTA(TblProd[[#Headers],[Lumber]]:TblProd[[#This Row],[Lumber]]),MATCH(Military!$AO$2,TblProd[[#Headers],[Lumber]:[Ore]],0))</f>
        <v>0</v>
      </c>
      <c r="AP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97">
        <f ca="1">TblMili[[#This Row],[Train Unit 1]]*TblMili[[#This Row],[OP Ore]]+TblMili[[#This Row],[Train Unit 2]]*TblMili[[#This Row],[DP Ore]]+TblMili[[#This Row],[Train Unit 3]]*TblMili[[#This Row],[E1 Ore]]+TblMili[[#This Row],[Train Unit 4]]*TblMili[[#This Row],[E2 Ore]]</f>
        <v>0</v>
      </c>
      <c r="AR123" s="150">
        <f>TblMili[[#This Row],[Hour]]</f>
        <v>120</v>
      </c>
      <c r="AS123" s="160">
        <f ca="1">TblMili[[#This Row],[Time]]</f>
        <v>44815.708333333045</v>
      </c>
      <c r="AT123" s="97">
        <f ca="1">TblMili[[#This Row],[Draftees]]</f>
        <v>626</v>
      </c>
      <c r="AU123" s="187"/>
      <c r="AV123" s="187"/>
      <c r="AW123" s="187"/>
      <c r="AX123" s="187"/>
      <c r="AY123" s="187"/>
      <c r="AZ123" s="187"/>
      <c r="BA123" s="187"/>
      <c r="BB123" s="187"/>
      <c r="BC123" s="150"/>
      <c r="BD123" s="165">
        <f ca="1">TblConstr[[#This Row],[Tot WG]]/TblConstr[[#This Row],[Land]]</f>
        <v>0</v>
      </c>
      <c r="BE123" s="165">
        <f ca="1">TblConstr[[#This Row],[Tot Hav]]/TblConstr[[#This Row],[Land]]</f>
        <v>0</v>
      </c>
      <c r="BF123" s="97">
        <f ca="1">ROUNDUP((1-MIN(TblMili[[#This Row],[Smithies]]*smithy_bonus,smithy_bonus_cap) + tech_3_5*TblTech[[#This Row],[3-5]] + tech_5_3*TblTech[[#This Row],[5-3]] + tech_5_5*TblTech[[#This Row],[5-5]])*spec_op_plat,0)</f>
        <v>275</v>
      </c>
      <c r="BG123" s="97">
        <f ca="1">ROUNDUP(IF(race="Gnome",1,(1-MIN(TblMili[[#This Row],[Smithies]]*smithy_bonus,smithy_bonus_cap) + tech_3_5*TblTech[[#This Row],[3-5]] + tech_5_3*TblTech[[#This Row],[5-3]] + tech_5_5*TblTech[[#This Row],[5-5]]))*spec_op_ore,0)</f>
        <v>25</v>
      </c>
      <c r="BH123" s="97">
        <f ca="1">ROUNDUP((1-MIN(TblMili[[#This Row],[Smithies]]*smithy_bonus,smithy_bonus_cap) + tech_3_5*TblTech[[#This Row],[3-5]] + tech_5_3*TblTech[[#This Row],[5-3]] + tech_5_5*TblTech[[#This Row],[5-5]])*spec_dp_plat,0)</f>
        <v>275</v>
      </c>
      <c r="BI123" s="97">
        <f ca="1">ROUNDUP(IF(race="Gnome",1,(1-MIN(TblMili[[#This Row],[Smithies]]*smithy_bonus,smithy_bonus_cap) + tech_3_5*TblTech[[#This Row],[3-5]] + tech_5_3*TblTech[[#This Row],[5-3]] + tech_5_5*TblTech[[#This Row],[5-5]]))*spec_dp_ore,0)</f>
        <v>15</v>
      </c>
      <c r="BJ123" s="97">
        <f ca="1">ROUNDUP((1-MIN(TblMili[[#This Row],[Smithies]]*smithy_bonus,smithy_bonus_cap) + tech_3_5*TblTech[[#This Row],[3-5]] + tech_5_3*TblTech[[#This Row],[5-3]] + tech_5_5*TblTech[[#This Row],[5-5]])*elite1_plat,0)</f>
        <v>1000</v>
      </c>
      <c r="BK123" s="97">
        <f ca="1">ROUNDUP(IF(race="Gnome",1,(1-MIN(TblMili[[#This Row],[Smithies]]*smithy_bonus,smithy_bonus_cap) + tech_3_5*TblTech[[#This Row],[3-5]] + tech_5_3*TblTech[[#This Row],[5-3]] + tech_5_5*TblTech[[#This Row],[5-5]]))*elite1_ore,0)</f>
        <v>75</v>
      </c>
      <c r="BL123" s="97">
        <f ca="1">ROUNDUP((1-MIN(TblMili[[#This Row],[Smithies]]*smithy_bonus,smithy_bonus_cap) + tech_3_5*TblTech[[#This Row],[3-5]] + tech_5_3*TblTech[[#This Row],[5-3]] + tech_5_5*TblTech[[#This Row],[5-5]])*elite2_plat,0)</f>
        <v>1200</v>
      </c>
      <c r="BM123" s="97">
        <f ca="1">ROUNDUP(IF(race="Gnome",1,(1-MIN(TblMili[[#This Row],[Smithies]]*smithy_bonus,smithy_bonus_cap) + tech_3_5*TblTech[[#This Row],[3-5]] + tech_5_3*TblTech[[#This Row],[5-3]] + tech_5_5*TblTech[[#This Row],[5-5]]))*elite2_ore,0)</f>
        <v>100</v>
      </c>
      <c r="BN123" s="97">
        <f ca="1">ROUNDUP((1-MIN(ROUND(fh_spy_cost_red*TblMili[[#This Row],[FH''s]],4),fh_spy_cost_cap)+ tech_1_9*TblTech[[#This Row],[1-9]] + tech_9_1*TblTech[[#This Row],[9-1]])*spy_plat,0)</f>
        <v>500</v>
      </c>
      <c r="BO123" s="97">
        <f ca="1">ROUNDUP((1-MIN(ROUND(wg_wiz_cost_bonus*TblMili[[#This Row],[WG''s]],4),wg_wiz_cost_cap) + tech_1_9_2*TblTech[[#This Row],[1-9]] + tech_9_1_2*TblTech[[#This Row],[9-1]])*wizard_plat,0)</f>
        <v>500</v>
      </c>
      <c r="BP123" s="97">
        <f ca="1">ROUNDUP((1-MIN(ROUND(wg_wiz_cost_bonus*TblMili[[#This Row],[WG''s]],4),wg_wiz_cost_cap) + tech_1_9_2*TblTech[[#This Row],[1-9]] + tech_9_1_2*TblTech[[#This Row],[9-1]])*archmage_plat,0)</f>
        <v>1000</v>
      </c>
      <c r="BQ123" s="150"/>
      <c r="BR123" s="165">
        <f ca="1">TblConstr[[#This Row],[Homeland]]/TblConstr[[#This Row],[Land]]</f>
        <v>0.44</v>
      </c>
      <c r="BS123" s="165">
        <f ca="1">TblMili[[#This Row],[WG''s]]</f>
        <v>0</v>
      </c>
      <c r="BT123" s="271">
        <f ca="1">IF(mystic_cap="none",TblMili[[#This Row],[Hill]]/mystic_bonus,MIN(mystic_cap,TblMili[[#This Row],[Hill]]/mystic_bonus))</f>
        <v>2.1999999999999997</v>
      </c>
      <c r="BU123" s="271">
        <f ca="1">IF(druid_op_cap="none",TblMili[[#This Row],[Hill]]/druid_op_bonus,MIN(druid_op_cap,TblMili[[#This Row],[Hill]]/druid_op_bonus))</f>
        <v>2.1999999999999997</v>
      </c>
      <c r="BV123" s="271">
        <f ca="1">IF(druid_dp_cap="none",TblMili[[#This Row],[Hill]]/druid_dp_bonus,MIN(druid_dp_cap,TblMili[[#This Row],[Hill]]/druid_dp_bonus))</f>
        <v>2.1999999999999997</v>
      </c>
      <c r="BW123" s="271">
        <f ca="1">MIN(dryad_cap,TblMili[[#This Row],[Hill]]/dryad_bonus)</f>
        <v>2.1999999999999997</v>
      </c>
      <c r="BX123" s="271">
        <f ca="1">MIN(rocka_cap,TblMili[[#This Row],[Hill]]/rocka_bonus)</f>
        <v>2</v>
      </c>
      <c r="BY123" s="271">
        <f ca="1">MIN(adept_op_cap,TblMili[[#This Row],[WG]]/adept_op_bonus)</f>
        <v>0</v>
      </c>
      <c r="BZ123" s="271">
        <f ca="1">MIN(adept_dp_cap,TblMili[[#This Row],[WG]]/adept_dp_bonus)</f>
        <v>0</v>
      </c>
      <c r="CA123" s="97">
        <f ca="1">MIN(TblMili[[#This Row],[Unit 3]],TblMili[[#This Row],[Unit 4]])*2</f>
        <v>0</v>
      </c>
      <c r="CB123" s="97">
        <f ca="1">MIN(TblMili[[#This Row],[Unit 1]],TblMili[[#This Row],[Unit 4]])*2</f>
        <v>0</v>
      </c>
      <c r="CC123" s="271">
        <f ca="1">MIN(frost_mage_cap,TblMili[[#This Row],[Hill]]/frost_mage_bonus)</f>
        <v>2.1999999999999997</v>
      </c>
      <c r="CD123" s="45">
        <f ca="1">MIN(ice_elem_cap,TblMili[[#This Row],[Raw (2)]]*ice_elem_bonus)</f>
        <v>0.1</v>
      </c>
      <c r="CE123" s="271">
        <f t="shared" si="4"/>
        <v>1</v>
      </c>
      <c r="CF123" s="271">
        <f ca="1">MIN(nox_nightshade_cap,TblConstr[[#This Row],[Homeland]]/TblConstr[[#This Row],[Land]]/nox_nightshade_swamp_bonus)</f>
        <v>3</v>
      </c>
      <c r="CG123" s="272"/>
      <c r="CH123" s="272"/>
      <c r="CI123" s="272"/>
      <c r="CJ123" s="271">
        <f ca="1">MIN(6,TblMili[[#This Row],[Mystic]]+Races!$F$19)*1.8 +  IF(TblMili[[#This Row],[Mystic]]+Races!$F$19&gt;6,(TblMili[[#This Row],[Mystic]]+Races!$F$19-6)*0.2,0) - Races!$I$19</f>
        <v>3.6399999999999997</v>
      </c>
      <c r="CK12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97">
        <f ca="1">TblMili[[#This Row],[Mystic bonus]]*TblMili[[#This Row],[Unit 3]]+TblMili[[#This Row],[Druid bonus]]*TblMili[[#This Row],[Unit 4]]</f>
        <v>0</v>
      </c>
      <c r="CM123" s="163">
        <f ca="1">MIN(6,TblMili[[#This Row],[Dryad]]+Races!$F$35)*1.8 +  IF(TblMili[[#This Row],[Dryad]]+Races!$F$35&gt;6,(TblMili[[#This Row],[Dryad]]+Races!$F$35-6)*0.2,0) - Races!$I$19</f>
        <v>2.1599999999999993</v>
      </c>
      <c r="CN123" s="97">
        <f ca="1">sylvan*(TblMili[[#This Row],[Mystic bonus]]*TblMili[[#This Row],[Unit 3]])</f>
        <v>0</v>
      </c>
      <c r="CO123" s="163">
        <f ca="1">1.8 * MIN(MAX(Races!$E$27,TblMili[[#This Row],[Rockapult]]+Races!$F$27),6)  +  0.45 * MIN(MIN(Races!$E$27,TblMili[[#This Row],[Rockapult]]+Races!$F$27),6)  +  0.2 * ( MAX(Races!$E$27-6,0) + MAX(TblMili[[#This Row],[Rockapult]]+Races!$F$27-6,0) )  -  Races!$I$20</f>
        <v>5.8500000000000005</v>
      </c>
      <c r="CP123" s="97">
        <f ca="1">gnome*(TblMili[[#This Row],[Rockapult bonus]]*TblMili[[#This Row],[Unit 3]])</f>
        <v>0</v>
      </c>
      <c r="CQ123" s="163">
        <f ca="1">1.8 * MIN(MAX(TblMili[[#This Row],[Spellblade]]+Races!$E$47,TblMili[[#This Row],[Adept-DP]]+Races!$F$47),6)  +  0.45 * MIN(MIN(TblMili[[#This Row],[Spellblade]]+Races!$E$47,TblMili[[#This Row],[Adept-DP]]+Races!$F$47),6)  +  0.2 * ( MAX(TblMili[[#This Row],[Spellblade]]+Races!$E$47-6,0) + MAX(TblMili[[#This Row],[Adept-DP]]+Races!$F$47-6,0) )  -  Races!$I$47</f>
        <v>0</v>
      </c>
      <c r="CR123" s="97">
        <f ca="1">dark_elf*(TblMili[[#This Row],[Adept bonus]]*TblMili[[#This Row],[Unit 3]])</f>
        <v>0</v>
      </c>
      <c r="CS123" s="163">
        <f ca="1">1.8 * MIN(MAX(TblMili[[#This Row],[Frost Mage]]+Races!$F$71,Races!$E$71),6)  +  0.45 * MIN(MIN(TblMili[[#This Row],[Frost Mage]]+Races!$F$71,Races!$E$71),6)  +  0.2 * ( MAX(TblMili[[#This Row],[Frost Mage]]+Races!$F$71-6,0) + MAX(Races!$E$71-6,0) )  -  Races!$I$71</f>
        <v>3.9599999999999991</v>
      </c>
      <c r="CT123" s="163">
        <f ca="1">1.8 * MIN(MAX(TblMili[[#This Row],[Ice Elemental]]+Races!$E$71,Races!$F$71),6)  +  0.45 * MIN(MIN(TblMili[[#This Row],[Ice Elemental]]+Races!$E$71,Races!$F$71),6)  +  0.2 * ( MAX(TblMili[[#This Row],[Ice Elemental]]+Races!$E$71-6,0) + MAX(Races!$F$71-6,0) )  -  Races!$I$71</f>
        <v>0.17999999999999972</v>
      </c>
      <c r="CU123" s="97">
        <f ca="1">TblMili[[#This Row],[Frost Mage bonus]]*TblMili[[#This Row],[Unit 3]]+TblMili[[#This Row],[Ice Elemental bonus]]*TblMili[[#This Row],[Unit 4]]</f>
        <v>0</v>
      </c>
      <c r="CV123" s="273"/>
      <c r="CW123" s="151">
        <f ca="1">MIN(SUM(TblConstr[[#This Row],[Plain]:[Water]])/TblMili[[#This Row],[Land]]/favorable_terrain_bonus/100,favorable_terrain_max)</f>
        <v>0.1</v>
      </c>
      <c r="CX123" s="273"/>
      <c r="CY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50"/>
      <c r="DA123" s="274">
        <f ca="1">(TblMili[[#This Row],[Wizards]]+2*TblMili[[#This Row],[Archmages]])/TblConstr[[#This Row],[Land]]</f>
        <v>0.1</v>
      </c>
      <c r="DB123" s="274">
        <f ca="1">TblMili[[#This Row],[Raw (2)]]*(1+race_wizard_strength+IF(TblMili[[#This Row],[Hour]]&gt;72,tech_magical_weaponry_wiz*TblTech[[#This Row],[3-5]],0))</f>
        <v>0.1</v>
      </c>
    </row>
    <row r="124" spans="1:106" x14ac:dyDescent="0.2">
      <c r="A124" s="145">
        <f>TblRezone[[#This Row],[Hour]]</f>
        <v>121</v>
      </c>
      <c r="B124" s="266">
        <f ca="1">SUM(TblMili[[#This Row],[Unit 1]:[Archmages]])+SUM(OFFSET(TblMili[[#This Row],[Train Unit 1]],-8,0):TblMili[[#This Row],[Train Unit 2]]) + SUM(OFFSET(TblMili[[#This Row],[Train Unit 3]],-11,0):TblMili[[#This Row],[Train Arch]]) + TblMili[[#This Row],[Draftees]]</f>
        <v>826</v>
      </c>
      <c r="C124" s="165">
        <f ca="1">TblPop[[#This Row],[Military%]]</f>
        <v>0.35029686174724345</v>
      </c>
      <c r="D124" s="150"/>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f>
        <v>25</v>
      </c>
      <c r="J124" s="45">
        <f ca="1">OFFSET(TblMili[[#This Row],[Wizards]],-1,0) + OFFSET(TblMili[[#This Row],[Train Wiz]],-12,0) - TblMili[[#This Row],[Release Wizards]]-TblMili[[#This Row],[Train Arch]]</f>
        <v>25</v>
      </c>
      <c r="K124" s="45">
        <f ca="1">OFFSET(TblMili[[#This Row],[Archmages]],-1,0) + OFFSET(TblMili[[#This Row],[Train Arch]],-12,0) - TblMili[[#This Row],[Release Arch]]</f>
        <v>0</v>
      </c>
      <c r="L124" s="150"/>
      <c r="M124" s="97">
        <f ca="1">TblProd[[#This Row],[Networth]]</f>
        <v>6450</v>
      </c>
      <c r="N124" s="150"/>
      <c r="O124" s="267">
        <f ca="1">TblMili[[#This Row],[Unit 1]]*spec_op+TblMili[[#This Row],[Unit 3]]*(elite1_base_op)+TblMili[[#This Row],[Unit 4]]*(elite2_base_op+dark_elf*TblMili[[#This Row],[Spellblade]]+icekin*TblMili[[#This Row],[Ice Elemental]]+woodie*TblMili[[#This Row],[Druid (op)]]+orc*TblMili[[#This Row],[Orc]])+kobold*TblMili[[#This Row],[Overlords]]</f>
        <v>0</v>
      </c>
      <c r="P12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4" s="267">
        <f ca="1">TblMili[[#This Row],[Raw]]*(1+TblMili[[#This Row],[Mods_Off]])</f>
        <v>0</v>
      </c>
      <c r="R12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4" s="267">
        <f ca="1">TblMili[[#This Row],[Non Draft]]+TblMili[[#This Row],[Draftees]]</f>
        <v>1076</v>
      </c>
      <c r="T12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269">
        <f ca="1">TblMili[[#This Row],[Non Draft]] * (1 + TblMili[[#This Row],[Mods_Def]])</f>
        <v>450</v>
      </c>
      <c r="V124" s="267">
        <f ca="1">TblMili[[#This Row],[Draft]] * (1 + TblMili[[#This Row],[Mods_Def]])</f>
        <v>1076</v>
      </c>
      <c r="W124" s="267">
        <f ca="1">TblConstr[[#This Row],[Land]]</f>
        <v>250</v>
      </c>
      <c r="X124" s="270"/>
      <c r="Y124" s="275">
        <f ca="1">IF(TblMili[[#This Row],[Set]]&lt;&gt;"",TblMili[[#This Row],[Set]],OFFSET(TblMili[[#This Row],[Draftrate]],-1,0))</f>
        <v>0.35</v>
      </c>
      <c r="Z124" s="97">
        <f ca="1">OFFSET(TblMili[[#This Row],[Draftees]],-1,0)+OFFSET(TblPop[[#This Row],[Draft Growth]],-1,0) - SUM(TblMili[[#This Row],[Train Unit 1]:[Train Wiz]]) - TblMili[[#This Row],[Release Draft]] + SUM(TblMili[[#This Row],[Release Unit 1]:[Release Arch]]) -TblExplore[[#This Row],[Draftees (2)]]</f>
        <v>626</v>
      </c>
      <c r="AA124" s="162"/>
      <c r="AB124" s="188">
        <f ca="1">(TblConstr[[#This Row],[Tot Smi]]+TblConstr[[#This Row],[Dest Smi]])/(TblConstr[[#This Row],[Land]]-TblExplore[[#This Row],[Land Bonus]]*20)</f>
        <v>0</v>
      </c>
      <c r="AC124" s="276"/>
      <c r="AD124" s="277">
        <f>TblMili[[#This Row],[Hour]]</f>
        <v>121</v>
      </c>
      <c r="AE124" s="146">
        <f ca="1">TblExplore[[#This Row],[Time]]</f>
        <v>44815.749999999709</v>
      </c>
      <c r="AF124" s="187"/>
      <c r="AG124" s="187"/>
      <c r="AH124" s="187"/>
      <c r="AI124" s="187"/>
      <c r="AJ124" s="187"/>
      <c r="AK124" s="187"/>
      <c r="AL124" s="187"/>
      <c r="AM124" s="150"/>
      <c r="AN124" s="97">
        <f ca="1">TblProd[[#This Row],[Platinum]]</f>
        <v>759198</v>
      </c>
      <c r="AO124" s="97">
        <f ca="1">INDEX(TblProd[[#Headers],[Lumber]]:TblProd[[#This Row],[Ore]],COUNTA(TblProd[[#Headers],[Lumber]]:TblProd[[#This Row],[Lumber]]),MATCH(Military!$AO$2,TblProd[[#Headers],[Lumber]:[Ore]],0))</f>
        <v>0</v>
      </c>
      <c r="AP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97">
        <f ca="1">TblMili[[#This Row],[Train Unit 1]]*TblMili[[#This Row],[OP Ore]]+TblMili[[#This Row],[Train Unit 2]]*TblMili[[#This Row],[DP Ore]]+TblMili[[#This Row],[Train Unit 3]]*TblMili[[#This Row],[E1 Ore]]+TblMili[[#This Row],[Train Unit 4]]*TblMili[[#This Row],[E2 Ore]]</f>
        <v>0</v>
      </c>
      <c r="AR124" s="150">
        <f>TblMili[[#This Row],[Hour]]</f>
        <v>121</v>
      </c>
      <c r="AS124" s="160">
        <f ca="1">TblMili[[#This Row],[Time]]</f>
        <v>44815.749999999709</v>
      </c>
      <c r="AT124" s="97">
        <f ca="1">TblMili[[#This Row],[Draftees]]</f>
        <v>626</v>
      </c>
      <c r="AU124" s="187"/>
      <c r="AV124" s="187"/>
      <c r="AW124" s="187"/>
      <c r="AX124" s="187"/>
      <c r="AY124" s="187"/>
      <c r="AZ124" s="187"/>
      <c r="BA124" s="187"/>
      <c r="BB124" s="187"/>
      <c r="BC124" s="150"/>
      <c r="BD124" s="165">
        <f ca="1">TblConstr[[#This Row],[Tot WG]]/TblConstr[[#This Row],[Land]]</f>
        <v>0</v>
      </c>
      <c r="BE124" s="165">
        <f ca="1">TblConstr[[#This Row],[Tot Hav]]/TblConstr[[#This Row],[Land]]</f>
        <v>0</v>
      </c>
      <c r="BF124" s="97">
        <f ca="1">ROUNDUP((1-MIN(TblMili[[#This Row],[Smithies]]*smithy_bonus,smithy_bonus_cap) + tech_3_5*TblTech[[#This Row],[3-5]] + tech_5_3*TblTech[[#This Row],[5-3]] + tech_5_5*TblTech[[#This Row],[5-5]])*spec_op_plat,0)</f>
        <v>275</v>
      </c>
      <c r="BG124" s="97">
        <f ca="1">ROUNDUP(IF(race="Gnome",1,(1-MIN(TblMili[[#This Row],[Smithies]]*smithy_bonus,smithy_bonus_cap) + tech_3_5*TblTech[[#This Row],[3-5]] + tech_5_3*TblTech[[#This Row],[5-3]] + tech_5_5*TblTech[[#This Row],[5-5]]))*spec_op_ore,0)</f>
        <v>25</v>
      </c>
      <c r="BH124" s="97">
        <f ca="1">ROUNDUP((1-MIN(TblMili[[#This Row],[Smithies]]*smithy_bonus,smithy_bonus_cap) + tech_3_5*TblTech[[#This Row],[3-5]] + tech_5_3*TblTech[[#This Row],[5-3]] + tech_5_5*TblTech[[#This Row],[5-5]])*spec_dp_plat,0)</f>
        <v>275</v>
      </c>
      <c r="BI124" s="97">
        <f ca="1">ROUNDUP(IF(race="Gnome",1,(1-MIN(TblMili[[#This Row],[Smithies]]*smithy_bonus,smithy_bonus_cap) + tech_3_5*TblTech[[#This Row],[3-5]] + tech_5_3*TblTech[[#This Row],[5-3]] + tech_5_5*TblTech[[#This Row],[5-5]]))*spec_dp_ore,0)</f>
        <v>15</v>
      </c>
      <c r="BJ124" s="97">
        <f ca="1">ROUNDUP((1-MIN(TblMili[[#This Row],[Smithies]]*smithy_bonus,smithy_bonus_cap) + tech_3_5*TblTech[[#This Row],[3-5]] + tech_5_3*TblTech[[#This Row],[5-3]] + tech_5_5*TblTech[[#This Row],[5-5]])*elite1_plat,0)</f>
        <v>1000</v>
      </c>
      <c r="BK124" s="97">
        <f ca="1">ROUNDUP(IF(race="Gnome",1,(1-MIN(TblMili[[#This Row],[Smithies]]*smithy_bonus,smithy_bonus_cap) + tech_3_5*TblTech[[#This Row],[3-5]] + tech_5_3*TblTech[[#This Row],[5-3]] + tech_5_5*TblTech[[#This Row],[5-5]]))*elite1_ore,0)</f>
        <v>75</v>
      </c>
      <c r="BL124" s="97">
        <f ca="1">ROUNDUP((1-MIN(TblMili[[#This Row],[Smithies]]*smithy_bonus,smithy_bonus_cap) + tech_3_5*TblTech[[#This Row],[3-5]] + tech_5_3*TblTech[[#This Row],[5-3]] + tech_5_5*TblTech[[#This Row],[5-5]])*elite2_plat,0)</f>
        <v>1200</v>
      </c>
      <c r="BM124" s="97">
        <f ca="1">ROUNDUP(IF(race="Gnome",1,(1-MIN(TblMili[[#This Row],[Smithies]]*smithy_bonus,smithy_bonus_cap) + tech_3_5*TblTech[[#This Row],[3-5]] + tech_5_3*TblTech[[#This Row],[5-3]] + tech_5_5*TblTech[[#This Row],[5-5]]))*elite2_ore,0)</f>
        <v>100</v>
      </c>
      <c r="BN124" s="97">
        <f ca="1">ROUNDUP((1-MIN(ROUND(fh_spy_cost_red*TblMili[[#This Row],[FH''s]],4),fh_spy_cost_cap)+ tech_1_9*TblTech[[#This Row],[1-9]] + tech_9_1*TblTech[[#This Row],[9-1]])*spy_plat,0)</f>
        <v>500</v>
      </c>
      <c r="BO124" s="97">
        <f ca="1">ROUNDUP((1-MIN(ROUND(wg_wiz_cost_bonus*TblMili[[#This Row],[WG''s]],4),wg_wiz_cost_cap) + tech_1_9_2*TblTech[[#This Row],[1-9]] + tech_9_1_2*TblTech[[#This Row],[9-1]])*wizard_plat,0)</f>
        <v>500</v>
      </c>
      <c r="BP124" s="97">
        <f ca="1">ROUNDUP((1-MIN(ROUND(wg_wiz_cost_bonus*TblMili[[#This Row],[WG''s]],4),wg_wiz_cost_cap) + tech_1_9_2*TblTech[[#This Row],[1-9]] + tech_9_1_2*TblTech[[#This Row],[9-1]])*archmage_plat,0)</f>
        <v>1000</v>
      </c>
      <c r="BQ124" s="150"/>
      <c r="BR124" s="165">
        <f ca="1">TblConstr[[#This Row],[Homeland]]/TblConstr[[#This Row],[Land]]</f>
        <v>0.44</v>
      </c>
      <c r="BS124" s="165">
        <f ca="1">TblMili[[#This Row],[WG''s]]</f>
        <v>0</v>
      </c>
      <c r="BT124" s="271">
        <f ca="1">IF(mystic_cap="none",TblMili[[#This Row],[Hill]]/mystic_bonus,MIN(mystic_cap,TblMili[[#This Row],[Hill]]/mystic_bonus))</f>
        <v>2.1999999999999997</v>
      </c>
      <c r="BU124" s="271">
        <f ca="1">IF(druid_op_cap="none",TblMili[[#This Row],[Hill]]/druid_op_bonus,MIN(druid_op_cap,TblMili[[#This Row],[Hill]]/druid_op_bonus))</f>
        <v>2.1999999999999997</v>
      </c>
      <c r="BV124" s="271">
        <f ca="1">IF(druid_dp_cap="none",TblMili[[#This Row],[Hill]]/druid_dp_bonus,MIN(druid_dp_cap,TblMili[[#This Row],[Hill]]/druid_dp_bonus))</f>
        <v>2.1999999999999997</v>
      </c>
      <c r="BW124" s="271">
        <f ca="1">MIN(dryad_cap,TblMili[[#This Row],[Hill]]/dryad_bonus)</f>
        <v>2.1999999999999997</v>
      </c>
      <c r="BX124" s="271">
        <f ca="1">MIN(rocka_cap,TblMili[[#This Row],[Hill]]/rocka_bonus)</f>
        <v>2</v>
      </c>
      <c r="BY124" s="271">
        <f ca="1">MIN(adept_op_cap,TblMili[[#This Row],[WG]]/adept_op_bonus)</f>
        <v>0</v>
      </c>
      <c r="BZ124" s="271">
        <f ca="1">MIN(adept_dp_cap,TblMili[[#This Row],[WG]]/adept_dp_bonus)</f>
        <v>0</v>
      </c>
      <c r="CA124" s="97">
        <f ca="1">MIN(TblMili[[#This Row],[Unit 3]],TblMili[[#This Row],[Unit 4]])*2</f>
        <v>0</v>
      </c>
      <c r="CB124" s="97">
        <f ca="1">MIN(TblMili[[#This Row],[Unit 1]],TblMili[[#This Row],[Unit 4]])*2</f>
        <v>0</v>
      </c>
      <c r="CC124" s="271">
        <f ca="1">MIN(frost_mage_cap,TblMili[[#This Row],[Hill]]/frost_mage_bonus)</f>
        <v>2.1999999999999997</v>
      </c>
      <c r="CD124" s="45">
        <f ca="1">MIN(ice_elem_cap,TblMili[[#This Row],[Raw (2)]]*ice_elem_bonus)</f>
        <v>0.1</v>
      </c>
      <c r="CE124" s="271">
        <f t="shared" si="4"/>
        <v>1</v>
      </c>
      <c r="CF124" s="271">
        <f ca="1">MIN(nox_nightshade_cap,TblConstr[[#This Row],[Homeland]]/TblConstr[[#This Row],[Land]]/nox_nightshade_swamp_bonus)</f>
        <v>3</v>
      </c>
      <c r="CG124" s="272"/>
      <c r="CH124" s="272"/>
      <c r="CI124" s="272"/>
      <c r="CJ124" s="271">
        <f ca="1">MIN(6,TblMili[[#This Row],[Mystic]]+Races!$F$19)*1.8 +  IF(TblMili[[#This Row],[Mystic]]+Races!$F$19&gt;6,(TblMili[[#This Row],[Mystic]]+Races!$F$19-6)*0.2,0) - Races!$I$19</f>
        <v>3.6399999999999997</v>
      </c>
      <c r="CK12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97">
        <f ca="1">TblMili[[#This Row],[Mystic bonus]]*TblMili[[#This Row],[Unit 3]]+TblMili[[#This Row],[Druid bonus]]*TblMili[[#This Row],[Unit 4]]</f>
        <v>0</v>
      </c>
      <c r="CM124" s="163">
        <f ca="1">MIN(6,TblMili[[#This Row],[Dryad]]+Races!$F$35)*1.8 +  IF(TblMili[[#This Row],[Dryad]]+Races!$F$35&gt;6,(TblMili[[#This Row],[Dryad]]+Races!$F$35-6)*0.2,0) - Races!$I$19</f>
        <v>2.1599999999999993</v>
      </c>
      <c r="CN124" s="97">
        <f ca="1">sylvan*(TblMili[[#This Row],[Mystic bonus]]*TblMili[[#This Row],[Unit 3]])</f>
        <v>0</v>
      </c>
      <c r="CO124" s="163">
        <f ca="1">1.8 * MIN(MAX(Races!$E$27,TblMili[[#This Row],[Rockapult]]+Races!$F$27),6)  +  0.45 * MIN(MIN(Races!$E$27,TblMili[[#This Row],[Rockapult]]+Races!$F$27),6)  +  0.2 * ( MAX(Races!$E$27-6,0) + MAX(TblMili[[#This Row],[Rockapult]]+Races!$F$27-6,0) )  -  Races!$I$20</f>
        <v>5.8500000000000005</v>
      </c>
      <c r="CP124" s="97">
        <f ca="1">gnome*(TblMili[[#This Row],[Rockapult bonus]]*TblMili[[#This Row],[Unit 3]])</f>
        <v>0</v>
      </c>
      <c r="CQ124" s="163">
        <f ca="1">1.8 * MIN(MAX(TblMili[[#This Row],[Spellblade]]+Races!$E$47,TblMili[[#This Row],[Adept-DP]]+Races!$F$47),6)  +  0.45 * MIN(MIN(TblMili[[#This Row],[Spellblade]]+Races!$E$47,TblMili[[#This Row],[Adept-DP]]+Races!$F$47),6)  +  0.2 * ( MAX(TblMili[[#This Row],[Spellblade]]+Races!$E$47-6,0) + MAX(TblMili[[#This Row],[Adept-DP]]+Races!$F$47-6,0) )  -  Races!$I$47</f>
        <v>0</v>
      </c>
      <c r="CR124" s="97">
        <f ca="1">dark_elf*(TblMili[[#This Row],[Adept bonus]]*TblMili[[#This Row],[Unit 3]])</f>
        <v>0</v>
      </c>
      <c r="CS124" s="163">
        <f ca="1">1.8 * MIN(MAX(TblMili[[#This Row],[Frost Mage]]+Races!$F$71,Races!$E$71),6)  +  0.45 * MIN(MIN(TblMili[[#This Row],[Frost Mage]]+Races!$F$71,Races!$E$71),6)  +  0.2 * ( MAX(TblMili[[#This Row],[Frost Mage]]+Races!$F$71-6,0) + MAX(Races!$E$71-6,0) )  -  Races!$I$71</f>
        <v>3.9599999999999991</v>
      </c>
      <c r="CT124" s="163">
        <f ca="1">1.8 * MIN(MAX(TblMili[[#This Row],[Ice Elemental]]+Races!$E$71,Races!$F$71),6)  +  0.45 * MIN(MIN(TblMili[[#This Row],[Ice Elemental]]+Races!$E$71,Races!$F$71),6)  +  0.2 * ( MAX(TblMili[[#This Row],[Ice Elemental]]+Races!$E$71-6,0) + MAX(Races!$F$71-6,0) )  -  Races!$I$71</f>
        <v>0.17999999999999972</v>
      </c>
      <c r="CU124" s="97">
        <f ca="1">TblMili[[#This Row],[Frost Mage bonus]]*TblMili[[#This Row],[Unit 3]]+TblMili[[#This Row],[Ice Elemental bonus]]*TblMili[[#This Row],[Unit 4]]</f>
        <v>0</v>
      </c>
      <c r="CV124" s="273"/>
      <c r="CW124" s="151">
        <f ca="1">MIN(SUM(TblConstr[[#This Row],[Plain]:[Water]])/TblMili[[#This Row],[Land]]/favorable_terrain_bonus/100,favorable_terrain_max)</f>
        <v>0.1</v>
      </c>
      <c r="CX124" s="273"/>
      <c r="CY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50"/>
      <c r="DA124" s="274">
        <f ca="1">(TblMili[[#This Row],[Wizards]]+2*TblMili[[#This Row],[Archmages]])/TblConstr[[#This Row],[Land]]</f>
        <v>0.1</v>
      </c>
      <c r="DB124" s="274">
        <f ca="1">TblMili[[#This Row],[Raw (2)]]*(1+race_wizard_strength+IF(TblMili[[#This Row],[Hour]]&gt;72,tech_magical_weaponry_wiz*TblTech[[#This Row],[3-5]],0))</f>
        <v>0.1</v>
      </c>
    </row>
    <row r="125" spans="1:106" x14ac:dyDescent="0.2">
      <c r="A125" s="145">
        <f>TblRezone[[#This Row],[Hour]]</f>
        <v>122</v>
      </c>
      <c r="B125" s="266">
        <f ca="1">SUM(TblMili[[#This Row],[Unit 1]:[Archmages]])+SUM(OFFSET(TblMili[[#This Row],[Train Unit 1]],-8,0):TblMili[[#This Row],[Train Unit 2]]) + SUM(OFFSET(TblMili[[#This Row],[Train Unit 3]],-11,0):TblMili[[#This Row],[Train Arch]]) + TblMili[[#This Row],[Draftees]]</f>
        <v>826</v>
      </c>
      <c r="C125" s="165">
        <f ca="1">TblPop[[#This Row],[Military%]]</f>
        <v>0.35029686174724345</v>
      </c>
      <c r="D125" s="150"/>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f>
        <v>25</v>
      </c>
      <c r="J125" s="45">
        <f ca="1">OFFSET(TblMili[[#This Row],[Wizards]],-1,0) + OFFSET(TblMili[[#This Row],[Train Wiz]],-12,0) - TblMili[[#This Row],[Release Wizards]]-TblMili[[#This Row],[Train Arch]]</f>
        <v>25</v>
      </c>
      <c r="K125" s="45">
        <f ca="1">OFFSET(TblMili[[#This Row],[Archmages]],-1,0) + OFFSET(TblMili[[#This Row],[Train Arch]],-12,0) - TblMili[[#This Row],[Release Arch]]</f>
        <v>0</v>
      </c>
      <c r="L125" s="150"/>
      <c r="M125" s="97">
        <f ca="1">TblProd[[#This Row],[Networth]]</f>
        <v>6450</v>
      </c>
      <c r="N125" s="150"/>
      <c r="O125" s="267">
        <f ca="1">TblMili[[#This Row],[Unit 1]]*spec_op+TblMili[[#This Row],[Unit 3]]*(elite1_base_op)+TblMili[[#This Row],[Unit 4]]*(elite2_base_op+dark_elf*TblMili[[#This Row],[Spellblade]]+icekin*TblMili[[#This Row],[Ice Elemental]]+woodie*TblMili[[#This Row],[Druid (op)]]+orc*TblMili[[#This Row],[Orc]])+kobold*TblMili[[#This Row],[Overlords]]</f>
        <v>0</v>
      </c>
      <c r="P12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5" s="267">
        <f ca="1">TblMili[[#This Row],[Raw]]*(1+TblMili[[#This Row],[Mods_Off]])</f>
        <v>0</v>
      </c>
      <c r="R12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5" s="267">
        <f ca="1">TblMili[[#This Row],[Non Draft]]+TblMili[[#This Row],[Draftees]]</f>
        <v>1076</v>
      </c>
      <c r="T12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269">
        <f ca="1">TblMili[[#This Row],[Non Draft]] * (1 + TblMili[[#This Row],[Mods_Def]])</f>
        <v>450</v>
      </c>
      <c r="V125" s="267">
        <f ca="1">TblMili[[#This Row],[Draft]] * (1 + TblMili[[#This Row],[Mods_Def]])</f>
        <v>1076</v>
      </c>
      <c r="W125" s="267">
        <f ca="1">TblConstr[[#This Row],[Land]]</f>
        <v>250</v>
      </c>
      <c r="X125" s="270"/>
      <c r="Y125" s="275">
        <f ca="1">IF(TblMili[[#This Row],[Set]]&lt;&gt;"",TblMili[[#This Row],[Set]],OFFSET(TblMili[[#This Row],[Draftrate]],-1,0))</f>
        <v>0.35</v>
      </c>
      <c r="Z125" s="97">
        <f ca="1">OFFSET(TblMili[[#This Row],[Draftees]],-1,0)+OFFSET(TblPop[[#This Row],[Draft Growth]],-1,0) - SUM(TblMili[[#This Row],[Train Unit 1]:[Train Wiz]]) - TblMili[[#This Row],[Release Draft]] + SUM(TblMili[[#This Row],[Release Unit 1]:[Release Arch]]) -TblExplore[[#This Row],[Draftees (2)]]</f>
        <v>626</v>
      </c>
      <c r="AA125" s="162"/>
      <c r="AB125" s="188">
        <f ca="1">(TblConstr[[#This Row],[Tot Smi]]+TblConstr[[#This Row],[Dest Smi]])/(TblConstr[[#This Row],[Land]]-TblExplore[[#This Row],[Land Bonus]]*20)</f>
        <v>0</v>
      </c>
      <c r="AC125" s="145"/>
      <c r="AD125" s="266">
        <f>TblMili[[#This Row],[Hour]]</f>
        <v>122</v>
      </c>
      <c r="AE125" s="146">
        <f ca="1">TblExplore[[#This Row],[Time]]</f>
        <v>44815.791666666373</v>
      </c>
      <c r="AF125" s="166"/>
      <c r="AG125" s="187"/>
      <c r="AH125" s="166"/>
      <c r="AI125" s="187"/>
      <c r="AJ125" s="187"/>
      <c r="AK125" s="187"/>
      <c r="AL125" s="187"/>
      <c r="AM125" s="150"/>
      <c r="AN125" s="97">
        <f ca="1">TblProd[[#This Row],[Platinum]]</f>
        <v>764684</v>
      </c>
      <c r="AO125" s="97">
        <f ca="1">INDEX(TblProd[[#Headers],[Lumber]]:TblProd[[#This Row],[Ore]],COUNTA(TblProd[[#Headers],[Lumber]]:TblProd[[#This Row],[Lumber]]),MATCH(Military!$AO$2,TblProd[[#Headers],[Lumber]:[Ore]],0))</f>
        <v>0</v>
      </c>
      <c r="AP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97">
        <f ca="1">TblMili[[#This Row],[Train Unit 1]]*TblMili[[#This Row],[OP Ore]]+TblMili[[#This Row],[Train Unit 2]]*TblMili[[#This Row],[DP Ore]]+TblMili[[#This Row],[Train Unit 3]]*TblMili[[#This Row],[E1 Ore]]+TblMili[[#This Row],[Train Unit 4]]*TblMili[[#This Row],[E2 Ore]]</f>
        <v>0</v>
      </c>
      <c r="AR125" s="150">
        <f>TblMili[[#This Row],[Hour]]</f>
        <v>122</v>
      </c>
      <c r="AS125" s="160">
        <f ca="1">TblMili[[#This Row],[Time]]</f>
        <v>44815.791666666373</v>
      </c>
      <c r="AT125" s="97">
        <f ca="1">TblMili[[#This Row],[Draftees]]</f>
        <v>626</v>
      </c>
      <c r="AU125" s="187"/>
      <c r="AV125" s="187"/>
      <c r="AW125" s="187"/>
      <c r="AX125" s="187"/>
      <c r="AY125" s="187"/>
      <c r="AZ125" s="187"/>
      <c r="BA125" s="187"/>
      <c r="BB125" s="187"/>
      <c r="BC125" s="150"/>
      <c r="BD125" s="165">
        <f ca="1">TblConstr[[#This Row],[Tot WG]]/TblConstr[[#This Row],[Land]]</f>
        <v>0</v>
      </c>
      <c r="BE125" s="165">
        <f ca="1">TblConstr[[#This Row],[Tot Hav]]/TblConstr[[#This Row],[Land]]</f>
        <v>0</v>
      </c>
      <c r="BF125" s="97">
        <f ca="1">ROUNDUP((1-MIN(TblMili[[#This Row],[Smithies]]*smithy_bonus,smithy_bonus_cap) + tech_3_5*TblTech[[#This Row],[3-5]] + tech_5_3*TblTech[[#This Row],[5-3]] + tech_5_5*TblTech[[#This Row],[5-5]])*spec_op_plat,0)</f>
        <v>275</v>
      </c>
      <c r="BG125" s="97">
        <f ca="1">ROUNDUP(IF(race="Gnome",1,(1-MIN(TblMili[[#This Row],[Smithies]]*smithy_bonus,smithy_bonus_cap) + tech_3_5*TblTech[[#This Row],[3-5]] + tech_5_3*TblTech[[#This Row],[5-3]] + tech_5_5*TblTech[[#This Row],[5-5]]))*spec_op_ore,0)</f>
        <v>25</v>
      </c>
      <c r="BH125" s="97">
        <f ca="1">ROUNDUP((1-MIN(TblMili[[#This Row],[Smithies]]*smithy_bonus,smithy_bonus_cap) + tech_3_5*TblTech[[#This Row],[3-5]] + tech_5_3*TblTech[[#This Row],[5-3]] + tech_5_5*TblTech[[#This Row],[5-5]])*spec_dp_plat,0)</f>
        <v>275</v>
      </c>
      <c r="BI125" s="97">
        <f ca="1">ROUNDUP(IF(race="Gnome",1,(1-MIN(TblMili[[#This Row],[Smithies]]*smithy_bonus,smithy_bonus_cap) + tech_3_5*TblTech[[#This Row],[3-5]] + tech_5_3*TblTech[[#This Row],[5-3]] + tech_5_5*TblTech[[#This Row],[5-5]]))*spec_dp_ore,0)</f>
        <v>15</v>
      </c>
      <c r="BJ125" s="97">
        <f ca="1">ROUNDUP((1-MIN(TblMili[[#This Row],[Smithies]]*smithy_bonus,smithy_bonus_cap) + tech_3_5*TblTech[[#This Row],[3-5]] + tech_5_3*TblTech[[#This Row],[5-3]] + tech_5_5*TblTech[[#This Row],[5-5]])*elite1_plat,0)</f>
        <v>1000</v>
      </c>
      <c r="BK125" s="97">
        <f ca="1">ROUNDUP(IF(race="Gnome",1,(1-MIN(TblMili[[#This Row],[Smithies]]*smithy_bonus,smithy_bonus_cap) + tech_3_5*TblTech[[#This Row],[3-5]] + tech_5_3*TblTech[[#This Row],[5-3]] + tech_5_5*TblTech[[#This Row],[5-5]]))*elite1_ore,0)</f>
        <v>75</v>
      </c>
      <c r="BL125" s="97">
        <f ca="1">ROUNDUP((1-MIN(TblMili[[#This Row],[Smithies]]*smithy_bonus,smithy_bonus_cap) + tech_3_5*TblTech[[#This Row],[3-5]] + tech_5_3*TblTech[[#This Row],[5-3]] + tech_5_5*TblTech[[#This Row],[5-5]])*elite2_plat,0)</f>
        <v>1200</v>
      </c>
      <c r="BM125" s="97">
        <f ca="1">ROUNDUP(IF(race="Gnome",1,(1-MIN(TblMili[[#This Row],[Smithies]]*smithy_bonus,smithy_bonus_cap) + tech_3_5*TblTech[[#This Row],[3-5]] + tech_5_3*TblTech[[#This Row],[5-3]] + tech_5_5*TblTech[[#This Row],[5-5]]))*elite2_ore,0)</f>
        <v>100</v>
      </c>
      <c r="BN125" s="97">
        <f ca="1">ROUNDUP((1-MIN(ROUND(fh_spy_cost_red*TblMili[[#This Row],[FH''s]],4),fh_spy_cost_cap)+ tech_1_9*TblTech[[#This Row],[1-9]] + tech_9_1*TblTech[[#This Row],[9-1]])*spy_plat,0)</f>
        <v>500</v>
      </c>
      <c r="BO125" s="97">
        <f ca="1">ROUNDUP((1-MIN(ROUND(wg_wiz_cost_bonus*TblMili[[#This Row],[WG''s]],4),wg_wiz_cost_cap) + tech_1_9_2*TblTech[[#This Row],[1-9]] + tech_9_1_2*TblTech[[#This Row],[9-1]])*wizard_plat,0)</f>
        <v>500</v>
      </c>
      <c r="BP125" s="97">
        <f ca="1">ROUNDUP((1-MIN(ROUND(wg_wiz_cost_bonus*TblMili[[#This Row],[WG''s]],4),wg_wiz_cost_cap) + tech_1_9_2*TblTech[[#This Row],[1-9]] + tech_9_1_2*TblTech[[#This Row],[9-1]])*archmage_plat,0)</f>
        <v>1000</v>
      </c>
      <c r="BQ125" s="150"/>
      <c r="BR125" s="165">
        <f ca="1">TblConstr[[#This Row],[Homeland]]/TblConstr[[#This Row],[Land]]</f>
        <v>0.44</v>
      </c>
      <c r="BS125" s="165">
        <f ca="1">TblMili[[#This Row],[WG''s]]</f>
        <v>0</v>
      </c>
      <c r="BT125" s="271">
        <f ca="1">IF(mystic_cap="none",TblMili[[#This Row],[Hill]]/mystic_bonus,MIN(mystic_cap,TblMili[[#This Row],[Hill]]/mystic_bonus))</f>
        <v>2.1999999999999997</v>
      </c>
      <c r="BU125" s="271">
        <f ca="1">IF(druid_op_cap="none",TblMili[[#This Row],[Hill]]/druid_op_bonus,MIN(druid_op_cap,TblMili[[#This Row],[Hill]]/druid_op_bonus))</f>
        <v>2.1999999999999997</v>
      </c>
      <c r="BV125" s="271">
        <f ca="1">IF(druid_dp_cap="none",TblMili[[#This Row],[Hill]]/druid_dp_bonus,MIN(druid_dp_cap,TblMili[[#This Row],[Hill]]/druid_dp_bonus))</f>
        <v>2.1999999999999997</v>
      </c>
      <c r="BW125" s="271">
        <f ca="1">MIN(dryad_cap,TblMili[[#This Row],[Hill]]/dryad_bonus)</f>
        <v>2.1999999999999997</v>
      </c>
      <c r="BX125" s="271">
        <f ca="1">MIN(rocka_cap,TblMili[[#This Row],[Hill]]/rocka_bonus)</f>
        <v>2</v>
      </c>
      <c r="BY125" s="271">
        <f ca="1">MIN(adept_op_cap,TblMili[[#This Row],[WG]]/adept_op_bonus)</f>
        <v>0</v>
      </c>
      <c r="BZ125" s="271">
        <f ca="1">MIN(adept_dp_cap,TblMili[[#This Row],[WG]]/adept_dp_bonus)</f>
        <v>0</v>
      </c>
      <c r="CA125" s="97">
        <f ca="1">MIN(TblMili[[#This Row],[Unit 3]],TblMili[[#This Row],[Unit 4]])*2</f>
        <v>0</v>
      </c>
      <c r="CB125" s="97">
        <f ca="1">MIN(TblMili[[#This Row],[Unit 1]],TblMili[[#This Row],[Unit 4]])*2</f>
        <v>0</v>
      </c>
      <c r="CC125" s="271">
        <f ca="1">MIN(frost_mage_cap,TblMili[[#This Row],[Hill]]/frost_mage_bonus)</f>
        <v>2.1999999999999997</v>
      </c>
      <c r="CD125" s="45">
        <f ca="1">MIN(ice_elem_cap,TblMili[[#This Row],[Raw (2)]]*ice_elem_bonus)</f>
        <v>0.1</v>
      </c>
      <c r="CE125" s="271">
        <f t="shared" si="4"/>
        <v>1</v>
      </c>
      <c r="CF125" s="271">
        <f ca="1">MIN(nox_nightshade_cap,TblConstr[[#This Row],[Homeland]]/TblConstr[[#This Row],[Land]]/nox_nightshade_swamp_bonus)</f>
        <v>3</v>
      </c>
      <c r="CG125" s="272"/>
      <c r="CH125" s="272"/>
      <c r="CI125" s="272"/>
      <c r="CJ125" s="271">
        <f ca="1">MIN(6,TblMili[[#This Row],[Mystic]]+Races!$F$19)*1.8 +  IF(TblMili[[#This Row],[Mystic]]+Races!$F$19&gt;6,(TblMili[[#This Row],[Mystic]]+Races!$F$19-6)*0.2,0) - Races!$I$19</f>
        <v>3.6399999999999997</v>
      </c>
      <c r="CK12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97">
        <f ca="1">TblMili[[#This Row],[Mystic bonus]]*TblMili[[#This Row],[Unit 3]]+TblMili[[#This Row],[Druid bonus]]*TblMili[[#This Row],[Unit 4]]</f>
        <v>0</v>
      </c>
      <c r="CM125" s="163">
        <f ca="1">MIN(6,TblMili[[#This Row],[Dryad]]+Races!$F$35)*1.8 +  IF(TblMili[[#This Row],[Dryad]]+Races!$F$35&gt;6,(TblMili[[#This Row],[Dryad]]+Races!$F$35-6)*0.2,0) - Races!$I$19</f>
        <v>2.1599999999999993</v>
      </c>
      <c r="CN125" s="97">
        <f ca="1">sylvan*(TblMili[[#This Row],[Mystic bonus]]*TblMili[[#This Row],[Unit 3]])</f>
        <v>0</v>
      </c>
      <c r="CO125" s="163">
        <f ca="1">1.8 * MIN(MAX(Races!$E$27,TblMili[[#This Row],[Rockapult]]+Races!$F$27),6)  +  0.45 * MIN(MIN(Races!$E$27,TblMili[[#This Row],[Rockapult]]+Races!$F$27),6)  +  0.2 * ( MAX(Races!$E$27-6,0) + MAX(TblMili[[#This Row],[Rockapult]]+Races!$F$27-6,0) )  -  Races!$I$20</f>
        <v>5.8500000000000005</v>
      </c>
      <c r="CP125" s="97">
        <f ca="1">gnome*(TblMili[[#This Row],[Rockapult bonus]]*TblMili[[#This Row],[Unit 3]])</f>
        <v>0</v>
      </c>
      <c r="CQ125" s="163">
        <f ca="1">1.8 * MIN(MAX(TblMili[[#This Row],[Spellblade]]+Races!$E$47,TblMili[[#This Row],[Adept-DP]]+Races!$F$47),6)  +  0.45 * MIN(MIN(TblMili[[#This Row],[Spellblade]]+Races!$E$47,TblMili[[#This Row],[Adept-DP]]+Races!$F$47),6)  +  0.2 * ( MAX(TblMili[[#This Row],[Spellblade]]+Races!$E$47-6,0) + MAX(TblMili[[#This Row],[Adept-DP]]+Races!$F$47-6,0) )  -  Races!$I$47</f>
        <v>0</v>
      </c>
      <c r="CR125" s="97">
        <f ca="1">dark_elf*(TblMili[[#This Row],[Adept bonus]]*TblMili[[#This Row],[Unit 3]])</f>
        <v>0</v>
      </c>
      <c r="CS125" s="163">
        <f ca="1">1.8 * MIN(MAX(TblMili[[#This Row],[Frost Mage]]+Races!$F$71,Races!$E$71),6)  +  0.45 * MIN(MIN(TblMili[[#This Row],[Frost Mage]]+Races!$F$71,Races!$E$71),6)  +  0.2 * ( MAX(TblMili[[#This Row],[Frost Mage]]+Races!$F$71-6,0) + MAX(Races!$E$71-6,0) )  -  Races!$I$71</f>
        <v>3.9599999999999991</v>
      </c>
      <c r="CT125" s="163">
        <f ca="1">1.8 * MIN(MAX(TblMili[[#This Row],[Ice Elemental]]+Races!$E$71,Races!$F$71),6)  +  0.45 * MIN(MIN(TblMili[[#This Row],[Ice Elemental]]+Races!$E$71,Races!$F$71),6)  +  0.2 * ( MAX(TblMili[[#This Row],[Ice Elemental]]+Races!$E$71-6,0) + MAX(Races!$F$71-6,0) )  -  Races!$I$71</f>
        <v>0.17999999999999972</v>
      </c>
      <c r="CU125" s="97">
        <f ca="1">TblMili[[#This Row],[Frost Mage bonus]]*TblMili[[#This Row],[Unit 3]]+TblMili[[#This Row],[Ice Elemental bonus]]*TblMili[[#This Row],[Unit 4]]</f>
        <v>0</v>
      </c>
      <c r="CV125" s="273"/>
      <c r="CW125" s="151">
        <f ca="1">MIN(SUM(TblConstr[[#This Row],[Plain]:[Water]])/TblMili[[#This Row],[Land]]/favorable_terrain_bonus/100,favorable_terrain_max)</f>
        <v>0.1</v>
      </c>
      <c r="CX125" s="273"/>
      <c r="CY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50"/>
      <c r="DA125" s="274">
        <f ca="1">(TblMili[[#This Row],[Wizards]]+2*TblMili[[#This Row],[Archmages]])/TblConstr[[#This Row],[Land]]</f>
        <v>0.1</v>
      </c>
      <c r="DB125" s="274">
        <f ca="1">TblMili[[#This Row],[Raw (2)]]*(1+race_wizard_strength+IF(TblMili[[#This Row],[Hour]]&gt;72,tech_magical_weaponry_wiz*TblTech[[#This Row],[3-5]],0))</f>
        <v>0.1</v>
      </c>
    </row>
    <row r="126" spans="1:106" x14ac:dyDescent="0.2">
      <c r="A126" s="145">
        <f>TblRezone[[#This Row],[Hour]]</f>
        <v>123</v>
      </c>
      <c r="B126" s="266">
        <f ca="1">SUM(TblMili[[#This Row],[Unit 1]:[Archmages]])+SUM(OFFSET(TblMili[[#This Row],[Train Unit 1]],-8,0):TblMili[[#This Row],[Train Unit 2]]) + SUM(OFFSET(TblMili[[#This Row],[Train Unit 3]],-11,0):TblMili[[#This Row],[Train Arch]]) + TblMili[[#This Row],[Draftees]]</f>
        <v>826</v>
      </c>
      <c r="C126" s="165">
        <f ca="1">TblPop[[#This Row],[Military%]]</f>
        <v>0.35029686174724345</v>
      </c>
      <c r="D126" s="150"/>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f>
        <v>25</v>
      </c>
      <c r="J126" s="45">
        <f ca="1">OFFSET(TblMili[[#This Row],[Wizards]],-1,0) + OFFSET(TblMili[[#This Row],[Train Wiz]],-12,0) - TblMili[[#This Row],[Release Wizards]]-TblMili[[#This Row],[Train Arch]]</f>
        <v>25</v>
      </c>
      <c r="K126" s="45">
        <f ca="1">OFFSET(TblMili[[#This Row],[Archmages]],-1,0) + OFFSET(TblMili[[#This Row],[Train Arch]],-12,0) - TblMili[[#This Row],[Release Arch]]</f>
        <v>0</v>
      </c>
      <c r="L126" s="150"/>
      <c r="M126" s="97">
        <f ca="1">TblProd[[#This Row],[Networth]]</f>
        <v>6450</v>
      </c>
      <c r="N126" s="150"/>
      <c r="O126" s="267">
        <f ca="1">TblMili[[#This Row],[Unit 1]]*spec_op+TblMili[[#This Row],[Unit 3]]*(elite1_base_op)+TblMili[[#This Row],[Unit 4]]*(elite2_base_op+dark_elf*TblMili[[#This Row],[Spellblade]]+icekin*TblMili[[#This Row],[Ice Elemental]]+woodie*TblMili[[#This Row],[Druid (op)]]+orc*TblMili[[#This Row],[Orc]])+kobold*TblMili[[#This Row],[Overlords]]</f>
        <v>0</v>
      </c>
      <c r="P12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6" s="267">
        <f ca="1">TblMili[[#This Row],[Raw]]*(1+TblMili[[#This Row],[Mods_Off]])</f>
        <v>0</v>
      </c>
      <c r="R12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6" s="267">
        <f ca="1">TblMili[[#This Row],[Non Draft]]+TblMili[[#This Row],[Draftees]]</f>
        <v>1076</v>
      </c>
      <c r="T12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269">
        <f ca="1">TblMili[[#This Row],[Non Draft]] * (1 + TblMili[[#This Row],[Mods_Def]])</f>
        <v>450</v>
      </c>
      <c r="V126" s="267">
        <f ca="1">TblMili[[#This Row],[Draft]] * (1 + TblMili[[#This Row],[Mods_Def]])</f>
        <v>1076</v>
      </c>
      <c r="W126" s="267">
        <f ca="1">TblConstr[[#This Row],[Land]]</f>
        <v>250</v>
      </c>
      <c r="X126" s="270"/>
      <c r="Y126" s="275">
        <f ca="1">IF(TblMili[[#This Row],[Set]]&lt;&gt;"",TblMili[[#This Row],[Set]],OFFSET(TblMili[[#This Row],[Draftrate]],-1,0))</f>
        <v>0.35</v>
      </c>
      <c r="Z126" s="97">
        <f ca="1">OFFSET(TblMili[[#This Row],[Draftees]],-1,0)+OFFSET(TblPop[[#This Row],[Draft Growth]],-1,0) - SUM(TblMili[[#This Row],[Train Unit 1]:[Train Wiz]]) - TblMili[[#This Row],[Release Draft]] + SUM(TblMili[[#This Row],[Release Unit 1]:[Release Arch]]) -TblExplore[[#This Row],[Draftees (2)]]</f>
        <v>626</v>
      </c>
      <c r="AA126" s="162"/>
      <c r="AB126" s="188">
        <f ca="1">(TblConstr[[#This Row],[Tot Smi]]+TblConstr[[#This Row],[Dest Smi]])/(TblConstr[[#This Row],[Land]]-TblExplore[[#This Row],[Land Bonus]]*20)</f>
        <v>0</v>
      </c>
      <c r="AC126" s="145"/>
      <c r="AD126" s="266">
        <f>TblMili[[#This Row],[Hour]]</f>
        <v>123</v>
      </c>
      <c r="AE126" s="146">
        <f ca="1">TblExplore[[#This Row],[Time]]</f>
        <v>44815.833333333037</v>
      </c>
      <c r="AF126" s="187"/>
      <c r="AG126" s="187"/>
      <c r="AH126" s="187"/>
      <c r="AI126" s="187"/>
      <c r="AJ126" s="187"/>
      <c r="AK126" s="187"/>
      <c r="AL126" s="187"/>
      <c r="AM126" s="150"/>
      <c r="AN126" s="97">
        <f ca="1">TblProd[[#This Row],[Platinum]]</f>
        <v>770170</v>
      </c>
      <c r="AO126" s="97">
        <f ca="1">INDEX(TblProd[[#Headers],[Lumber]]:TblProd[[#This Row],[Ore]],COUNTA(TblProd[[#Headers],[Lumber]]:TblProd[[#This Row],[Lumber]]),MATCH(Military!$AO$2,TblProd[[#Headers],[Lumber]:[Ore]],0))</f>
        <v>0</v>
      </c>
      <c r="AP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97">
        <f ca="1">TblMili[[#This Row],[Train Unit 1]]*TblMili[[#This Row],[OP Ore]]+TblMili[[#This Row],[Train Unit 2]]*TblMili[[#This Row],[DP Ore]]+TblMili[[#This Row],[Train Unit 3]]*TblMili[[#This Row],[E1 Ore]]+TblMili[[#This Row],[Train Unit 4]]*TblMili[[#This Row],[E2 Ore]]</f>
        <v>0</v>
      </c>
      <c r="AR126" s="150">
        <f>TblMili[[#This Row],[Hour]]</f>
        <v>123</v>
      </c>
      <c r="AS126" s="160">
        <f ca="1">TblMili[[#This Row],[Time]]</f>
        <v>44815.833333333037</v>
      </c>
      <c r="AT126" s="97">
        <f ca="1">TblMili[[#This Row],[Draftees]]</f>
        <v>626</v>
      </c>
      <c r="AU126" s="187"/>
      <c r="AV126" s="187"/>
      <c r="AW126" s="187"/>
      <c r="AX126" s="187"/>
      <c r="AY126" s="187"/>
      <c r="AZ126" s="187"/>
      <c r="BA126" s="187"/>
      <c r="BB126" s="187"/>
      <c r="BC126" s="150"/>
      <c r="BD126" s="165">
        <f ca="1">TblConstr[[#This Row],[Tot WG]]/TblConstr[[#This Row],[Land]]</f>
        <v>0</v>
      </c>
      <c r="BE126" s="165">
        <f ca="1">TblConstr[[#This Row],[Tot Hav]]/TblConstr[[#This Row],[Land]]</f>
        <v>0</v>
      </c>
      <c r="BF126" s="97">
        <f ca="1">ROUNDUP((1-MIN(TblMili[[#This Row],[Smithies]]*smithy_bonus,smithy_bonus_cap) + tech_3_5*TblTech[[#This Row],[3-5]] + tech_5_3*TblTech[[#This Row],[5-3]] + tech_5_5*TblTech[[#This Row],[5-5]])*spec_op_plat,0)</f>
        <v>275</v>
      </c>
      <c r="BG126" s="97">
        <f ca="1">ROUNDUP(IF(race="Gnome",1,(1-MIN(TblMili[[#This Row],[Smithies]]*smithy_bonus,smithy_bonus_cap) + tech_3_5*TblTech[[#This Row],[3-5]] + tech_5_3*TblTech[[#This Row],[5-3]] + tech_5_5*TblTech[[#This Row],[5-5]]))*spec_op_ore,0)</f>
        <v>25</v>
      </c>
      <c r="BH126" s="97">
        <f ca="1">ROUNDUP((1-MIN(TblMili[[#This Row],[Smithies]]*smithy_bonus,smithy_bonus_cap) + tech_3_5*TblTech[[#This Row],[3-5]] + tech_5_3*TblTech[[#This Row],[5-3]] + tech_5_5*TblTech[[#This Row],[5-5]])*spec_dp_plat,0)</f>
        <v>275</v>
      </c>
      <c r="BI126" s="97">
        <f ca="1">ROUNDUP(IF(race="Gnome",1,(1-MIN(TblMili[[#This Row],[Smithies]]*smithy_bonus,smithy_bonus_cap) + tech_3_5*TblTech[[#This Row],[3-5]] + tech_5_3*TblTech[[#This Row],[5-3]] + tech_5_5*TblTech[[#This Row],[5-5]]))*spec_dp_ore,0)</f>
        <v>15</v>
      </c>
      <c r="BJ126" s="97">
        <f ca="1">ROUNDUP((1-MIN(TblMili[[#This Row],[Smithies]]*smithy_bonus,smithy_bonus_cap) + tech_3_5*TblTech[[#This Row],[3-5]] + tech_5_3*TblTech[[#This Row],[5-3]] + tech_5_5*TblTech[[#This Row],[5-5]])*elite1_plat,0)</f>
        <v>1000</v>
      </c>
      <c r="BK126" s="97">
        <f ca="1">ROUNDUP(IF(race="Gnome",1,(1-MIN(TblMili[[#This Row],[Smithies]]*smithy_bonus,smithy_bonus_cap) + tech_3_5*TblTech[[#This Row],[3-5]] + tech_5_3*TblTech[[#This Row],[5-3]] + tech_5_5*TblTech[[#This Row],[5-5]]))*elite1_ore,0)</f>
        <v>75</v>
      </c>
      <c r="BL126" s="97">
        <f ca="1">ROUNDUP((1-MIN(TblMili[[#This Row],[Smithies]]*smithy_bonus,smithy_bonus_cap) + tech_3_5*TblTech[[#This Row],[3-5]] + tech_5_3*TblTech[[#This Row],[5-3]] + tech_5_5*TblTech[[#This Row],[5-5]])*elite2_plat,0)</f>
        <v>1200</v>
      </c>
      <c r="BM126" s="97">
        <f ca="1">ROUNDUP(IF(race="Gnome",1,(1-MIN(TblMili[[#This Row],[Smithies]]*smithy_bonus,smithy_bonus_cap) + tech_3_5*TblTech[[#This Row],[3-5]] + tech_5_3*TblTech[[#This Row],[5-3]] + tech_5_5*TblTech[[#This Row],[5-5]]))*elite2_ore,0)</f>
        <v>100</v>
      </c>
      <c r="BN126" s="97">
        <f ca="1">ROUNDUP((1-MIN(ROUND(fh_spy_cost_red*TblMili[[#This Row],[FH''s]],4),fh_spy_cost_cap)+ tech_1_9*TblTech[[#This Row],[1-9]] + tech_9_1*TblTech[[#This Row],[9-1]])*spy_plat,0)</f>
        <v>500</v>
      </c>
      <c r="BO126" s="97">
        <f ca="1">ROUNDUP((1-MIN(ROUND(wg_wiz_cost_bonus*TblMili[[#This Row],[WG''s]],4),wg_wiz_cost_cap) + tech_1_9_2*TblTech[[#This Row],[1-9]] + tech_9_1_2*TblTech[[#This Row],[9-1]])*wizard_plat,0)</f>
        <v>500</v>
      </c>
      <c r="BP126" s="97">
        <f ca="1">ROUNDUP((1-MIN(ROUND(wg_wiz_cost_bonus*TblMili[[#This Row],[WG''s]],4),wg_wiz_cost_cap) + tech_1_9_2*TblTech[[#This Row],[1-9]] + tech_9_1_2*TblTech[[#This Row],[9-1]])*archmage_plat,0)</f>
        <v>1000</v>
      </c>
      <c r="BQ126" s="150"/>
      <c r="BR126" s="165">
        <f ca="1">TblConstr[[#This Row],[Homeland]]/TblConstr[[#This Row],[Land]]</f>
        <v>0.44</v>
      </c>
      <c r="BS126" s="165">
        <f ca="1">TblMili[[#This Row],[WG''s]]</f>
        <v>0</v>
      </c>
      <c r="BT126" s="271">
        <f ca="1">IF(mystic_cap="none",TblMili[[#This Row],[Hill]]/mystic_bonus,MIN(mystic_cap,TblMili[[#This Row],[Hill]]/mystic_bonus))</f>
        <v>2.1999999999999997</v>
      </c>
      <c r="BU126" s="271">
        <f ca="1">IF(druid_op_cap="none",TblMili[[#This Row],[Hill]]/druid_op_bonus,MIN(druid_op_cap,TblMili[[#This Row],[Hill]]/druid_op_bonus))</f>
        <v>2.1999999999999997</v>
      </c>
      <c r="BV126" s="271">
        <f ca="1">IF(druid_dp_cap="none",TblMili[[#This Row],[Hill]]/druid_dp_bonus,MIN(druid_dp_cap,TblMili[[#This Row],[Hill]]/druid_dp_bonus))</f>
        <v>2.1999999999999997</v>
      </c>
      <c r="BW126" s="271">
        <f ca="1">MIN(dryad_cap,TblMili[[#This Row],[Hill]]/dryad_bonus)</f>
        <v>2.1999999999999997</v>
      </c>
      <c r="BX126" s="271">
        <f ca="1">MIN(rocka_cap,TblMili[[#This Row],[Hill]]/rocka_bonus)</f>
        <v>2</v>
      </c>
      <c r="BY126" s="271">
        <f ca="1">MIN(adept_op_cap,TblMili[[#This Row],[WG]]/adept_op_bonus)</f>
        <v>0</v>
      </c>
      <c r="BZ126" s="271">
        <f ca="1">MIN(adept_dp_cap,TblMili[[#This Row],[WG]]/adept_dp_bonus)</f>
        <v>0</v>
      </c>
      <c r="CA126" s="97">
        <f ca="1">MIN(TblMili[[#This Row],[Unit 3]],TblMili[[#This Row],[Unit 4]])*2</f>
        <v>0</v>
      </c>
      <c r="CB126" s="97">
        <f ca="1">MIN(TblMili[[#This Row],[Unit 1]],TblMili[[#This Row],[Unit 4]])*2</f>
        <v>0</v>
      </c>
      <c r="CC126" s="271">
        <f ca="1">MIN(frost_mage_cap,TblMili[[#This Row],[Hill]]/frost_mage_bonus)</f>
        <v>2.1999999999999997</v>
      </c>
      <c r="CD126" s="45">
        <f ca="1">MIN(ice_elem_cap,TblMili[[#This Row],[Raw (2)]]*ice_elem_bonus)</f>
        <v>0.1</v>
      </c>
      <c r="CE126" s="271">
        <f t="shared" si="4"/>
        <v>1</v>
      </c>
      <c r="CF126" s="271">
        <f ca="1">MIN(nox_nightshade_cap,TblConstr[[#This Row],[Homeland]]/TblConstr[[#This Row],[Land]]/nox_nightshade_swamp_bonus)</f>
        <v>3</v>
      </c>
      <c r="CG126" s="272"/>
      <c r="CH126" s="272"/>
      <c r="CI126" s="272"/>
      <c r="CJ126" s="271">
        <f ca="1">MIN(6,TblMili[[#This Row],[Mystic]]+Races!$F$19)*1.8 +  IF(TblMili[[#This Row],[Mystic]]+Races!$F$19&gt;6,(TblMili[[#This Row],[Mystic]]+Races!$F$19-6)*0.2,0) - Races!$I$19</f>
        <v>3.6399999999999997</v>
      </c>
      <c r="CK12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97">
        <f ca="1">TblMili[[#This Row],[Mystic bonus]]*TblMili[[#This Row],[Unit 3]]+TblMili[[#This Row],[Druid bonus]]*TblMili[[#This Row],[Unit 4]]</f>
        <v>0</v>
      </c>
      <c r="CM126" s="163">
        <f ca="1">MIN(6,TblMili[[#This Row],[Dryad]]+Races!$F$35)*1.8 +  IF(TblMili[[#This Row],[Dryad]]+Races!$F$35&gt;6,(TblMili[[#This Row],[Dryad]]+Races!$F$35-6)*0.2,0) - Races!$I$19</f>
        <v>2.1599999999999993</v>
      </c>
      <c r="CN126" s="97">
        <f ca="1">sylvan*(TblMili[[#This Row],[Mystic bonus]]*TblMili[[#This Row],[Unit 3]])</f>
        <v>0</v>
      </c>
      <c r="CO126" s="163">
        <f ca="1">1.8 * MIN(MAX(Races!$E$27,TblMili[[#This Row],[Rockapult]]+Races!$F$27),6)  +  0.45 * MIN(MIN(Races!$E$27,TblMili[[#This Row],[Rockapult]]+Races!$F$27),6)  +  0.2 * ( MAX(Races!$E$27-6,0) + MAX(TblMili[[#This Row],[Rockapult]]+Races!$F$27-6,0) )  -  Races!$I$20</f>
        <v>5.8500000000000005</v>
      </c>
      <c r="CP126" s="97">
        <f ca="1">gnome*(TblMili[[#This Row],[Rockapult bonus]]*TblMili[[#This Row],[Unit 3]])</f>
        <v>0</v>
      </c>
      <c r="CQ126" s="163">
        <f ca="1">1.8 * MIN(MAX(TblMili[[#This Row],[Spellblade]]+Races!$E$47,TblMili[[#This Row],[Adept-DP]]+Races!$F$47),6)  +  0.45 * MIN(MIN(TblMili[[#This Row],[Spellblade]]+Races!$E$47,TblMili[[#This Row],[Adept-DP]]+Races!$F$47),6)  +  0.2 * ( MAX(TblMili[[#This Row],[Spellblade]]+Races!$E$47-6,0) + MAX(TblMili[[#This Row],[Adept-DP]]+Races!$F$47-6,0) )  -  Races!$I$47</f>
        <v>0</v>
      </c>
      <c r="CR126" s="97">
        <f ca="1">dark_elf*(TblMili[[#This Row],[Adept bonus]]*TblMili[[#This Row],[Unit 3]])</f>
        <v>0</v>
      </c>
      <c r="CS126" s="163">
        <f ca="1">1.8 * MIN(MAX(TblMili[[#This Row],[Frost Mage]]+Races!$F$71,Races!$E$71),6)  +  0.45 * MIN(MIN(TblMili[[#This Row],[Frost Mage]]+Races!$F$71,Races!$E$71),6)  +  0.2 * ( MAX(TblMili[[#This Row],[Frost Mage]]+Races!$F$71-6,0) + MAX(Races!$E$71-6,0) )  -  Races!$I$71</f>
        <v>3.9599999999999991</v>
      </c>
      <c r="CT126" s="163">
        <f ca="1">1.8 * MIN(MAX(TblMili[[#This Row],[Ice Elemental]]+Races!$E$71,Races!$F$71),6)  +  0.45 * MIN(MIN(TblMili[[#This Row],[Ice Elemental]]+Races!$E$71,Races!$F$71),6)  +  0.2 * ( MAX(TblMili[[#This Row],[Ice Elemental]]+Races!$E$71-6,0) + MAX(Races!$F$71-6,0) )  -  Races!$I$71</f>
        <v>0.17999999999999972</v>
      </c>
      <c r="CU126" s="97">
        <f ca="1">TblMili[[#This Row],[Frost Mage bonus]]*TblMili[[#This Row],[Unit 3]]+TblMili[[#This Row],[Ice Elemental bonus]]*TblMili[[#This Row],[Unit 4]]</f>
        <v>0</v>
      </c>
      <c r="CV126" s="273"/>
      <c r="CW126" s="151">
        <f ca="1">MIN(SUM(TblConstr[[#This Row],[Plain]:[Water]])/TblMili[[#This Row],[Land]]/favorable_terrain_bonus/100,favorable_terrain_max)</f>
        <v>0.1</v>
      </c>
      <c r="CX126" s="273"/>
      <c r="CY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50"/>
      <c r="DA126" s="274">
        <f ca="1">(TblMili[[#This Row],[Wizards]]+2*TblMili[[#This Row],[Archmages]])/TblConstr[[#This Row],[Land]]</f>
        <v>0.1</v>
      </c>
      <c r="DB126" s="274">
        <f ca="1">TblMili[[#This Row],[Raw (2)]]*(1+race_wizard_strength+IF(TblMili[[#This Row],[Hour]]&gt;72,tech_magical_weaponry_wiz*TblTech[[#This Row],[3-5]],0))</f>
        <v>0.1</v>
      </c>
    </row>
    <row r="127" spans="1:106" x14ac:dyDescent="0.2">
      <c r="A127" s="145">
        <f>TblRezone[[#This Row],[Hour]]</f>
        <v>124</v>
      </c>
      <c r="B127" s="266">
        <f ca="1">SUM(TblMili[[#This Row],[Unit 1]:[Archmages]])+SUM(OFFSET(TblMili[[#This Row],[Train Unit 1]],-8,0):TblMili[[#This Row],[Train Unit 2]]) + SUM(OFFSET(TblMili[[#This Row],[Train Unit 3]],-11,0):TblMili[[#This Row],[Train Arch]]) + TblMili[[#This Row],[Draftees]]</f>
        <v>826</v>
      </c>
      <c r="C127" s="165">
        <f ca="1">TblPop[[#This Row],[Military%]]</f>
        <v>0.35029686174724345</v>
      </c>
      <c r="D127" s="150"/>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f>
        <v>25</v>
      </c>
      <c r="J127" s="45">
        <f ca="1">OFFSET(TblMili[[#This Row],[Wizards]],-1,0) + OFFSET(TblMili[[#This Row],[Train Wiz]],-12,0) - TblMili[[#This Row],[Release Wizards]]-TblMili[[#This Row],[Train Arch]]</f>
        <v>25</v>
      </c>
      <c r="K127" s="45">
        <f ca="1">OFFSET(TblMili[[#This Row],[Archmages]],-1,0) + OFFSET(TblMili[[#This Row],[Train Arch]],-12,0) - TblMili[[#This Row],[Release Arch]]</f>
        <v>0</v>
      </c>
      <c r="L127" s="150"/>
      <c r="M127" s="97">
        <f ca="1">TblProd[[#This Row],[Networth]]</f>
        <v>6450</v>
      </c>
      <c r="N127" s="150"/>
      <c r="O127" s="267">
        <f ca="1">TblMili[[#This Row],[Unit 1]]*spec_op+TblMili[[#This Row],[Unit 3]]*(elite1_base_op)+TblMili[[#This Row],[Unit 4]]*(elite2_base_op+dark_elf*TblMili[[#This Row],[Spellblade]]+icekin*TblMili[[#This Row],[Ice Elemental]]+woodie*TblMili[[#This Row],[Druid (op)]]+orc*TblMili[[#This Row],[Orc]])+kobold*TblMili[[#This Row],[Overlords]]</f>
        <v>0</v>
      </c>
      <c r="P127"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7" s="267">
        <f ca="1">TblMili[[#This Row],[Raw]]*(1+TblMili[[#This Row],[Mods_Off]])</f>
        <v>0</v>
      </c>
      <c r="R127"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7" s="267">
        <f ca="1">TblMili[[#This Row],[Non Draft]]+TblMili[[#This Row],[Draftees]]</f>
        <v>1076</v>
      </c>
      <c r="T127"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269">
        <f ca="1">TblMili[[#This Row],[Non Draft]] * (1 + TblMili[[#This Row],[Mods_Def]])</f>
        <v>450</v>
      </c>
      <c r="V127" s="267">
        <f ca="1">TblMili[[#This Row],[Draft]] * (1 + TblMili[[#This Row],[Mods_Def]])</f>
        <v>1076</v>
      </c>
      <c r="W127" s="267">
        <f ca="1">TblConstr[[#This Row],[Land]]</f>
        <v>250</v>
      </c>
      <c r="X127" s="270"/>
      <c r="Y127" s="275">
        <f ca="1">IF(TblMili[[#This Row],[Set]]&lt;&gt;"",TblMili[[#This Row],[Set]],OFFSET(TblMili[[#This Row],[Draftrate]],-1,0))</f>
        <v>0.35</v>
      </c>
      <c r="Z127" s="97">
        <f ca="1">OFFSET(TblMili[[#This Row],[Draftees]],-1,0)+OFFSET(TblPop[[#This Row],[Draft Growth]],-1,0) - SUM(TblMili[[#This Row],[Train Unit 1]:[Train Wiz]]) - TblMili[[#This Row],[Release Draft]] + SUM(TblMili[[#This Row],[Release Unit 1]:[Release Arch]]) -TblExplore[[#This Row],[Draftees (2)]]</f>
        <v>626</v>
      </c>
      <c r="AA127" s="162"/>
      <c r="AB127" s="188">
        <f ca="1">(TblConstr[[#This Row],[Tot Smi]]+TblConstr[[#This Row],[Dest Smi]])/(TblConstr[[#This Row],[Land]]-TblExplore[[#This Row],[Land Bonus]]*20)</f>
        <v>0</v>
      </c>
      <c r="AC127" s="145"/>
      <c r="AD127" s="266">
        <f>TblMili[[#This Row],[Hour]]</f>
        <v>124</v>
      </c>
      <c r="AE127" s="146">
        <f ca="1">TblExplore[[#This Row],[Time]]</f>
        <v>44815.874999999702</v>
      </c>
      <c r="AF127" s="187"/>
      <c r="AG127" s="187"/>
      <c r="AH127" s="187"/>
      <c r="AI127" s="187"/>
      <c r="AJ127" s="187"/>
      <c r="AK127" s="187"/>
      <c r="AL127" s="187"/>
      <c r="AM127" s="150"/>
      <c r="AN127" s="97">
        <f ca="1">TblProd[[#This Row],[Platinum]]</f>
        <v>775656</v>
      </c>
      <c r="AO127" s="97">
        <f ca="1">INDEX(TblProd[[#Headers],[Lumber]]:TblProd[[#This Row],[Ore]],COUNTA(TblProd[[#Headers],[Lumber]]:TblProd[[#This Row],[Lumber]]),MATCH(Military!$AO$2,TblProd[[#Headers],[Lumber]:[Ore]],0))</f>
        <v>0</v>
      </c>
      <c r="AP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97">
        <f ca="1">TblMili[[#This Row],[Train Unit 1]]*TblMili[[#This Row],[OP Ore]]+TblMili[[#This Row],[Train Unit 2]]*TblMili[[#This Row],[DP Ore]]+TblMili[[#This Row],[Train Unit 3]]*TblMili[[#This Row],[E1 Ore]]+TblMili[[#This Row],[Train Unit 4]]*TblMili[[#This Row],[E2 Ore]]</f>
        <v>0</v>
      </c>
      <c r="AR127" s="150">
        <f>TblMili[[#This Row],[Hour]]</f>
        <v>124</v>
      </c>
      <c r="AS127" s="160">
        <f ca="1">TblMili[[#This Row],[Time]]</f>
        <v>44815.874999999702</v>
      </c>
      <c r="AT127" s="97">
        <f ca="1">TblMili[[#This Row],[Draftees]]</f>
        <v>626</v>
      </c>
      <c r="AU127" s="187"/>
      <c r="AV127" s="187"/>
      <c r="AW127" s="187"/>
      <c r="AX127" s="187"/>
      <c r="AY127" s="187"/>
      <c r="AZ127" s="187"/>
      <c r="BA127" s="187"/>
      <c r="BB127" s="187"/>
      <c r="BC127" s="150"/>
      <c r="BD127" s="165">
        <f ca="1">TblConstr[[#This Row],[Tot WG]]/TblConstr[[#This Row],[Land]]</f>
        <v>0</v>
      </c>
      <c r="BE127" s="165">
        <f ca="1">TblConstr[[#This Row],[Tot Hav]]/TblConstr[[#This Row],[Land]]</f>
        <v>0</v>
      </c>
      <c r="BF127" s="97">
        <f ca="1">ROUNDUP((1-MIN(TblMili[[#This Row],[Smithies]]*smithy_bonus,smithy_bonus_cap) + tech_3_5*TblTech[[#This Row],[3-5]] + tech_5_3*TblTech[[#This Row],[5-3]] + tech_5_5*TblTech[[#This Row],[5-5]])*spec_op_plat,0)</f>
        <v>275</v>
      </c>
      <c r="BG127" s="97">
        <f ca="1">ROUNDUP(IF(race="Gnome",1,(1-MIN(TblMili[[#This Row],[Smithies]]*smithy_bonus,smithy_bonus_cap) + tech_3_5*TblTech[[#This Row],[3-5]] + tech_5_3*TblTech[[#This Row],[5-3]] + tech_5_5*TblTech[[#This Row],[5-5]]))*spec_op_ore,0)</f>
        <v>25</v>
      </c>
      <c r="BH127" s="97">
        <f ca="1">ROUNDUP((1-MIN(TblMili[[#This Row],[Smithies]]*smithy_bonus,smithy_bonus_cap) + tech_3_5*TblTech[[#This Row],[3-5]] + tech_5_3*TblTech[[#This Row],[5-3]] + tech_5_5*TblTech[[#This Row],[5-5]])*spec_dp_plat,0)</f>
        <v>275</v>
      </c>
      <c r="BI127" s="97">
        <f ca="1">ROUNDUP(IF(race="Gnome",1,(1-MIN(TblMili[[#This Row],[Smithies]]*smithy_bonus,smithy_bonus_cap) + tech_3_5*TblTech[[#This Row],[3-5]] + tech_5_3*TblTech[[#This Row],[5-3]] + tech_5_5*TblTech[[#This Row],[5-5]]))*spec_dp_ore,0)</f>
        <v>15</v>
      </c>
      <c r="BJ127" s="97">
        <f ca="1">ROUNDUP((1-MIN(TblMili[[#This Row],[Smithies]]*smithy_bonus,smithy_bonus_cap) + tech_3_5*TblTech[[#This Row],[3-5]] + tech_5_3*TblTech[[#This Row],[5-3]] + tech_5_5*TblTech[[#This Row],[5-5]])*elite1_plat,0)</f>
        <v>1000</v>
      </c>
      <c r="BK127" s="97">
        <f ca="1">ROUNDUP(IF(race="Gnome",1,(1-MIN(TblMili[[#This Row],[Smithies]]*smithy_bonus,smithy_bonus_cap) + tech_3_5*TblTech[[#This Row],[3-5]] + tech_5_3*TblTech[[#This Row],[5-3]] + tech_5_5*TblTech[[#This Row],[5-5]]))*elite1_ore,0)</f>
        <v>75</v>
      </c>
      <c r="BL127" s="97">
        <f ca="1">ROUNDUP((1-MIN(TblMili[[#This Row],[Smithies]]*smithy_bonus,smithy_bonus_cap) + tech_3_5*TblTech[[#This Row],[3-5]] + tech_5_3*TblTech[[#This Row],[5-3]] + tech_5_5*TblTech[[#This Row],[5-5]])*elite2_plat,0)</f>
        <v>1200</v>
      </c>
      <c r="BM127" s="97">
        <f ca="1">ROUNDUP(IF(race="Gnome",1,(1-MIN(TblMili[[#This Row],[Smithies]]*smithy_bonus,smithy_bonus_cap) + tech_3_5*TblTech[[#This Row],[3-5]] + tech_5_3*TblTech[[#This Row],[5-3]] + tech_5_5*TblTech[[#This Row],[5-5]]))*elite2_ore,0)</f>
        <v>100</v>
      </c>
      <c r="BN127" s="97">
        <f ca="1">ROUNDUP((1-MIN(ROUND(fh_spy_cost_red*TblMili[[#This Row],[FH''s]],4),fh_spy_cost_cap)+ tech_1_9*TblTech[[#This Row],[1-9]] + tech_9_1*TblTech[[#This Row],[9-1]])*spy_plat,0)</f>
        <v>500</v>
      </c>
      <c r="BO127" s="97">
        <f ca="1">ROUNDUP((1-MIN(ROUND(wg_wiz_cost_bonus*TblMili[[#This Row],[WG''s]],4),wg_wiz_cost_cap) + tech_1_9_2*TblTech[[#This Row],[1-9]] + tech_9_1_2*TblTech[[#This Row],[9-1]])*wizard_plat,0)</f>
        <v>500</v>
      </c>
      <c r="BP127" s="97">
        <f ca="1">ROUNDUP((1-MIN(ROUND(wg_wiz_cost_bonus*TblMili[[#This Row],[WG''s]],4),wg_wiz_cost_cap) + tech_1_9_2*TblTech[[#This Row],[1-9]] + tech_9_1_2*TblTech[[#This Row],[9-1]])*archmage_plat,0)</f>
        <v>1000</v>
      </c>
      <c r="BQ127" s="150"/>
      <c r="BR127" s="165">
        <f ca="1">TblConstr[[#This Row],[Homeland]]/TblConstr[[#This Row],[Land]]</f>
        <v>0.44</v>
      </c>
      <c r="BS127" s="165">
        <f ca="1">TblMili[[#This Row],[WG''s]]</f>
        <v>0</v>
      </c>
      <c r="BT127" s="271">
        <f ca="1">IF(mystic_cap="none",TblMili[[#This Row],[Hill]]/mystic_bonus,MIN(mystic_cap,TblMili[[#This Row],[Hill]]/mystic_bonus))</f>
        <v>2.1999999999999997</v>
      </c>
      <c r="BU127" s="271">
        <f ca="1">IF(druid_op_cap="none",TblMili[[#This Row],[Hill]]/druid_op_bonus,MIN(druid_op_cap,TblMili[[#This Row],[Hill]]/druid_op_bonus))</f>
        <v>2.1999999999999997</v>
      </c>
      <c r="BV127" s="271">
        <f ca="1">IF(druid_dp_cap="none",TblMili[[#This Row],[Hill]]/druid_dp_bonus,MIN(druid_dp_cap,TblMili[[#This Row],[Hill]]/druid_dp_bonus))</f>
        <v>2.1999999999999997</v>
      </c>
      <c r="BW127" s="271">
        <f ca="1">MIN(dryad_cap,TblMili[[#This Row],[Hill]]/dryad_bonus)</f>
        <v>2.1999999999999997</v>
      </c>
      <c r="BX127" s="271">
        <f ca="1">MIN(rocka_cap,TblMili[[#This Row],[Hill]]/rocka_bonus)</f>
        <v>2</v>
      </c>
      <c r="BY127" s="271">
        <f ca="1">MIN(adept_op_cap,TblMili[[#This Row],[WG]]/adept_op_bonus)</f>
        <v>0</v>
      </c>
      <c r="BZ127" s="271">
        <f ca="1">MIN(adept_dp_cap,TblMili[[#This Row],[WG]]/adept_dp_bonus)</f>
        <v>0</v>
      </c>
      <c r="CA127" s="97">
        <f ca="1">MIN(TblMili[[#This Row],[Unit 3]],TblMili[[#This Row],[Unit 4]])*2</f>
        <v>0</v>
      </c>
      <c r="CB127" s="97">
        <f ca="1">MIN(TblMili[[#This Row],[Unit 1]],TblMili[[#This Row],[Unit 4]])*2</f>
        <v>0</v>
      </c>
      <c r="CC127" s="271">
        <f ca="1">MIN(frost_mage_cap,TblMili[[#This Row],[Hill]]/frost_mage_bonus)</f>
        <v>2.1999999999999997</v>
      </c>
      <c r="CD127" s="45">
        <f ca="1">MIN(ice_elem_cap,TblMili[[#This Row],[Raw (2)]]*ice_elem_bonus)</f>
        <v>0.1</v>
      </c>
      <c r="CE127" s="271">
        <f t="shared" si="4"/>
        <v>1</v>
      </c>
      <c r="CF127" s="271">
        <f ca="1">MIN(nox_nightshade_cap,TblConstr[[#This Row],[Homeland]]/TblConstr[[#This Row],[Land]]/nox_nightshade_swamp_bonus)</f>
        <v>3</v>
      </c>
      <c r="CG127" s="272"/>
      <c r="CH127" s="272"/>
      <c r="CI127" s="272"/>
      <c r="CJ127" s="271">
        <f ca="1">MIN(6,TblMili[[#This Row],[Mystic]]+Races!$F$19)*1.8 +  IF(TblMili[[#This Row],[Mystic]]+Races!$F$19&gt;6,(TblMili[[#This Row],[Mystic]]+Races!$F$19-6)*0.2,0) - Races!$I$19</f>
        <v>3.6399999999999997</v>
      </c>
      <c r="CK127"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97">
        <f ca="1">TblMili[[#This Row],[Mystic bonus]]*TblMili[[#This Row],[Unit 3]]+TblMili[[#This Row],[Druid bonus]]*TblMili[[#This Row],[Unit 4]]</f>
        <v>0</v>
      </c>
      <c r="CM127" s="163">
        <f ca="1">MIN(6,TblMili[[#This Row],[Dryad]]+Races!$F$35)*1.8 +  IF(TblMili[[#This Row],[Dryad]]+Races!$F$35&gt;6,(TblMili[[#This Row],[Dryad]]+Races!$F$35-6)*0.2,0) - Races!$I$19</f>
        <v>2.1599999999999993</v>
      </c>
      <c r="CN127" s="97">
        <f ca="1">sylvan*(TblMili[[#This Row],[Mystic bonus]]*TblMili[[#This Row],[Unit 3]])</f>
        <v>0</v>
      </c>
      <c r="CO127" s="163">
        <f ca="1">1.8 * MIN(MAX(Races!$E$27,TblMili[[#This Row],[Rockapult]]+Races!$F$27),6)  +  0.45 * MIN(MIN(Races!$E$27,TblMili[[#This Row],[Rockapult]]+Races!$F$27),6)  +  0.2 * ( MAX(Races!$E$27-6,0) + MAX(TblMili[[#This Row],[Rockapult]]+Races!$F$27-6,0) )  -  Races!$I$20</f>
        <v>5.8500000000000005</v>
      </c>
      <c r="CP127" s="97">
        <f ca="1">gnome*(TblMili[[#This Row],[Rockapult bonus]]*TblMili[[#This Row],[Unit 3]])</f>
        <v>0</v>
      </c>
      <c r="CQ127" s="163">
        <f ca="1">1.8 * MIN(MAX(TblMili[[#This Row],[Spellblade]]+Races!$E$47,TblMili[[#This Row],[Adept-DP]]+Races!$F$47),6)  +  0.45 * MIN(MIN(TblMili[[#This Row],[Spellblade]]+Races!$E$47,TblMili[[#This Row],[Adept-DP]]+Races!$F$47),6)  +  0.2 * ( MAX(TblMili[[#This Row],[Spellblade]]+Races!$E$47-6,0) + MAX(TblMili[[#This Row],[Adept-DP]]+Races!$F$47-6,0) )  -  Races!$I$47</f>
        <v>0</v>
      </c>
      <c r="CR127" s="97">
        <f ca="1">dark_elf*(TblMili[[#This Row],[Adept bonus]]*TblMili[[#This Row],[Unit 3]])</f>
        <v>0</v>
      </c>
      <c r="CS127" s="163">
        <f ca="1">1.8 * MIN(MAX(TblMili[[#This Row],[Frost Mage]]+Races!$F$71,Races!$E$71),6)  +  0.45 * MIN(MIN(TblMili[[#This Row],[Frost Mage]]+Races!$F$71,Races!$E$71),6)  +  0.2 * ( MAX(TblMili[[#This Row],[Frost Mage]]+Races!$F$71-6,0) + MAX(Races!$E$71-6,0) )  -  Races!$I$71</f>
        <v>3.9599999999999991</v>
      </c>
      <c r="CT127" s="163">
        <f ca="1">1.8 * MIN(MAX(TblMili[[#This Row],[Ice Elemental]]+Races!$E$71,Races!$F$71),6)  +  0.45 * MIN(MIN(TblMili[[#This Row],[Ice Elemental]]+Races!$E$71,Races!$F$71),6)  +  0.2 * ( MAX(TblMili[[#This Row],[Ice Elemental]]+Races!$E$71-6,0) + MAX(Races!$F$71-6,0) )  -  Races!$I$71</f>
        <v>0.17999999999999972</v>
      </c>
      <c r="CU127" s="97">
        <f ca="1">TblMili[[#This Row],[Frost Mage bonus]]*TblMili[[#This Row],[Unit 3]]+TblMili[[#This Row],[Ice Elemental bonus]]*TblMili[[#This Row],[Unit 4]]</f>
        <v>0</v>
      </c>
      <c r="CV127" s="273"/>
      <c r="CW127" s="151">
        <f ca="1">MIN(SUM(TblConstr[[#This Row],[Plain]:[Water]])/TblMili[[#This Row],[Land]]/favorable_terrain_bonus/100,favorable_terrain_max)</f>
        <v>0.1</v>
      </c>
      <c r="CX127" s="273"/>
      <c r="CY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50"/>
      <c r="DA127" s="274">
        <f ca="1">(TblMili[[#This Row],[Wizards]]+2*TblMili[[#This Row],[Archmages]])/TblConstr[[#This Row],[Land]]</f>
        <v>0.1</v>
      </c>
      <c r="DB127" s="274">
        <f ca="1">TblMili[[#This Row],[Raw (2)]]*(1+race_wizard_strength+IF(TblMili[[#This Row],[Hour]]&gt;72,tech_magical_weaponry_wiz*TblTech[[#This Row],[3-5]],0))</f>
        <v>0.1</v>
      </c>
    </row>
    <row r="128" spans="1:106" x14ac:dyDescent="0.2">
      <c r="A128" s="145">
        <f>TblRezone[[#This Row],[Hour]]</f>
        <v>125</v>
      </c>
      <c r="B128" s="266">
        <f ca="1">SUM(TblMili[[#This Row],[Unit 1]:[Archmages]])+SUM(OFFSET(TblMili[[#This Row],[Train Unit 1]],-8,0):TblMili[[#This Row],[Train Unit 2]]) + SUM(OFFSET(TblMili[[#This Row],[Train Unit 3]],-11,0):TblMili[[#This Row],[Train Arch]]) + TblMili[[#This Row],[Draftees]]</f>
        <v>826</v>
      </c>
      <c r="C128" s="165">
        <f ca="1">TblPop[[#This Row],[Military%]]</f>
        <v>0.35029686174724345</v>
      </c>
      <c r="D128" s="150"/>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f>
        <v>25</v>
      </c>
      <c r="J128" s="45">
        <f ca="1">OFFSET(TblMili[[#This Row],[Wizards]],-1,0) + OFFSET(TblMili[[#This Row],[Train Wiz]],-12,0) - TblMili[[#This Row],[Release Wizards]]-TblMili[[#This Row],[Train Arch]]</f>
        <v>25</v>
      </c>
      <c r="K128" s="45">
        <f ca="1">OFFSET(TblMili[[#This Row],[Archmages]],-1,0) + OFFSET(TblMili[[#This Row],[Train Arch]],-12,0) - TblMili[[#This Row],[Release Arch]]</f>
        <v>0</v>
      </c>
      <c r="L128" s="150"/>
      <c r="M128" s="97">
        <f ca="1">TblProd[[#This Row],[Networth]]</f>
        <v>6450</v>
      </c>
      <c r="N128" s="150"/>
      <c r="O128" s="267">
        <f ca="1">TblMili[[#This Row],[Unit 1]]*spec_op+TblMili[[#This Row],[Unit 3]]*(elite1_base_op)+TblMili[[#This Row],[Unit 4]]*(elite2_base_op+dark_elf*TblMili[[#This Row],[Spellblade]]+icekin*TblMili[[#This Row],[Ice Elemental]]+woodie*TblMili[[#This Row],[Druid (op)]]+orc*TblMili[[#This Row],[Orc]])+kobold*TblMili[[#This Row],[Overlords]]</f>
        <v>0</v>
      </c>
      <c r="P128"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8" s="267">
        <f ca="1">TblMili[[#This Row],[Raw]]*(1+TblMili[[#This Row],[Mods_Off]])</f>
        <v>0</v>
      </c>
      <c r="R128"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8" s="267">
        <f ca="1">TblMili[[#This Row],[Non Draft]]+TblMili[[#This Row],[Draftees]]</f>
        <v>1076</v>
      </c>
      <c r="T128"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269">
        <f ca="1">TblMili[[#This Row],[Non Draft]] * (1 + TblMili[[#This Row],[Mods_Def]])</f>
        <v>450</v>
      </c>
      <c r="V128" s="267">
        <f ca="1">TblMili[[#This Row],[Draft]] * (1 + TblMili[[#This Row],[Mods_Def]])</f>
        <v>1076</v>
      </c>
      <c r="W128" s="267">
        <f ca="1">TblConstr[[#This Row],[Land]]</f>
        <v>250</v>
      </c>
      <c r="X128" s="270"/>
      <c r="Y128" s="275">
        <f ca="1">IF(TblMili[[#This Row],[Set]]&lt;&gt;"",TblMili[[#This Row],[Set]],OFFSET(TblMili[[#This Row],[Draftrate]],-1,0))</f>
        <v>0.35</v>
      </c>
      <c r="Z128" s="97">
        <f ca="1">OFFSET(TblMili[[#This Row],[Draftees]],-1,0)+OFFSET(TblPop[[#This Row],[Draft Growth]],-1,0) - SUM(TblMili[[#This Row],[Train Unit 1]:[Train Wiz]]) - TblMili[[#This Row],[Release Draft]] + SUM(TblMili[[#This Row],[Release Unit 1]:[Release Arch]]) -TblExplore[[#This Row],[Draftees (2)]]</f>
        <v>626</v>
      </c>
      <c r="AA128" s="162"/>
      <c r="AB128" s="188">
        <f ca="1">(TblConstr[[#This Row],[Tot Smi]]+TblConstr[[#This Row],[Dest Smi]])/(TblConstr[[#This Row],[Land]]-TblExplore[[#This Row],[Land Bonus]]*20)</f>
        <v>0</v>
      </c>
      <c r="AC128" s="145"/>
      <c r="AD128" s="266">
        <f>TblMili[[#This Row],[Hour]]</f>
        <v>125</v>
      </c>
      <c r="AE128" s="146">
        <f ca="1">TblExplore[[#This Row],[Time]]</f>
        <v>44815.916666666366</v>
      </c>
      <c r="AF128" s="187"/>
      <c r="AG128" s="187"/>
      <c r="AH128" s="187"/>
      <c r="AI128" s="187"/>
      <c r="AJ128" s="187"/>
      <c r="AK128" s="187"/>
      <c r="AL128" s="187"/>
      <c r="AM128" s="150"/>
      <c r="AN128" s="97">
        <f ca="1">TblProd[[#This Row],[Platinum]]</f>
        <v>781142</v>
      </c>
      <c r="AO128" s="97">
        <f ca="1">INDEX(TblProd[[#Headers],[Lumber]]:TblProd[[#This Row],[Ore]],COUNTA(TblProd[[#Headers],[Lumber]]:TblProd[[#This Row],[Lumber]]),MATCH(Military!$AO$2,TblProd[[#Headers],[Lumber]:[Ore]],0))</f>
        <v>0</v>
      </c>
      <c r="AP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97">
        <f ca="1">TblMili[[#This Row],[Train Unit 1]]*TblMili[[#This Row],[OP Ore]]+TblMili[[#This Row],[Train Unit 2]]*TblMili[[#This Row],[DP Ore]]+TblMili[[#This Row],[Train Unit 3]]*TblMili[[#This Row],[E1 Ore]]+TblMili[[#This Row],[Train Unit 4]]*TblMili[[#This Row],[E2 Ore]]</f>
        <v>0</v>
      </c>
      <c r="AR128" s="150">
        <f>TblMili[[#This Row],[Hour]]</f>
        <v>125</v>
      </c>
      <c r="AS128" s="160">
        <f ca="1">TblMili[[#This Row],[Time]]</f>
        <v>44815.916666666366</v>
      </c>
      <c r="AT128" s="97">
        <f ca="1">TblMili[[#This Row],[Draftees]]</f>
        <v>626</v>
      </c>
      <c r="AU128" s="187"/>
      <c r="AV128" s="187"/>
      <c r="AW128" s="187"/>
      <c r="AX128" s="187"/>
      <c r="AY128" s="187"/>
      <c r="AZ128" s="187"/>
      <c r="BA128" s="187"/>
      <c r="BB128" s="187"/>
      <c r="BC128" s="150"/>
      <c r="BD128" s="165">
        <f ca="1">TblConstr[[#This Row],[Tot WG]]/TblConstr[[#This Row],[Land]]</f>
        <v>0</v>
      </c>
      <c r="BE128" s="165">
        <f ca="1">TblConstr[[#This Row],[Tot Hav]]/TblConstr[[#This Row],[Land]]</f>
        <v>0</v>
      </c>
      <c r="BF128" s="97">
        <f ca="1">ROUNDUP((1-MIN(TblMili[[#This Row],[Smithies]]*smithy_bonus,smithy_bonus_cap) + tech_3_5*TblTech[[#This Row],[3-5]] + tech_5_3*TblTech[[#This Row],[5-3]] + tech_5_5*TblTech[[#This Row],[5-5]])*spec_op_plat,0)</f>
        <v>275</v>
      </c>
      <c r="BG128" s="97">
        <f ca="1">ROUNDUP(IF(race="Gnome",1,(1-MIN(TblMili[[#This Row],[Smithies]]*smithy_bonus,smithy_bonus_cap) + tech_3_5*TblTech[[#This Row],[3-5]] + tech_5_3*TblTech[[#This Row],[5-3]] + tech_5_5*TblTech[[#This Row],[5-5]]))*spec_op_ore,0)</f>
        <v>25</v>
      </c>
      <c r="BH128" s="97">
        <f ca="1">ROUNDUP((1-MIN(TblMili[[#This Row],[Smithies]]*smithy_bonus,smithy_bonus_cap) + tech_3_5*TblTech[[#This Row],[3-5]] + tech_5_3*TblTech[[#This Row],[5-3]] + tech_5_5*TblTech[[#This Row],[5-5]])*spec_dp_plat,0)</f>
        <v>275</v>
      </c>
      <c r="BI128" s="97">
        <f ca="1">ROUNDUP(IF(race="Gnome",1,(1-MIN(TblMili[[#This Row],[Smithies]]*smithy_bonus,smithy_bonus_cap) + tech_3_5*TblTech[[#This Row],[3-5]] + tech_5_3*TblTech[[#This Row],[5-3]] + tech_5_5*TblTech[[#This Row],[5-5]]))*spec_dp_ore,0)</f>
        <v>15</v>
      </c>
      <c r="BJ128" s="97">
        <f ca="1">ROUNDUP((1-MIN(TblMili[[#This Row],[Smithies]]*smithy_bonus,smithy_bonus_cap) + tech_3_5*TblTech[[#This Row],[3-5]] + tech_5_3*TblTech[[#This Row],[5-3]] + tech_5_5*TblTech[[#This Row],[5-5]])*elite1_plat,0)</f>
        <v>1000</v>
      </c>
      <c r="BK128" s="97">
        <f ca="1">ROUNDUP(IF(race="Gnome",1,(1-MIN(TblMili[[#This Row],[Smithies]]*smithy_bonus,smithy_bonus_cap) + tech_3_5*TblTech[[#This Row],[3-5]] + tech_5_3*TblTech[[#This Row],[5-3]] + tech_5_5*TblTech[[#This Row],[5-5]]))*elite1_ore,0)</f>
        <v>75</v>
      </c>
      <c r="BL128" s="97">
        <f ca="1">ROUNDUP((1-MIN(TblMili[[#This Row],[Smithies]]*smithy_bonus,smithy_bonus_cap) + tech_3_5*TblTech[[#This Row],[3-5]] + tech_5_3*TblTech[[#This Row],[5-3]] + tech_5_5*TblTech[[#This Row],[5-5]])*elite2_plat,0)</f>
        <v>1200</v>
      </c>
      <c r="BM128" s="97">
        <f ca="1">ROUNDUP(IF(race="Gnome",1,(1-MIN(TblMili[[#This Row],[Smithies]]*smithy_bonus,smithy_bonus_cap) + tech_3_5*TblTech[[#This Row],[3-5]] + tech_5_3*TblTech[[#This Row],[5-3]] + tech_5_5*TblTech[[#This Row],[5-5]]))*elite2_ore,0)</f>
        <v>100</v>
      </c>
      <c r="BN128" s="97">
        <f ca="1">ROUNDUP((1-MIN(ROUND(fh_spy_cost_red*TblMili[[#This Row],[FH''s]],4),fh_spy_cost_cap)+ tech_1_9*TblTech[[#This Row],[1-9]] + tech_9_1*TblTech[[#This Row],[9-1]])*spy_plat,0)</f>
        <v>500</v>
      </c>
      <c r="BO128" s="97">
        <f ca="1">ROUNDUP((1-MIN(ROUND(wg_wiz_cost_bonus*TblMili[[#This Row],[WG''s]],4),wg_wiz_cost_cap) + tech_1_9_2*TblTech[[#This Row],[1-9]] + tech_9_1_2*TblTech[[#This Row],[9-1]])*wizard_plat,0)</f>
        <v>500</v>
      </c>
      <c r="BP128" s="97">
        <f ca="1">ROUNDUP((1-MIN(ROUND(wg_wiz_cost_bonus*TblMili[[#This Row],[WG''s]],4),wg_wiz_cost_cap) + tech_1_9_2*TblTech[[#This Row],[1-9]] + tech_9_1_2*TblTech[[#This Row],[9-1]])*archmage_plat,0)</f>
        <v>1000</v>
      </c>
      <c r="BQ128" s="150"/>
      <c r="BR128" s="165">
        <f ca="1">TblConstr[[#This Row],[Homeland]]/TblConstr[[#This Row],[Land]]</f>
        <v>0.44</v>
      </c>
      <c r="BS128" s="165">
        <f ca="1">TblMili[[#This Row],[WG''s]]</f>
        <v>0</v>
      </c>
      <c r="BT128" s="271">
        <f ca="1">IF(mystic_cap="none",TblMili[[#This Row],[Hill]]/mystic_bonus,MIN(mystic_cap,TblMili[[#This Row],[Hill]]/mystic_bonus))</f>
        <v>2.1999999999999997</v>
      </c>
      <c r="BU128" s="271">
        <f ca="1">IF(druid_op_cap="none",TblMili[[#This Row],[Hill]]/druid_op_bonus,MIN(druid_op_cap,TblMili[[#This Row],[Hill]]/druid_op_bonus))</f>
        <v>2.1999999999999997</v>
      </c>
      <c r="BV128" s="271">
        <f ca="1">IF(druid_dp_cap="none",TblMili[[#This Row],[Hill]]/druid_dp_bonus,MIN(druid_dp_cap,TblMili[[#This Row],[Hill]]/druid_dp_bonus))</f>
        <v>2.1999999999999997</v>
      </c>
      <c r="BW128" s="271">
        <f ca="1">MIN(dryad_cap,TblMili[[#This Row],[Hill]]/dryad_bonus)</f>
        <v>2.1999999999999997</v>
      </c>
      <c r="BX128" s="271">
        <f ca="1">MIN(rocka_cap,TblMili[[#This Row],[Hill]]/rocka_bonus)</f>
        <v>2</v>
      </c>
      <c r="BY128" s="271">
        <f ca="1">MIN(adept_op_cap,TblMili[[#This Row],[WG]]/adept_op_bonus)</f>
        <v>0</v>
      </c>
      <c r="BZ128" s="271">
        <f ca="1">MIN(adept_dp_cap,TblMili[[#This Row],[WG]]/adept_dp_bonus)</f>
        <v>0</v>
      </c>
      <c r="CA128" s="97">
        <f ca="1">MIN(TblMili[[#This Row],[Unit 3]],TblMili[[#This Row],[Unit 4]])*2</f>
        <v>0</v>
      </c>
      <c r="CB128" s="97">
        <f ca="1">MIN(TblMili[[#This Row],[Unit 1]],TblMili[[#This Row],[Unit 4]])*2</f>
        <v>0</v>
      </c>
      <c r="CC128" s="271">
        <f ca="1">MIN(frost_mage_cap,TblMili[[#This Row],[Hill]]/frost_mage_bonus)</f>
        <v>2.1999999999999997</v>
      </c>
      <c r="CD128" s="45">
        <f ca="1">MIN(ice_elem_cap,TblMili[[#This Row],[Raw (2)]]*ice_elem_bonus)</f>
        <v>0.1</v>
      </c>
      <c r="CE128" s="271">
        <f t="shared" si="4"/>
        <v>1</v>
      </c>
      <c r="CF128" s="271">
        <f ca="1">MIN(nox_nightshade_cap,TblConstr[[#This Row],[Homeland]]/TblConstr[[#This Row],[Land]]/nox_nightshade_swamp_bonus)</f>
        <v>3</v>
      </c>
      <c r="CG128" s="272"/>
      <c r="CH128" s="272"/>
      <c r="CI128" s="272"/>
      <c r="CJ128" s="271">
        <f ca="1">MIN(6,TblMili[[#This Row],[Mystic]]+Races!$F$19)*1.8 +  IF(TblMili[[#This Row],[Mystic]]+Races!$F$19&gt;6,(TblMili[[#This Row],[Mystic]]+Races!$F$19-6)*0.2,0) - Races!$I$19</f>
        <v>3.6399999999999997</v>
      </c>
      <c r="CK128"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97">
        <f ca="1">TblMili[[#This Row],[Mystic bonus]]*TblMili[[#This Row],[Unit 3]]+TblMili[[#This Row],[Druid bonus]]*TblMili[[#This Row],[Unit 4]]</f>
        <v>0</v>
      </c>
      <c r="CM128" s="163">
        <f ca="1">MIN(6,TblMili[[#This Row],[Dryad]]+Races!$F$35)*1.8 +  IF(TblMili[[#This Row],[Dryad]]+Races!$F$35&gt;6,(TblMili[[#This Row],[Dryad]]+Races!$F$35-6)*0.2,0) - Races!$I$19</f>
        <v>2.1599999999999993</v>
      </c>
      <c r="CN128" s="97">
        <f ca="1">sylvan*(TblMili[[#This Row],[Mystic bonus]]*TblMili[[#This Row],[Unit 3]])</f>
        <v>0</v>
      </c>
      <c r="CO128" s="163">
        <f ca="1">1.8 * MIN(MAX(Races!$E$27,TblMili[[#This Row],[Rockapult]]+Races!$F$27),6)  +  0.45 * MIN(MIN(Races!$E$27,TblMili[[#This Row],[Rockapult]]+Races!$F$27),6)  +  0.2 * ( MAX(Races!$E$27-6,0) + MAX(TblMili[[#This Row],[Rockapult]]+Races!$F$27-6,0) )  -  Races!$I$20</f>
        <v>5.8500000000000005</v>
      </c>
      <c r="CP128" s="97">
        <f ca="1">gnome*(TblMili[[#This Row],[Rockapult bonus]]*TblMili[[#This Row],[Unit 3]])</f>
        <v>0</v>
      </c>
      <c r="CQ128" s="163">
        <f ca="1">1.8 * MIN(MAX(TblMili[[#This Row],[Spellblade]]+Races!$E$47,TblMili[[#This Row],[Adept-DP]]+Races!$F$47),6)  +  0.45 * MIN(MIN(TblMili[[#This Row],[Spellblade]]+Races!$E$47,TblMili[[#This Row],[Adept-DP]]+Races!$F$47),6)  +  0.2 * ( MAX(TblMili[[#This Row],[Spellblade]]+Races!$E$47-6,0) + MAX(TblMili[[#This Row],[Adept-DP]]+Races!$F$47-6,0) )  -  Races!$I$47</f>
        <v>0</v>
      </c>
      <c r="CR128" s="97">
        <f ca="1">dark_elf*(TblMili[[#This Row],[Adept bonus]]*TblMili[[#This Row],[Unit 3]])</f>
        <v>0</v>
      </c>
      <c r="CS128" s="163">
        <f ca="1">1.8 * MIN(MAX(TblMili[[#This Row],[Frost Mage]]+Races!$F$71,Races!$E$71),6)  +  0.45 * MIN(MIN(TblMili[[#This Row],[Frost Mage]]+Races!$F$71,Races!$E$71),6)  +  0.2 * ( MAX(TblMili[[#This Row],[Frost Mage]]+Races!$F$71-6,0) + MAX(Races!$E$71-6,0) )  -  Races!$I$71</f>
        <v>3.9599999999999991</v>
      </c>
      <c r="CT128" s="163">
        <f ca="1">1.8 * MIN(MAX(TblMili[[#This Row],[Ice Elemental]]+Races!$E$71,Races!$F$71),6)  +  0.45 * MIN(MIN(TblMili[[#This Row],[Ice Elemental]]+Races!$E$71,Races!$F$71),6)  +  0.2 * ( MAX(TblMili[[#This Row],[Ice Elemental]]+Races!$E$71-6,0) + MAX(Races!$F$71-6,0) )  -  Races!$I$71</f>
        <v>0.17999999999999972</v>
      </c>
      <c r="CU128" s="97">
        <f ca="1">TblMili[[#This Row],[Frost Mage bonus]]*TblMili[[#This Row],[Unit 3]]+TblMili[[#This Row],[Ice Elemental bonus]]*TblMili[[#This Row],[Unit 4]]</f>
        <v>0</v>
      </c>
      <c r="CV128" s="273"/>
      <c r="CW128" s="151">
        <f ca="1">MIN(SUM(TblConstr[[#This Row],[Plain]:[Water]])/TblMili[[#This Row],[Land]]/favorable_terrain_bonus/100,favorable_terrain_max)</f>
        <v>0.1</v>
      </c>
      <c r="CX128" s="273"/>
      <c r="CY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50"/>
      <c r="DA128" s="274">
        <f ca="1">(TblMili[[#This Row],[Wizards]]+2*TblMili[[#This Row],[Archmages]])/TblConstr[[#This Row],[Land]]</f>
        <v>0.1</v>
      </c>
      <c r="DB128" s="274">
        <f ca="1">TblMili[[#This Row],[Raw (2)]]*(1+race_wizard_strength+IF(TblMili[[#This Row],[Hour]]&gt;72,tech_magical_weaponry_wiz*TblTech[[#This Row],[3-5]],0))</f>
        <v>0.1</v>
      </c>
    </row>
    <row r="129" spans="1:106" x14ac:dyDescent="0.2">
      <c r="A129" s="145">
        <f>TblRezone[[#This Row],[Hour]]</f>
        <v>126</v>
      </c>
      <c r="B129" s="266">
        <f ca="1">SUM(TblMili[[#This Row],[Unit 1]:[Archmages]])+SUM(OFFSET(TblMili[[#This Row],[Train Unit 1]],-8,0):TblMili[[#This Row],[Train Unit 2]]) + SUM(OFFSET(TblMili[[#This Row],[Train Unit 3]],-11,0):TblMili[[#This Row],[Train Arch]]) + TblMili[[#This Row],[Draftees]]</f>
        <v>826</v>
      </c>
      <c r="C129" s="165">
        <f ca="1">TblPop[[#This Row],[Military%]]</f>
        <v>0.35029686174724345</v>
      </c>
      <c r="D129" s="150"/>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f>
        <v>25</v>
      </c>
      <c r="J129" s="45">
        <f ca="1">OFFSET(TblMili[[#This Row],[Wizards]],-1,0) + OFFSET(TblMili[[#This Row],[Train Wiz]],-12,0) - TblMili[[#This Row],[Release Wizards]]-TblMili[[#This Row],[Train Arch]]</f>
        <v>25</v>
      </c>
      <c r="K129" s="45">
        <f ca="1">OFFSET(TblMili[[#This Row],[Archmages]],-1,0) + OFFSET(TblMili[[#This Row],[Train Arch]],-12,0) - TblMili[[#This Row],[Release Arch]]</f>
        <v>0</v>
      </c>
      <c r="L129" s="150"/>
      <c r="M129" s="97">
        <f ca="1">TblProd[[#This Row],[Networth]]</f>
        <v>6450</v>
      </c>
      <c r="N129" s="150"/>
      <c r="O129" s="267">
        <f ca="1">TblMili[[#This Row],[Unit 1]]*spec_op+TblMili[[#This Row],[Unit 3]]*(elite1_base_op)+TblMili[[#This Row],[Unit 4]]*(elite2_base_op+dark_elf*TblMili[[#This Row],[Spellblade]]+icekin*TblMili[[#This Row],[Ice Elemental]]+woodie*TblMili[[#This Row],[Druid (op)]]+orc*TblMili[[#This Row],[Orc]])+kobold*TblMili[[#This Row],[Overlords]]</f>
        <v>0</v>
      </c>
      <c r="P129"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9" s="267">
        <f ca="1">TblMili[[#This Row],[Raw]]*(1+TblMili[[#This Row],[Mods_Off]])</f>
        <v>0</v>
      </c>
      <c r="R129"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9" s="267">
        <f ca="1">TblMili[[#This Row],[Non Draft]]+TblMili[[#This Row],[Draftees]]</f>
        <v>1076</v>
      </c>
      <c r="T129"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269">
        <f ca="1">TblMili[[#This Row],[Non Draft]] * (1 + TblMili[[#This Row],[Mods_Def]])</f>
        <v>450</v>
      </c>
      <c r="V129" s="267">
        <f ca="1">TblMili[[#This Row],[Draft]] * (1 + TblMili[[#This Row],[Mods_Def]])</f>
        <v>1076</v>
      </c>
      <c r="W129" s="267">
        <f ca="1">TblConstr[[#This Row],[Land]]</f>
        <v>250</v>
      </c>
      <c r="X129" s="270"/>
      <c r="Y129" s="275">
        <f ca="1">IF(TblMili[[#This Row],[Set]]&lt;&gt;"",TblMili[[#This Row],[Set]],OFFSET(TblMili[[#This Row],[Draftrate]],-1,0))</f>
        <v>0.35</v>
      </c>
      <c r="Z129" s="97">
        <f ca="1">OFFSET(TblMili[[#This Row],[Draftees]],-1,0)+OFFSET(TblPop[[#This Row],[Draft Growth]],-1,0) - SUM(TblMili[[#This Row],[Train Unit 1]:[Train Wiz]]) - TblMili[[#This Row],[Release Draft]] + SUM(TblMili[[#This Row],[Release Unit 1]:[Release Arch]]) -TblExplore[[#This Row],[Draftees (2)]]</f>
        <v>626</v>
      </c>
      <c r="AA129" s="162"/>
      <c r="AB129" s="188">
        <f ca="1">(TblConstr[[#This Row],[Tot Smi]]+TblConstr[[#This Row],[Dest Smi]])/(TblConstr[[#This Row],[Land]]-TblExplore[[#This Row],[Land Bonus]]*20)</f>
        <v>0</v>
      </c>
      <c r="AC129" s="145"/>
      <c r="AD129" s="266">
        <f>TblMili[[#This Row],[Hour]]</f>
        <v>126</v>
      </c>
      <c r="AE129" s="146">
        <f ca="1">TblExplore[[#This Row],[Time]]</f>
        <v>44815.95833333303</v>
      </c>
      <c r="AF129" s="187"/>
      <c r="AG129" s="187"/>
      <c r="AH129" s="187"/>
      <c r="AI129" s="187"/>
      <c r="AJ129" s="187"/>
      <c r="AK129" s="187"/>
      <c r="AL129" s="187"/>
      <c r="AM129" s="150"/>
      <c r="AN129" s="97">
        <f ca="1">TblProd[[#This Row],[Platinum]]</f>
        <v>786628</v>
      </c>
      <c r="AO129" s="97">
        <f ca="1">INDEX(TblProd[[#Headers],[Lumber]]:TblProd[[#This Row],[Ore]],COUNTA(TblProd[[#Headers],[Lumber]]:TblProd[[#This Row],[Lumber]]),MATCH(Military!$AO$2,TblProd[[#Headers],[Lumber]:[Ore]],0))</f>
        <v>0</v>
      </c>
      <c r="AP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97">
        <f ca="1">TblMili[[#This Row],[Train Unit 1]]*TblMili[[#This Row],[OP Ore]]+TblMili[[#This Row],[Train Unit 2]]*TblMili[[#This Row],[DP Ore]]+TblMili[[#This Row],[Train Unit 3]]*TblMili[[#This Row],[E1 Ore]]+TblMili[[#This Row],[Train Unit 4]]*TblMili[[#This Row],[E2 Ore]]</f>
        <v>0</v>
      </c>
      <c r="AR129" s="150">
        <f>TblMili[[#This Row],[Hour]]</f>
        <v>126</v>
      </c>
      <c r="AS129" s="160">
        <f ca="1">TblMili[[#This Row],[Time]]</f>
        <v>44815.95833333303</v>
      </c>
      <c r="AT129" s="97">
        <f ca="1">TblMili[[#This Row],[Draftees]]</f>
        <v>626</v>
      </c>
      <c r="AU129" s="187"/>
      <c r="AV129" s="187"/>
      <c r="AW129" s="187"/>
      <c r="AX129" s="187"/>
      <c r="AY129" s="187"/>
      <c r="AZ129" s="187"/>
      <c r="BA129" s="187"/>
      <c r="BB129" s="187"/>
      <c r="BC129" s="150"/>
      <c r="BD129" s="165">
        <f ca="1">TblConstr[[#This Row],[Tot WG]]/TblConstr[[#This Row],[Land]]</f>
        <v>0</v>
      </c>
      <c r="BE129" s="165">
        <f ca="1">TblConstr[[#This Row],[Tot Hav]]/TblConstr[[#This Row],[Land]]</f>
        <v>0</v>
      </c>
      <c r="BF129" s="97">
        <f ca="1">ROUNDUP((1-MIN(TblMili[[#This Row],[Smithies]]*smithy_bonus,smithy_bonus_cap) + tech_3_5*TblTech[[#This Row],[3-5]] + tech_5_3*TblTech[[#This Row],[5-3]] + tech_5_5*TblTech[[#This Row],[5-5]])*spec_op_plat,0)</f>
        <v>275</v>
      </c>
      <c r="BG129" s="97">
        <f ca="1">ROUNDUP(IF(race="Gnome",1,(1-MIN(TblMili[[#This Row],[Smithies]]*smithy_bonus,smithy_bonus_cap) + tech_3_5*TblTech[[#This Row],[3-5]] + tech_5_3*TblTech[[#This Row],[5-3]] + tech_5_5*TblTech[[#This Row],[5-5]]))*spec_op_ore,0)</f>
        <v>25</v>
      </c>
      <c r="BH129" s="97">
        <f ca="1">ROUNDUP((1-MIN(TblMili[[#This Row],[Smithies]]*smithy_bonus,smithy_bonus_cap) + tech_3_5*TblTech[[#This Row],[3-5]] + tech_5_3*TblTech[[#This Row],[5-3]] + tech_5_5*TblTech[[#This Row],[5-5]])*spec_dp_plat,0)</f>
        <v>275</v>
      </c>
      <c r="BI129" s="97">
        <f ca="1">ROUNDUP(IF(race="Gnome",1,(1-MIN(TblMili[[#This Row],[Smithies]]*smithy_bonus,smithy_bonus_cap) + tech_3_5*TblTech[[#This Row],[3-5]] + tech_5_3*TblTech[[#This Row],[5-3]] + tech_5_5*TblTech[[#This Row],[5-5]]))*spec_dp_ore,0)</f>
        <v>15</v>
      </c>
      <c r="BJ129" s="97">
        <f ca="1">ROUNDUP((1-MIN(TblMili[[#This Row],[Smithies]]*smithy_bonus,smithy_bonus_cap) + tech_3_5*TblTech[[#This Row],[3-5]] + tech_5_3*TblTech[[#This Row],[5-3]] + tech_5_5*TblTech[[#This Row],[5-5]])*elite1_plat,0)</f>
        <v>1000</v>
      </c>
      <c r="BK129" s="97">
        <f ca="1">ROUNDUP(IF(race="Gnome",1,(1-MIN(TblMili[[#This Row],[Smithies]]*smithy_bonus,smithy_bonus_cap) + tech_3_5*TblTech[[#This Row],[3-5]] + tech_5_3*TblTech[[#This Row],[5-3]] + tech_5_5*TblTech[[#This Row],[5-5]]))*elite1_ore,0)</f>
        <v>75</v>
      </c>
      <c r="BL129" s="97">
        <f ca="1">ROUNDUP((1-MIN(TblMili[[#This Row],[Smithies]]*smithy_bonus,smithy_bonus_cap) + tech_3_5*TblTech[[#This Row],[3-5]] + tech_5_3*TblTech[[#This Row],[5-3]] + tech_5_5*TblTech[[#This Row],[5-5]])*elite2_plat,0)</f>
        <v>1200</v>
      </c>
      <c r="BM129" s="97">
        <f ca="1">ROUNDUP(IF(race="Gnome",1,(1-MIN(TblMili[[#This Row],[Smithies]]*smithy_bonus,smithy_bonus_cap) + tech_3_5*TblTech[[#This Row],[3-5]] + tech_5_3*TblTech[[#This Row],[5-3]] + tech_5_5*TblTech[[#This Row],[5-5]]))*elite2_ore,0)</f>
        <v>100</v>
      </c>
      <c r="BN129" s="97">
        <f ca="1">ROUNDUP((1-MIN(ROUND(fh_spy_cost_red*TblMili[[#This Row],[FH''s]],4),fh_spy_cost_cap)+ tech_1_9*TblTech[[#This Row],[1-9]] + tech_9_1*TblTech[[#This Row],[9-1]])*spy_plat,0)</f>
        <v>500</v>
      </c>
      <c r="BO129" s="97">
        <f ca="1">ROUNDUP((1-MIN(ROUND(wg_wiz_cost_bonus*TblMili[[#This Row],[WG''s]],4),wg_wiz_cost_cap) + tech_1_9_2*TblTech[[#This Row],[1-9]] + tech_9_1_2*TblTech[[#This Row],[9-1]])*wizard_plat,0)</f>
        <v>500</v>
      </c>
      <c r="BP129" s="97">
        <f ca="1">ROUNDUP((1-MIN(ROUND(wg_wiz_cost_bonus*TblMili[[#This Row],[WG''s]],4),wg_wiz_cost_cap) + tech_1_9_2*TblTech[[#This Row],[1-9]] + tech_9_1_2*TblTech[[#This Row],[9-1]])*archmage_plat,0)</f>
        <v>1000</v>
      </c>
      <c r="BQ129" s="150"/>
      <c r="BR129" s="165">
        <f ca="1">TblConstr[[#This Row],[Homeland]]/TblConstr[[#This Row],[Land]]</f>
        <v>0.44</v>
      </c>
      <c r="BS129" s="165">
        <f ca="1">TblMili[[#This Row],[WG''s]]</f>
        <v>0</v>
      </c>
      <c r="BT129" s="271">
        <f ca="1">IF(mystic_cap="none",TblMili[[#This Row],[Hill]]/mystic_bonus,MIN(mystic_cap,TblMili[[#This Row],[Hill]]/mystic_bonus))</f>
        <v>2.1999999999999997</v>
      </c>
      <c r="BU129" s="271">
        <f ca="1">IF(druid_op_cap="none",TblMili[[#This Row],[Hill]]/druid_op_bonus,MIN(druid_op_cap,TblMili[[#This Row],[Hill]]/druid_op_bonus))</f>
        <v>2.1999999999999997</v>
      </c>
      <c r="BV129" s="271">
        <f ca="1">IF(druid_dp_cap="none",TblMili[[#This Row],[Hill]]/druid_dp_bonus,MIN(druid_dp_cap,TblMili[[#This Row],[Hill]]/druid_dp_bonus))</f>
        <v>2.1999999999999997</v>
      </c>
      <c r="BW129" s="271">
        <f ca="1">MIN(dryad_cap,TblMili[[#This Row],[Hill]]/dryad_bonus)</f>
        <v>2.1999999999999997</v>
      </c>
      <c r="BX129" s="271">
        <f ca="1">MIN(rocka_cap,TblMili[[#This Row],[Hill]]/rocka_bonus)</f>
        <v>2</v>
      </c>
      <c r="BY129" s="271">
        <f ca="1">MIN(adept_op_cap,TblMili[[#This Row],[WG]]/adept_op_bonus)</f>
        <v>0</v>
      </c>
      <c r="BZ129" s="271">
        <f ca="1">MIN(adept_dp_cap,TblMili[[#This Row],[WG]]/adept_dp_bonus)</f>
        <v>0</v>
      </c>
      <c r="CA129" s="97">
        <f ca="1">MIN(TblMili[[#This Row],[Unit 3]],TblMili[[#This Row],[Unit 4]])*2</f>
        <v>0</v>
      </c>
      <c r="CB129" s="97">
        <f ca="1">MIN(TblMili[[#This Row],[Unit 1]],TblMili[[#This Row],[Unit 4]])*2</f>
        <v>0</v>
      </c>
      <c r="CC129" s="271">
        <f ca="1">MIN(frost_mage_cap,TblMili[[#This Row],[Hill]]/frost_mage_bonus)</f>
        <v>2.1999999999999997</v>
      </c>
      <c r="CD129" s="45">
        <f ca="1">MIN(ice_elem_cap,TblMili[[#This Row],[Raw (2)]]*ice_elem_bonus)</f>
        <v>0.1</v>
      </c>
      <c r="CE129" s="271">
        <f t="shared" si="4"/>
        <v>1</v>
      </c>
      <c r="CF129" s="271">
        <f ca="1">MIN(nox_nightshade_cap,TblConstr[[#This Row],[Homeland]]/TblConstr[[#This Row],[Land]]/nox_nightshade_swamp_bonus)</f>
        <v>3</v>
      </c>
      <c r="CG129" s="272"/>
      <c r="CH129" s="272"/>
      <c r="CI129" s="272"/>
      <c r="CJ129" s="271">
        <f ca="1">MIN(6,TblMili[[#This Row],[Mystic]]+Races!$F$19)*1.8 +  IF(TblMili[[#This Row],[Mystic]]+Races!$F$19&gt;6,(TblMili[[#This Row],[Mystic]]+Races!$F$19-6)*0.2,0) - Races!$I$19</f>
        <v>3.6399999999999997</v>
      </c>
      <c r="CK129"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97">
        <f ca="1">TblMili[[#This Row],[Mystic bonus]]*TblMili[[#This Row],[Unit 3]]+TblMili[[#This Row],[Druid bonus]]*TblMili[[#This Row],[Unit 4]]</f>
        <v>0</v>
      </c>
      <c r="CM129" s="163">
        <f ca="1">MIN(6,TblMili[[#This Row],[Dryad]]+Races!$F$35)*1.8 +  IF(TblMili[[#This Row],[Dryad]]+Races!$F$35&gt;6,(TblMili[[#This Row],[Dryad]]+Races!$F$35-6)*0.2,0) - Races!$I$19</f>
        <v>2.1599999999999993</v>
      </c>
      <c r="CN129" s="97">
        <f ca="1">sylvan*(TblMili[[#This Row],[Mystic bonus]]*TblMili[[#This Row],[Unit 3]])</f>
        <v>0</v>
      </c>
      <c r="CO129" s="163">
        <f ca="1">1.8 * MIN(MAX(Races!$E$27,TblMili[[#This Row],[Rockapult]]+Races!$F$27),6)  +  0.45 * MIN(MIN(Races!$E$27,TblMili[[#This Row],[Rockapult]]+Races!$F$27),6)  +  0.2 * ( MAX(Races!$E$27-6,0) + MAX(TblMili[[#This Row],[Rockapult]]+Races!$F$27-6,0) )  -  Races!$I$20</f>
        <v>5.8500000000000005</v>
      </c>
      <c r="CP129" s="97">
        <f ca="1">gnome*(TblMili[[#This Row],[Rockapult bonus]]*TblMili[[#This Row],[Unit 3]])</f>
        <v>0</v>
      </c>
      <c r="CQ129" s="163">
        <f ca="1">1.8 * MIN(MAX(TblMili[[#This Row],[Spellblade]]+Races!$E$47,TblMili[[#This Row],[Adept-DP]]+Races!$F$47),6)  +  0.45 * MIN(MIN(TblMili[[#This Row],[Spellblade]]+Races!$E$47,TblMili[[#This Row],[Adept-DP]]+Races!$F$47),6)  +  0.2 * ( MAX(TblMili[[#This Row],[Spellblade]]+Races!$E$47-6,0) + MAX(TblMili[[#This Row],[Adept-DP]]+Races!$F$47-6,0) )  -  Races!$I$47</f>
        <v>0</v>
      </c>
      <c r="CR129" s="97">
        <f ca="1">dark_elf*(TblMili[[#This Row],[Adept bonus]]*TblMili[[#This Row],[Unit 3]])</f>
        <v>0</v>
      </c>
      <c r="CS129" s="163">
        <f ca="1">1.8 * MIN(MAX(TblMili[[#This Row],[Frost Mage]]+Races!$F$71,Races!$E$71),6)  +  0.45 * MIN(MIN(TblMili[[#This Row],[Frost Mage]]+Races!$F$71,Races!$E$71),6)  +  0.2 * ( MAX(TblMili[[#This Row],[Frost Mage]]+Races!$F$71-6,0) + MAX(Races!$E$71-6,0) )  -  Races!$I$71</f>
        <v>3.9599999999999991</v>
      </c>
      <c r="CT129" s="163">
        <f ca="1">1.8 * MIN(MAX(TblMili[[#This Row],[Ice Elemental]]+Races!$E$71,Races!$F$71),6)  +  0.45 * MIN(MIN(TblMili[[#This Row],[Ice Elemental]]+Races!$E$71,Races!$F$71),6)  +  0.2 * ( MAX(TblMili[[#This Row],[Ice Elemental]]+Races!$E$71-6,0) + MAX(Races!$F$71-6,0) )  -  Races!$I$71</f>
        <v>0.17999999999999972</v>
      </c>
      <c r="CU129" s="97">
        <f ca="1">TblMili[[#This Row],[Frost Mage bonus]]*TblMili[[#This Row],[Unit 3]]+TblMili[[#This Row],[Ice Elemental bonus]]*TblMili[[#This Row],[Unit 4]]</f>
        <v>0</v>
      </c>
      <c r="CV129" s="273"/>
      <c r="CW129" s="151">
        <f ca="1">MIN(SUM(TblConstr[[#This Row],[Plain]:[Water]])/TblMili[[#This Row],[Land]]/favorable_terrain_bonus/100,favorable_terrain_max)</f>
        <v>0.1</v>
      </c>
      <c r="CX129" s="273"/>
      <c r="CY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50"/>
      <c r="DA129" s="274">
        <f ca="1">(TblMili[[#This Row],[Wizards]]+2*TblMili[[#This Row],[Archmages]])/TblConstr[[#This Row],[Land]]</f>
        <v>0.1</v>
      </c>
      <c r="DB129" s="274">
        <f ca="1">TblMili[[#This Row],[Raw (2)]]*(1+race_wizard_strength+IF(TblMili[[#This Row],[Hour]]&gt;72,tech_magical_weaponry_wiz*TblTech[[#This Row],[3-5]],0))</f>
        <v>0.1</v>
      </c>
    </row>
    <row r="130" spans="1:106" x14ac:dyDescent="0.2">
      <c r="A130" s="145">
        <f>TblRezone[[#This Row],[Hour]]</f>
        <v>127</v>
      </c>
      <c r="B130" s="266">
        <f ca="1">SUM(TblMili[[#This Row],[Unit 1]:[Archmages]])+SUM(OFFSET(TblMili[[#This Row],[Train Unit 1]],-8,0):TblMili[[#This Row],[Train Unit 2]]) + SUM(OFFSET(TblMili[[#This Row],[Train Unit 3]],-11,0):TblMili[[#This Row],[Train Arch]]) + TblMili[[#This Row],[Draftees]]</f>
        <v>826</v>
      </c>
      <c r="C130" s="165">
        <f ca="1">TblPop[[#This Row],[Military%]]</f>
        <v>0.35029686174724345</v>
      </c>
      <c r="D130" s="150"/>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f>
        <v>25</v>
      </c>
      <c r="J130" s="45">
        <f ca="1">OFFSET(TblMili[[#This Row],[Wizards]],-1,0) + OFFSET(TblMili[[#This Row],[Train Wiz]],-12,0) - TblMili[[#This Row],[Release Wizards]]-TblMili[[#This Row],[Train Arch]]</f>
        <v>25</v>
      </c>
      <c r="K130" s="45">
        <f ca="1">OFFSET(TblMili[[#This Row],[Archmages]],-1,0) + OFFSET(TblMili[[#This Row],[Train Arch]],-12,0) - TblMili[[#This Row],[Release Arch]]</f>
        <v>0</v>
      </c>
      <c r="L130" s="150"/>
      <c r="M130" s="97">
        <f ca="1">TblProd[[#This Row],[Networth]]</f>
        <v>6450</v>
      </c>
      <c r="N130" s="150"/>
      <c r="O130" s="267">
        <f ca="1">TblMili[[#This Row],[Unit 1]]*spec_op+TblMili[[#This Row],[Unit 3]]*(elite1_base_op)+TblMili[[#This Row],[Unit 4]]*(elite2_base_op+dark_elf*TblMili[[#This Row],[Spellblade]]+icekin*TblMili[[#This Row],[Ice Elemental]]+woodie*TblMili[[#This Row],[Druid (op)]]+orc*TblMili[[#This Row],[Orc]])+kobold*TblMili[[#This Row],[Overlords]]</f>
        <v>0</v>
      </c>
      <c r="P13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0" s="267">
        <f ca="1">TblMili[[#This Row],[Raw]]*(1+TblMili[[#This Row],[Mods_Off]])</f>
        <v>0</v>
      </c>
      <c r="R130"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0" s="267">
        <f ca="1">TblMili[[#This Row],[Non Draft]]+TblMili[[#This Row],[Draftees]]</f>
        <v>1076</v>
      </c>
      <c r="T130"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269">
        <f ca="1">TblMili[[#This Row],[Non Draft]] * (1 + TblMili[[#This Row],[Mods_Def]])</f>
        <v>450</v>
      </c>
      <c r="V130" s="267">
        <f ca="1">TblMili[[#This Row],[Draft]] * (1 + TblMili[[#This Row],[Mods_Def]])</f>
        <v>1076</v>
      </c>
      <c r="W130" s="267">
        <f ca="1">TblConstr[[#This Row],[Land]]</f>
        <v>250</v>
      </c>
      <c r="X130" s="270"/>
      <c r="Y130" s="275">
        <f ca="1">IF(TblMili[[#This Row],[Set]]&lt;&gt;"",TblMili[[#This Row],[Set]],OFFSET(TblMili[[#This Row],[Draftrate]],-1,0))</f>
        <v>0.35</v>
      </c>
      <c r="Z130" s="97">
        <f ca="1">OFFSET(TblMili[[#This Row],[Draftees]],-1,0)+OFFSET(TblPop[[#This Row],[Draft Growth]],-1,0) - SUM(TblMili[[#This Row],[Train Unit 1]:[Train Wiz]]) - TblMili[[#This Row],[Release Draft]] + SUM(TblMili[[#This Row],[Release Unit 1]:[Release Arch]]) -TblExplore[[#This Row],[Draftees (2)]]</f>
        <v>626</v>
      </c>
      <c r="AA130" s="162"/>
      <c r="AB130" s="188">
        <f ca="1">(TblConstr[[#This Row],[Tot Smi]]+TblConstr[[#This Row],[Dest Smi]])/(TblConstr[[#This Row],[Land]]-TblExplore[[#This Row],[Land Bonus]]*20)</f>
        <v>0</v>
      </c>
      <c r="AC130" s="145"/>
      <c r="AD130" s="266">
        <f>TblMili[[#This Row],[Hour]]</f>
        <v>127</v>
      </c>
      <c r="AE130" s="146">
        <f ca="1">TblExplore[[#This Row],[Time]]</f>
        <v>44815.999999999694</v>
      </c>
      <c r="AF130" s="187"/>
      <c r="AG130" s="187"/>
      <c r="AH130" s="187"/>
      <c r="AI130" s="187"/>
      <c r="AJ130" s="187"/>
      <c r="AK130" s="187"/>
      <c r="AL130" s="187"/>
      <c r="AM130" s="150"/>
      <c r="AN130" s="97">
        <f ca="1">TblProd[[#This Row],[Platinum]]</f>
        <v>792114</v>
      </c>
      <c r="AO130" s="97">
        <f ca="1">INDEX(TblProd[[#Headers],[Lumber]]:TblProd[[#This Row],[Ore]],COUNTA(TblProd[[#Headers],[Lumber]]:TblProd[[#This Row],[Lumber]]),MATCH(Military!$AO$2,TblProd[[#Headers],[Lumber]:[Ore]],0))</f>
        <v>0</v>
      </c>
      <c r="AP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97">
        <f ca="1">TblMili[[#This Row],[Train Unit 1]]*TblMili[[#This Row],[OP Ore]]+TblMili[[#This Row],[Train Unit 2]]*TblMili[[#This Row],[DP Ore]]+TblMili[[#This Row],[Train Unit 3]]*TblMili[[#This Row],[E1 Ore]]+TblMili[[#This Row],[Train Unit 4]]*TblMili[[#This Row],[E2 Ore]]</f>
        <v>0</v>
      </c>
      <c r="AR130" s="150">
        <f>TblMili[[#This Row],[Hour]]</f>
        <v>127</v>
      </c>
      <c r="AS130" s="160">
        <f ca="1">TblMili[[#This Row],[Time]]</f>
        <v>44815.999999999694</v>
      </c>
      <c r="AT130" s="97">
        <f ca="1">TblMili[[#This Row],[Draftees]]</f>
        <v>626</v>
      </c>
      <c r="AU130" s="187"/>
      <c r="AV130" s="187"/>
      <c r="AW130" s="187"/>
      <c r="AX130" s="187"/>
      <c r="AY130" s="187"/>
      <c r="AZ130" s="187"/>
      <c r="BA130" s="187"/>
      <c r="BB130" s="187"/>
      <c r="BC130" s="150"/>
      <c r="BD130" s="165">
        <f ca="1">TblConstr[[#This Row],[Tot WG]]/TblConstr[[#This Row],[Land]]</f>
        <v>0</v>
      </c>
      <c r="BE130" s="165">
        <f ca="1">TblConstr[[#This Row],[Tot Hav]]/TblConstr[[#This Row],[Land]]</f>
        <v>0</v>
      </c>
      <c r="BF130" s="97">
        <f ca="1">ROUNDUP((1-MIN(TblMili[[#This Row],[Smithies]]*smithy_bonus,smithy_bonus_cap) + tech_3_5*TblTech[[#This Row],[3-5]] + tech_5_3*TblTech[[#This Row],[5-3]] + tech_5_5*TblTech[[#This Row],[5-5]])*spec_op_plat,0)</f>
        <v>275</v>
      </c>
      <c r="BG130" s="97">
        <f ca="1">ROUNDUP(IF(race="Gnome",1,(1-MIN(TblMili[[#This Row],[Smithies]]*smithy_bonus,smithy_bonus_cap) + tech_3_5*TblTech[[#This Row],[3-5]] + tech_5_3*TblTech[[#This Row],[5-3]] + tech_5_5*TblTech[[#This Row],[5-5]]))*spec_op_ore,0)</f>
        <v>25</v>
      </c>
      <c r="BH130" s="97">
        <f ca="1">ROUNDUP((1-MIN(TblMili[[#This Row],[Smithies]]*smithy_bonus,smithy_bonus_cap) + tech_3_5*TblTech[[#This Row],[3-5]] + tech_5_3*TblTech[[#This Row],[5-3]] + tech_5_5*TblTech[[#This Row],[5-5]])*spec_dp_plat,0)</f>
        <v>275</v>
      </c>
      <c r="BI130" s="97">
        <f ca="1">ROUNDUP(IF(race="Gnome",1,(1-MIN(TblMili[[#This Row],[Smithies]]*smithy_bonus,smithy_bonus_cap) + tech_3_5*TblTech[[#This Row],[3-5]] + tech_5_3*TblTech[[#This Row],[5-3]] + tech_5_5*TblTech[[#This Row],[5-5]]))*spec_dp_ore,0)</f>
        <v>15</v>
      </c>
      <c r="BJ130" s="97">
        <f ca="1">ROUNDUP((1-MIN(TblMili[[#This Row],[Smithies]]*smithy_bonus,smithy_bonus_cap) + tech_3_5*TblTech[[#This Row],[3-5]] + tech_5_3*TblTech[[#This Row],[5-3]] + tech_5_5*TblTech[[#This Row],[5-5]])*elite1_plat,0)</f>
        <v>1000</v>
      </c>
      <c r="BK130" s="97">
        <f ca="1">ROUNDUP(IF(race="Gnome",1,(1-MIN(TblMili[[#This Row],[Smithies]]*smithy_bonus,smithy_bonus_cap) + tech_3_5*TblTech[[#This Row],[3-5]] + tech_5_3*TblTech[[#This Row],[5-3]] + tech_5_5*TblTech[[#This Row],[5-5]]))*elite1_ore,0)</f>
        <v>75</v>
      </c>
      <c r="BL130" s="97">
        <f ca="1">ROUNDUP((1-MIN(TblMili[[#This Row],[Smithies]]*smithy_bonus,smithy_bonus_cap) + tech_3_5*TblTech[[#This Row],[3-5]] + tech_5_3*TblTech[[#This Row],[5-3]] + tech_5_5*TblTech[[#This Row],[5-5]])*elite2_plat,0)</f>
        <v>1200</v>
      </c>
      <c r="BM130" s="97">
        <f ca="1">ROUNDUP(IF(race="Gnome",1,(1-MIN(TblMili[[#This Row],[Smithies]]*smithy_bonus,smithy_bonus_cap) + tech_3_5*TblTech[[#This Row],[3-5]] + tech_5_3*TblTech[[#This Row],[5-3]] + tech_5_5*TblTech[[#This Row],[5-5]]))*elite2_ore,0)</f>
        <v>100</v>
      </c>
      <c r="BN130" s="97">
        <f ca="1">ROUNDUP((1-MIN(ROUND(fh_spy_cost_red*TblMili[[#This Row],[FH''s]],4),fh_spy_cost_cap)+ tech_1_9*TblTech[[#This Row],[1-9]] + tech_9_1*TblTech[[#This Row],[9-1]])*spy_plat,0)</f>
        <v>500</v>
      </c>
      <c r="BO130" s="97">
        <f ca="1">ROUNDUP((1-MIN(ROUND(wg_wiz_cost_bonus*TblMili[[#This Row],[WG''s]],4),wg_wiz_cost_cap) + tech_1_9_2*TblTech[[#This Row],[1-9]] + tech_9_1_2*TblTech[[#This Row],[9-1]])*wizard_plat,0)</f>
        <v>500</v>
      </c>
      <c r="BP130" s="97">
        <f ca="1">ROUNDUP((1-MIN(ROUND(wg_wiz_cost_bonus*TblMili[[#This Row],[WG''s]],4),wg_wiz_cost_cap) + tech_1_9_2*TblTech[[#This Row],[1-9]] + tech_9_1_2*TblTech[[#This Row],[9-1]])*archmage_plat,0)</f>
        <v>1000</v>
      </c>
      <c r="BQ130" s="150"/>
      <c r="BR130" s="165">
        <f ca="1">TblConstr[[#This Row],[Homeland]]/TblConstr[[#This Row],[Land]]</f>
        <v>0.44</v>
      </c>
      <c r="BS130" s="165">
        <f ca="1">TblMili[[#This Row],[WG''s]]</f>
        <v>0</v>
      </c>
      <c r="BT130" s="271">
        <f ca="1">IF(mystic_cap="none",TblMili[[#This Row],[Hill]]/mystic_bonus,MIN(mystic_cap,TblMili[[#This Row],[Hill]]/mystic_bonus))</f>
        <v>2.1999999999999997</v>
      </c>
      <c r="BU130" s="271">
        <f ca="1">IF(druid_op_cap="none",TblMili[[#This Row],[Hill]]/druid_op_bonus,MIN(druid_op_cap,TblMili[[#This Row],[Hill]]/druid_op_bonus))</f>
        <v>2.1999999999999997</v>
      </c>
      <c r="BV130" s="271">
        <f ca="1">IF(druid_dp_cap="none",TblMili[[#This Row],[Hill]]/druid_dp_bonus,MIN(druid_dp_cap,TblMili[[#This Row],[Hill]]/druid_dp_bonus))</f>
        <v>2.1999999999999997</v>
      </c>
      <c r="BW130" s="271">
        <f ca="1">MIN(dryad_cap,TblMili[[#This Row],[Hill]]/dryad_bonus)</f>
        <v>2.1999999999999997</v>
      </c>
      <c r="BX130" s="271">
        <f ca="1">MIN(rocka_cap,TblMili[[#This Row],[Hill]]/rocka_bonus)</f>
        <v>2</v>
      </c>
      <c r="BY130" s="271">
        <f ca="1">MIN(adept_op_cap,TblMili[[#This Row],[WG]]/adept_op_bonus)</f>
        <v>0</v>
      </c>
      <c r="BZ130" s="271">
        <f ca="1">MIN(adept_dp_cap,TblMili[[#This Row],[WG]]/adept_dp_bonus)</f>
        <v>0</v>
      </c>
      <c r="CA130" s="97">
        <f ca="1">MIN(TblMili[[#This Row],[Unit 3]],TblMili[[#This Row],[Unit 4]])*2</f>
        <v>0</v>
      </c>
      <c r="CB130" s="97">
        <f ca="1">MIN(TblMili[[#This Row],[Unit 1]],TblMili[[#This Row],[Unit 4]])*2</f>
        <v>0</v>
      </c>
      <c r="CC130" s="271">
        <f ca="1">MIN(frost_mage_cap,TblMili[[#This Row],[Hill]]/frost_mage_bonus)</f>
        <v>2.1999999999999997</v>
      </c>
      <c r="CD130" s="45">
        <f ca="1">MIN(ice_elem_cap,TblMili[[#This Row],[Raw (2)]]*ice_elem_bonus)</f>
        <v>0.1</v>
      </c>
      <c r="CE130" s="271">
        <f t="shared" si="4"/>
        <v>1</v>
      </c>
      <c r="CF130" s="271">
        <f ca="1">MIN(nox_nightshade_cap,TblConstr[[#This Row],[Homeland]]/TblConstr[[#This Row],[Land]]/nox_nightshade_swamp_bonus)</f>
        <v>3</v>
      </c>
      <c r="CG130" s="272"/>
      <c r="CH130" s="272"/>
      <c r="CI130" s="272"/>
      <c r="CJ130" s="271">
        <f ca="1">MIN(6,TblMili[[#This Row],[Mystic]]+Races!$F$19)*1.8 +  IF(TblMili[[#This Row],[Mystic]]+Races!$F$19&gt;6,(TblMili[[#This Row],[Mystic]]+Races!$F$19-6)*0.2,0) - Races!$I$19</f>
        <v>3.6399999999999997</v>
      </c>
      <c r="CK130"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97">
        <f ca="1">TblMili[[#This Row],[Mystic bonus]]*TblMili[[#This Row],[Unit 3]]+TblMili[[#This Row],[Druid bonus]]*TblMili[[#This Row],[Unit 4]]</f>
        <v>0</v>
      </c>
      <c r="CM130" s="163">
        <f ca="1">MIN(6,TblMili[[#This Row],[Dryad]]+Races!$F$35)*1.8 +  IF(TblMili[[#This Row],[Dryad]]+Races!$F$35&gt;6,(TblMili[[#This Row],[Dryad]]+Races!$F$35-6)*0.2,0) - Races!$I$19</f>
        <v>2.1599999999999993</v>
      </c>
      <c r="CN130" s="97">
        <f ca="1">sylvan*(TblMili[[#This Row],[Mystic bonus]]*TblMili[[#This Row],[Unit 3]])</f>
        <v>0</v>
      </c>
      <c r="CO130" s="163">
        <f ca="1">1.8 * MIN(MAX(Races!$E$27,TblMili[[#This Row],[Rockapult]]+Races!$F$27),6)  +  0.45 * MIN(MIN(Races!$E$27,TblMili[[#This Row],[Rockapult]]+Races!$F$27),6)  +  0.2 * ( MAX(Races!$E$27-6,0) + MAX(TblMili[[#This Row],[Rockapult]]+Races!$F$27-6,0) )  -  Races!$I$20</f>
        <v>5.8500000000000005</v>
      </c>
      <c r="CP130" s="97">
        <f ca="1">gnome*(TblMili[[#This Row],[Rockapult bonus]]*TblMili[[#This Row],[Unit 3]])</f>
        <v>0</v>
      </c>
      <c r="CQ130" s="163">
        <f ca="1">1.8 * MIN(MAX(TblMili[[#This Row],[Spellblade]]+Races!$E$47,TblMili[[#This Row],[Adept-DP]]+Races!$F$47),6)  +  0.45 * MIN(MIN(TblMili[[#This Row],[Spellblade]]+Races!$E$47,TblMili[[#This Row],[Adept-DP]]+Races!$F$47),6)  +  0.2 * ( MAX(TblMili[[#This Row],[Spellblade]]+Races!$E$47-6,0) + MAX(TblMili[[#This Row],[Adept-DP]]+Races!$F$47-6,0) )  -  Races!$I$47</f>
        <v>0</v>
      </c>
      <c r="CR130" s="97">
        <f ca="1">dark_elf*(TblMili[[#This Row],[Adept bonus]]*TblMili[[#This Row],[Unit 3]])</f>
        <v>0</v>
      </c>
      <c r="CS130" s="163">
        <f ca="1">1.8 * MIN(MAX(TblMili[[#This Row],[Frost Mage]]+Races!$F$71,Races!$E$71),6)  +  0.45 * MIN(MIN(TblMili[[#This Row],[Frost Mage]]+Races!$F$71,Races!$E$71),6)  +  0.2 * ( MAX(TblMili[[#This Row],[Frost Mage]]+Races!$F$71-6,0) + MAX(Races!$E$71-6,0) )  -  Races!$I$71</f>
        <v>3.9599999999999991</v>
      </c>
      <c r="CT130" s="163">
        <f ca="1">1.8 * MIN(MAX(TblMili[[#This Row],[Ice Elemental]]+Races!$E$71,Races!$F$71),6)  +  0.45 * MIN(MIN(TblMili[[#This Row],[Ice Elemental]]+Races!$E$71,Races!$F$71),6)  +  0.2 * ( MAX(TblMili[[#This Row],[Ice Elemental]]+Races!$E$71-6,0) + MAX(Races!$F$71-6,0) )  -  Races!$I$71</f>
        <v>0.17999999999999972</v>
      </c>
      <c r="CU130" s="97">
        <f ca="1">TblMili[[#This Row],[Frost Mage bonus]]*TblMili[[#This Row],[Unit 3]]+TblMili[[#This Row],[Ice Elemental bonus]]*TblMili[[#This Row],[Unit 4]]</f>
        <v>0</v>
      </c>
      <c r="CV130" s="273"/>
      <c r="CW130" s="151">
        <f ca="1">MIN(SUM(TblConstr[[#This Row],[Plain]:[Water]])/TblMili[[#This Row],[Land]]/favorable_terrain_bonus/100,favorable_terrain_max)</f>
        <v>0.1</v>
      </c>
      <c r="CX130" s="273"/>
      <c r="CY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50"/>
      <c r="DA130" s="274">
        <f ca="1">(TblMili[[#This Row],[Wizards]]+2*TblMili[[#This Row],[Archmages]])/TblConstr[[#This Row],[Land]]</f>
        <v>0.1</v>
      </c>
      <c r="DB130" s="274">
        <f ca="1">TblMili[[#This Row],[Raw (2)]]*(1+race_wizard_strength+IF(TblMili[[#This Row],[Hour]]&gt;72,tech_magical_weaponry_wiz*TblTech[[#This Row],[3-5]],0))</f>
        <v>0.1</v>
      </c>
    </row>
    <row r="131" spans="1:106" x14ac:dyDescent="0.2">
      <c r="A131" s="145">
        <f>TblRezone[[#This Row],[Hour]]</f>
        <v>128</v>
      </c>
      <c r="B131" s="266">
        <f ca="1">SUM(TblMili[[#This Row],[Unit 1]:[Archmages]])+SUM(OFFSET(TblMili[[#This Row],[Train Unit 1]],-8,0):TblMili[[#This Row],[Train Unit 2]]) + SUM(OFFSET(TblMili[[#This Row],[Train Unit 3]],-11,0):TblMili[[#This Row],[Train Arch]]) + TblMili[[#This Row],[Draftees]]</f>
        <v>826</v>
      </c>
      <c r="C131" s="165">
        <f ca="1">TblPop[[#This Row],[Military%]]</f>
        <v>0.35029686174724345</v>
      </c>
      <c r="D131" s="150"/>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f>
        <v>25</v>
      </c>
      <c r="J131" s="45">
        <f ca="1">OFFSET(TblMili[[#This Row],[Wizards]],-1,0) + OFFSET(TblMili[[#This Row],[Train Wiz]],-12,0) - TblMili[[#This Row],[Release Wizards]]-TblMili[[#This Row],[Train Arch]]</f>
        <v>25</v>
      </c>
      <c r="K131" s="45">
        <f ca="1">OFFSET(TblMili[[#This Row],[Archmages]],-1,0) + OFFSET(TblMili[[#This Row],[Train Arch]],-12,0) - TblMili[[#This Row],[Release Arch]]</f>
        <v>0</v>
      </c>
      <c r="L131" s="150"/>
      <c r="M131" s="97">
        <f ca="1">TblProd[[#This Row],[Networth]]</f>
        <v>6450</v>
      </c>
      <c r="N131" s="150"/>
      <c r="O131" s="267">
        <f ca="1">TblMili[[#This Row],[Unit 1]]*spec_op+TblMili[[#This Row],[Unit 3]]*(elite1_base_op)+TblMili[[#This Row],[Unit 4]]*(elite2_base_op+dark_elf*TblMili[[#This Row],[Spellblade]]+icekin*TblMili[[#This Row],[Ice Elemental]]+woodie*TblMili[[#This Row],[Druid (op)]]+orc*TblMili[[#This Row],[Orc]])+kobold*TblMili[[#This Row],[Overlords]]</f>
        <v>0</v>
      </c>
      <c r="P131"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1" s="267">
        <f ca="1">TblMili[[#This Row],[Raw]]*(1+TblMili[[#This Row],[Mods_Off]])</f>
        <v>0</v>
      </c>
      <c r="R131"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1" s="267">
        <f ca="1">TblMili[[#This Row],[Non Draft]]+TblMili[[#This Row],[Draftees]]</f>
        <v>1076</v>
      </c>
      <c r="T131"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269">
        <f ca="1">TblMili[[#This Row],[Non Draft]] * (1 + TblMili[[#This Row],[Mods_Def]])</f>
        <v>450</v>
      </c>
      <c r="V131" s="267">
        <f ca="1">TblMili[[#This Row],[Draft]] * (1 + TblMili[[#This Row],[Mods_Def]])</f>
        <v>1076</v>
      </c>
      <c r="W131" s="267">
        <f ca="1">TblConstr[[#This Row],[Land]]</f>
        <v>250</v>
      </c>
      <c r="X131" s="270"/>
      <c r="Y131" s="275">
        <f ca="1">IF(TblMili[[#This Row],[Set]]&lt;&gt;"",TblMili[[#This Row],[Set]],OFFSET(TblMili[[#This Row],[Draftrate]],-1,0))</f>
        <v>0.35</v>
      </c>
      <c r="Z131" s="97">
        <f ca="1">OFFSET(TblMili[[#This Row],[Draftees]],-1,0)+OFFSET(TblPop[[#This Row],[Draft Growth]],-1,0) - SUM(TblMili[[#This Row],[Train Unit 1]:[Train Wiz]]) - TblMili[[#This Row],[Release Draft]] + SUM(TblMili[[#This Row],[Release Unit 1]:[Release Arch]]) -TblExplore[[#This Row],[Draftees (2)]]</f>
        <v>626</v>
      </c>
      <c r="AA131" s="162"/>
      <c r="AB131" s="188">
        <f ca="1">(TblConstr[[#This Row],[Tot Smi]]+TblConstr[[#This Row],[Dest Smi]])/(TblConstr[[#This Row],[Land]]-TblExplore[[#This Row],[Land Bonus]]*20)</f>
        <v>0</v>
      </c>
      <c r="AC131" s="145"/>
      <c r="AD131" s="266">
        <f>TblMili[[#This Row],[Hour]]</f>
        <v>128</v>
      </c>
      <c r="AE131" s="146">
        <f ca="1">TblExplore[[#This Row],[Time]]</f>
        <v>44816.041666666359</v>
      </c>
      <c r="AF131" s="187"/>
      <c r="AG131" s="187"/>
      <c r="AH131" s="187"/>
      <c r="AI131" s="187"/>
      <c r="AJ131" s="187"/>
      <c r="AK131" s="187"/>
      <c r="AL131" s="187"/>
      <c r="AM131" s="150"/>
      <c r="AN131" s="97">
        <f ca="1">TblProd[[#This Row],[Platinum]]</f>
        <v>797600</v>
      </c>
      <c r="AO131" s="97">
        <f ca="1">INDEX(TblProd[[#Headers],[Lumber]]:TblProd[[#This Row],[Ore]],COUNTA(TblProd[[#Headers],[Lumber]]:TblProd[[#This Row],[Lumber]]),MATCH(Military!$AO$2,TblProd[[#Headers],[Lumber]:[Ore]],0))</f>
        <v>0</v>
      </c>
      <c r="AP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97">
        <f ca="1">TblMili[[#This Row],[Train Unit 1]]*TblMili[[#This Row],[OP Ore]]+TblMili[[#This Row],[Train Unit 2]]*TblMili[[#This Row],[DP Ore]]+TblMili[[#This Row],[Train Unit 3]]*TblMili[[#This Row],[E1 Ore]]+TblMili[[#This Row],[Train Unit 4]]*TblMili[[#This Row],[E2 Ore]]</f>
        <v>0</v>
      </c>
      <c r="AR131" s="150">
        <f>TblMili[[#This Row],[Hour]]</f>
        <v>128</v>
      </c>
      <c r="AS131" s="160">
        <f ca="1">TblMili[[#This Row],[Time]]</f>
        <v>44816.041666666359</v>
      </c>
      <c r="AT131" s="97">
        <f ca="1">TblMili[[#This Row],[Draftees]]</f>
        <v>626</v>
      </c>
      <c r="AU131" s="187"/>
      <c r="AV131" s="187"/>
      <c r="AW131" s="187"/>
      <c r="AX131" s="187"/>
      <c r="AY131" s="187"/>
      <c r="AZ131" s="187"/>
      <c r="BA131" s="187"/>
      <c r="BB131" s="187"/>
      <c r="BC131" s="150"/>
      <c r="BD131" s="165">
        <f ca="1">TblConstr[[#This Row],[Tot WG]]/TblConstr[[#This Row],[Land]]</f>
        <v>0</v>
      </c>
      <c r="BE131" s="165">
        <f ca="1">TblConstr[[#This Row],[Tot Hav]]/TblConstr[[#This Row],[Land]]</f>
        <v>0</v>
      </c>
      <c r="BF131" s="97">
        <f ca="1">ROUNDUP((1-MIN(TblMili[[#This Row],[Smithies]]*smithy_bonus,smithy_bonus_cap) + tech_3_5*TblTech[[#This Row],[3-5]] + tech_5_3*TblTech[[#This Row],[5-3]] + tech_5_5*TblTech[[#This Row],[5-5]])*spec_op_plat,0)</f>
        <v>275</v>
      </c>
      <c r="BG131" s="97">
        <f ca="1">ROUNDUP(IF(race="Gnome",1,(1-MIN(TblMili[[#This Row],[Smithies]]*smithy_bonus,smithy_bonus_cap) + tech_3_5*TblTech[[#This Row],[3-5]] + tech_5_3*TblTech[[#This Row],[5-3]] + tech_5_5*TblTech[[#This Row],[5-5]]))*spec_op_ore,0)</f>
        <v>25</v>
      </c>
      <c r="BH131" s="97">
        <f ca="1">ROUNDUP((1-MIN(TblMili[[#This Row],[Smithies]]*smithy_bonus,smithy_bonus_cap) + tech_3_5*TblTech[[#This Row],[3-5]] + tech_5_3*TblTech[[#This Row],[5-3]] + tech_5_5*TblTech[[#This Row],[5-5]])*spec_dp_plat,0)</f>
        <v>275</v>
      </c>
      <c r="BI131" s="97">
        <f ca="1">ROUNDUP(IF(race="Gnome",1,(1-MIN(TblMili[[#This Row],[Smithies]]*smithy_bonus,smithy_bonus_cap) + tech_3_5*TblTech[[#This Row],[3-5]] + tech_5_3*TblTech[[#This Row],[5-3]] + tech_5_5*TblTech[[#This Row],[5-5]]))*spec_dp_ore,0)</f>
        <v>15</v>
      </c>
      <c r="BJ131" s="97">
        <f ca="1">ROUNDUP((1-MIN(TblMili[[#This Row],[Smithies]]*smithy_bonus,smithy_bonus_cap) + tech_3_5*TblTech[[#This Row],[3-5]] + tech_5_3*TblTech[[#This Row],[5-3]] + tech_5_5*TblTech[[#This Row],[5-5]])*elite1_plat,0)</f>
        <v>1000</v>
      </c>
      <c r="BK131" s="97">
        <f ca="1">ROUNDUP(IF(race="Gnome",1,(1-MIN(TblMili[[#This Row],[Smithies]]*smithy_bonus,smithy_bonus_cap) + tech_3_5*TblTech[[#This Row],[3-5]] + tech_5_3*TblTech[[#This Row],[5-3]] + tech_5_5*TblTech[[#This Row],[5-5]]))*elite1_ore,0)</f>
        <v>75</v>
      </c>
      <c r="BL131" s="97">
        <f ca="1">ROUNDUP((1-MIN(TblMili[[#This Row],[Smithies]]*smithy_bonus,smithy_bonus_cap) + tech_3_5*TblTech[[#This Row],[3-5]] + tech_5_3*TblTech[[#This Row],[5-3]] + tech_5_5*TblTech[[#This Row],[5-5]])*elite2_plat,0)</f>
        <v>1200</v>
      </c>
      <c r="BM131" s="97">
        <f ca="1">ROUNDUP(IF(race="Gnome",1,(1-MIN(TblMili[[#This Row],[Smithies]]*smithy_bonus,smithy_bonus_cap) + tech_3_5*TblTech[[#This Row],[3-5]] + tech_5_3*TblTech[[#This Row],[5-3]] + tech_5_5*TblTech[[#This Row],[5-5]]))*elite2_ore,0)</f>
        <v>100</v>
      </c>
      <c r="BN131" s="97">
        <f ca="1">ROUNDUP((1-MIN(ROUND(fh_spy_cost_red*TblMili[[#This Row],[FH''s]],4),fh_spy_cost_cap)+ tech_1_9*TblTech[[#This Row],[1-9]] + tech_9_1*TblTech[[#This Row],[9-1]])*spy_plat,0)</f>
        <v>500</v>
      </c>
      <c r="BO131" s="97">
        <f ca="1">ROUNDUP((1-MIN(ROUND(wg_wiz_cost_bonus*TblMili[[#This Row],[WG''s]],4),wg_wiz_cost_cap) + tech_1_9_2*TblTech[[#This Row],[1-9]] + tech_9_1_2*TblTech[[#This Row],[9-1]])*wizard_plat,0)</f>
        <v>500</v>
      </c>
      <c r="BP131" s="97">
        <f ca="1">ROUNDUP((1-MIN(ROUND(wg_wiz_cost_bonus*TblMili[[#This Row],[WG''s]],4),wg_wiz_cost_cap) + tech_1_9_2*TblTech[[#This Row],[1-9]] + tech_9_1_2*TblTech[[#This Row],[9-1]])*archmage_plat,0)</f>
        <v>1000</v>
      </c>
      <c r="BQ131" s="150"/>
      <c r="BR131" s="165">
        <f ca="1">TblConstr[[#This Row],[Homeland]]/TblConstr[[#This Row],[Land]]</f>
        <v>0.44</v>
      </c>
      <c r="BS131" s="165">
        <f ca="1">TblMili[[#This Row],[WG''s]]</f>
        <v>0</v>
      </c>
      <c r="BT131" s="271">
        <f ca="1">IF(mystic_cap="none",TblMili[[#This Row],[Hill]]/mystic_bonus,MIN(mystic_cap,TblMili[[#This Row],[Hill]]/mystic_bonus))</f>
        <v>2.1999999999999997</v>
      </c>
      <c r="BU131" s="271">
        <f ca="1">IF(druid_op_cap="none",TblMili[[#This Row],[Hill]]/druid_op_bonus,MIN(druid_op_cap,TblMili[[#This Row],[Hill]]/druid_op_bonus))</f>
        <v>2.1999999999999997</v>
      </c>
      <c r="BV131" s="271">
        <f ca="1">IF(druid_dp_cap="none",TblMili[[#This Row],[Hill]]/druid_dp_bonus,MIN(druid_dp_cap,TblMili[[#This Row],[Hill]]/druid_dp_bonus))</f>
        <v>2.1999999999999997</v>
      </c>
      <c r="BW131" s="271">
        <f ca="1">MIN(dryad_cap,TblMili[[#This Row],[Hill]]/dryad_bonus)</f>
        <v>2.1999999999999997</v>
      </c>
      <c r="BX131" s="271">
        <f ca="1">MIN(rocka_cap,TblMili[[#This Row],[Hill]]/rocka_bonus)</f>
        <v>2</v>
      </c>
      <c r="BY131" s="271">
        <f ca="1">MIN(adept_op_cap,TblMili[[#This Row],[WG]]/adept_op_bonus)</f>
        <v>0</v>
      </c>
      <c r="BZ131" s="271">
        <f ca="1">MIN(adept_dp_cap,TblMili[[#This Row],[WG]]/adept_dp_bonus)</f>
        <v>0</v>
      </c>
      <c r="CA131" s="97">
        <f ca="1">MIN(TblMili[[#This Row],[Unit 3]],TblMili[[#This Row],[Unit 4]])*2</f>
        <v>0</v>
      </c>
      <c r="CB131" s="97">
        <f ca="1">MIN(TblMili[[#This Row],[Unit 1]],TblMili[[#This Row],[Unit 4]])*2</f>
        <v>0</v>
      </c>
      <c r="CC131" s="271">
        <f ca="1">MIN(frost_mage_cap,TblMili[[#This Row],[Hill]]/frost_mage_bonus)</f>
        <v>2.1999999999999997</v>
      </c>
      <c r="CD131" s="45">
        <f ca="1">MIN(ice_elem_cap,TblMili[[#This Row],[Raw (2)]]*ice_elem_bonus)</f>
        <v>0.1</v>
      </c>
      <c r="CE131" s="271">
        <f t="shared" si="4"/>
        <v>1</v>
      </c>
      <c r="CF131" s="271">
        <f ca="1">MIN(nox_nightshade_cap,TblConstr[[#This Row],[Homeland]]/TblConstr[[#This Row],[Land]]/nox_nightshade_swamp_bonus)</f>
        <v>3</v>
      </c>
      <c r="CG131" s="272"/>
      <c r="CH131" s="272"/>
      <c r="CI131" s="272"/>
      <c r="CJ131" s="271">
        <f ca="1">MIN(6,TblMili[[#This Row],[Mystic]]+Races!$F$19)*1.8 +  IF(TblMili[[#This Row],[Mystic]]+Races!$F$19&gt;6,(TblMili[[#This Row],[Mystic]]+Races!$F$19-6)*0.2,0) - Races!$I$19</f>
        <v>3.6399999999999997</v>
      </c>
      <c r="CK131"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97">
        <f ca="1">TblMili[[#This Row],[Mystic bonus]]*TblMili[[#This Row],[Unit 3]]+TblMili[[#This Row],[Druid bonus]]*TblMili[[#This Row],[Unit 4]]</f>
        <v>0</v>
      </c>
      <c r="CM131" s="163">
        <f ca="1">MIN(6,TblMili[[#This Row],[Dryad]]+Races!$F$35)*1.8 +  IF(TblMili[[#This Row],[Dryad]]+Races!$F$35&gt;6,(TblMili[[#This Row],[Dryad]]+Races!$F$35-6)*0.2,0) - Races!$I$19</f>
        <v>2.1599999999999993</v>
      </c>
      <c r="CN131" s="97">
        <f ca="1">sylvan*(TblMili[[#This Row],[Mystic bonus]]*TblMili[[#This Row],[Unit 3]])</f>
        <v>0</v>
      </c>
      <c r="CO131" s="163">
        <f ca="1">1.8 * MIN(MAX(Races!$E$27,TblMili[[#This Row],[Rockapult]]+Races!$F$27),6)  +  0.45 * MIN(MIN(Races!$E$27,TblMili[[#This Row],[Rockapult]]+Races!$F$27),6)  +  0.2 * ( MAX(Races!$E$27-6,0) + MAX(TblMili[[#This Row],[Rockapult]]+Races!$F$27-6,0) )  -  Races!$I$20</f>
        <v>5.8500000000000005</v>
      </c>
      <c r="CP131" s="97">
        <f ca="1">gnome*(TblMili[[#This Row],[Rockapult bonus]]*TblMili[[#This Row],[Unit 3]])</f>
        <v>0</v>
      </c>
      <c r="CQ131" s="163">
        <f ca="1">1.8 * MIN(MAX(TblMili[[#This Row],[Spellblade]]+Races!$E$47,TblMili[[#This Row],[Adept-DP]]+Races!$F$47),6)  +  0.45 * MIN(MIN(TblMili[[#This Row],[Spellblade]]+Races!$E$47,TblMili[[#This Row],[Adept-DP]]+Races!$F$47),6)  +  0.2 * ( MAX(TblMili[[#This Row],[Spellblade]]+Races!$E$47-6,0) + MAX(TblMili[[#This Row],[Adept-DP]]+Races!$F$47-6,0) )  -  Races!$I$47</f>
        <v>0</v>
      </c>
      <c r="CR131" s="97">
        <f ca="1">dark_elf*(TblMili[[#This Row],[Adept bonus]]*TblMili[[#This Row],[Unit 3]])</f>
        <v>0</v>
      </c>
      <c r="CS131" s="163">
        <f ca="1">1.8 * MIN(MAX(TblMili[[#This Row],[Frost Mage]]+Races!$F$71,Races!$E$71),6)  +  0.45 * MIN(MIN(TblMili[[#This Row],[Frost Mage]]+Races!$F$71,Races!$E$71),6)  +  0.2 * ( MAX(TblMili[[#This Row],[Frost Mage]]+Races!$F$71-6,0) + MAX(Races!$E$71-6,0) )  -  Races!$I$71</f>
        <v>3.9599999999999991</v>
      </c>
      <c r="CT131" s="163">
        <f ca="1">1.8 * MIN(MAX(TblMili[[#This Row],[Ice Elemental]]+Races!$E$71,Races!$F$71),6)  +  0.45 * MIN(MIN(TblMili[[#This Row],[Ice Elemental]]+Races!$E$71,Races!$F$71),6)  +  0.2 * ( MAX(TblMili[[#This Row],[Ice Elemental]]+Races!$E$71-6,0) + MAX(Races!$F$71-6,0) )  -  Races!$I$71</f>
        <v>0.17999999999999972</v>
      </c>
      <c r="CU131" s="97">
        <f ca="1">TblMili[[#This Row],[Frost Mage bonus]]*TblMili[[#This Row],[Unit 3]]+TblMili[[#This Row],[Ice Elemental bonus]]*TblMili[[#This Row],[Unit 4]]</f>
        <v>0</v>
      </c>
      <c r="CV131" s="273"/>
      <c r="CW131" s="151">
        <f ca="1">MIN(SUM(TblConstr[[#This Row],[Plain]:[Water]])/TblMili[[#This Row],[Land]]/favorable_terrain_bonus/100,favorable_terrain_max)</f>
        <v>0.1</v>
      </c>
      <c r="CX131" s="273"/>
      <c r="CY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50"/>
      <c r="DA131" s="274">
        <f ca="1">(TblMili[[#This Row],[Wizards]]+2*TblMili[[#This Row],[Archmages]])/TblConstr[[#This Row],[Land]]</f>
        <v>0.1</v>
      </c>
      <c r="DB131" s="274">
        <f ca="1">TblMili[[#This Row],[Raw (2)]]*(1+race_wizard_strength+IF(TblMili[[#This Row],[Hour]]&gt;72,tech_magical_weaponry_wiz*TblTech[[#This Row],[3-5]],0))</f>
        <v>0.1</v>
      </c>
    </row>
    <row r="132" spans="1:106" x14ac:dyDescent="0.2">
      <c r="A132" s="145">
        <f>TblRezone[[#This Row],[Hour]]</f>
        <v>129</v>
      </c>
      <c r="B132" s="266">
        <f ca="1">SUM(TblMili[[#This Row],[Unit 1]:[Archmages]])+SUM(OFFSET(TblMili[[#This Row],[Train Unit 1]],-8,0):TblMili[[#This Row],[Train Unit 2]]) + SUM(OFFSET(TblMili[[#This Row],[Train Unit 3]],-11,0):TblMili[[#This Row],[Train Arch]]) + TblMili[[#This Row],[Draftees]]</f>
        <v>826</v>
      </c>
      <c r="C132" s="165">
        <f ca="1">TblPop[[#This Row],[Military%]]</f>
        <v>0.35029686174724345</v>
      </c>
      <c r="D132" s="150"/>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f>
        <v>25</v>
      </c>
      <c r="J132" s="45">
        <f ca="1">OFFSET(TblMili[[#This Row],[Wizards]],-1,0) + OFFSET(TblMili[[#This Row],[Train Wiz]],-12,0) - TblMili[[#This Row],[Release Wizards]]-TblMili[[#This Row],[Train Arch]]</f>
        <v>25</v>
      </c>
      <c r="K132" s="45">
        <f ca="1">OFFSET(TblMili[[#This Row],[Archmages]],-1,0) + OFFSET(TblMili[[#This Row],[Train Arch]],-12,0) - TblMili[[#This Row],[Release Arch]]</f>
        <v>0</v>
      </c>
      <c r="L132" s="150"/>
      <c r="M132" s="97">
        <f ca="1">TblProd[[#This Row],[Networth]]</f>
        <v>6450</v>
      </c>
      <c r="N132" s="150"/>
      <c r="O132" s="267">
        <f ca="1">TblMili[[#This Row],[Unit 1]]*spec_op+TblMili[[#This Row],[Unit 3]]*(elite1_base_op)+TblMili[[#This Row],[Unit 4]]*(elite2_base_op+dark_elf*TblMili[[#This Row],[Spellblade]]+icekin*TblMili[[#This Row],[Ice Elemental]]+woodie*TblMili[[#This Row],[Druid (op)]]+orc*TblMili[[#This Row],[Orc]])+kobold*TblMili[[#This Row],[Overlords]]</f>
        <v>0</v>
      </c>
      <c r="P13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2" s="267">
        <f ca="1">TblMili[[#This Row],[Raw]]*(1+TblMili[[#This Row],[Mods_Off]])</f>
        <v>0</v>
      </c>
      <c r="R132"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2" s="267">
        <f ca="1">TblMili[[#This Row],[Non Draft]]+TblMili[[#This Row],[Draftees]]</f>
        <v>1076</v>
      </c>
      <c r="T132"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269">
        <f ca="1">TblMili[[#This Row],[Non Draft]] * (1 + TblMili[[#This Row],[Mods_Def]])</f>
        <v>450</v>
      </c>
      <c r="V132" s="267">
        <f ca="1">TblMili[[#This Row],[Draft]] * (1 + TblMili[[#This Row],[Mods_Def]])</f>
        <v>1076</v>
      </c>
      <c r="W132" s="267">
        <f ca="1">TblConstr[[#This Row],[Land]]</f>
        <v>250</v>
      </c>
      <c r="X132" s="270"/>
      <c r="Y132" s="275">
        <f ca="1">IF(TblMili[[#This Row],[Set]]&lt;&gt;"",TblMili[[#This Row],[Set]],OFFSET(TblMili[[#This Row],[Draftrate]],-1,0))</f>
        <v>0.35</v>
      </c>
      <c r="Z132" s="97">
        <f ca="1">OFFSET(TblMili[[#This Row],[Draftees]],-1,0)+OFFSET(TblPop[[#This Row],[Draft Growth]],-1,0) - SUM(TblMili[[#This Row],[Train Unit 1]:[Train Wiz]]) - TblMili[[#This Row],[Release Draft]] + SUM(TblMili[[#This Row],[Release Unit 1]:[Release Arch]]) -TblExplore[[#This Row],[Draftees (2)]]</f>
        <v>626</v>
      </c>
      <c r="AA132" s="162"/>
      <c r="AB132" s="188">
        <f ca="1">(TblConstr[[#This Row],[Tot Smi]]+TblConstr[[#This Row],[Dest Smi]])/(TblConstr[[#This Row],[Land]]-TblExplore[[#This Row],[Land Bonus]]*20)</f>
        <v>0</v>
      </c>
      <c r="AC132" s="145"/>
      <c r="AD132" s="266">
        <f>TblMili[[#This Row],[Hour]]</f>
        <v>129</v>
      </c>
      <c r="AE132" s="146">
        <f ca="1">TblExplore[[#This Row],[Time]]</f>
        <v>44816.083333333023</v>
      </c>
      <c r="AF132" s="187"/>
      <c r="AG132" s="187"/>
      <c r="AH132" s="187"/>
      <c r="AI132" s="187"/>
      <c r="AJ132" s="187"/>
      <c r="AK132" s="187"/>
      <c r="AL132" s="187"/>
      <c r="AM132" s="150"/>
      <c r="AN132" s="97">
        <f ca="1">TblProd[[#This Row],[Platinum]]</f>
        <v>803086</v>
      </c>
      <c r="AO132" s="97">
        <f ca="1">INDEX(TblProd[[#Headers],[Lumber]]:TblProd[[#This Row],[Ore]],COUNTA(TblProd[[#Headers],[Lumber]]:TblProd[[#This Row],[Lumber]]),MATCH(Military!$AO$2,TblProd[[#Headers],[Lumber]:[Ore]],0))</f>
        <v>0</v>
      </c>
      <c r="AP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97">
        <f ca="1">TblMili[[#This Row],[Train Unit 1]]*TblMili[[#This Row],[OP Ore]]+TblMili[[#This Row],[Train Unit 2]]*TblMili[[#This Row],[DP Ore]]+TblMili[[#This Row],[Train Unit 3]]*TblMili[[#This Row],[E1 Ore]]+TblMili[[#This Row],[Train Unit 4]]*TblMili[[#This Row],[E2 Ore]]</f>
        <v>0</v>
      </c>
      <c r="AR132" s="150">
        <f>TblMili[[#This Row],[Hour]]</f>
        <v>129</v>
      </c>
      <c r="AS132" s="160">
        <f ca="1">TblMili[[#This Row],[Time]]</f>
        <v>44816.083333333023</v>
      </c>
      <c r="AT132" s="97">
        <f ca="1">TblMili[[#This Row],[Draftees]]</f>
        <v>626</v>
      </c>
      <c r="AU132" s="187"/>
      <c r="AV132" s="187"/>
      <c r="AW132" s="187"/>
      <c r="AX132" s="187"/>
      <c r="AY132" s="187"/>
      <c r="AZ132" s="187"/>
      <c r="BA132" s="187"/>
      <c r="BB132" s="187"/>
      <c r="BC132" s="150"/>
      <c r="BD132" s="165">
        <f ca="1">TblConstr[[#This Row],[Tot WG]]/TblConstr[[#This Row],[Land]]</f>
        <v>0</v>
      </c>
      <c r="BE132" s="165">
        <f ca="1">TblConstr[[#This Row],[Tot Hav]]/TblConstr[[#This Row],[Land]]</f>
        <v>0</v>
      </c>
      <c r="BF132" s="97">
        <f ca="1">ROUNDUP((1-MIN(TblMili[[#This Row],[Smithies]]*smithy_bonus,smithy_bonus_cap) + tech_3_5*TblTech[[#This Row],[3-5]] + tech_5_3*TblTech[[#This Row],[5-3]] + tech_5_5*TblTech[[#This Row],[5-5]])*spec_op_plat,0)</f>
        <v>275</v>
      </c>
      <c r="BG132" s="97">
        <f ca="1">ROUNDUP(IF(race="Gnome",1,(1-MIN(TblMili[[#This Row],[Smithies]]*smithy_bonus,smithy_bonus_cap) + tech_3_5*TblTech[[#This Row],[3-5]] + tech_5_3*TblTech[[#This Row],[5-3]] + tech_5_5*TblTech[[#This Row],[5-5]]))*spec_op_ore,0)</f>
        <v>25</v>
      </c>
      <c r="BH132" s="97">
        <f ca="1">ROUNDUP((1-MIN(TblMili[[#This Row],[Smithies]]*smithy_bonus,smithy_bonus_cap) + tech_3_5*TblTech[[#This Row],[3-5]] + tech_5_3*TblTech[[#This Row],[5-3]] + tech_5_5*TblTech[[#This Row],[5-5]])*spec_dp_plat,0)</f>
        <v>275</v>
      </c>
      <c r="BI132" s="97">
        <f ca="1">ROUNDUP(IF(race="Gnome",1,(1-MIN(TblMili[[#This Row],[Smithies]]*smithy_bonus,smithy_bonus_cap) + tech_3_5*TblTech[[#This Row],[3-5]] + tech_5_3*TblTech[[#This Row],[5-3]] + tech_5_5*TblTech[[#This Row],[5-5]]))*spec_dp_ore,0)</f>
        <v>15</v>
      </c>
      <c r="BJ132" s="97">
        <f ca="1">ROUNDUP((1-MIN(TblMili[[#This Row],[Smithies]]*smithy_bonus,smithy_bonus_cap) + tech_3_5*TblTech[[#This Row],[3-5]] + tech_5_3*TblTech[[#This Row],[5-3]] + tech_5_5*TblTech[[#This Row],[5-5]])*elite1_plat,0)</f>
        <v>1000</v>
      </c>
      <c r="BK132" s="97">
        <f ca="1">ROUNDUP(IF(race="Gnome",1,(1-MIN(TblMili[[#This Row],[Smithies]]*smithy_bonus,smithy_bonus_cap) + tech_3_5*TblTech[[#This Row],[3-5]] + tech_5_3*TblTech[[#This Row],[5-3]] + tech_5_5*TblTech[[#This Row],[5-5]]))*elite1_ore,0)</f>
        <v>75</v>
      </c>
      <c r="BL132" s="97">
        <f ca="1">ROUNDUP((1-MIN(TblMili[[#This Row],[Smithies]]*smithy_bonus,smithy_bonus_cap) + tech_3_5*TblTech[[#This Row],[3-5]] + tech_5_3*TblTech[[#This Row],[5-3]] + tech_5_5*TblTech[[#This Row],[5-5]])*elite2_plat,0)</f>
        <v>1200</v>
      </c>
      <c r="BM132" s="97">
        <f ca="1">ROUNDUP(IF(race="Gnome",1,(1-MIN(TblMili[[#This Row],[Smithies]]*smithy_bonus,smithy_bonus_cap) + tech_3_5*TblTech[[#This Row],[3-5]] + tech_5_3*TblTech[[#This Row],[5-3]] + tech_5_5*TblTech[[#This Row],[5-5]]))*elite2_ore,0)</f>
        <v>100</v>
      </c>
      <c r="BN132" s="97">
        <f ca="1">ROUNDUP((1-MIN(ROUND(fh_spy_cost_red*TblMili[[#This Row],[FH''s]],4),fh_spy_cost_cap)+ tech_1_9*TblTech[[#This Row],[1-9]] + tech_9_1*TblTech[[#This Row],[9-1]])*spy_plat,0)</f>
        <v>500</v>
      </c>
      <c r="BO132" s="97">
        <f ca="1">ROUNDUP((1-MIN(ROUND(wg_wiz_cost_bonus*TblMili[[#This Row],[WG''s]],4),wg_wiz_cost_cap) + tech_1_9_2*TblTech[[#This Row],[1-9]] + tech_9_1_2*TblTech[[#This Row],[9-1]])*wizard_plat,0)</f>
        <v>500</v>
      </c>
      <c r="BP132" s="97">
        <f ca="1">ROUNDUP((1-MIN(ROUND(wg_wiz_cost_bonus*TblMili[[#This Row],[WG''s]],4),wg_wiz_cost_cap) + tech_1_9_2*TblTech[[#This Row],[1-9]] + tech_9_1_2*TblTech[[#This Row],[9-1]])*archmage_plat,0)</f>
        <v>1000</v>
      </c>
      <c r="BQ132" s="150"/>
      <c r="BR132" s="165">
        <f ca="1">TblConstr[[#This Row],[Homeland]]/TblConstr[[#This Row],[Land]]</f>
        <v>0.44</v>
      </c>
      <c r="BS132" s="165">
        <f ca="1">TblMili[[#This Row],[WG''s]]</f>
        <v>0</v>
      </c>
      <c r="BT132" s="271">
        <f ca="1">IF(mystic_cap="none",TblMili[[#This Row],[Hill]]/mystic_bonus,MIN(mystic_cap,TblMili[[#This Row],[Hill]]/mystic_bonus))</f>
        <v>2.1999999999999997</v>
      </c>
      <c r="BU132" s="271">
        <f ca="1">IF(druid_op_cap="none",TblMili[[#This Row],[Hill]]/druid_op_bonus,MIN(druid_op_cap,TblMili[[#This Row],[Hill]]/druid_op_bonus))</f>
        <v>2.1999999999999997</v>
      </c>
      <c r="BV132" s="271">
        <f ca="1">IF(druid_dp_cap="none",TblMili[[#This Row],[Hill]]/druid_dp_bonus,MIN(druid_dp_cap,TblMili[[#This Row],[Hill]]/druid_dp_bonus))</f>
        <v>2.1999999999999997</v>
      </c>
      <c r="BW132" s="271">
        <f ca="1">MIN(dryad_cap,TblMili[[#This Row],[Hill]]/dryad_bonus)</f>
        <v>2.1999999999999997</v>
      </c>
      <c r="BX132" s="271">
        <f ca="1">MIN(rocka_cap,TblMili[[#This Row],[Hill]]/rocka_bonus)</f>
        <v>2</v>
      </c>
      <c r="BY132" s="271">
        <f ca="1">MIN(adept_op_cap,TblMili[[#This Row],[WG]]/adept_op_bonus)</f>
        <v>0</v>
      </c>
      <c r="BZ132" s="271">
        <f ca="1">MIN(adept_dp_cap,TblMili[[#This Row],[WG]]/adept_dp_bonus)</f>
        <v>0</v>
      </c>
      <c r="CA132" s="97">
        <f ca="1">MIN(TblMili[[#This Row],[Unit 3]],TblMili[[#This Row],[Unit 4]])*2</f>
        <v>0</v>
      </c>
      <c r="CB132" s="97">
        <f ca="1">MIN(TblMili[[#This Row],[Unit 1]],TblMili[[#This Row],[Unit 4]])*2</f>
        <v>0</v>
      </c>
      <c r="CC132" s="271">
        <f ca="1">MIN(frost_mage_cap,TblMili[[#This Row],[Hill]]/frost_mage_bonus)</f>
        <v>2.1999999999999997</v>
      </c>
      <c r="CD132" s="45">
        <f ca="1">MIN(ice_elem_cap,TblMili[[#This Row],[Raw (2)]]*ice_elem_bonus)</f>
        <v>0.1</v>
      </c>
      <c r="CE132" s="271">
        <f t="shared" si="4"/>
        <v>1</v>
      </c>
      <c r="CF132" s="271">
        <f ca="1">MIN(nox_nightshade_cap,TblConstr[[#This Row],[Homeland]]/TblConstr[[#This Row],[Land]]/nox_nightshade_swamp_bonus)</f>
        <v>3</v>
      </c>
      <c r="CG132" s="272"/>
      <c r="CH132" s="272"/>
      <c r="CI132" s="272"/>
      <c r="CJ132" s="271">
        <f ca="1">MIN(6,TblMili[[#This Row],[Mystic]]+Races!$F$19)*1.8 +  IF(TblMili[[#This Row],[Mystic]]+Races!$F$19&gt;6,(TblMili[[#This Row],[Mystic]]+Races!$F$19-6)*0.2,0) - Races!$I$19</f>
        <v>3.6399999999999997</v>
      </c>
      <c r="CK132"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97">
        <f ca="1">TblMili[[#This Row],[Mystic bonus]]*TblMili[[#This Row],[Unit 3]]+TblMili[[#This Row],[Druid bonus]]*TblMili[[#This Row],[Unit 4]]</f>
        <v>0</v>
      </c>
      <c r="CM132" s="163">
        <f ca="1">MIN(6,TblMili[[#This Row],[Dryad]]+Races!$F$35)*1.8 +  IF(TblMili[[#This Row],[Dryad]]+Races!$F$35&gt;6,(TblMili[[#This Row],[Dryad]]+Races!$F$35-6)*0.2,0) - Races!$I$19</f>
        <v>2.1599999999999993</v>
      </c>
      <c r="CN132" s="97">
        <f ca="1">sylvan*(TblMili[[#This Row],[Mystic bonus]]*TblMili[[#This Row],[Unit 3]])</f>
        <v>0</v>
      </c>
      <c r="CO132" s="163">
        <f ca="1">1.8 * MIN(MAX(Races!$E$27,TblMili[[#This Row],[Rockapult]]+Races!$F$27),6)  +  0.45 * MIN(MIN(Races!$E$27,TblMili[[#This Row],[Rockapult]]+Races!$F$27),6)  +  0.2 * ( MAX(Races!$E$27-6,0) + MAX(TblMili[[#This Row],[Rockapult]]+Races!$F$27-6,0) )  -  Races!$I$20</f>
        <v>5.8500000000000005</v>
      </c>
      <c r="CP132" s="97">
        <f ca="1">gnome*(TblMili[[#This Row],[Rockapult bonus]]*TblMili[[#This Row],[Unit 3]])</f>
        <v>0</v>
      </c>
      <c r="CQ132" s="163">
        <f ca="1">1.8 * MIN(MAX(TblMili[[#This Row],[Spellblade]]+Races!$E$47,TblMili[[#This Row],[Adept-DP]]+Races!$F$47),6)  +  0.45 * MIN(MIN(TblMili[[#This Row],[Spellblade]]+Races!$E$47,TblMili[[#This Row],[Adept-DP]]+Races!$F$47),6)  +  0.2 * ( MAX(TblMili[[#This Row],[Spellblade]]+Races!$E$47-6,0) + MAX(TblMili[[#This Row],[Adept-DP]]+Races!$F$47-6,0) )  -  Races!$I$47</f>
        <v>0</v>
      </c>
      <c r="CR132" s="97">
        <f ca="1">dark_elf*(TblMili[[#This Row],[Adept bonus]]*TblMili[[#This Row],[Unit 3]])</f>
        <v>0</v>
      </c>
      <c r="CS132" s="163">
        <f ca="1">1.8 * MIN(MAX(TblMili[[#This Row],[Frost Mage]]+Races!$F$71,Races!$E$71),6)  +  0.45 * MIN(MIN(TblMili[[#This Row],[Frost Mage]]+Races!$F$71,Races!$E$71),6)  +  0.2 * ( MAX(TblMili[[#This Row],[Frost Mage]]+Races!$F$71-6,0) + MAX(Races!$E$71-6,0) )  -  Races!$I$71</f>
        <v>3.9599999999999991</v>
      </c>
      <c r="CT132" s="163">
        <f ca="1">1.8 * MIN(MAX(TblMili[[#This Row],[Ice Elemental]]+Races!$E$71,Races!$F$71),6)  +  0.45 * MIN(MIN(TblMili[[#This Row],[Ice Elemental]]+Races!$E$71,Races!$F$71),6)  +  0.2 * ( MAX(TblMili[[#This Row],[Ice Elemental]]+Races!$E$71-6,0) + MAX(Races!$F$71-6,0) )  -  Races!$I$71</f>
        <v>0.17999999999999972</v>
      </c>
      <c r="CU132" s="97">
        <f ca="1">TblMili[[#This Row],[Frost Mage bonus]]*TblMili[[#This Row],[Unit 3]]+TblMili[[#This Row],[Ice Elemental bonus]]*TblMili[[#This Row],[Unit 4]]</f>
        <v>0</v>
      </c>
      <c r="CV132" s="273"/>
      <c r="CW132" s="151">
        <f ca="1">MIN(SUM(TblConstr[[#This Row],[Plain]:[Water]])/TblMili[[#This Row],[Land]]/favorable_terrain_bonus/100,favorable_terrain_max)</f>
        <v>0.1</v>
      </c>
      <c r="CX132" s="273"/>
      <c r="CY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50"/>
      <c r="DA132" s="274">
        <f ca="1">(TblMili[[#This Row],[Wizards]]+2*TblMili[[#This Row],[Archmages]])/TblConstr[[#This Row],[Land]]</f>
        <v>0.1</v>
      </c>
      <c r="DB132" s="274">
        <f ca="1">TblMili[[#This Row],[Raw (2)]]*(1+race_wizard_strength+IF(TblMili[[#This Row],[Hour]]&gt;72,tech_magical_weaponry_wiz*TblTech[[#This Row],[3-5]],0))</f>
        <v>0.1</v>
      </c>
    </row>
    <row r="133" spans="1:106" x14ac:dyDescent="0.2">
      <c r="A133" s="145">
        <f>TblRezone[[#This Row],[Hour]]</f>
        <v>130</v>
      </c>
      <c r="B133" s="266">
        <f ca="1">SUM(TblMili[[#This Row],[Unit 1]:[Archmages]])+SUM(OFFSET(TblMili[[#This Row],[Train Unit 1]],-8,0):TblMili[[#This Row],[Train Unit 2]]) + SUM(OFFSET(TblMili[[#This Row],[Train Unit 3]],-11,0):TblMili[[#This Row],[Train Arch]]) + TblMili[[#This Row],[Draftees]]</f>
        <v>826</v>
      </c>
      <c r="C133" s="165">
        <f ca="1">TblPop[[#This Row],[Military%]]</f>
        <v>0.35029686174724345</v>
      </c>
      <c r="D133" s="150"/>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f>
        <v>25</v>
      </c>
      <c r="J133" s="45">
        <f ca="1">OFFSET(TblMili[[#This Row],[Wizards]],-1,0) + OFFSET(TblMili[[#This Row],[Train Wiz]],-12,0) - TblMili[[#This Row],[Release Wizards]]-TblMili[[#This Row],[Train Arch]]</f>
        <v>25</v>
      </c>
      <c r="K133" s="45">
        <f ca="1">OFFSET(TblMili[[#This Row],[Archmages]],-1,0) + OFFSET(TblMili[[#This Row],[Train Arch]],-12,0) - TblMili[[#This Row],[Release Arch]]</f>
        <v>0</v>
      </c>
      <c r="L133" s="150"/>
      <c r="M133" s="97">
        <f ca="1">TblProd[[#This Row],[Networth]]</f>
        <v>6450</v>
      </c>
      <c r="N133" s="150"/>
      <c r="O133" s="267">
        <f ca="1">TblMili[[#This Row],[Unit 1]]*spec_op+TblMili[[#This Row],[Unit 3]]*(elite1_base_op)+TblMili[[#This Row],[Unit 4]]*(elite2_base_op+dark_elf*TblMili[[#This Row],[Spellblade]]+icekin*TblMili[[#This Row],[Ice Elemental]]+woodie*TblMili[[#This Row],[Druid (op)]]+orc*TblMili[[#This Row],[Orc]])+kobold*TblMili[[#This Row],[Overlords]]</f>
        <v>0</v>
      </c>
      <c r="P133"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3" s="267">
        <f ca="1">TblMili[[#This Row],[Raw]]*(1+TblMili[[#This Row],[Mods_Off]])</f>
        <v>0</v>
      </c>
      <c r="R133"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3" s="267">
        <f ca="1">TblMili[[#This Row],[Non Draft]]+TblMili[[#This Row],[Draftees]]</f>
        <v>1076</v>
      </c>
      <c r="T133"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269">
        <f ca="1">TblMili[[#This Row],[Non Draft]] * (1 + TblMili[[#This Row],[Mods_Def]])</f>
        <v>450</v>
      </c>
      <c r="V133" s="267">
        <f ca="1">TblMili[[#This Row],[Draft]] * (1 + TblMili[[#This Row],[Mods_Def]])</f>
        <v>1076</v>
      </c>
      <c r="W133" s="267">
        <f ca="1">TblConstr[[#This Row],[Land]]</f>
        <v>250</v>
      </c>
      <c r="X133" s="270"/>
      <c r="Y133" s="275">
        <f ca="1">IF(TblMili[[#This Row],[Set]]&lt;&gt;"",TblMili[[#This Row],[Set]],OFFSET(TblMili[[#This Row],[Draftrate]],-1,0))</f>
        <v>0.35</v>
      </c>
      <c r="Z133" s="97">
        <f ca="1">OFFSET(TblMili[[#This Row],[Draftees]],-1,0)+OFFSET(TblPop[[#This Row],[Draft Growth]],-1,0) - SUM(TblMili[[#This Row],[Train Unit 1]:[Train Wiz]]) - TblMili[[#This Row],[Release Draft]] + SUM(TblMili[[#This Row],[Release Unit 1]:[Release Arch]]) -TblExplore[[#This Row],[Draftees (2)]]</f>
        <v>626</v>
      </c>
      <c r="AA133" s="162"/>
      <c r="AB133" s="188">
        <f ca="1">(TblConstr[[#This Row],[Tot Smi]]+TblConstr[[#This Row],[Dest Smi]])/(TblConstr[[#This Row],[Land]]-TblExplore[[#This Row],[Land Bonus]]*20)</f>
        <v>0</v>
      </c>
      <c r="AC133" s="145"/>
      <c r="AD133" s="266">
        <f>TblMili[[#This Row],[Hour]]</f>
        <v>130</v>
      </c>
      <c r="AE133" s="146">
        <f ca="1">TblExplore[[#This Row],[Time]]</f>
        <v>44816.124999999687</v>
      </c>
      <c r="AF133" s="187"/>
      <c r="AG133" s="187"/>
      <c r="AH133" s="187"/>
      <c r="AI133" s="187"/>
      <c r="AJ133" s="187"/>
      <c r="AK133" s="187"/>
      <c r="AL133" s="187"/>
      <c r="AM133" s="150"/>
      <c r="AN133" s="97">
        <f ca="1">TblProd[[#This Row],[Platinum]]</f>
        <v>808572</v>
      </c>
      <c r="AO133" s="97">
        <f ca="1">INDEX(TblProd[[#Headers],[Lumber]]:TblProd[[#This Row],[Ore]],COUNTA(TblProd[[#Headers],[Lumber]]:TblProd[[#This Row],[Lumber]]),MATCH(Military!$AO$2,TblProd[[#Headers],[Lumber]:[Ore]],0))</f>
        <v>0</v>
      </c>
      <c r="AP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97">
        <f ca="1">TblMili[[#This Row],[Train Unit 1]]*TblMili[[#This Row],[OP Ore]]+TblMili[[#This Row],[Train Unit 2]]*TblMili[[#This Row],[DP Ore]]+TblMili[[#This Row],[Train Unit 3]]*TblMili[[#This Row],[E1 Ore]]+TblMili[[#This Row],[Train Unit 4]]*TblMili[[#This Row],[E2 Ore]]</f>
        <v>0</v>
      </c>
      <c r="AR133" s="150">
        <f>TblMili[[#This Row],[Hour]]</f>
        <v>130</v>
      </c>
      <c r="AS133" s="160">
        <f ca="1">TblMili[[#This Row],[Time]]</f>
        <v>44816.124999999687</v>
      </c>
      <c r="AT133" s="97">
        <f ca="1">TblMili[[#This Row],[Draftees]]</f>
        <v>626</v>
      </c>
      <c r="AU133" s="187"/>
      <c r="AV133" s="187"/>
      <c r="AW133" s="187"/>
      <c r="AX133" s="187"/>
      <c r="AY133" s="187"/>
      <c r="AZ133" s="187"/>
      <c r="BA133" s="187"/>
      <c r="BB133" s="187"/>
      <c r="BC133" s="150"/>
      <c r="BD133" s="165">
        <f ca="1">TblConstr[[#This Row],[Tot WG]]/TblConstr[[#This Row],[Land]]</f>
        <v>0</v>
      </c>
      <c r="BE133" s="165">
        <f ca="1">TblConstr[[#This Row],[Tot Hav]]/TblConstr[[#This Row],[Land]]</f>
        <v>0</v>
      </c>
      <c r="BF133" s="97">
        <f ca="1">ROUNDUP((1-MIN(TblMili[[#This Row],[Smithies]]*smithy_bonus,smithy_bonus_cap) + tech_3_5*TblTech[[#This Row],[3-5]] + tech_5_3*TblTech[[#This Row],[5-3]] + tech_5_5*TblTech[[#This Row],[5-5]])*spec_op_plat,0)</f>
        <v>275</v>
      </c>
      <c r="BG133" s="97">
        <f ca="1">ROUNDUP(IF(race="Gnome",1,(1-MIN(TblMili[[#This Row],[Smithies]]*smithy_bonus,smithy_bonus_cap) + tech_3_5*TblTech[[#This Row],[3-5]] + tech_5_3*TblTech[[#This Row],[5-3]] + tech_5_5*TblTech[[#This Row],[5-5]]))*spec_op_ore,0)</f>
        <v>25</v>
      </c>
      <c r="BH133" s="97">
        <f ca="1">ROUNDUP((1-MIN(TblMili[[#This Row],[Smithies]]*smithy_bonus,smithy_bonus_cap) + tech_3_5*TblTech[[#This Row],[3-5]] + tech_5_3*TblTech[[#This Row],[5-3]] + tech_5_5*TblTech[[#This Row],[5-5]])*spec_dp_plat,0)</f>
        <v>275</v>
      </c>
      <c r="BI133" s="97">
        <f ca="1">ROUNDUP(IF(race="Gnome",1,(1-MIN(TblMili[[#This Row],[Smithies]]*smithy_bonus,smithy_bonus_cap) + tech_3_5*TblTech[[#This Row],[3-5]] + tech_5_3*TblTech[[#This Row],[5-3]] + tech_5_5*TblTech[[#This Row],[5-5]]))*spec_dp_ore,0)</f>
        <v>15</v>
      </c>
      <c r="BJ133" s="97">
        <f ca="1">ROUNDUP((1-MIN(TblMili[[#This Row],[Smithies]]*smithy_bonus,smithy_bonus_cap) + tech_3_5*TblTech[[#This Row],[3-5]] + tech_5_3*TblTech[[#This Row],[5-3]] + tech_5_5*TblTech[[#This Row],[5-5]])*elite1_plat,0)</f>
        <v>1000</v>
      </c>
      <c r="BK133" s="97">
        <f ca="1">ROUNDUP(IF(race="Gnome",1,(1-MIN(TblMili[[#This Row],[Smithies]]*smithy_bonus,smithy_bonus_cap) + tech_3_5*TblTech[[#This Row],[3-5]] + tech_5_3*TblTech[[#This Row],[5-3]] + tech_5_5*TblTech[[#This Row],[5-5]]))*elite1_ore,0)</f>
        <v>75</v>
      </c>
      <c r="BL133" s="97">
        <f ca="1">ROUNDUP((1-MIN(TblMili[[#This Row],[Smithies]]*smithy_bonus,smithy_bonus_cap) + tech_3_5*TblTech[[#This Row],[3-5]] + tech_5_3*TblTech[[#This Row],[5-3]] + tech_5_5*TblTech[[#This Row],[5-5]])*elite2_plat,0)</f>
        <v>1200</v>
      </c>
      <c r="BM133" s="97">
        <f ca="1">ROUNDUP(IF(race="Gnome",1,(1-MIN(TblMili[[#This Row],[Smithies]]*smithy_bonus,smithy_bonus_cap) + tech_3_5*TblTech[[#This Row],[3-5]] + tech_5_3*TblTech[[#This Row],[5-3]] + tech_5_5*TblTech[[#This Row],[5-5]]))*elite2_ore,0)</f>
        <v>100</v>
      </c>
      <c r="BN133" s="97">
        <f ca="1">ROUNDUP((1-MIN(ROUND(fh_spy_cost_red*TblMili[[#This Row],[FH''s]],4),fh_spy_cost_cap)+ tech_1_9*TblTech[[#This Row],[1-9]] + tech_9_1*TblTech[[#This Row],[9-1]])*spy_plat,0)</f>
        <v>500</v>
      </c>
      <c r="BO133" s="97">
        <f ca="1">ROUNDUP((1-MIN(ROUND(wg_wiz_cost_bonus*TblMili[[#This Row],[WG''s]],4),wg_wiz_cost_cap) + tech_1_9_2*TblTech[[#This Row],[1-9]] + tech_9_1_2*TblTech[[#This Row],[9-1]])*wizard_plat,0)</f>
        <v>500</v>
      </c>
      <c r="BP133" s="97">
        <f ca="1">ROUNDUP((1-MIN(ROUND(wg_wiz_cost_bonus*TblMili[[#This Row],[WG''s]],4),wg_wiz_cost_cap) + tech_1_9_2*TblTech[[#This Row],[1-9]] + tech_9_1_2*TblTech[[#This Row],[9-1]])*archmage_plat,0)</f>
        <v>1000</v>
      </c>
      <c r="BQ133" s="150"/>
      <c r="BR133" s="165">
        <f ca="1">TblConstr[[#This Row],[Homeland]]/TblConstr[[#This Row],[Land]]</f>
        <v>0.44</v>
      </c>
      <c r="BS133" s="165">
        <f ca="1">TblMili[[#This Row],[WG''s]]</f>
        <v>0</v>
      </c>
      <c r="BT133" s="271">
        <f ca="1">IF(mystic_cap="none",TblMili[[#This Row],[Hill]]/mystic_bonus,MIN(mystic_cap,TblMili[[#This Row],[Hill]]/mystic_bonus))</f>
        <v>2.1999999999999997</v>
      </c>
      <c r="BU133" s="271">
        <f ca="1">IF(druid_op_cap="none",TblMili[[#This Row],[Hill]]/druid_op_bonus,MIN(druid_op_cap,TblMili[[#This Row],[Hill]]/druid_op_bonus))</f>
        <v>2.1999999999999997</v>
      </c>
      <c r="BV133" s="271">
        <f ca="1">IF(druid_dp_cap="none",TblMili[[#This Row],[Hill]]/druid_dp_bonus,MIN(druid_dp_cap,TblMili[[#This Row],[Hill]]/druid_dp_bonus))</f>
        <v>2.1999999999999997</v>
      </c>
      <c r="BW133" s="271">
        <f ca="1">MIN(dryad_cap,TblMili[[#This Row],[Hill]]/dryad_bonus)</f>
        <v>2.1999999999999997</v>
      </c>
      <c r="BX133" s="271">
        <f ca="1">MIN(rocka_cap,TblMili[[#This Row],[Hill]]/rocka_bonus)</f>
        <v>2</v>
      </c>
      <c r="BY133" s="271">
        <f ca="1">MIN(adept_op_cap,TblMili[[#This Row],[WG]]/adept_op_bonus)</f>
        <v>0</v>
      </c>
      <c r="BZ133" s="271">
        <f ca="1">MIN(adept_dp_cap,TblMili[[#This Row],[WG]]/adept_dp_bonus)</f>
        <v>0</v>
      </c>
      <c r="CA133" s="97">
        <f ca="1">MIN(TblMili[[#This Row],[Unit 3]],TblMili[[#This Row],[Unit 4]])*2</f>
        <v>0</v>
      </c>
      <c r="CB133" s="97">
        <f ca="1">MIN(TblMili[[#This Row],[Unit 1]],TblMili[[#This Row],[Unit 4]])*2</f>
        <v>0</v>
      </c>
      <c r="CC133" s="271">
        <f ca="1">MIN(frost_mage_cap,TblMili[[#This Row],[Hill]]/frost_mage_bonus)</f>
        <v>2.1999999999999997</v>
      </c>
      <c r="CD133" s="45">
        <f ca="1">MIN(ice_elem_cap,TblMili[[#This Row],[Raw (2)]]*ice_elem_bonus)</f>
        <v>0.1</v>
      </c>
      <c r="CE133" s="271">
        <f t="shared" si="4"/>
        <v>1</v>
      </c>
      <c r="CF133" s="271">
        <f ca="1">MIN(nox_nightshade_cap,TblConstr[[#This Row],[Homeland]]/TblConstr[[#This Row],[Land]]/nox_nightshade_swamp_bonus)</f>
        <v>3</v>
      </c>
      <c r="CG133" s="272"/>
      <c r="CH133" s="272"/>
      <c r="CI133" s="272"/>
      <c r="CJ133" s="271">
        <f ca="1">MIN(6,TblMili[[#This Row],[Mystic]]+Races!$F$19)*1.8 +  IF(TblMili[[#This Row],[Mystic]]+Races!$F$19&gt;6,(TblMili[[#This Row],[Mystic]]+Races!$F$19-6)*0.2,0) - Races!$I$19</f>
        <v>3.6399999999999997</v>
      </c>
      <c r="CK133"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97">
        <f ca="1">TblMili[[#This Row],[Mystic bonus]]*TblMili[[#This Row],[Unit 3]]+TblMili[[#This Row],[Druid bonus]]*TblMili[[#This Row],[Unit 4]]</f>
        <v>0</v>
      </c>
      <c r="CM133" s="163">
        <f ca="1">MIN(6,TblMili[[#This Row],[Dryad]]+Races!$F$35)*1.8 +  IF(TblMili[[#This Row],[Dryad]]+Races!$F$35&gt;6,(TblMili[[#This Row],[Dryad]]+Races!$F$35-6)*0.2,0) - Races!$I$19</f>
        <v>2.1599999999999993</v>
      </c>
      <c r="CN133" s="97">
        <f ca="1">sylvan*(TblMili[[#This Row],[Mystic bonus]]*TblMili[[#This Row],[Unit 3]])</f>
        <v>0</v>
      </c>
      <c r="CO133" s="163">
        <f ca="1">1.8 * MIN(MAX(Races!$E$27,TblMili[[#This Row],[Rockapult]]+Races!$F$27),6)  +  0.45 * MIN(MIN(Races!$E$27,TblMili[[#This Row],[Rockapult]]+Races!$F$27),6)  +  0.2 * ( MAX(Races!$E$27-6,0) + MAX(TblMili[[#This Row],[Rockapult]]+Races!$F$27-6,0) )  -  Races!$I$20</f>
        <v>5.8500000000000005</v>
      </c>
      <c r="CP133" s="97">
        <f ca="1">gnome*(TblMili[[#This Row],[Rockapult bonus]]*TblMili[[#This Row],[Unit 3]])</f>
        <v>0</v>
      </c>
      <c r="CQ133" s="163">
        <f ca="1">1.8 * MIN(MAX(TblMili[[#This Row],[Spellblade]]+Races!$E$47,TblMili[[#This Row],[Adept-DP]]+Races!$F$47),6)  +  0.45 * MIN(MIN(TblMili[[#This Row],[Spellblade]]+Races!$E$47,TblMili[[#This Row],[Adept-DP]]+Races!$F$47),6)  +  0.2 * ( MAX(TblMili[[#This Row],[Spellblade]]+Races!$E$47-6,0) + MAX(TblMili[[#This Row],[Adept-DP]]+Races!$F$47-6,0) )  -  Races!$I$47</f>
        <v>0</v>
      </c>
      <c r="CR133" s="97">
        <f ca="1">dark_elf*(TblMili[[#This Row],[Adept bonus]]*TblMili[[#This Row],[Unit 3]])</f>
        <v>0</v>
      </c>
      <c r="CS133" s="163">
        <f ca="1">1.8 * MIN(MAX(TblMili[[#This Row],[Frost Mage]]+Races!$F$71,Races!$E$71),6)  +  0.45 * MIN(MIN(TblMili[[#This Row],[Frost Mage]]+Races!$F$71,Races!$E$71),6)  +  0.2 * ( MAX(TblMili[[#This Row],[Frost Mage]]+Races!$F$71-6,0) + MAX(Races!$E$71-6,0) )  -  Races!$I$71</f>
        <v>3.9599999999999991</v>
      </c>
      <c r="CT133" s="163">
        <f ca="1">1.8 * MIN(MAX(TblMili[[#This Row],[Ice Elemental]]+Races!$E$71,Races!$F$71),6)  +  0.45 * MIN(MIN(TblMili[[#This Row],[Ice Elemental]]+Races!$E$71,Races!$F$71),6)  +  0.2 * ( MAX(TblMili[[#This Row],[Ice Elemental]]+Races!$E$71-6,0) + MAX(Races!$F$71-6,0) )  -  Races!$I$71</f>
        <v>0.17999999999999972</v>
      </c>
      <c r="CU133" s="97">
        <f ca="1">TblMili[[#This Row],[Frost Mage bonus]]*TblMili[[#This Row],[Unit 3]]+TblMili[[#This Row],[Ice Elemental bonus]]*TblMili[[#This Row],[Unit 4]]</f>
        <v>0</v>
      </c>
      <c r="CV133" s="273"/>
      <c r="CW133" s="151">
        <f ca="1">MIN(SUM(TblConstr[[#This Row],[Plain]:[Water]])/TblMili[[#This Row],[Land]]/favorable_terrain_bonus/100,favorable_terrain_max)</f>
        <v>0.1</v>
      </c>
      <c r="CX133" s="273"/>
      <c r="CY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50"/>
      <c r="DA133" s="274">
        <f ca="1">(TblMili[[#This Row],[Wizards]]+2*TblMili[[#This Row],[Archmages]])/TblConstr[[#This Row],[Land]]</f>
        <v>0.1</v>
      </c>
      <c r="DB133" s="274">
        <f ca="1">TblMili[[#This Row],[Raw (2)]]*(1+race_wizard_strength+IF(TblMili[[#This Row],[Hour]]&gt;72,tech_magical_weaponry_wiz*TblTech[[#This Row],[3-5]],0))</f>
        <v>0.1</v>
      </c>
    </row>
    <row r="134" spans="1:106" x14ac:dyDescent="0.2">
      <c r="A134" s="145">
        <f>TblRezone[[#This Row],[Hour]]</f>
        <v>131</v>
      </c>
      <c r="B134" s="266">
        <f ca="1">SUM(TblMili[[#This Row],[Unit 1]:[Archmages]])+SUM(OFFSET(TblMili[[#This Row],[Train Unit 1]],-8,0):TblMili[[#This Row],[Train Unit 2]]) + SUM(OFFSET(TblMili[[#This Row],[Train Unit 3]],-11,0):TblMili[[#This Row],[Train Arch]]) + TblMili[[#This Row],[Draftees]]</f>
        <v>826</v>
      </c>
      <c r="C134" s="165">
        <f ca="1">TblPop[[#This Row],[Military%]]</f>
        <v>0.35029686174724345</v>
      </c>
      <c r="D134" s="150"/>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f>
        <v>25</v>
      </c>
      <c r="J134" s="45">
        <f ca="1">OFFSET(TblMili[[#This Row],[Wizards]],-1,0) + OFFSET(TblMili[[#This Row],[Train Wiz]],-12,0) - TblMili[[#This Row],[Release Wizards]]-TblMili[[#This Row],[Train Arch]]</f>
        <v>25</v>
      </c>
      <c r="K134" s="45">
        <f ca="1">OFFSET(TblMili[[#This Row],[Archmages]],-1,0) + OFFSET(TblMili[[#This Row],[Train Arch]],-12,0) - TblMili[[#This Row],[Release Arch]]</f>
        <v>0</v>
      </c>
      <c r="L134" s="150"/>
      <c r="M134" s="97">
        <f ca="1">TblProd[[#This Row],[Networth]]</f>
        <v>6450</v>
      </c>
      <c r="N134" s="150"/>
      <c r="O134" s="267">
        <f ca="1">TblMili[[#This Row],[Unit 1]]*spec_op+TblMili[[#This Row],[Unit 3]]*(elite1_base_op)+TblMili[[#This Row],[Unit 4]]*(elite2_base_op+dark_elf*TblMili[[#This Row],[Spellblade]]+icekin*TblMili[[#This Row],[Ice Elemental]]+woodie*TblMili[[#This Row],[Druid (op)]]+orc*TblMili[[#This Row],[Orc]])+kobold*TblMili[[#This Row],[Overlords]]</f>
        <v>0</v>
      </c>
      <c r="P134"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4" s="267">
        <f ca="1">TblMili[[#This Row],[Raw]]*(1+TblMili[[#This Row],[Mods_Off]])</f>
        <v>0</v>
      </c>
      <c r="R134"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4" s="267">
        <f ca="1">TblMili[[#This Row],[Non Draft]]+TblMili[[#This Row],[Draftees]]</f>
        <v>1076</v>
      </c>
      <c r="T134"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269">
        <f ca="1">TblMili[[#This Row],[Non Draft]] * (1 + TblMili[[#This Row],[Mods_Def]])</f>
        <v>450</v>
      </c>
      <c r="V134" s="267">
        <f ca="1">TblMili[[#This Row],[Draft]] * (1 + TblMili[[#This Row],[Mods_Def]])</f>
        <v>1076</v>
      </c>
      <c r="W134" s="267">
        <f ca="1">TblConstr[[#This Row],[Land]]</f>
        <v>250</v>
      </c>
      <c r="X134" s="270"/>
      <c r="Y134" s="275">
        <f ca="1">IF(TblMili[[#This Row],[Set]]&lt;&gt;"",TblMili[[#This Row],[Set]],OFFSET(TblMili[[#This Row],[Draftrate]],-1,0))</f>
        <v>0.35</v>
      </c>
      <c r="Z134" s="97">
        <f ca="1">OFFSET(TblMili[[#This Row],[Draftees]],-1,0)+OFFSET(TblPop[[#This Row],[Draft Growth]],-1,0) - SUM(TblMili[[#This Row],[Train Unit 1]:[Train Wiz]]) - TblMili[[#This Row],[Release Draft]] + SUM(TblMili[[#This Row],[Release Unit 1]:[Release Arch]]) -TblExplore[[#This Row],[Draftees (2)]]</f>
        <v>626</v>
      </c>
      <c r="AA134" s="162"/>
      <c r="AB134" s="188">
        <f ca="1">(TblConstr[[#This Row],[Tot Smi]]+TblConstr[[#This Row],[Dest Smi]])/(TblConstr[[#This Row],[Land]]-TblExplore[[#This Row],[Land Bonus]]*20)</f>
        <v>0</v>
      </c>
      <c r="AC134" s="145"/>
      <c r="AD134" s="266">
        <f>TblMili[[#This Row],[Hour]]</f>
        <v>131</v>
      </c>
      <c r="AE134" s="146">
        <f ca="1">TblExplore[[#This Row],[Time]]</f>
        <v>44816.166666666351</v>
      </c>
      <c r="AF134" s="187"/>
      <c r="AG134" s="187"/>
      <c r="AH134" s="187"/>
      <c r="AI134" s="187"/>
      <c r="AJ134" s="187"/>
      <c r="AK134" s="187"/>
      <c r="AL134" s="187"/>
      <c r="AM134" s="150"/>
      <c r="AN134" s="97">
        <f ca="1">TblProd[[#This Row],[Platinum]]</f>
        <v>814058</v>
      </c>
      <c r="AO134" s="97">
        <f ca="1">INDEX(TblProd[[#Headers],[Lumber]]:TblProd[[#This Row],[Ore]],COUNTA(TblProd[[#Headers],[Lumber]]:TblProd[[#This Row],[Lumber]]),MATCH(Military!$AO$2,TblProd[[#Headers],[Lumber]:[Ore]],0))</f>
        <v>0</v>
      </c>
      <c r="AP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97">
        <f ca="1">TblMili[[#This Row],[Train Unit 1]]*TblMili[[#This Row],[OP Ore]]+TblMili[[#This Row],[Train Unit 2]]*TblMili[[#This Row],[DP Ore]]+TblMili[[#This Row],[Train Unit 3]]*TblMili[[#This Row],[E1 Ore]]+TblMili[[#This Row],[Train Unit 4]]*TblMili[[#This Row],[E2 Ore]]</f>
        <v>0</v>
      </c>
      <c r="AR134" s="150">
        <f>TblMili[[#This Row],[Hour]]</f>
        <v>131</v>
      </c>
      <c r="AS134" s="160">
        <f ca="1">TblMili[[#This Row],[Time]]</f>
        <v>44816.166666666351</v>
      </c>
      <c r="AT134" s="97">
        <f ca="1">TblMili[[#This Row],[Draftees]]</f>
        <v>626</v>
      </c>
      <c r="AU134" s="187"/>
      <c r="AV134" s="187"/>
      <c r="AW134" s="187"/>
      <c r="AX134" s="187"/>
      <c r="AY134" s="187"/>
      <c r="AZ134" s="187"/>
      <c r="BA134" s="187"/>
      <c r="BB134" s="187"/>
      <c r="BC134" s="150"/>
      <c r="BD134" s="165">
        <f ca="1">TblConstr[[#This Row],[Tot WG]]/TblConstr[[#This Row],[Land]]</f>
        <v>0</v>
      </c>
      <c r="BE134" s="165">
        <f ca="1">TblConstr[[#This Row],[Tot Hav]]/TblConstr[[#This Row],[Land]]</f>
        <v>0</v>
      </c>
      <c r="BF134" s="97">
        <f ca="1">ROUNDUP((1-MIN(TblMili[[#This Row],[Smithies]]*smithy_bonus,smithy_bonus_cap) + tech_3_5*TblTech[[#This Row],[3-5]] + tech_5_3*TblTech[[#This Row],[5-3]] + tech_5_5*TblTech[[#This Row],[5-5]])*spec_op_plat,0)</f>
        <v>275</v>
      </c>
      <c r="BG134" s="97">
        <f ca="1">ROUNDUP(IF(race="Gnome",1,(1-MIN(TblMili[[#This Row],[Smithies]]*smithy_bonus,smithy_bonus_cap) + tech_3_5*TblTech[[#This Row],[3-5]] + tech_5_3*TblTech[[#This Row],[5-3]] + tech_5_5*TblTech[[#This Row],[5-5]]))*spec_op_ore,0)</f>
        <v>25</v>
      </c>
      <c r="BH134" s="97">
        <f ca="1">ROUNDUP((1-MIN(TblMili[[#This Row],[Smithies]]*smithy_bonus,smithy_bonus_cap) + tech_3_5*TblTech[[#This Row],[3-5]] + tech_5_3*TblTech[[#This Row],[5-3]] + tech_5_5*TblTech[[#This Row],[5-5]])*spec_dp_plat,0)</f>
        <v>275</v>
      </c>
      <c r="BI134" s="97">
        <f ca="1">ROUNDUP(IF(race="Gnome",1,(1-MIN(TblMili[[#This Row],[Smithies]]*smithy_bonus,smithy_bonus_cap) + tech_3_5*TblTech[[#This Row],[3-5]] + tech_5_3*TblTech[[#This Row],[5-3]] + tech_5_5*TblTech[[#This Row],[5-5]]))*spec_dp_ore,0)</f>
        <v>15</v>
      </c>
      <c r="BJ134" s="97">
        <f ca="1">ROUNDUP((1-MIN(TblMili[[#This Row],[Smithies]]*smithy_bonus,smithy_bonus_cap) + tech_3_5*TblTech[[#This Row],[3-5]] + tech_5_3*TblTech[[#This Row],[5-3]] + tech_5_5*TblTech[[#This Row],[5-5]])*elite1_plat,0)</f>
        <v>1000</v>
      </c>
      <c r="BK134" s="97">
        <f ca="1">ROUNDUP(IF(race="Gnome",1,(1-MIN(TblMili[[#This Row],[Smithies]]*smithy_bonus,smithy_bonus_cap) + tech_3_5*TblTech[[#This Row],[3-5]] + tech_5_3*TblTech[[#This Row],[5-3]] + tech_5_5*TblTech[[#This Row],[5-5]]))*elite1_ore,0)</f>
        <v>75</v>
      </c>
      <c r="BL134" s="97">
        <f ca="1">ROUNDUP((1-MIN(TblMili[[#This Row],[Smithies]]*smithy_bonus,smithy_bonus_cap) + tech_3_5*TblTech[[#This Row],[3-5]] + tech_5_3*TblTech[[#This Row],[5-3]] + tech_5_5*TblTech[[#This Row],[5-5]])*elite2_plat,0)</f>
        <v>1200</v>
      </c>
      <c r="BM134" s="97">
        <f ca="1">ROUNDUP(IF(race="Gnome",1,(1-MIN(TblMili[[#This Row],[Smithies]]*smithy_bonus,smithy_bonus_cap) + tech_3_5*TblTech[[#This Row],[3-5]] + tech_5_3*TblTech[[#This Row],[5-3]] + tech_5_5*TblTech[[#This Row],[5-5]]))*elite2_ore,0)</f>
        <v>100</v>
      </c>
      <c r="BN134" s="97">
        <f ca="1">ROUNDUP((1-MIN(ROUND(fh_spy_cost_red*TblMili[[#This Row],[FH''s]],4),fh_spy_cost_cap)+ tech_1_9*TblTech[[#This Row],[1-9]] + tech_9_1*TblTech[[#This Row],[9-1]])*spy_plat,0)</f>
        <v>500</v>
      </c>
      <c r="BO134" s="97">
        <f ca="1">ROUNDUP((1-MIN(ROUND(wg_wiz_cost_bonus*TblMili[[#This Row],[WG''s]],4),wg_wiz_cost_cap) + tech_1_9_2*TblTech[[#This Row],[1-9]] + tech_9_1_2*TblTech[[#This Row],[9-1]])*wizard_plat,0)</f>
        <v>500</v>
      </c>
      <c r="BP134" s="97">
        <f ca="1">ROUNDUP((1-MIN(ROUND(wg_wiz_cost_bonus*TblMili[[#This Row],[WG''s]],4),wg_wiz_cost_cap) + tech_1_9_2*TblTech[[#This Row],[1-9]] + tech_9_1_2*TblTech[[#This Row],[9-1]])*archmage_plat,0)</f>
        <v>1000</v>
      </c>
      <c r="BQ134" s="150"/>
      <c r="BR134" s="165">
        <f ca="1">TblConstr[[#This Row],[Homeland]]/TblConstr[[#This Row],[Land]]</f>
        <v>0.44</v>
      </c>
      <c r="BS134" s="165">
        <f ca="1">TblMili[[#This Row],[WG''s]]</f>
        <v>0</v>
      </c>
      <c r="BT134" s="271">
        <f ca="1">IF(mystic_cap="none",TblMili[[#This Row],[Hill]]/mystic_bonus,MIN(mystic_cap,TblMili[[#This Row],[Hill]]/mystic_bonus))</f>
        <v>2.1999999999999997</v>
      </c>
      <c r="BU134" s="271">
        <f ca="1">IF(druid_op_cap="none",TblMili[[#This Row],[Hill]]/druid_op_bonus,MIN(druid_op_cap,TblMili[[#This Row],[Hill]]/druid_op_bonus))</f>
        <v>2.1999999999999997</v>
      </c>
      <c r="BV134" s="271">
        <f ca="1">IF(druid_dp_cap="none",TblMili[[#This Row],[Hill]]/druid_dp_bonus,MIN(druid_dp_cap,TblMili[[#This Row],[Hill]]/druid_dp_bonus))</f>
        <v>2.1999999999999997</v>
      </c>
      <c r="BW134" s="271">
        <f ca="1">MIN(dryad_cap,TblMili[[#This Row],[Hill]]/dryad_bonus)</f>
        <v>2.1999999999999997</v>
      </c>
      <c r="BX134" s="271">
        <f ca="1">MIN(rocka_cap,TblMili[[#This Row],[Hill]]/rocka_bonus)</f>
        <v>2</v>
      </c>
      <c r="BY134" s="271">
        <f ca="1">MIN(adept_op_cap,TblMili[[#This Row],[WG]]/adept_op_bonus)</f>
        <v>0</v>
      </c>
      <c r="BZ134" s="271">
        <f ca="1">MIN(adept_dp_cap,TblMili[[#This Row],[WG]]/adept_dp_bonus)</f>
        <v>0</v>
      </c>
      <c r="CA134" s="97">
        <f ca="1">MIN(TblMili[[#This Row],[Unit 3]],TblMili[[#This Row],[Unit 4]])*2</f>
        <v>0</v>
      </c>
      <c r="CB134" s="97">
        <f ca="1">MIN(TblMili[[#This Row],[Unit 1]],TblMili[[#This Row],[Unit 4]])*2</f>
        <v>0</v>
      </c>
      <c r="CC134" s="271">
        <f ca="1">MIN(frost_mage_cap,TblMili[[#This Row],[Hill]]/frost_mage_bonus)</f>
        <v>2.1999999999999997</v>
      </c>
      <c r="CD134" s="45">
        <f ca="1">MIN(ice_elem_cap,TblMili[[#This Row],[Raw (2)]]*ice_elem_bonus)</f>
        <v>0.1</v>
      </c>
      <c r="CE134" s="271">
        <f t="shared" si="4"/>
        <v>1</v>
      </c>
      <c r="CF134" s="271">
        <f ca="1">MIN(nox_nightshade_cap,TblConstr[[#This Row],[Homeland]]/TblConstr[[#This Row],[Land]]/nox_nightshade_swamp_bonus)</f>
        <v>3</v>
      </c>
      <c r="CG134" s="272"/>
      <c r="CH134" s="272"/>
      <c r="CI134" s="272"/>
      <c r="CJ134" s="271">
        <f ca="1">MIN(6,TblMili[[#This Row],[Mystic]]+Races!$F$19)*1.8 +  IF(TblMili[[#This Row],[Mystic]]+Races!$F$19&gt;6,(TblMili[[#This Row],[Mystic]]+Races!$F$19-6)*0.2,0) - Races!$I$19</f>
        <v>3.6399999999999997</v>
      </c>
      <c r="CK134"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97">
        <f ca="1">TblMili[[#This Row],[Mystic bonus]]*TblMili[[#This Row],[Unit 3]]+TblMili[[#This Row],[Druid bonus]]*TblMili[[#This Row],[Unit 4]]</f>
        <v>0</v>
      </c>
      <c r="CM134" s="163">
        <f ca="1">MIN(6,TblMili[[#This Row],[Dryad]]+Races!$F$35)*1.8 +  IF(TblMili[[#This Row],[Dryad]]+Races!$F$35&gt;6,(TblMili[[#This Row],[Dryad]]+Races!$F$35-6)*0.2,0) - Races!$I$19</f>
        <v>2.1599999999999993</v>
      </c>
      <c r="CN134" s="97">
        <f ca="1">sylvan*(TblMili[[#This Row],[Mystic bonus]]*TblMili[[#This Row],[Unit 3]])</f>
        <v>0</v>
      </c>
      <c r="CO134" s="163">
        <f ca="1">1.8 * MIN(MAX(Races!$E$27,TblMili[[#This Row],[Rockapult]]+Races!$F$27),6)  +  0.45 * MIN(MIN(Races!$E$27,TblMili[[#This Row],[Rockapult]]+Races!$F$27),6)  +  0.2 * ( MAX(Races!$E$27-6,0) + MAX(TblMili[[#This Row],[Rockapult]]+Races!$F$27-6,0) )  -  Races!$I$20</f>
        <v>5.8500000000000005</v>
      </c>
      <c r="CP134" s="97">
        <f ca="1">gnome*(TblMili[[#This Row],[Rockapult bonus]]*TblMili[[#This Row],[Unit 3]])</f>
        <v>0</v>
      </c>
      <c r="CQ134" s="163">
        <f ca="1">1.8 * MIN(MAX(TblMili[[#This Row],[Spellblade]]+Races!$E$47,TblMili[[#This Row],[Adept-DP]]+Races!$F$47),6)  +  0.45 * MIN(MIN(TblMili[[#This Row],[Spellblade]]+Races!$E$47,TblMili[[#This Row],[Adept-DP]]+Races!$F$47),6)  +  0.2 * ( MAX(TblMili[[#This Row],[Spellblade]]+Races!$E$47-6,0) + MAX(TblMili[[#This Row],[Adept-DP]]+Races!$F$47-6,0) )  -  Races!$I$47</f>
        <v>0</v>
      </c>
      <c r="CR134" s="97">
        <f ca="1">dark_elf*(TblMili[[#This Row],[Adept bonus]]*TblMili[[#This Row],[Unit 3]])</f>
        <v>0</v>
      </c>
      <c r="CS134" s="163">
        <f ca="1">1.8 * MIN(MAX(TblMili[[#This Row],[Frost Mage]]+Races!$F$71,Races!$E$71),6)  +  0.45 * MIN(MIN(TblMili[[#This Row],[Frost Mage]]+Races!$F$71,Races!$E$71),6)  +  0.2 * ( MAX(TblMili[[#This Row],[Frost Mage]]+Races!$F$71-6,0) + MAX(Races!$E$71-6,0) )  -  Races!$I$71</f>
        <v>3.9599999999999991</v>
      </c>
      <c r="CT134" s="163">
        <f ca="1">1.8 * MIN(MAX(TblMili[[#This Row],[Ice Elemental]]+Races!$E$71,Races!$F$71),6)  +  0.45 * MIN(MIN(TblMili[[#This Row],[Ice Elemental]]+Races!$E$71,Races!$F$71),6)  +  0.2 * ( MAX(TblMili[[#This Row],[Ice Elemental]]+Races!$E$71-6,0) + MAX(Races!$F$71-6,0) )  -  Races!$I$71</f>
        <v>0.17999999999999972</v>
      </c>
      <c r="CU134" s="97">
        <f ca="1">TblMili[[#This Row],[Frost Mage bonus]]*TblMili[[#This Row],[Unit 3]]+TblMili[[#This Row],[Ice Elemental bonus]]*TblMili[[#This Row],[Unit 4]]</f>
        <v>0</v>
      </c>
      <c r="CV134" s="273"/>
      <c r="CW134" s="151">
        <f ca="1">MIN(SUM(TblConstr[[#This Row],[Plain]:[Water]])/TblMili[[#This Row],[Land]]/favorable_terrain_bonus/100,favorable_terrain_max)</f>
        <v>0.1</v>
      </c>
      <c r="CX134" s="273"/>
      <c r="CY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50"/>
      <c r="DA134" s="274">
        <f ca="1">(TblMili[[#This Row],[Wizards]]+2*TblMili[[#This Row],[Archmages]])/TblConstr[[#This Row],[Land]]</f>
        <v>0.1</v>
      </c>
      <c r="DB134" s="274">
        <f ca="1">TblMili[[#This Row],[Raw (2)]]*(1+race_wizard_strength+IF(TblMili[[#This Row],[Hour]]&gt;72,tech_magical_weaponry_wiz*TblTech[[#This Row],[3-5]],0))</f>
        <v>0.1</v>
      </c>
    </row>
    <row r="135" spans="1:106" x14ac:dyDescent="0.2">
      <c r="A135" s="145">
        <f>TblRezone[[#This Row],[Hour]]</f>
        <v>132</v>
      </c>
      <c r="B135" s="266">
        <f ca="1">SUM(TblMili[[#This Row],[Unit 1]:[Archmages]])+SUM(OFFSET(TblMili[[#This Row],[Train Unit 1]],-8,0):TblMili[[#This Row],[Train Unit 2]]) + SUM(OFFSET(TblMili[[#This Row],[Train Unit 3]],-11,0):TblMili[[#This Row],[Train Arch]]) + TblMili[[#This Row],[Draftees]]</f>
        <v>826</v>
      </c>
      <c r="C135" s="165">
        <f ca="1">TblPop[[#This Row],[Military%]]</f>
        <v>0.35029686174724345</v>
      </c>
      <c r="D135" s="150"/>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f>
        <v>25</v>
      </c>
      <c r="J135" s="45">
        <f ca="1">OFFSET(TblMili[[#This Row],[Wizards]],-1,0) + OFFSET(TblMili[[#This Row],[Train Wiz]],-12,0) - TblMili[[#This Row],[Release Wizards]]-TblMili[[#This Row],[Train Arch]]</f>
        <v>25</v>
      </c>
      <c r="K135" s="45">
        <f ca="1">OFFSET(TblMili[[#This Row],[Archmages]],-1,0) + OFFSET(TblMili[[#This Row],[Train Arch]],-12,0) - TblMili[[#This Row],[Release Arch]]</f>
        <v>0</v>
      </c>
      <c r="L135" s="150"/>
      <c r="M135" s="97">
        <f ca="1">TblProd[[#This Row],[Networth]]</f>
        <v>6450</v>
      </c>
      <c r="N135" s="150"/>
      <c r="O135" s="267">
        <f ca="1">TblMili[[#This Row],[Unit 1]]*spec_op+TblMili[[#This Row],[Unit 3]]*(elite1_base_op)+TblMili[[#This Row],[Unit 4]]*(elite2_base_op+dark_elf*TblMili[[#This Row],[Spellblade]]+icekin*TblMili[[#This Row],[Ice Elemental]]+woodie*TblMili[[#This Row],[Druid (op)]]+orc*TblMili[[#This Row],[Orc]])+kobold*TblMili[[#This Row],[Overlords]]</f>
        <v>0</v>
      </c>
      <c r="P135"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5" s="267">
        <f ca="1">TblMili[[#This Row],[Raw]]*(1+TblMili[[#This Row],[Mods_Off]])</f>
        <v>0</v>
      </c>
      <c r="R135"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5" s="267">
        <f ca="1">TblMili[[#This Row],[Non Draft]]+TblMili[[#This Row],[Draftees]]</f>
        <v>1076</v>
      </c>
      <c r="T135"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269">
        <f ca="1">TblMili[[#This Row],[Non Draft]] * (1 + TblMili[[#This Row],[Mods_Def]])</f>
        <v>450</v>
      </c>
      <c r="V135" s="267">
        <f ca="1">TblMili[[#This Row],[Draft]] * (1 + TblMili[[#This Row],[Mods_Def]])</f>
        <v>1076</v>
      </c>
      <c r="W135" s="267">
        <f ca="1">TblConstr[[#This Row],[Land]]</f>
        <v>250</v>
      </c>
      <c r="X135" s="270"/>
      <c r="Y135" s="275">
        <f ca="1">IF(TblMili[[#This Row],[Set]]&lt;&gt;"",TblMili[[#This Row],[Set]],OFFSET(TblMili[[#This Row],[Draftrate]],-1,0))</f>
        <v>0.35</v>
      </c>
      <c r="Z135" s="97">
        <f ca="1">OFFSET(TblMili[[#This Row],[Draftees]],-1,0)+OFFSET(TblPop[[#This Row],[Draft Growth]],-1,0) - SUM(TblMili[[#This Row],[Train Unit 1]:[Train Wiz]]) - TblMili[[#This Row],[Release Draft]] + SUM(TblMili[[#This Row],[Release Unit 1]:[Release Arch]]) -TblExplore[[#This Row],[Draftees (2)]]</f>
        <v>626</v>
      </c>
      <c r="AA135" s="162"/>
      <c r="AB135" s="188">
        <f ca="1">(TblConstr[[#This Row],[Tot Smi]]+TblConstr[[#This Row],[Dest Smi]])/(TblConstr[[#This Row],[Land]]-TblExplore[[#This Row],[Land Bonus]]*20)</f>
        <v>0</v>
      </c>
      <c r="AC135" s="145"/>
      <c r="AD135" s="266">
        <f>TblMili[[#This Row],[Hour]]</f>
        <v>132</v>
      </c>
      <c r="AE135" s="146">
        <f ca="1">TblExplore[[#This Row],[Time]]</f>
        <v>44816.208333333016</v>
      </c>
      <c r="AF135" s="187"/>
      <c r="AG135" s="187"/>
      <c r="AH135" s="187"/>
      <c r="AI135" s="187"/>
      <c r="AJ135" s="187"/>
      <c r="AK135" s="187"/>
      <c r="AL135" s="187"/>
      <c r="AM135" s="150"/>
      <c r="AN135" s="97">
        <f ca="1">TblProd[[#This Row],[Platinum]]</f>
        <v>819544</v>
      </c>
      <c r="AO135" s="97">
        <f ca="1">INDEX(TblProd[[#Headers],[Lumber]]:TblProd[[#This Row],[Ore]],COUNTA(TblProd[[#Headers],[Lumber]]:TblProd[[#This Row],[Lumber]]),MATCH(Military!$AO$2,TblProd[[#Headers],[Lumber]:[Ore]],0))</f>
        <v>0</v>
      </c>
      <c r="AP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97">
        <f ca="1">TblMili[[#This Row],[Train Unit 1]]*TblMili[[#This Row],[OP Ore]]+TblMili[[#This Row],[Train Unit 2]]*TblMili[[#This Row],[DP Ore]]+TblMili[[#This Row],[Train Unit 3]]*TblMili[[#This Row],[E1 Ore]]+TblMili[[#This Row],[Train Unit 4]]*TblMili[[#This Row],[E2 Ore]]</f>
        <v>0</v>
      </c>
      <c r="AR135" s="150">
        <f>TblMili[[#This Row],[Hour]]</f>
        <v>132</v>
      </c>
      <c r="AS135" s="160">
        <f ca="1">TblMili[[#This Row],[Time]]</f>
        <v>44816.208333333016</v>
      </c>
      <c r="AT135" s="97">
        <f ca="1">TblMili[[#This Row],[Draftees]]</f>
        <v>626</v>
      </c>
      <c r="AU135" s="187"/>
      <c r="AV135" s="187"/>
      <c r="AW135" s="187"/>
      <c r="AX135" s="187"/>
      <c r="AY135" s="187"/>
      <c r="AZ135" s="187"/>
      <c r="BA135" s="187"/>
      <c r="BB135" s="187"/>
      <c r="BC135" s="150"/>
      <c r="BD135" s="165">
        <f ca="1">TblConstr[[#This Row],[Tot WG]]/TblConstr[[#This Row],[Land]]</f>
        <v>0</v>
      </c>
      <c r="BE135" s="165">
        <f ca="1">TblConstr[[#This Row],[Tot Hav]]/TblConstr[[#This Row],[Land]]</f>
        <v>0</v>
      </c>
      <c r="BF135" s="97">
        <f ca="1">ROUNDUP((1-MIN(TblMili[[#This Row],[Smithies]]*smithy_bonus,smithy_bonus_cap) + tech_3_5*TblTech[[#This Row],[3-5]] + tech_5_3*TblTech[[#This Row],[5-3]] + tech_5_5*TblTech[[#This Row],[5-5]])*spec_op_plat,0)</f>
        <v>275</v>
      </c>
      <c r="BG135" s="97">
        <f ca="1">ROUNDUP(IF(race="Gnome",1,(1-MIN(TblMili[[#This Row],[Smithies]]*smithy_bonus,smithy_bonus_cap) + tech_3_5*TblTech[[#This Row],[3-5]] + tech_5_3*TblTech[[#This Row],[5-3]] + tech_5_5*TblTech[[#This Row],[5-5]]))*spec_op_ore,0)</f>
        <v>25</v>
      </c>
      <c r="BH135" s="97">
        <f ca="1">ROUNDUP((1-MIN(TblMili[[#This Row],[Smithies]]*smithy_bonus,smithy_bonus_cap) + tech_3_5*TblTech[[#This Row],[3-5]] + tech_5_3*TblTech[[#This Row],[5-3]] + tech_5_5*TblTech[[#This Row],[5-5]])*spec_dp_plat,0)</f>
        <v>275</v>
      </c>
      <c r="BI135" s="97">
        <f ca="1">ROUNDUP(IF(race="Gnome",1,(1-MIN(TblMili[[#This Row],[Smithies]]*smithy_bonus,smithy_bonus_cap) + tech_3_5*TblTech[[#This Row],[3-5]] + tech_5_3*TblTech[[#This Row],[5-3]] + tech_5_5*TblTech[[#This Row],[5-5]]))*spec_dp_ore,0)</f>
        <v>15</v>
      </c>
      <c r="BJ135" s="97">
        <f ca="1">ROUNDUP((1-MIN(TblMili[[#This Row],[Smithies]]*smithy_bonus,smithy_bonus_cap) + tech_3_5*TblTech[[#This Row],[3-5]] + tech_5_3*TblTech[[#This Row],[5-3]] + tech_5_5*TblTech[[#This Row],[5-5]])*elite1_plat,0)</f>
        <v>1000</v>
      </c>
      <c r="BK135" s="97">
        <f ca="1">ROUNDUP(IF(race="Gnome",1,(1-MIN(TblMili[[#This Row],[Smithies]]*smithy_bonus,smithy_bonus_cap) + tech_3_5*TblTech[[#This Row],[3-5]] + tech_5_3*TblTech[[#This Row],[5-3]] + tech_5_5*TblTech[[#This Row],[5-5]]))*elite1_ore,0)</f>
        <v>75</v>
      </c>
      <c r="BL135" s="97">
        <f ca="1">ROUNDUP((1-MIN(TblMili[[#This Row],[Smithies]]*smithy_bonus,smithy_bonus_cap) + tech_3_5*TblTech[[#This Row],[3-5]] + tech_5_3*TblTech[[#This Row],[5-3]] + tech_5_5*TblTech[[#This Row],[5-5]])*elite2_plat,0)</f>
        <v>1200</v>
      </c>
      <c r="BM135" s="97">
        <f ca="1">ROUNDUP(IF(race="Gnome",1,(1-MIN(TblMili[[#This Row],[Smithies]]*smithy_bonus,smithy_bonus_cap) + tech_3_5*TblTech[[#This Row],[3-5]] + tech_5_3*TblTech[[#This Row],[5-3]] + tech_5_5*TblTech[[#This Row],[5-5]]))*elite2_ore,0)</f>
        <v>100</v>
      </c>
      <c r="BN135" s="97">
        <f ca="1">ROUNDUP((1-MIN(ROUND(fh_spy_cost_red*TblMili[[#This Row],[FH''s]],4),fh_spy_cost_cap)+ tech_1_9*TblTech[[#This Row],[1-9]] + tech_9_1*TblTech[[#This Row],[9-1]])*spy_plat,0)</f>
        <v>500</v>
      </c>
      <c r="BO135" s="97">
        <f ca="1">ROUNDUP((1-MIN(ROUND(wg_wiz_cost_bonus*TblMili[[#This Row],[WG''s]],4),wg_wiz_cost_cap) + tech_1_9_2*TblTech[[#This Row],[1-9]] + tech_9_1_2*TblTech[[#This Row],[9-1]])*wizard_plat,0)</f>
        <v>500</v>
      </c>
      <c r="BP135" s="97">
        <f ca="1">ROUNDUP((1-MIN(ROUND(wg_wiz_cost_bonus*TblMili[[#This Row],[WG''s]],4),wg_wiz_cost_cap) + tech_1_9_2*TblTech[[#This Row],[1-9]] + tech_9_1_2*TblTech[[#This Row],[9-1]])*archmage_plat,0)</f>
        <v>1000</v>
      </c>
      <c r="BQ135" s="150"/>
      <c r="BR135" s="165">
        <f ca="1">TblConstr[[#This Row],[Homeland]]/TblConstr[[#This Row],[Land]]</f>
        <v>0.44</v>
      </c>
      <c r="BS135" s="165">
        <f ca="1">TblMili[[#This Row],[WG''s]]</f>
        <v>0</v>
      </c>
      <c r="BT135" s="271">
        <f ca="1">IF(mystic_cap="none",TblMili[[#This Row],[Hill]]/mystic_bonus,MIN(mystic_cap,TblMili[[#This Row],[Hill]]/mystic_bonus))</f>
        <v>2.1999999999999997</v>
      </c>
      <c r="BU135" s="271">
        <f ca="1">IF(druid_op_cap="none",TblMili[[#This Row],[Hill]]/druid_op_bonus,MIN(druid_op_cap,TblMili[[#This Row],[Hill]]/druid_op_bonus))</f>
        <v>2.1999999999999997</v>
      </c>
      <c r="BV135" s="271">
        <f ca="1">IF(druid_dp_cap="none",TblMili[[#This Row],[Hill]]/druid_dp_bonus,MIN(druid_dp_cap,TblMili[[#This Row],[Hill]]/druid_dp_bonus))</f>
        <v>2.1999999999999997</v>
      </c>
      <c r="BW135" s="271">
        <f ca="1">MIN(dryad_cap,TblMili[[#This Row],[Hill]]/dryad_bonus)</f>
        <v>2.1999999999999997</v>
      </c>
      <c r="BX135" s="271">
        <f ca="1">MIN(rocka_cap,TblMili[[#This Row],[Hill]]/rocka_bonus)</f>
        <v>2</v>
      </c>
      <c r="BY135" s="271">
        <f ca="1">MIN(adept_op_cap,TblMili[[#This Row],[WG]]/adept_op_bonus)</f>
        <v>0</v>
      </c>
      <c r="BZ135" s="271">
        <f ca="1">MIN(adept_dp_cap,TblMili[[#This Row],[WG]]/adept_dp_bonus)</f>
        <v>0</v>
      </c>
      <c r="CA135" s="97">
        <f ca="1">MIN(TblMili[[#This Row],[Unit 3]],TblMili[[#This Row],[Unit 4]])*2</f>
        <v>0</v>
      </c>
      <c r="CB135" s="97">
        <f ca="1">MIN(TblMili[[#This Row],[Unit 1]],TblMili[[#This Row],[Unit 4]])*2</f>
        <v>0</v>
      </c>
      <c r="CC135" s="271">
        <f ca="1">MIN(frost_mage_cap,TblMili[[#This Row],[Hill]]/frost_mage_bonus)</f>
        <v>2.1999999999999997</v>
      </c>
      <c r="CD135" s="45">
        <f ca="1">MIN(ice_elem_cap,TblMili[[#This Row],[Raw (2)]]*ice_elem_bonus)</f>
        <v>0.1</v>
      </c>
      <c r="CE135" s="271">
        <f t="shared" si="4"/>
        <v>1</v>
      </c>
      <c r="CF135" s="271">
        <f ca="1">MIN(nox_nightshade_cap,TblConstr[[#This Row],[Homeland]]/TblConstr[[#This Row],[Land]]/nox_nightshade_swamp_bonus)</f>
        <v>3</v>
      </c>
      <c r="CG135" s="272"/>
      <c r="CH135" s="272"/>
      <c r="CI135" s="272"/>
      <c r="CJ135" s="271">
        <f ca="1">MIN(6,TblMili[[#This Row],[Mystic]]+Races!$F$19)*1.8 +  IF(TblMili[[#This Row],[Mystic]]+Races!$F$19&gt;6,(TblMili[[#This Row],[Mystic]]+Races!$F$19-6)*0.2,0) - Races!$I$19</f>
        <v>3.6399999999999997</v>
      </c>
      <c r="CK135"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97">
        <f ca="1">TblMili[[#This Row],[Mystic bonus]]*TblMili[[#This Row],[Unit 3]]+TblMili[[#This Row],[Druid bonus]]*TblMili[[#This Row],[Unit 4]]</f>
        <v>0</v>
      </c>
      <c r="CM135" s="163">
        <f ca="1">MIN(6,TblMili[[#This Row],[Dryad]]+Races!$F$35)*1.8 +  IF(TblMili[[#This Row],[Dryad]]+Races!$F$35&gt;6,(TblMili[[#This Row],[Dryad]]+Races!$F$35-6)*0.2,0) - Races!$I$19</f>
        <v>2.1599999999999993</v>
      </c>
      <c r="CN135" s="97">
        <f ca="1">sylvan*(TblMili[[#This Row],[Mystic bonus]]*TblMili[[#This Row],[Unit 3]])</f>
        <v>0</v>
      </c>
      <c r="CO135" s="163">
        <f ca="1">1.8 * MIN(MAX(Races!$E$27,TblMili[[#This Row],[Rockapult]]+Races!$F$27),6)  +  0.45 * MIN(MIN(Races!$E$27,TblMili[[#This Row],[Rockapult]]+Races!$F$27),6)  +  0.2 * ( MAX(Races!$E$27-6,0) + MAX(TblMili[[#This Row],[Rockapult]]+Races!$F$27-6,0) )  -  Races!$I$20</f>
        <v>5.8500000000000005</v>
      </c>
      <c r="CP135" s="97">
        <f ca="1">gnome*(TblMili[[#This Row],[Rockapult bonus]]*TblMili[[#This Row],[Unit 3]])</f>
        <v>0</v>
      </c>
      <c r="CQ135" s="163">
        <f ca="1">1.8 * MIN(MAX(TblMili[[#This Row],[Spellblade]]+Races!$E$47,TblMili[[#This Row],[Adept-DP]]+Races!$F$47),6)  +  0.45 * MIN(MIN(TblMili[[#This Row],[Spellblade]]+Races!$E$47,TblMili[[#This Row],[Adept-DP]]+Races!$F$47),6)  +  0.2 * ( MAX(TblMili[[#This Row],[Spellblade]]+Races!$E$47-6,0) + MAX(TblMili[[#This Row],[Adept-DP]]+Races!$F$47-6,0) )  -  Races!$I$47</f>
        <v>0</v>
      </c>
      <c r="CR135" s="97">
        <f ca="1">dark_elf*(TblMili[[#This Row],[Adept bonus]]*TblMili[[#This Row],[Unit 3]])</f>
        <v>0</v>
      </c>
      <c r="CS135" s="163">
        <f ca="1">1.8 * MIN(MAX(TblMili[[#This Row],[Frost Mage]]+Races!$F$71,Races!$E$71),6)  +  0.45 * MIN(MIN(TblMili[[#This Row],[Frost Mage]]+Races!$F$71,Races!$E$71),6)  +  0.2 * ( MAX(TblMili[[#This Row],[Frost Mage]]+Races!$F$71-6,0) + MAX(Races!$E$71-6,0) )  -  Races!$I$71</f>
        <v>3.9599999999999991</v>
      </c>
      <c r="CT135" s="163">
        <f ca="1">1.8 * MIN(MAX(TblMili[[#This Row],[Ice Elemental]]+Races!$E$71,Races!$F$71),6)  +  0.45 * MIN(MIN(TblMili[[#This Row],[Ice Elemental]]+Races!$E$71,Races!$F$71),6)  +  0.2 * ( MAX(TblMili[[#This Row],[Ice Elemental]]+Races!$E$71-6,0) + MAX(Races!$F$71-6,0) )  -  Races!$I$71</f>
        <v>0.17999999999999972</v>
      </c>
      <c r="CU135" s="97">
        <f ca="1">TblMili[[#This Row],[Frost Mage bonus]]*TblMili[[#This Row],[Unit 3]]+TblMili[[#This Row],[Ice Elemental bonus]]*TblMili[[#This Row],[Unit 4]]</f>
        <v>0</v>
      </c>
      <c r="CV135" s="273"/>
      <c r="CW135" s="151">
        <f ca="1">MIN(SUM(TblConstr[[#This Row],[Plain]:[Water]])/TblMili[[#This Row],[Land]]/favorable_terrain_bonus/100,favorable_terrain_max)</f>
        <v>0.1</v>
      </c>
      <c r="CX135" s="273"/>
      <c r="CY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50"/>
      <c r="DA135" s="274">
        <f ca="1">(TblMili[[#This Row],[Wizards]]+2*TblMili[[#This Row],[Archmages]])/TblConstr[[#This Row],[Land]]</f>
        <v>0.1</v>
      </c>
      <c r="DB135" s="274">
        <f ca="1">TblMili[[#This Row],[Raw (2)]]*(1+race_wizard_strength+IF(TblMili[[#This Row],[Hour]]&gt;72,tech_magical_weaponry_wiz*TblTech[[#This Row],[3-5]],0))</f>
        <v>0.1</v>
      </c>
    </row>
    <row r="136" spans="1:106" x14ac:dyDescent="0.2">
      <c r="A136" s="145">
        <f>TblRezone[[#This Row],[Hour]]</f>
        <v>133</v>
      </c>
      <c r="B136" s="266">
        <f ca="1">SUM(TblMili[[#This Row],[Unit 1]:[Archmages]])+SUM(OFFSET(TblMili[[#This Row],[Train Unit 1]],-8,0):TblMili[[#This Row],[Train Unit 2]]) + SUM(OFFSET(TblMili[[#This Row],[Train Unit 3]],-11,0):TblMili[[#This Row],[Train Arch]]) + TblMili[[#This Row],[Draftees]]</f>
        <v>826</v>
      </c>
      <c r="C136" s="165">
        <f ca="1">TblPop[[#This Row],[Military%]]</f>
        <v>0.35029686174724345</v>
      </c>
      <c r="D136" s="150"/>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f>
        <v>25</v>
      </c>
      <c r="J136" s="45">
        <f ca="1">OFFSET(TblMili[[#This Row],[Wizards]],-1,0) + OFFSET(TblMili[[#This Row],[Train Wiz]],-12,0) - TblMili[[#This Row],[Release Wizards]]-TblMili[[#This Row],[Train Arch]]</f>
        <v>25</v>
      </c>
      <c r="K136" s="45">
        <f ca="1">OFFSET(TblMili[[#This Row],[Archmages]],-1,0) + OFFSET(TblMili[[#This Row],[Train Arch]],-12,0) - TblMili[[#This Row],[Release Arch]]</f>
        <v>0</v>
      </c>
      <c r="L136" s="150"/>
      <c r="M136" s="97">
        <f ca="1">TblProd[[#This Row],[Networth]]</f>
        <v>6450</v>
      </c>
      <c r="N136" s="150"/>
      <c r="O136" s="267">
        <f ca="1">TblMili[[#This Row],[Unit 1]]*spec_op+TblMili[[#This Row],[Unit 3]]*(elite1_base_op)+TblMili[[#This Row],[Unit 4]]*(elite2_base_op+dark_elf*TblMili[[#This Row],[Spellblade]]+icekin*TblMili[[#This Row],[Ice Elemental]]+woodie*TblMili[[#This Row],[Druid (op)]]+orc*TblMili[[#This Row],[Orc]])+kobold*TblMili[[#This Row],[Overlords]]</f>
        <v>0</v>
      </c>
      <c r="P136"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6" s="267">
        <f ca="1">TblMili[[#This Row],[Raw]]*(1+TblMili[[#This Row],[Mods_Off]])</f>
        <v>0</v>
      </c>
      <c r="R136" s="267">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6" s="267">
        <f ca="1">TblMili[[#This Row],[Non Draft]]+TblMili[[#This Row],[Draftees]]</f>
        <v>1076</v>
      </c>
      <c r="T136" s="268">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269">
        <f ca="1">TblMili[[#This Row],[Non Draft]] * (1 + TblMili[[#This Row],[Mods_Def]])</f>
        <v>450</v>
      </c>
      <c r="V136" s="267">
        <f ca="1">TblMili[[#This Row],[Draft]] * (1 + TblMili[[#This Row],[Mods_Def]])</f>
        <v>1076</v>
      </c>
      <c r="W136" s="267">
        <f ca="1">TblConstr[[#This Row],[Land]]</f>
        <v>250</v>
      </c>
      <c r="X136" s="270"/>
      <c r="Y136" s="275">
        <f ca="1">IF(TblMili[[#This Row],[Set]]&lt;&gt;"",TblMili[[#This Row],[Set]],OFFSET(TblMili[[#This Row],[Draftrate]],-1,0))</f>
        <v>0.35</v>
      </c>
      <c r="Z136" s="97">
        <f ca="1">OFFSET(TblMili[[#This Row],[Draftees]],-1,0)+OFFSET(TblPop[[#This Row],[Draft Growth]],-1,0) - SUM(TblMili[[#This Row],[Train Unit 1]:[Train Wiz]]) - TblMili[[#This Row],[Release Draft]] + SUM(TblMili[[#This Row],[Release Unit 1]:[Release Arch]]) -TblExplore[[#This Row],[Draftees (2)]]</f>
        <v>626</v>
      </c>
      <c r="AA136" s="162"/>
      <c r="AB136" s="188">
        <f ca="1">(TblConstr[[#This Row],[Tot Smi]]+TblConstr[[#This Row],[Dest Smi]])/(TblConstr[[#This Row],[Land]]-TblExplore[[#This Row],[Land Bonus]]*20)</f>
        <v>0</v>
      </c>
      <c r="AC136" s="266"/>
      <c r="AD136" s="266">
        <f>TblMili[[#This Row],[Hour]]</f>
        <v>133</v>
      </c>
      <c r="AE136" s="146">
        <f ca="1">TblExplore[[#This Row],[Time]]</f>
        <v>44816.24999999968</v>
      </c>
      <c r="AF136" s="187"/>
      <c r="AG136" s="166"/>
      <c r="AH136" s="187"/>
      <c r="AI136" s="166"/>
      <c r="AJ136" s="166"/>
      <c r="AK136" s="166"/>
      <c r="AL136" s="187"/>
      <c r="AM136" s="150"/>
      <c r="AN136" s="97">
        <f ca="1">TblProd[[#This Row],[Platinum]]</f>
        <v>825030</v>
      </c>
      <c r="AO136" s="97">
        <f ca="1">INDEX(TblProd[[#Headers],[Lumber]]:TblProd[[#This Row],[Ore]],COUNTA(TblProd[[#Headers],[Lumber]]:TblProd[[#This Row],[Lumber]]),MATCH(Military!$AO$2,TblProd[[#Headers],[Lumber]:[Ore]],0))</f>
        <v>0</v>
      </c>
      <c r="AP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97">
        <f ca="1">TblMili[[#This Row],[Train Unit 1]]*TblMili[[#This Row],[OP Ore]]+TblMili[[#This Row],[Train Unit 2]]*TblMili[[#This Row],[DP Ore]]+TblMili[[#This Row],[Train Unit 3]]*TblMili[[#This Row],[E1 Ore]]+TblMili[[#This Row],[Train Unit 4]]*TblMili[[#This Row],[E2 Ore]]</f>
        <v>0</v>
      </c>
      <c r="AR136" s="150">
        <f>TblMili[[#This Row],[Hour]]</f>
        <v>133</v>
      </c>
      <c r="AS136" s="160">
        <f ca="1">TblMili[[#This Row],[Time]]</f>
        <v>44816.24999999968</v>
      </c>
      <c r="AT136" s="97">
        <f ca="1">TblMili[[#This Row],[Draftees]]</f>
        <v>626</v>
      </c>
      <c r="AU136" s="187"/>
      <c r="AV136" s="187"/>
      <c r="AW136" s="187"/>
      <c r="AX136" s="187"/>
      <c r="AY136" s="187"/>
      <c r="AZ136" s="187"/>
      <c r="BA136" s="187"/>
      <c r="BB136" s="187"/>
      <c r="BC136" s="150"/>
      <c r="BD136" s="165">
        <f ca="1">TblConstr[[#This Row],[Tot WG]]/TblConstr[[#This Row],[Land]]</f>
        <v>0</v>
      </c>
      <c r="BE136" s="165">
        <f ca="1">TblConstr[[#This Row],[Tot Hav]]/TblConstr[[#This Row],[Land]]</f>
        <v>0</v>
      </c>
      <c r="BF136" s="97">
        <f ca="1">ROUNDUP((1-MIN(TblMili[[#This Row],[Smithies]]*smithy_bonus,smithy_bonus_cap) + tech_3_5*TblTech[[#This Row],[3-5]] + tech_5_3*TblTech[[#This Row],[5-3]] + tech_5_5*TblTech[[#This Row],[5-5]])*spec_op_plat,0)</f>
        <v>275</v>
      </c>
      <c r="BG136" s="97">
        <f ca="1">ROUNDUP(IF(race="Gnome",1,(1-MIN(TblMili[[#This Row],[Smithies]]*smithy_bonus,smithy_bonus_cap) + tech_3_5*TblTech[[#This Row],[3-5]] + tech_5_3*TblTech[[#This Row],[5-3]] + tech_5_5*TblTech[[#This Row],[5-5]]))*spec_op_ore,0)</f>
        <v>25</v>
      </c>
      <c r="BH136" s="97">
        <f ca="1">ROUNDUP((1-MIN(TblMili[[#This Row],[Smithies]]*smithy_bonus,smithy_bonus_cap) + tech_3_5*TblTech[[#This Row],[3-5]] + tech_5_3*TblTech[[#This Row],[5-3]] + tech_5_5*TblTech[[#This Row],[5-5]])*spec_dp_plat,0)</f>
        <v>275</v>
      </c>
      <c r="BI136" s="97">
        <f ca="1">ROUNDUP(IF(race="Gnome",1,(1-MIN(TblMili[[#This Row],[Smithies]]*smithy_bonus,smithy_bonus_cap) + tech_3_5*TblTech[[#This Row],[3-5]] + tech_5_3*TblTech[[#This Row],[5-3]] + tech_5_5*TblTech[[#This Row],[5-5]]))*spec_dp_ore,0)</f>
        <v>15</v>
      </c>
      <c r="BJ136" s="97">
        <f ca="1">ROUNDUP((1-MIN(TblMili[[#This Row],[Smithies]]*smithy_bonus,smithy_bonus_cap) + tech_3_5*TblTech[[#This Row],[3-5]] + tech_5_3*TblTech[[#This Row],[5-3]] + tech_5_5*TblTech[[#This Row],[5-5]])*elite1_plat,0)</f>
        <v>1000</v>
      </c>
      <c r="BK136" s="97">
        <f ca="1">ROUNDUP(IF(race="Gnome",1,(1-MIN(TblMili[[#This Row],[Smithies]]*smithy_bonus,smithy_bonus_cap) + tech_3_5*TblTech[[#This Row],[3-5]] + tech_5_3*TblTech[[#This Row],[5-3]] + tech_5_5*TblTech[[#This Row],[5-5]]))*elite1_ore,0)</f>
        <v>75</v>
      </c>
      <c r="BL136" s="97">
        <f ca="1">ROUNDUP((1-MIN(TblMili[[#This Row],[Smithies]]*smithy_bonus,smithy_bonus_cap) + tech_3_5*TblTech[[#This Row],[3-5]] + tech_5_3*TblTech[[#This Row],[5-3]] + tech_5_5*TblTech[[#This Row],[5-5]])*elite2_plat,0)</f>
        <v>1200</v>
      </c>
      <c r="BM136" s="97">
        <f ca="1">ROUNDUP(IF(race="Gnome",1,(1-MIN(TblMili[[#This Row],[Smithies]]*smithy_bonus,smithy_bonus_cap) + tech_3_5*TblTech[[#This Row],[3-5]] + tech_5_3*TblTech[[#This Row],[5-3]] + tech_5_5*TblTech[[#This Row],[5-5]]))*elite2_ore,0)</f>
        <v>100</v>
      </c>
      <c r="BN136" s="97">
        <f ca="1">ROUNDUP((1-MIN(ROUND(fh_spy_cost_red*TblMili[[#This Row],[FH''s]],4),fh_spy_cost_cap)+ tech_1_9*TblTech[[#This Row],[1-9]] + tech_9_1*TblTech[[#This Row],[9-1]])*spy_plat,0)</f>
        <v>500</v>
      </c>
      <c r="BO136" s="97">
        <f ca="1">ROUNDUP((1-MIN(ROUND(wg_wiz_cost_bonus*TblMili[[#This Row],[WG''s]],4),wg_wiz_cost_cap) + tech_1_9_2*TblTech[[#This Row],[1-9]] + tech_9_1_2*TblTech[[#This Row],[9-1]])*wizard_plat,0)</f>
        <v>500</v>
      </c>
      <c r="BP136" s="97">
        <f ca="1">ROUNDUP((1-MIN(ROUND(wg_wiz_cost_bonus*TblMili[[#This Row],[WG''s]],4),wg_wiz_cost_cap) + tech_1_9_2*TblTech[[#This Row],[1-9]] + tech_9_1_2*TblTech[[#This Row],[9-1]])*archmage_plat,0)</f>
        <v>1000</v>
      </c>
      <c r="BQ136" s="150"/>
      <c r="BR136" s="165">
        <f ca="1">TblConstr[[#This Row],[Homeland]]/TblConstr[[#This Row],[Land]]</f>
        <v>0.44</v>
      </c>
      <c r="BS136" s="165">
        <f ca="1">TblMili[[#This Row],[WG''s]]</f>
        <v>0</v>
      </c>
      <c r="BT136" s="271">
        <f ca="1">IF(mystic_cap="none",TblMili[[#This Row],[Hill]]/mystic_bonus,MIN(mystic_cap,TblMili[[#This Row],[Hill]]/mystic_bonus))</f>
        <v>2.1999999999999997</v>
      </c>
      <c r="BU136" s="271">
        <f ca="1">IF(druid_op_cap="none",TblMili[[#This Row],[Hill]]/druid_op_bonus,MIN(druid_op_cap,TblMili[[#This Row],[Hill]]/druid_op_bonus))</f>
        <v>2.1999999999999997</v>
      </c>
      <c r="BV136" s="271">
        <f ca="1">IF(druid_dp_cap="none",TblMili[[#This Row],[Hill]]/druid_dp_bonus,MIN(druid_dp_cap,TblMili[[#This Row],[Hill]]/druid_dp_bonus))</f>
        <v>2.1999999999999997</v>
      </c>
      <c r="BW136" s="271">
        <f ca="1">MIN(dryad_cap,TblMili[[#This Row],[Hill]]/dryad_bonus)</f>
        <v>2.1999999999999997</v>
      </c>
      <c r="BX136" s="271">
        <f ca="1">MIN(rocka_cap,TblMili[[#This Row],[Hill]]/rocka_bonus)</f>
        <v>2</v>
      </c>
      <c r="BY136" s="271">
        <f ca="1">MIN(adept_op_cap,TblMili[[#This Row],[WG]]/adept_op_bonus)</f>
        <v>0</v>
      </c>
      <c r="BZ136" s="271">
        <f ca="1">MIN(adept_dp_cap,TblMili[[#This Row],[WG]]/adept_dp_bonus)</f>
        <v>0</v>
      </c>
      <c r="CA136" s="97">
        <f ca="1">MIN(TblMili[[#This Row],[Unit 3]],TblMili[[#This Row],[Unit 4]])*2</f>
        <v>0</v>
      </c>
      <c r="CB136" s="97">
        <f ca="1">MIN(TblMili[[#This Row],[Unit 1]],TblMili[[#This Row],[Unit 4]])*2</f>
        <v>0</v>
      </c>
      <c r="CC136" s="271">
        <f ca="1">MIN(frost_mage_cap,TblMili[[#This Row],[Hill]]/frost_mage_bonus)</f>
        <v>2.1999999999999997</v>
      </c>
      <c r="CD136" s="45">
        <f ca="1">MIN(ice_elem_cap,TblMili[[#This Row],[Raw (2)]]*ice_elem_bonus)</f>
        <v>0.1</v>
      </c>
      <c r="CE136" s="271">
        <f t="shared" si="4"/>
        <v>1</v>
      </c>
      <c r="CF136" s="271">
        <f ca="1">MIN(nox_nightshade_cap,TblConstr[[#This Row],[Homeland]]/TblConstr[[#This Row],[Land]]/nox_nightshade_swamp_bonus)</f>
        <v>3</v>
      </c>
      <c r="CG136" s="272"/>
      <c r="CH136" s="272"/>
      <c r="CI136" s="272"/>
      <c r="CJ136" s="271">
        <f ca="1">MIN(6,TblMili[[#This Row],[Mystic]]+Races!$F$19)*1.8 +  IF(TblMili[[#This Row],[Mystic]]+Races!$F$19&gt;6,(TblMili[[#This Row],[Mystic]]+Races!$F$19-6)*0.2,0) - Races!$I$19</f>
        <v>3.6399999999999997</v>
      </c>
      <c r="CK136" s="271">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97">
        <f ca="1">TblMili[[#This Row],[Mystic bonus]]*TblMili[[#This Row],[Unit 3]]+TblMili[[#This Row],[Druid bonus]]*TblMili[[#This Row],[Unit 4]]</f>
        <v>0</v>
      </c>
      <c r="CM136" s="163">
        <f ca="1">MIN(6,TblMili[[#This Row],[Dryad]]+Races!$F$35)*1.8 +  IF(TblMili[[#This Row],[Dryad]]+Races!$F$35&gt;6,(TblMili[[#This Row],[Dryad]]+Races!$F$35-6)*0.2,0) - Races!$I$19</f>
        <v>2.1599999999999993</v>
      </c>
      <c r="CN136" s="97">
        <f ca="1">sylvan*(TblMili[[#This Row],[Mystic bonus]]*TblMili[[#This Row],[Unit 3]])</f>
        <v>0</v>
      </c>
      <c r="CO136" s="163">
        <f ca="1">1.8 * MIN(MAX(Races!$E$27,TblMili[[#This Row],[Rockapult]]+Races!$F$27),6)  +  0.45 * MIN(MIN(Races!$E$27,TblMili[[#This Row],[Rockapult]]+Races!$F$27),6)  +  0.2 * ( MAX(Races!$E$27-6,0) + MAX(TblMili[[#This Row],[Rockapult]]+Races!$F$27-6,0) )  -  Races!$I$20</f>
        <v>5.8500000000000005</v>
      </c>
      <c r="CP136" s="97">
        <f ca="1">gnome*(TblMili[[#This Row],[Rockapult bonus]]*TblMili[[#This Row],[Unit 3]])</f>
        <v>0</v>
      </c>
      <c r="CQ136" s="163">
        <f ca="1">1.8 * MIN(MAX(TblMili[[#This Row],[Spellblade]]+Races!$E$47,TblMili[[#This Row],[Adept-DP]]+Races!$F$47),6)  +  0.45 * MIN(MIN(TblMili[[#This Row],[Spellblade]]+Races!$E$47,TblMili[[#This Row],[Adept-DP]]+Races!$F$47),6)  +  0.2 * ( MAX(TblMili[[#This Row],[Spellblade]]+Races!$E$47-6,0) + MAX(TblMili[[#This Row],[Adept-DP]]+Races!$F$47-6,0) )  -  Races!$I$47</f>
        <v>0</v>
      </c>
      <c r="CR136" s="97">
        <f ca="1">dark_elf*(TblMili[[#This Row],[Adept bonus]]*TblMili[[#This Row],[Unit 3]])</f>
        <v>0</v>
      </c>
      <c r="CS136" s="163">
        <f ca="1">1.8 * MIN(MAX(TblMili[[#This Row],[Frost Mage]]+Races!$F$71,Races!$E$71),6)  +  0.45 * MIN(MIN(TblMili[[#This Row],[Frost Mage]]+Races!$F$71,Races!$E$71),6)  +  0.2 * ( MAX(TblMili[[#This Row],[Frost Mage]]+Races!$F$71-6,0) + MAX(Races!$E$71-6,0) )  -  Races!$I$71</f>
        <v>3.9599999999999991</v>
      </c>
      <c r="CT136" s="163">
        <f ca="1">1.8 * MIN(MAX(TblMili[[#This Row],[Ice Elemental]]+Races!$E$71,Races!$F$71),6)  +  0.45 * MIN(MIN(TblMili[[#This Row],[Ice Elemental]]+Races!$E$71,Races!$F$71),6)  +  0.2 * ( MAX(TblMili[[#This Row],[Ice Elemental]]+Races!$E$71-6,0) + MAX(Races!$F$71-6,0) )  -  Races!$I$71</f>
        <v>0.17999999999999972</v>
      </c>
      <c r="CU136" s="97">
        <f ca="1">TblMili[[#This Row],[Frost Mage bonus]]*TblMili[[#This Row],[Unit 3]]+TblMili[[#This Row],[Ice Elemental bonus]]*TblMili[[#This Row],[Unit 4]]</f>
        <v>0</v>
      </c>
      <c r="CV136" s="273"/>
      <c r="CW136" s="151">
        <f ca="1">MIN(SUM(TblConstr[[#This Row],[Plain]:[Water]])/TblMili[[#This Row],[Land]]/favorable_terrain_bonus/100,favorable_terrain_max)</f>
        <v>0.1</v>
      </c>
      <c r="CX136" s="273"/>
      <c r="CY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50"/>
      <c r="DA136" s="274">
        <f ca="1">(TblMili[[#This Row],[Wizards]]+2*TblMili[[#This Row],[Archmages]])/TblConstr[[#This Row],[Land]]</f>
        <v>0.1</v>
      </c>
      <c r="DB136" s="274">
        <f ca="1">TblMili[[#This Row],[Raw (2)]]*(1+race_wizard_strength+IF(TblMili[[#This Row],[Hour]]&gt;72,tech_magical_weaponry_wiz*TblTech[[#This Row],[3-5]],0))</f>
        <v>0.1</v>
      </c>
    </row>
    <row r="137" spans="1:106" x14ac:dyDescent="0.2">
      <c r="AI137" s="45">
        <v>100</v>
      </c>
    </row>
    <row r="139" spans="1:106" x14ac:dyDescent="0.2">
      <c r="AE139" s="45">
        <f ca="1">SUM(E136:K136)</f>
        <v>200</v>
      </c>
    </row>
    <row r="1269" spans="2:3" x14ac:dyDescent="0.2">
      <c r="B1269" s="495" t="s">
        <v>321</v>
      </c>
      <c r="C1269" s="495"/>
    </row>
    <row r="1270" spans="2:3" x14ac:dyDescent="0.2">
      <c r="B1270" s="28">
        <f>Overview!E17</f>
        <v>0</v>
      </c>
      <c r="C1270" s="28"/>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4" priority="37" stopIfTrue="1">
      <formula>ROW()-2=#REF!</formula>
    </cfRule>
  </conditionalFormatting>
  <conditionalFormatting sqref="A1269:DB1270">
    <cfRule type="expression" dxfId="383" priority="38" stopIfTrue="1">
      <formula>$B$1270&gt;144</formula>
    </cfRule>
  </conditionalFormatting>
  <conditionalFormatting sqref="A4:DB136">
    <cfRule type="expression" dxfId="382" priority="1" stopIfTrue="1">
      <formula>ROW()-3=$B$1270</formula>
    </cfRule>
    <cfRule type="expression" dxfId="381" priority="2" stopIfTrue="1">
      <formula>OR(ROW()-3=$B$1270,A4&lt;0)</formula>
    </cfRule>
    <cfRule type="expression" dxfId="380" priority="35">
      <formula>$A4=73</formula>
    </cfRule>
  </conditionalFormatting>
  <conditionalFormatting sqref="A3:DB136">
    <cfRule type="expression" dxfId="379" priority="39">
      <formula>ROUND(($A3-1)/12,0)=INT($A3-1)/12</formula>
    </cfRule>
  </conditionalFormatting>
  <conditionalFormatting sqref="A1:XFD3">
    <cfRule type="expression" dxfId="378"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57" customWidth="1"/>
    <col min="2" max="2" width="7.7109375" style="45" customWidth="1"/>
    <col min="3" max="6" width="8.5703125" style="45" customWidth="1"/>
    <col min="7" max="18" width="10.140625"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customWidth="1"/>
    <col min="27" max="40" width="11.42578125" style="45" customWidth="1"/>
    <col min="41" max="16384" width="9.140625" style="45"/>
  </cols>
  <sheetData>
    <row r="1" spans="1:41" s="28" customFormat="1" x14ac:dyDescent="0.2">
      <c r="O1" s="502" t="s">
        <v>1114</v>
      </c>
      <c r="U1" s="262"/>
      <c r="X1" s="28" t="s">
        <v>33</v>
      </c>
      <c r="AA1" s="28" t="s">
        <v>211</v>
      </c>
      <c r="AF1" s="28" t="s">
        <v>91</v>
      </c>
      <c r="AG1" s="28" t="s">
        <v>94</v>
      </c>
      <c r="AH1" s="28" t="s">
        <v>93</v>
      </c>
      <c r="AI1" s="28" t="s">
        <v>367</v>
      </c>
      <c r="AJ1" s="28" t="s">
        <v>92</v>
      </c>
      <c r="AK1" s="28" t="s">
        <v>103</v>
      </c>
      <c r="AL1" s="28" t="s">
        <v>335</v>
      </c>
      <c r="AM1" s="28" t="s">
        <v>349</v>
      </c>
      <c r="AN1" s="28" t="s">
        <v>507</v>
      </c>
    </row>
    <row r="2" spans="1:41" s="28" customFormat="1" x14ac:dyDescent="0.2">
      <c r="G2" s="28" t="s">
        <v>201</v>
      </c>
      <c r="L2" s="262" t="s">
        <v>544</v>
      </c>
      <c r="M2" s="289" t="s">
        <v>94</v>
      </c>
      <c r="N2" s="262" t="s">
        <v>93</v>
      </c>
      <c r="O2" s="502"/>
      <c r="P2" s="262" t="s">
        <v>92</v>
      </c>
      <c r="Q2" s="262" t="s">
        <v>103</v>
      </c>
      <c r="R2" s="262" t="s">
        <v>335</v>
      </c>
      <c r="S2" s="262" t="s">
        <v>349</v>
      </c>
      <c r="T2" s="262" t="s">
        <v>507</v>
      </c>
      <c r="U2" s="262" t="s">
        <v>90</v>
      </c>
      <c r="V2" s="262" t="s">
        <v>509</v>
      </c>
    </row>
    <row r="3" spans="1:41" s="291" customFormat="1" ht="29.25" customHeight="1" thickBot="1" x14ac:dyDescent="0.25">
      <c r="A3" s="143" t="s">
        <v>0</v>
      </c>
      <c r="B3" s="143" t="s">
        <v>1</v>
      </c>
      <c r="C3" s="143" t="s">
        <v>12</v>
      </c>
      <c r="D3" s="143" t="s">
        <v>200</v>
      </c>
      <c r="E3" s="143" t="s">
        <v>316</v>
      </c>
      <c r="F3" s="143" t="s">
        <v>330</v>
      </c>
      <c r="G3" s="143" t="s">
        <v>202</v>
      </c>
      <c r="H3" s="143" t="s">
        <v>203</v>
      </c>
      <c r="I3" s="143" t="s">
        <v>204</v>
      </c>
      <c r="J3" s="143" t="s">
        <v>205</v>
      </c>
      <c r="K3" s="436" t="s">
        <v>206</v>
      </c>
      <c r="L3" s="143" t="s">
        <v>269</v>
      </c>
      <c r="M3" s="290" t="s">
        <v>536</v>
      </c>
      <c r="N3" s="143" t="s">
        <v>268</v>
      </c>
      <c r="O3" s="143" t="s">
        <v>1115</v>
      </c>
      <c r="P3" s="143" t="s">
        <v>304</v>
      </c>
      <c r="Q3" s="143" t="s">
        <v>341</v>
      </c>
      <c r="R3" s="143" t="s">
        <v>340</v>
      </c>
      <c r="S3" s="143" t="s">
        <v>347</v>
      </c>
      <c r="T3" s="143" t="s">
        <v>432</v>
      </c>
      <c r="U3" s="143" t="s">
        <v>1107</v>
      </c>
      <c r="V3" s="143" t="s">
        <v>510</v>
      </c>
      <c r="W3" s="143" t="s">
        <v>791</v>
      </c>
      <c r="X3" s="143" t="s">
        <v>941</v>
      </c>
      <c r="Y3" s="143" t="s">
        <v>942</v>
      </c>
      <c r="Z3" s="143" t="s">
        <v>792</v>
      </c>
      <c r="AA3" s="143" t="s">
        <v>943</v>
      </c>
      <c r="AB3" s="143" t="s">
        <v>944</v>
      </c>
      <c r="AC3" s="143" t="s">
        <v>945</v>
      </c>
      <c r="AD3" s="143" t="s">
        <v>946</v>
      </c>
      <c r="AE3" s="143" t="s">
        <v>947</v>
      </c>
      <c r="AF3" s="143" t="s">
        <v>950</v>
      </c>
      <c r="AG3" s="143" t="s">
        <v>951</v>
      </c>
      <c r="AH3" s="143" t="s">
        <v>952</v>
      </c>
      <c r="AI3" s="143" t="s">
        <v>948</v>
      </c>
      <c r="AJ3" s="143" t="s">
        <v>953</v>
      </c>
      <c r="AK3" s="143" t="s">
        <v>954</v>
      </c>
      <c r="AL3" s="143" t="s">
        <v>955</v>
      </c>
      <c r="AM3" s="143" t="s">
        <v>956</v>
      </c>
      <c r="AN3" s="143" t="s">
        <v>949</v>
      </c>
      <c r="AO3" s="444" t="s">
        <v>1108</v>
      </c>
    </row>
    <row r="4" spans="1:41" x14ac:dyDescent="0.2">
      <c r="A4" s="145">
        <f>TblRezone[[#This Row],[Hour]]</f>
        <v>1</v>
      </c>
      <c r="B4" s="162">
        <f ca="1">TblConstr[[#This Row],[Land]]</f>
        <v>250</v>
      </c>
      <c r="C4" s="97">
        <f ca="1">TblProd[[#This Row],[Mana]]</f>
        <v>0</v>
      </c>
      <c r="D4" s="429">
        <f>1-TblMagic[[#This Row],[Wiz str cost]]</f>
        <v>1</v>
      </c>
      <c r="E4" s="167">
        <f>Imps!L4</f>
        <v>44810.75</v>
      </c>
      <c r="F4" s="164">
        <f ca="1">TblImps[[#This Row],[Population]]</f>
        <v>0.67854113655640369</v>
      </c>
      <c r="G4" s="234"/>
      <c r="H4" s="234"/>
      <c r="I4" s="234"/>
      <c r="J4" s="234"/>
      <c r="K4" s="437"/>
      <c r="L4" s="234"/>
      <c r="M4" s="234"/>
      <c r="N4" s="234"/>
      <c r="O4" s="234"/>
      <c r="P4" s="234"/>
      <c r="Q4" s="234"/>
      <c r="R4" s="234"/>
      <c r="S4" s="234"/>
      <c r="T4" s="234"/>
      <c r="U4" s="234"/>
      <c r="V4" s="234"/>
      <c r="W4" s="150"/>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64">
        <f>SUMIF(TblMagic[[#This Row],[Gaia''s Watch]:[Useless spell]],1)*0.05</f>
        <v>0</v>
      </c>
      <c r="Z4" s="150"/>
      <c r="AA4" s="430">
        <f>TblMagic[[#This Row],[Gaia''s Watch]]*12</f>
        <v>0</v>
      </c>
      <c r="AB4" s="430">
        <f>TblMagic[[#This Row],[Mining Strength]]*12</f>
        <v>0</v>
      </c>
      <c r="AC4" s="430">
        <f>TblMagic[[#This Row],[Ares Call]]*12</f>
        <v>0</v>
      </c>
      <c r="AD4" s="430">
        <f>TblMagic[[#This Row],[Midas Touch]]*12</f>
        <v>0</v>
      </c>
      <c r="AE4" s="430">
        <f>TblMagic[[#This Row],[Harmony]]*12</f>
        <v>0</v>
      </c>
      <c r="AF4" s="430">
        <f>TblMagic[[#This Row],[Miner''s Sight]]*12</f>
        <v>0</v>
      </c>
      <c r="AG4" s="430">
        <f>TblMagic[[#This Row],[Mechanical Genius]]*12</f>
        <v>0</v>
      </c>
      <c r="AH4" s="430">
        <f>TblMagic[[#This Row],[Frenzy]]*12</f>
        <v>0</v>
      </c>
      <c r="AI4" s="430">
        <f>TblMagic[[#This Row],[Killing Rage / Bloodrage / Crusade]]*12</f>
        <v>0</v>
      </c>
      <c r="AJ4" s="430">
        <f>TblMagic[[#This Row],[Gaia''s Blessing]]*12</f>
        <v>0</v>
      </c>
      <c r="AK4" s="430">
        <f>TblMagic[[#This Row],[Howling]]*12</f>
        <v>0</v>
      </c>
      <c r="AL4" s="430">
        <f>TblMagic[[#This Row],[Blizzard]]*12</f>
        <v>0</v>
      </c>
      <c r="AM4" s="430">
        <f>TblMagic[[#This Row],[Alchemists Flame]]*12</f>
        <v>0</v>
      </c>
      <c r="AN4" s="430">
        <f>TblMagic[[#This Row],[Nightfall]]*12</f>
        <v>0</v>
      </c>
      <c r="AO4" s="445">
        <f>TblMagic[[#This Row],[Favorable Terrain]]*12</f>
        <v>0</v>
      </c>
    </row>
    <row r="5" spans="1:41" x14ac:dyDescent="0.2">
      <c r="A5" s="145">
        <f>TblRezone[[#This Row],[Hour]]</f>
        <v>2</v>
      </c>
      <c r="B5" s="162">
        <f ca="1">TblConstr[[#This Row],[Land]]</f>
        <v>250</v>
      </c>
      <c r="C5" s="97">
        <f ca="1">TblProd[[#This Row],[Mana]]</f>
        <v>0</v>
      </c>
      <c r="D5" s="164">
        <f ca="1">MIN(1,OFFSET(TblMagic[[#This Row],[Wiz str]],-1,0)+0.04+ROUNDDOWN(10*OFFSET(TblMili[[#This Row],[WG''s]],-1,0),0)+ tech_2_7*OFFSET(TblTech[[#This Row],[2-7]],-1,0) + tech_5_6*OFFSET(TblTech[[#This Row],[5-6]],-1,0) )-TblMagic[[#This Row],[Wiz str cost]]</f>
        <v>1</v>
      </c>
      <c r="E5" s="167">
        <f ca="1">OFFSET(TblMagic[[#This Row],[Time]],-1,0)+1/24</f>
        <v>44810.791666666664</v>
      </c>
      <c r="F5" s="164">
        <f ca="1">TblImps[[#This Row],[Population]]</f>
        <v>0.69508057675996604</v>
      </c>
      <c r="G5" s="234"/>
      <c r="H5" s="234"/>
      <c r="I5" s="234"/>
      <c r="J5" s="234"/>
      <c r="K5" s="437"/>
      <c r="L5" s="234"/>
      <c r="M5" s="234"/>
      <c r="N5" s="234"/>
      <c r="O5" s="234"/>
      <c r="P5" s="234"/>
      <c r="Q5" s="234"/>
      <c r="R5" s="234"/>
      <c r="S5" s="234"/>
      <c r="T5" s="234"/>
      <c r="U5" s="234"/>
      <c r="V5" s="234"/>
      <c r="W5" s="150"/>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64">
        <f>SUMIF(TblMagic[[#This Row],[Gaia''s Watch]:[Useless spell]],1)*0.05</f>
        <v>0</v>
      </c>
      <c r="Z5" s="150"/>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Row],[Blizzard]],12,IF(OFFSET(TblMagic[[#This Row],[Active Blizzard]],-1,0)&gt;0,OFFSET(TblMagic[[#This Row],[Active Blizzard]],-1,0)-1,0))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5">
        <f>TblRezone[[#This Row],[Hour]]</f>
        <v>3</v>
      </c>
      <c r="B6" s="162">
        <f ca="1">TblConstr[[#This Row],[Land]]</f>
        <v>250</v>
      </c>
      <c r="C6" s="97">
        <f ca="1">TblProd[[#This Row],[Mana]]</f>
        <v>0</v>
      </c>
      <c r="D6" s="164">
        <f ca="1">MIN(1,OFFSET(TblMagic[[#This Row],[Wiz str]],-1,0)+0.04+ROUNDDOWN(10*OFFSET(TblMili[[#This Row],[WG''s]],-1,0),0)+ tech_2_7*OFFSET(TblTech[[#This Row],[2-7]],-1,0) + tech_5_6*OFFSET(TblTech[[#This Row],[5-6]],-1,0) )-TblMagic[[#This Row],[Wiz str cost]]</f>
        <v>1</v>
      </c>
      <c r="E6" s="167">
        <f ca="1">OFFSET(TblMagic[[#This Row],[Time]],-1,0)+1/24</f>
        <v>44810.833333333328</v>
      </c>
      <c r="F6" s="164">
        <f ca="1">TblImps[[#This Row],[Population]]</f>
        <v>0.71162001696352839</v>
      </c>
      <c r="G6" s="234"/>
      <c r="H6" s="234"/>
      <c r="I6" s="234"/>
      <c r="J6" s="234"/>
      <c r="K6" s="437"/>
      <c r="L6" s="234"/>
      <c r="M6" s="234"/>
      <c r="N6" s="234"/>
      <c r="O6" s="234"/>
      <c r="P6" s="234"/>
      <c r="Q6" s="234"/>
      <c r="R6" s="234"/>
      <c r="S6" s="234"/>
      <c r="T6" s="234"/>
      <c r="U6" s="234"/>
      <c r="V6" s="234"/>
      <c r="W6" s="150"/>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64">
        <f>SUMIF(TblMagic[[#This Row],[Gaia''s Watch]:[Useless spell]],1)*0.05</f>
        <v>0</v>
      </c>
      <c r="Z6" s="150"/>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Row],[Blizzard]],12,IF(OFFSET(TblMagic[[#This Row],[Active Blizzard]],-1,0)&gt;0,OFFSET(TblMagic[[#This Row],[Active Blizzard]],-1,0)-1,0))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5">
        <f>TblRezone[[#This Row],[Hour]]</f>
        <v>4</v>
      </c>
      <c r="B7" s="162">
        <f ca="1">TblConstr[[#This Row],[Land]]</f>
        <v>250</v>
      </c>
      <c r="C7" s="97">
        <f ca="1">TblProd[[#This Row],[Mana]]</f>
        <v>0</v>
      </c>
      <c r="D7" s="164">
        <f ca="1">MIN(1,OFFSET(TblMagic[[#This Row],[Wiz str]],-1,0)+0.04+ROUNDDOWN(10*OFFSET(TblMili[[#This Row],[WG''s]],-1,0),0)+ tech_2_7*OFFSET(TblTech[[#This Row],[2-7]],-1,0) + tech_5_6*OFFSET(TblTech[[#This Row],[5-6]],-1,0) )-TblMagic[[#This Row],[Wiz str cost]]</f>
        <v>1</v>
      </c>
      <c r="E7" s="167">
        <f ca="1">OFFSET(TblMagic[[#This Row],[Time]],-1,0)+1/24</f>
        <v>44810.874999999993</v>
      </c>
      <c r="F7" s="164">
        <f ca="1">TblImps[[#This Row],[Population]]</f>
        <v>0.72858354537743852</v>
      </c>
      <c r="G7" s="234"/>
      <c r="H7" s="234"/>
      <c r="I7" s="234"/>
      <c r="J7" s="234"/>
      <c r="K7" s="437"/>
      <c r="L7" s="234"/>
      <c r="M7" s="234"/>
      <c r="N7" s="234"/>
      <c r="O7" s="234"/>
      <c r="P7" s="234"/>
      <c r="Q7" s="234"/>
      <c r="R7" s="234"/>
      <c r="S7" s="234"/>
      <c r="T7" s="234"/>
      <c r="U7" s="234"/>
      <c r="V7" s="234"/>
      <c r="W7" s="150"/>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64">
        <f>SUMIF(TblMagic[[#This Row],[Gaia''s Watch]:[Useless spell]],1)*0.05</f>
        <v>0</v>
      </c>
      <c r="Z7" s="150"/>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Row],[Blizzard]],12,IF(OFFSET(TblMagic[[#This Row],[Active Blizzard]],-1,0)&gt;0,OFFSET(TblMagic[[#This Row],[Active Blizzard]],-1,0)-1,0))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5">
        <f>TblRezone[[#This Row],[Hour]]</f>
        <v>5</v>
      </c>
      <c r="B8" s="162">
        <f ca="1">TblConstr[[#This Row],[Land]]</f>
        <v>250</v>
      </c>
      <c r="C8" s="97">
        <f ca="1">TblProd[[#This Row],[Mana]]</f>
        <v>0</v>
      </c>
      <c r="D8" s="164">
        <f ca="1">MIN(1,OFFSET(TblMagic[[#This Row],[Wiz str]],-1,0)+0.04+ROUNDDOWN(10*OFFSET(TblMili[[#This Row],[WG''s]],-1,0),0)+ tech_2_7*OFFSET(TblTech[[#This Row],[2-7]],-1,0) + tech_5_6*OFFSET(TblTech[[#This Row],[5-6]],-1,0) )-TblMagic[[#This Row],[Wiz str cost]]</f>
        <v>1</v>
      </c>
      <c r="E8" s="167">
        <f ca="1">OFFSET(TblMagic[[#This Row],[Time]],-1,0)+1/24</f>
        <v>44810.916666666657</v>
      </c>
      <c r="F8" s="164">
        <f ca="1">TblImps[[#This Row],[Population]]</f>
        <v>0.74597116200169633</v>
      </c>
      <c r="G8" s="234"/>
      <c r="H8" s="234"/>
      <c r="I8" s="234"/>
      <c r="J8" s="234"/>
      <c r="K8" s="437"/>
      <c r="L8" s="234"/>
      <c r="M8" s="234"/>
      <c r="N8" s="234"/>
      <c r="O8" s="234"/>
      <c r="P8" s="234"/>
      <c r="Q8" s="234"/>
      <c r="R8" s="234"/>
      <c r="S8" s="234"/>
      <c r="T8" s="234"/>
      <c r="U8" s="234"/>
      <c r="V8" s="234"/>
      <c r="W8" s="150"/>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64">
        <f>SUMIF(TblMagic[[#This Row],[Gaia''s Watch]:[Useless spell]],1)*0.05</f>
        <v>0</v>
      </c>
      <c r="Z8" s="150"/>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Row],[Blizzard]],12,IF(OFFSET(TblMagic[[#This Row],[Active Blizzard]],-1,0)&gt;0,OFFSET(TblMagic[[#This Row],[Active Blizzard]],-1,0)-1,0))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5">
        <f>TblRezone[[#This Row],[Hour]]</f>
        <v>6</v>
      </c>
      <c r="B9" s="162">
        <f ca="1">TblConstr[[#This Row],[Land]]</f>
        <v>250</v>
      </c>
      <c r="C9" s="97">
        <f ca="1">TblProd[[#This Row],[Mana]]</f>
        <v>0</v>
      </c>
      <c r="D9" s="164">
        <f ca="1">MIN(1,OFFSET(TblMagic[[#This Row],[Wiz str]],-1,0)+0.04+ROUNDDOWN(10*OFFSET(TblMili[[#This Row],[WG''s]],-1,0),0)+ tech_2_7*OFFSET(TblTech[[#This Row],[2-7]],-1,0) + tech_5_6*OFFSET(TblTech[[#This Row],[5-6]],-1,0) )-TblMagic[[#This Row],[Wiz str cost]]</f>
        <v>1</v>
      </c>
      <c r="E9" s="167">
        <f ca="1">OFFSET(TblMagic[[#This Row],[Time]],-1,0)+1/24</f>
        <v>44810.958333333321</v>
      </c>
      <c r="F9" s="164">
        <f ca="1">TblImps[[#This Row],[Population]]</f>
        <v>0.76378286683630192</v>
      </c>
      <c r="G9" s="234"/>
      <c r="H9" s="234"/>
      <c r="I9" s="234"/>
      <c r="J9" s="234"/>
      <c r="K9" s="437"/>
      <c r="L9" s="234"/>
      <c r="M9" s="234"/>
      <c r="N9" s="234"/>
      <c r="O9" s="234"/>
      <c r="P9" s="234"/>
      <c r="Q9" s="234"/>
      <c r="R9" s="234"/>
      <c r="S9" s="234"/>
      <c r="T9" s="234"/>
      <c r="U9" s="234"/>
      <c r="V9" s="234"/>
      <c r="W9" s="150"/>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64">
        <f>SUMIF(TblMagic[[#This Row],[Gaia''s Watch]:[Useless spell]],1)*0.05</f>
        <v>0</v>
      </c>
      <c r="Z9" s="150"/>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Row],[Blizzard]],12,IF(OFFSET(TblMagic[[#This Row],[Active Blizzard]],-1,0)&gt;0,OFFSET(TblMagic[[#This Row],[Active Blizzard]],-1,0)-1,0))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5">
        <f>TblRezone[[#This Row],[Hour]]</f>
        <v>7</v>
      </c>
      <c r="B10" s="162">
        <f ca="1">TblConstr[[#This Row],[Land]]</f>
        <v>250</v>
      </c>
      <c r="C10" s="97">
        <f ca="1">TblProd[[#This Row],[Mana]]</f>
        <v>0</v>
      </c>
      <c r="D10" s="164">
        <f ca="1">MIN(1,OFFSET(TblMagic[[#This Row],[Wiz str]],-1,0)+0.04+ROUNDDOWN(10*OFFSET(TblMili[[#This Row],[WG''s]],-1,0),0)+ tech_2_7*OFFSET(TblTech[[#This Row],[2-7]],-1,0) + tech_5_6*OFFSET(TblTech[[#This Row],[5-6]],-1,0) )-TblMagic[[#This Row],[Wiz str cost]]</f>
        <v>1</v>
      </c>
      <c r="E10" s="167">
        <f ca="1">OFFSET(TblMagic[[#This Row],[Time]],-1,0)+1/24</f>
        <v>44810.999999999985</v>
      </c>
      <c r="F10" s="164">
        <f ca="1">TblImps[[#This Row],[Population]]</f>
        <v>0.7820186598812553</v>
      </c>
      <c r="G10" s="234"/>
      <c r="H10" s="234"/>
      <c r="I10" s="234"/>
      <c r="J10" s="234"/>
      <c r="K10" s="437"/>
      <c r="L10" s="234"/>
      <c r="M10" s="234"/>
      <c r="N10" s="234"/>
      <c r="O10" s="234"/>
      <c r="P10" s="234"/>
      <c r="Q10" s="234"/>
      <c r="R10" s="234"/>
      <c r="S10" s="234"/>
      <c r="T10" s="234"/>
      <c r="U10" s="234"/>
      <c r="V10" s="234"/>
      <c r="W10" s="150"/>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64">
        <f>SUMIF(TblMagic[[#This Row],[Gaia''s Watch]:[Useless spell]],1)*0.05</f>
        <v>0</v>
      </c>
      <c r="Z10" s="150"/>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Row],[Blizzard]],12,IF(OFFSET(TblMagic[[#This Row],[Active Blizzard]],-1,0)&gt;0,OFFSET(TblMagic[[#This Row],[Active Blizzard]],-1,0)-1,0))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5">
        <f>TblRezone[[#This Row],[Hour]]</f>
        <v>8</v>
      </c>
      <c r="B11" s="162">
        <f ca="1">TblConstr[[#This Row],[Land]]</f>
        <v>250</v>
      </c>
      <c r="C11" s="97">
        <f ca="1">TblProd[[#This Row],[Mana]]</f>
        <v>0</v>
      </c>
      <c r="D11" s="164">
        <f ca="1">MIN(1,OFFSET(TblMagic[[#This Row],[Wiz str]],-1,0)+0.04+ROUNDDOWN(10*OFFSET(TblMili[[#This Row],[WG''s]],-1,0),0)+ tech_2_7*OFFSET(TblTech[[#This Row],[2-7]],-1,0) + tech_5_6*OFFSET(TblTech[[#This Row],[5-6]],-1,0) )-TblMagic[[#This Row],[Wiz str cost]]</f>
        <v>1</v>
      </c>
      <c r="E11" s="167">
        <f ca="1">OFFSET(TblMagic[[#This Row],[Time]],-1,0)+1/24</f>
        <v>44811.04166666665</v>
      </c>
      <c r="F11" s="164">
        <f ca="1">TblImps[[#This Row],[Population]]</f>
        <v>0.80025445292620867</v>
      </c>
      <c r="G11" s="234"/>
      <c r="H11" s="234"/>
      <c r="I11" s="234"/>
      <c r="J11" s="234"/>
      <c r="K11" s="437"/>
      <c r="L11" s="234"/>
      <c r="M11" s="234"/>
      <c r="N11" s="234"/>
      <c r="O11" s="234"/>
      <c r="P11" s="234"/>
      <c r="Q11" s="234"/>
      <c r="R11" s="234"/>
      <c r="S11" s="234"/>
      <c r="T11" s="234"/>
      <c r="U11" s="234"/>
      <c r="V11" s="234"/>
      <c r="W11" s="150"/>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64">
        <f>SUMIF(TblMagic[[#This Row],[Gaia''s Watch]:[Useless spell]],1)*0.05</f>
        <v>0</v>
      </c>
      <c r="Z11" s="150"/>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Row],[Blizzard]],12,IF(OFFSET(TblMagic[[#This Row],[Active Blizzard]],-1,0)&gt;0,OFFSET(TblMagic[[#This Row],[Active Blizzard]],-1,0)-1,0))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5">
        <f>TblRezone[[#This Row],[Hour]]</f>
        <v>9</v>
      </c>
      <c r="B12" s="162">
        <f ca="1">TblConstr[[#This Row],[Land]]</f>
        <v>250</v>
      </c>
      <c r="C12" s="97">
        <f ca="1">TblProd[[#This Row],[Mana]]</f>
        <v>0</v>
      </c>
      <c r="D12" s="164">
        <f ca="1">MIN(1,OFFSET(TblMagic[[#This Row],[Wiz str]],-1,0)+0.04+ROUNDDOWN(10*OFFSET(TblMili[[#This Row],[WG''s]],-1,0),0)+ tech_2_7*OFFSET(TblTech[[#This Row],[2-7]],-1,0) + tech_5_6*OFFSET(TblTech[[#This Row],[5-6]],-1,0) )-TblMagic[[#This Row],[Wiz str cost]]</f>
        <v>1</v>
      </c>
      <c r="E12" s="167">
        <f ca="1">OFFSET(TblMagic[[#This Row],[Time]],-1,0)+1/24</f>
        <v>44811.083333333314</v>
      </c>
      <c r="F12" s="164">
        <f ca="1">TblImps[[#This Row],[Population]]</f>
        <v>0.81891433418150972</v>
      </c>
      <c r="G12" s="234"/>
      <c r="H12" s="234"/>
      <c r="I12" s="234"/>
      <c r="J12" s="234"/>
      <c r="K12" s="437"/>
      <c r="L12" s="234"/>
      <c r="M12" s="234"/>
      <c r="N12" s="234"/>
      <c r="O12" s="234"/>
      <c r="P12" s="234"/>
      <c r="Q12" s="234"/>
      <c r="R12" s="234"/>
      <c r="S12" s="234"/>
      <c r="T12" s="234"/>
      <c r="U12" s="234"/>
      <c r="V12" s="234"/>
      <c r="W12" s="150"/>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64">
        <f>SUMIF(TblMagic[[#This Row],[Gaia''s Watch]:[Useless spell]],1)*0.05</f>
        <v>0</v>
      </c>
      <c r="Z12" s="150"/>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Row],[Blizzard]],12,IF(OFFSET(TblMagic[[#This Row],[Active Blizzard]],-1,0)&gt;0,OFFSET(TblMagic[[#This Row],[Active Blizzard]],-1,0)-1,0))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5">
        <f>TblRezone[[#This Row],[Hour]]</f>
        <v>10</v>
      </c>
      <c r="B13" s="162">
        <f ca="1">TblConstr[[#This Row],[Land]]</f>
        <v>250</v>
      </c>
      <c r="C13" s="97">
        <f ca="1">TblProd[[#This Row],[Mana]]</f>
        <v>0</v>
      </c>
      <c r="D13" s="164">
        <f ca="1">MIN(1,OFFSET(TblMagic[[#This Row],[Wiz str]],-1,0)+0.04+ROUNDDOWN(10*OFFSET(TblMili[[#This Row],[WG''s]],-1,0),0)+ tech_2_7*OFFSET(TblTech[[#This Row],[2-7]],-1,0) + tech_5_6*OFFSET(TblTech[[#This Row],[5-6]],-1,0) )-TblMagic[[#This Row],[Wiz str cost]]</f>
        <v>1</v>
      </c>
      <c r="E13" s="167">
        <f ca="1">OFFSET(TblMagic[[#This Row],[Time]],-1,0)+1/24</f>
        <v>44811.124999999978</v>
      </c>
      <c r="F13" s="164">
        <f ca="1">TblImps[[#This Row],[Population]]</f>
        <v>0.83799830364715866</v>
      </c>
      <c r="G13" s="234"/>
      <c r="H13" s="234"/>
      <c r="I13" s="234"/>
      <c r="J13" s="234"/>
      <c r="K13" s="437"/>
      <c r="L13" s="234"/>
      <c r="M13" s="234"/>
      <c r="N13" s="234"/>
      <c r="O13" s="234"/>
      <c r="P13" s="234"/>
      <c r="Q13" s="234"/>
      <c r="R13" s="234"/>
      <c r="S13" s="234"/>
      <c r="T13" s="234"/>
      <c r="U13" s="234"/>
      <c r="V13" s="234"/>
      <c r="W13" s="150"/>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64">
        <f>SUMIF(TblMagic[[#This Row],[Gaia''s Watch]:[Useless spell]],1)*0.05</f>
        <v>0</v>
      </c>
      <c r="Z13" s="150"/>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Row],[Blizzard]],12,IF(OFFSET(TblMagic[[#This Row],[Active Blizzard]],-1,0)&gt;0,OFFSET(TblMagic[[#This Row],[Active Blizzard]],-1,0)-1,0))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5">
        <f>TblRezone[[#This Row],[Hour]]</f>
        <v>11</v>
      </c>
      <c r="B14" s="162">
        <f ca="1">TblConstr[[#This Row],[Land]]</f>
        <v>250</v>
      </c>
      <c r="C14" s="97">
        <f ca="1">TblProd[[#This Row],[Mana]]</f>
        <v>0</v>
      </c>
      <c r="D14" s="164">
        <f ca="1">MIN(1,OFFSET(TblMagic[[#This Row],[Wiz str]],-1,0)+0.04+ROUNDDOWN(10*OFFSET(TblMili[[#This Row],[WG''s]],-1,0),0)+ tech_2_7*OFFSET(TblTech[[#This Row],[2-7]],-1,0) + tech_5_6*OFFSET(TblTech[[#This Row],[5-6]],-1,0) )-TblMagic[[#This Row],[Wiz str cost]]</f>
        <v>1</v>
      </c>
      <c r="E14" s="167">
        <f ca="1">OFFSET(TblMagic[[#This Row],[Time]],-1,0)+1/24</f>
        <v>44811.166666666642</v>
      </c>
      <c r="F14" s="164">
        <f ca="1">TblImps[[#This Row],[Population]]</f>
        <v>0.85750636132315516</v>
      </c>
      <c r="G14" s="234"/>
      <c r="H14" s="234"/>
      <c r="I14" s="234"/>
      <c r="J14" s="234"/>
      <c r="K14" s="437"/>
      <c r="L14" s="234"/>
      <c r="M14" s="234"/>
      <c r="N14" s="234"/>
      <c r="O14" s="234"/>
      <c r="P14" s="234"/>
      <c r="Q14" s="234"/>
      <c r="R14" s="234"/>
      <c r="S14" s="234"/>
      <c r="T14" s="234"/>
      <c r="U14" s="234"/>
      <c r="V14" s="234"/>
      <c r="W14" s="150"/>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64">
        <f>SUMIF(TblMagic[[#This Row],[Gaia''s Watch]:[Useless spell]],1)*0.05</f>
        <v>0</v>
      </c>
      <c r="Z14" s="150"/>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Row],[Blizzard]],12,IF(OFFSET(TblMagic[[#This Row],[Active Blizzard]],-1,0)&gt;0,OFFSET(TblMagic[[#This Row],[Active Blizzard]],-1,0)-1,0))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5">
        <f>TblRezone[[#This Row],[Hour]]</f>
        <v>12</v>
      </c>
      <c r="B15" s="162">
        <f ca="1">TblConstr[[#This Row],[Land]]</f>
        <v>250</v>
      </c>
      <c r="C15" s="97">
        <f ca="1">TblProd[[#This Row],[Mana]]</f>
        <v>0</v>
      </c>
      <c r="D15" s="164">
        <f ca="1">MIN(1,OFFSET(TblMagic[[#This Row],[Wiz str]],-1,0)+0.04+ROUNDDOWN(10*OFFSET(TblMili[[#This Row],[WG''s]],-1,0),0)+ tech_2_7*OFFSET(TblTech[[#This Row],[2-7]],-1,0) + tech_5_6*OFFSET(TblTech[[#This Row],[5-6]],-1,0) )-TblMagic[[#This Row],[Wiz str cost]]</f>
        <v>1</v>
      </c>
      <c r="E15" s="167">
        <f ca="1">OFFSET(TblMagic[[#This Row],[Time]],-1,0)+1/24</f>
        <v>44811.208333333307</v>
      </c>
      <c r="F15" s="164">
        <f ca="1">TblImps[[#This Row],[Population]]</f>
        <v>0.87743850720949956</v>
      </c>
      <c r="G15" s="234"/>
      <c r="H15" s="234"/>
      <c r="I15" s="234"/>
      <c r="J15" s="234"/>
      <c r="K15" s="437"/>
      <c r="L15" s="234"/>
      <c r="M15" s="234"/>
      <c r="N15" s="234"/>
      <c r="O15" s="234"/>
      <c r="P15" s="234"/>
      <c r="Q15" s="234"/>
      <c r="R15" s="234"/>
      <c r="S15" s="234"/>
      <c r="T15" s="234"/>
      <c r="U15" s="234"/>
      <c r="V15" s="234"/>
      <c r="W15" s="150"/>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64">
        <f>SUMIF(TblMagic[[#This Row],[Gaia''s Watch]:[Useless spell]],1)*0.05</f>
        <v>0</v>
      </c>
      <c r="Z15" s="150"/>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Row],[Blizzard]],12,IF(OFFSET(TblMagic[[#This Row],[Active Blizzard]],-1,0)&gt;0,OFFSET(TblMagic[[#This Row],[Active Blizzard]],-1,0)-1,0))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5">
        <f>TblRezone[[#This Row],[Hour]]</f>
        <v>13</v>
      </c>
      <c r="B16" s="162">
        <f ca="1">TblConstr[[#This Row],[Land]]</f>
        <v>250</v>
      </c>
      <c r="C16" s="97">
        <f ca="1">TblProd[[#This Row],[Mana]]</f>
        <v>0</v>
      </c>
      <c r="D16" s="164">
        <f ca="1">MIN(1,OFFSET(TblMagic[[#This Row],[Wiz str]],-1,0)+0.04+ROUNDDOWN(10*OFFSET(TblMili[[#This Row],[WG''s]],-1,0),0)+ tech_2_7*OFFSET(TblTech[[#This Row],[2-7]],-1,0) + tech_5_6*OFFSET(TblTech[[#This Row],[5-6]],-1,0) )-TblMagic[[#This Row],[Wiz str cost]]</f>
        <v>1</v>
      </c>
      <c r="E16" s="167">
        <f ca="1">OFFSET(TblMagic[[#This Row],[Time]],-1,0)+1/24</f>
        <v>44811.249999999971</v>
      </c>
      <c r="F16" s="164">
        <f ca="1">TblImps[[#This Row],[Population]]</f>
        <v>0.89779474130619163</v>
      </c>
      <c r="G16" s="234"/>
      <c r="H16" s="234"/>
      <c r="I16" s="234"/>
      <c r="J16" s="234"/>
      <c r="K16" s="437"/>
      <c r="L16" s="234"/>
      <c r="M16" s="234"/>
      <c r="N16" s="234"/>
      <c r="O16" s="234"/>
      <c r="P16" s="234"/>
      <c r="Q16" s="234"/>
      <c r="R16" s="234"/>
      <c r="S16" s="234"/>
      <c r="T16" s="234"/>
      <c r="U16" s="234"/>
      <c r="V16" s="234"/>
      <c r="W16" s="150"/>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64">
        <f>SUMIF(TblMagic[[#This Row],[Gaia''s Watch]:[Useless spell]],1)*0.05</f>
        <v>0</v>
      </c>
      <c r="Z16" s="150"/>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Row],[Blizzard]],12,IF(OFFSET(TblMagic[[#This Row],[Active Blizzard]],-1,0)&gt;0,OFFSET(TblMagic[[#This Row],[Active Blizzard]],-1,0)-1,0))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5">
        <f>TblRezone[[#This Row],[Hour]]</f>
        <v>14</v>
      </c>
      <c r="B17" s="162">
        <f ca="1">TblConstr[[#This Row],[Land]]</f>
        <v>250</v>
      </c>
      <c r="C17" s="97">
        <f ca="1">TblProd[[#This Row],[Mana]]</f>
        <v>0</v>
      </c>
      <c r="D17" s="164">
        <f ca="1">MIN(1,OFFSET(TblMagic[[#This Row],[Wiz str]],-1,0)+0.04+ROUNDDOWN(10*OFFSET(TblMili[[#This Row],[WG''s]],-1,0),0)+ tech_2_7*OFFSET(TblTech[[#This Row],[2-7]],-1,0) + tech_5_6*OFFSET(TblTech[[#This Row],[5-6]],-1,0) )-TblMagic[[#This Row],[Wiz str cost]]</f>
        <v>1</v>
      </c>
      <c r="E17" s="167">
        <f ca="1">OFFSET(TblMagic[[#This Row],[Time]],-1,0)+1/24</f>
        <v>44811.291666666635</v>
      </c>
      <c r="F17" s="164">
        <f ca="1">TblImps[[#This Row],[Population]]</f>
        <v>0.9185750636132316</v>
      </c>
      <c r="G17" s="234"/>
      <c r="H17" s="234"/>
      <c r="I17" s="234"/>
      <c r="J17" s="234"/>
      <c r="K17" s="437"/>
      <c r="L17" s="234"/>
      <c r="M17" s="234"/>
      <c r="N17" s="234"/>
      <c r="O17" s="234"/>
      <c r="P17" s="234"/>
      <c r="Q17" s="234"/>
      <c r="R17" s="234"/>
      <c r="S17" s="234"/>
      <c r="T17" s="234"/>
      <c r="U17" s="234"/>
      <c r="V17" s="234"/>
      <c r="W17" s="150"/>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64">
        <f>SUMIF(TblMagic[[#This Row],[Gaia''s Watch]:[Useless spell]],1)*0.05</f>
        <v>0</v>
      </c>
      <c r="Z17" s="150"/>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Row],[Blizzard]],12,IF(OFFSET(TblMagic[[#This Row],[Active Blizzard]],-1,0)&gt;0,OFFSET(TblMagic[[#This Row],[Active Blizzard]],-1,0)-1,0))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5">
        <f>TblRezone[[#This Row],[Hour]]</f>
        <v>15</v>
      </c>
      <c r="B18" s="162">
        <f ca="1">TblConstr[[#This Row],[Land]]</f>
        <v>250</v>
      </c>
      <c r="C18" s="97">
        <f ca="1">TblProd[[#This Row],[Mana]]</f>
        <v>0</v>
      </c>
      <c r="D18" s="164">
        <f ca="1">MIN(1,OFFSET(TblMagic[[#This Row],[Wiz str]],-1,0)+0.04+ROUNDDOWN(10*OFFSET(TblMili[[#This Row],[WG''s]],-1,0),0)+ tech_2_7*OFFSET(TblTech[[#This Row],[2-7]],-1,0) + tech_5_6*OFFSET(TblTech[[#This Row],[5-6]],-1,0) )-TblMagic[[#This Row],[Wiz str cost]]</f>
        <v>1</v>
      </c>
      <c r="E18" s="167">
        <f ca="1">OFFSET(TblMagic[[#This Row],[Time]],-1,0)+1/24</f>
        <v>44811.333333333299</v>
      </c>
      <c r="F18" s="164">
        <f ca="1">TblImps[[#This Row],[Population]]</f>
        <v>0.93977947413061913</v>
      </c>
      <c r="G18" s="234"/>
      <c r="H18" s="234"/>
      <c r="I18" s="234"/>
      <c r="J18" s="234"/>
      <c r="K18" s="437"/>
      <c r="L18" s="234"/>
      <c r="M18" s="234"/>
      <c r="N18" s="234"/>
      <c r="O18" s="234"/>
      <c r="P18" s="234"/>
      <c r="Q18" s="234"/>
      <c r="R18" s="234"/>
      <c r="S18" s="234"/>
      <c r="T18" s="234"/>
      <c r="U18" s="234"/>
      <c r="V18" s="234"/>
      <c r="W18" s="150"/>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64">
        <f>SUMIF(TblMagic[[#This Row],[Gaia''s Watch]:[Useless spell]],1)*0.05</f>
        <v>0</v>
      </c>
      <c r="Z18" s="150"/>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Row],[Blizzard]],12,IF(OFFSET(TblMagic[[#This Row],[Active Blizzard]],-1,0)&gt;0,OFFSET(TblMagic[[#This Row],[Active Blizzard]],-1,0)-1,0))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5">
        <f>TblRezone[[#This Row],[Hour]]</f>
        <v>16</v>
      </c>
      <c r="B19" s="162">
        <f ca="1">TblConstr[[#This Row],[Land]]</f>
        <v>250</v>
      </c>
      <c r="C19" s="97">
        <f ca="1">TblProd[[#This Row],[Mana]]</f>
        <v>0</v>
      </c>
      <c r="D19" s="164">
        <f ca="1">MIN(1,OFFSET(TblMagic[[#This Row],[Wiz str]],-1,0)+0.04+ROUNDDOWN(10*OFFSET(TblMili[[#This Row],[WG''s]],-1,0),0)+ tech_2_7*OFFSET(TblTech[[#This Row],[2-7]],-1,0) + tech_5_6*OFFSET(TblTech[[#This Row],[5-6]],-1,0) )-TblMagic[[#This Row],[Wiz str cost]]</f>
        <v>1</v>
      </c>
      <c r="E19" s="167">
        <f ca="1">OFFSET(TblMagic[[#This Row],[Time]],-1,0)+1/24</f>
        <v>44811.374999999964</v>
      </c>
      <c r="F19" s="164">
        <f ca="1">TblImps[[#This Row],[Population]]</f>
        <v>0.96140797285835455</v>
      </c>
      <c r="G19" s="234"/>
      <c r="H19" s="234"/>
      <c r="I19" s="234"/>
      <c r="J19" s="234"/>
      <c r="K19" s="437"/>
      <c r="L19" s="234"/>
      <c r="M19" s="234"/>
      <c r="N19" s="234"/>
      <c r="O19" s="234"/>
      <c r="P19" s="234"/>
      <c r="Q19" s="234"/>
      <c r="R19" s="234"/>
      <c r="S19" s="234"/>
      <c r="T19" s="234"/>
      <c r="U19" s="234"/>
      <c r="V19" s="234"/>
      <c r="W19" s="150"/>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64">
        <f>SUMIF(TblMagic[[#This Row],[Gaia''s Watch]:[Useless spell]],1)*0.05</f>
        <v>0</v>
      </c>
      <c r="Z19" s="150"/>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Row],[Blizzard]],12,IF(OFFSET(TblMagic[[#This Row],[Active Blizzard]],-1,0)&gt;0,OFFSET(TblMagic[[#This Row],[Active Blizzard]],-1,0)-1,0))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5">
        <f>TblRezone[[#This Row],[Hour]]</f>
        <v>17</v>
      </c>
      <c r="B20" s="162">
        <f ca="1">TblConstr[[#This Row],[Land]]</f>
        <v>250</v>
      </c>
      <c r="C20" s="97">
        <f ca="1">TblProd[[#This Row],[Mana]]</f>
        <v>0</v>
      </c>
      <c r="D20" s="164">
        <f ca="1">MIN(1,OFFSET(TblMagic[[#This Row],[Wiz str]],-1,0)+0.04+ROUNDDOWN(10*OFFSET(TblMili[[#This Row],[WG''s]],-1,0),0)+ tech_2_7*OFFSET(TblTech[[#This Row],[2-7]],-1,0) + tech_5_6*OFFSET(TblTech[[#This Row],[5-6]],-1,0) )-TblMagic[[#This Row],[Wiz str cost]]</f>
        <v>1</v>
      </c>
      <c r="E20" s="167">
        <f ca="1">OFFSET(TblMagic[[#This Row],[Time]],-1,0)+1/24</f>
        <v>44811.416666666628</v>
      </c>
      <c r="F20" s="164">
        <f ca="1">TblImps[[#This Row],[Population]]</f>
        <v>0.98346055979643765</v>
      </c>
      <c r="G20" s="234"/>
      <c r="H20" s="234"/>
      <c r="I20" s="234"/>
      <c r="J20" s="234"/>
      <c r="K20" s="437"/>
      <c r="L20" s="234"/>
      <c r="M20" s="234"/>
      <c r="N20" s="234"/>
      <c r="O20" s="234"/>
      <c r="P20" s="234"/>
      <c r="Q20" s="234"/>
      <c r="R20" s="234"/>
      <c r="S20" s="234"/>
      <c r="T20" s="234"/>
      <c r="U20" s="234"/>
      <c r="V20" s="234"/>
      <c r="W20" s="150"/>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64">
        <f>SUMIF(TblMagic[[#This Row],[Gaia''s Watch]:[Useless spell]],1)*0.05</f>
        <v>0</v>
      </c>
      <c r="Z20" s="150"/>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Row],[Blizzard]],12,IF(OFFSET(TblMagic[[#This Row],[Active Blizzard]],-1,0)&gt;0,OFFSET(TblMagic[[#This Row],[Active Blizzard]],-1,0)-1,0))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5">
        <f>TblRezone[[#This Row],[Hour]]</f>
        <v>18</v>
      </c>
      <c r="B21" s="162">
        <f ca="1">TblConstr[[#This Row],[Land]]</f>
        <v>250</v>
      </c>
      <c r="C21" s="97">
        <f ca="1">TblProd[[#This Row],[Mana]]</f>
        <v>0</v>
      </c>
      <c r="D21" s="164">
        <f ca="1">MIN(1,OFFSET(TblMagic[[#This Row],[Wiz str]],-1,0)+0.04+ROUNDDOWN(10*OFFSET(TblMili[[#This Row],[WG''s]],-1,0),0)+ tech_2_7*OFFSET(TblTech[[#This Row],[2-7]],-1,0) + tech_5_6*OFFSET(TblTech[[#This Row],[5-6]],-1,0) )-TblMagic[[#This Row],[Wiz str cost]]</f>
        <v>1</v>
      </c>
      <c r="E21" s="167">
        <f ca="1">OFFSET(TblMagic[[#This Row],[Time]],-1,0)+1/24</f>
        <v>44811.458333333292</v>
      </c>
      <c r="F21" s="164">
        <f ca="1">TblImps[[#This Row],[Population]]</f>
        <v>1</v>
      </c>
      <c r="G21" s="234"/>
      <c r="H21" s="234"/>
      <c r="I21" s="234"/>
      <c r="J21" s="234"/>
      <c r="K21" s="437"/>
      <c r="L21" s="234"/>
      <c r="M21" s="234"/>
      <c r="N21" s="234"/>
      <c r="O21" s="234"/>
      <c r="P21" s="234"/>
      <c r="Q21" s="234"/>
      <c r="R21" s="234"/>
      <c r="S21" s="234"/>
      <c r="T21" s="234"/>
      <c r="U21" s="234"/>
      <c r="V21" s="234"/>
      <c r="W21" s="150"/>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64">
        <f>SUMIF(TblMagic[[#This Row],[Gaia''s Watch]:[Useless spell]],1)*0.05</f>
        <v>0</v>
      </c>
      <c r="Z21" s="150"/>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Row],[Blizzard]],12,IF(OFFSET(TblMagic[[#This Row],[Active Blizzard]],-1,0)&gt;0,OFFSET(TblMagic[[#This Row],[Active Blizzard]],-1,0)-1,0))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5">
        <f>TblRezone[[#This Row],[Hour]]</f>
        <v>19</v>
      </c>
      <c r="B22" s="162">
        <f ca="1">TblConstr[[#This Row],[Land]]</f>
        <v>250</v>
      </c>
      <c r="C22" s="97">
        <f ca="1">TblProd[[#This Row],[Mana]]</f>
        <v>0</v>
      </c>
      <c r="D22" s="164">
        <f ca="1">MIN(1,OFFSET(TblMagic[[#This Row],[Wiz str]],-1,0)+0.04+ROUNDDOWN(10*OFFSET(TblMili[[#This Row],[WG''s]],-1,0),0)+ tech_2_7*OFFSET(TblTech[[#This Row],[2-7]],-1,0) + tech_5_6*OFFSET(TblTech[[#This Row],[5-6]],-1,0) )-TblMagic[[#This Row],[Wiz str cost]]</f>
        <v>1</v>
      </c>
      <c r="E22" s="167">
        <f ca="1">OFFSET(TblMagic[[#This Row],[Time]],-1,0)+1/24</f>
        <v>44811.499999999956</v>
      </c>
      <c r="F22" s="164">
        <f ca="1">TblImps[[#This Row],[Population]]</f>
        <v>1</v>
      </c>
      <c r="G22" s="234"/>
      <c r="H22" s="234"/>
      <c r="I22" s="234"/>
      <c r="J22" s="234"/>
      <c r="K22" s="437"/>
      <c r="L22" s="234"/>
      <c r="M22" s="234"/>
      <c r="N22" s="234"/>
      <c r="O22" s="234"/>
      <c r="P22" s="234"/>
      <c r="Q22" s="234"/>
      <c r="R22" s="234"/>
      <c r="S22" s="234"/>
      <c r="T22" s="234"/>
      <c r="U22" s="234"/>
      <c r="V22" s="234"/>
      <c r="W22" s="150"/>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64">
        <f>SUMIF(TblMagic[[#This Row],[Gaia''s Watch]:[Useless spell]],1)*0.05</f>
        <v>0</v>
      </c>
      <c r="Z22" s="150"/>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Row],[Blizzard]],12,IF(OFFSET(TblMagic[[#This Row],[Active Blizzard]],-1,0)&gt;0,OFFSET(TblMagic[[#This Row],[Active Blizzard]],-1,0)-1,0))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5">
        <f>TblRezone[[#This Row],[Hour]]</f>
        <v>20</v>
      </c>
      <c r="B23" s="162">
        <f ca="1">TblConstr[[#This Row],[Land]]</f>
        <v>250</v>
      </c>
      <c r="C23" s="97">
        <f ca="1">TblProd[[#This Row],[Mana]]</f>
        <v>0</v>
      </c>
      <c r="D23" s="164">
        <f ca="1">MIN(1,OFFSET(TblMagic[[#This Row],[Wiz str]],-1,0)+0.04+ROUNDDOWN(10*OFFSET(TblMili[[#This Row],[WG''s]],-1,0),0)+ tech_2_7*OFFSET(TblTech[[#This Row],[2-7]],-1,0) + tech_5_6*OFFSET(TblTech[[#This Row],[5-6]],-1,0) )-TblMagic[[#This Row],[Wiz str cost]]</f>
        <v>1</v>
      </c>
      <c r="E23" s="167">
        <f ca="1">OFFSET(TblMagic[[#This Row],[Time]],-1,0)+1/24</f>
        <v>44811.541666666621</v>
      </c>
      <c r="F23" s="164">
        <f ca="1">TblImps[[#This Row],[Population]]</f>
        <v>1</v>
      </c>
      <c r="G23" s="234"/>
      <c r="H23" s="234"/>
      <c r="I23" s="234"/>
      <c r="J23" s="234"/>
      <c r="K23" s="437"/>
      <c r="L23" s="234"/>
      <c r="M23" s="234"/>
      <c r="N23" s="234"/>
      <c r="O23" s="234"/>
      <c r="P23" s="234"/>
      <c r="Q23" s="234"/>
      <c r="R23" s="234"/>
      <c r="S23" s="234"/>
      <c r="T23" s="234"/>
      <c r="U23" s="234"/>
      <c r="V23" s="234"/>
      <c r="W23" s="150"/>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64">
        <f>SUMIF(TblMagic[[#This Row],[Gaia''s Watch]:[Useless spell]],1)*0.05</f>
        <v>0</v>
      </c>
      <c r="Z23" s="150"/>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Row],[Blizzard]],12,IF(OFFSET(TblMagic[[#This Row],[Active Blizzard]],-1,0)&gt;0,OFFSET(TblMagic[[#This Row],[Active Blizzard]],-1,0)-1,0))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5">
        <f>TblRezone[[#This Row],[Hour]]</f>
        <v>21</v>
      </c>
      <c r="B24" s="162">
        <f ca="1">TblConstr[[#This Row],[Land]]</f>
        <v>250</v>
      </c>
      <c r="C24" s="97">
        <f ca="1">TblProd[[#This Row],[Mana]]</f>
        <v>0</v>
      </c>
      <c r="D24" s="164">
        <f ca="1">MIN(1,OFFSET(TblMagic[[#This Row],[Wiz str]],-1,0)+0.04+ROUNDDOWN(10*OFFSET(TblMili[[#This Row],[WG''s]],-1,0),0)+ tech_2_7*OFFSET(TblTech[[#This Row],[2-7]],-1,0) + tech_5_6*OFFSET(TblTech[[#This Row],[5-6]],-1,0) )-TblMagic[[#This Row],[Wiz str cost]]</f>
        <v>1</v>
      </c>
      <c r="E24" s="167">
        <f ca="1">OFFSET(TblMagic[[#This Row],[Time]],-1,0)+1/24</f>
        <v>44811.583333333285</v>
      </c>
      <c r="F24" s="164">
        <f ca="1">TblImps[[#This Row],[Population]]</f>
        <v>1</v>
      </c>
      <c r="G24" s="234"/>
      <c r="H24" s="234"/>
      <c r="I24" s="234"/>
      <c r="J24" s="234"/>
      <c r="K24" s="437"/>
      <c r="L24" s="234"/>
      <c r="M24" s="234"/>
      <c r="N24" s="234"/>
      <c r="O24" s="234"/>
      <c r="P24" s="234"/>
      <c r="Q24" s="234"/>
      <c r="R24" s="234"/>
      <c r="S24" s="234"/>
      <c r="T24" s="234"/>
      <c r="U24" s="234"/>
      <c r="V24" s="234"/>
      <c r="W24" s="150"/>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64">
        <f>SUMIF(TblMagic[[#This Row],[Gaia''s Watch]:[Useless spell]],1)*0.05</f>
        <v>0</v>
      </c>
      <c r="Z24" s="150"/>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Row],[Blizzard]],12,IF(OFFSET(TblMagic[[#This Row],[Active Blizzard]],-1,0)&gt;0,OFFSET(TblMagic[[#This Row],[Active Blizzard]],-1,0)-1,0))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5">
        <f>TblRezone[[#This Row],[Hour]]</f>
        <v>22</v>
      </c>
      <c r="B25" s="162">
        <f ca="1">TblConstr[[#This Row],[Land]]</f>
        <v>250</v>
      </c>
      <c r="C25" s="97">
        <f ca="1">TblProd[[#This Row],[Mana]]</f>
        <v>0</v>
      </c>
      <c r="D25" s="164">
        <f ca="1">MIN(1,OFFSET(TblMagic[[#This Row],[Wiz str]],-1,0)+0.04+ROUNDDOWN(10*OFFSET(TblMili[[#This Row],[WG''s]],-1,0),0)+ tech_2_7*OFFSET(TblTech[[#This Row],[2-7]],-1,0) + tech_5_6*OFFSET(TblTech[[#This Row],[5-6]],-1,0) )-TblMagic[[#This Row],[Wiz str cost]]</f>
        <v>1</v>
      </c>
      <c r="E25" s="167">
        <f ca="1">OFFSET(TblMagic[[#This Row],[Time]],-1,0)+1/24</f>
        <v>44811.624999999949</v>
      </c>
      <c r="F25" s="164">
        <f ca="1">TblImps[[#This Row],[Population]]</f>
        <v>1</v>
      </c>
      <c r="G25" s="234"/>
      <c r="H25" s="234"/>
      <c r="I25" s="234"/>
      <c r="J25" s="234"/>
      <c r="K25" s="437"/>
      <c r="L25" s="234"/>
      <c r="M25" s="234"/>
      <c r="N25" s="234"/>
      <c r="O25" s="234"/>
      <c r="P25" s="234"/>
      <c r="Q25" s="234"/>
      <c r="R25" s="234"/>
      <c r="S25" s="234"/>
      <c r="T25" s="234"/>
      <c r="U25" s="234"/>
      <c r="V25" s="234"/>
      <c r="W25" s="150"/>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64">
        <f>SUMIF(TblMagic[[#This Row],[Gaia''s Watch]:[Useless spell]],1)*0.05</f>
        <v>0</v>
      </c>
      <c r="Z25" s="150"/>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Row],[Blizzard]],12,IF(OFFSET(TblMagic[[#This Row],[Active Blizzard]],-1,0)&gt;0,OFFSET(TblMagic[[#This Row],[Active Blizzard]],-1,0)-1,0))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5">
        <f>TblRezone[[#This Row],[Hour]]</f>
        <v>23</v>
      </c>
      <c r="B26" s="162">
        <f ca="1">TblConstr[[#This Row],[Land]]</f>
        <v>250</v>
      </c>
      <c r="C26" s="97">
        <f ca="1">TblProd[[#This Row],[Mana]]</f>
        <v>0</v>
      </c>
      <c r="D26" s="164">
        <f ca="1">MIN(1,OFFSET(TblMagic[[#This Row],[Wiz str]],-1,0)+0.04+ROUNDDOWN(10*OFFSET(TblMili[[#This Row],[WG''s]],-1,0),0)+ tech_2_7*OFFSET(TblTech[[#This Row],[2-7]],-1,0) + tech_5_6*OFFSET(TblTech[[#This Row],[5-6]],-1,0) )-TblMagic[[#This Row],[Wiz str cost]]</f>
        <v>1</v>
      </c>
      <c r="E26" s="167">
        <f ca="1">OFFSET(TblMagic[[#This Row],[Time]],-1,0)+1/24</f>
        <v>44811.666666666613</v>
      </c>
      <c r="F26" s="164">
        <f ca="1">TblImps[[#This Row],[Population]]</f>
        <v>1</v>
      </c>
      <c r="G26" s="234"/>
      <c r="H26" s="234"/>
      <c r="I26" s="234"/>
      <c r="J26" s="234"/>
      <c r="K26" s="437"/>
      <c r="L26" s="234"/>
      <c r="M26" s="234"/>
      <c r="N26" s="234"/>
      <c r="O26" s="234"/>
      <c r="P26" s="234"/>
      <c r="Q26" s="234"/>
      <c r="R26" s="234"/>
      <c r="S26" s="234"/>
      <c r="T26" s="234"/>
      <c r="U26" s="234"/>
      <c r="V26" s="234"/>
      <c r="W26" s="150"/>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64">
        <f>SUMIF(TblMagic[[#This Row],[Gaia''s Watch]:[Useless spell]],1)*0.05</f>
        <v>0</v>
      </c>
      <c r="Z26" s="150"/>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Row],[Blizzard]],12,IF(OFFSET(TblMagic[[#This Row],[Active Blizzard]],-1,0)&gt;0,OFFSET(TblMagic[[#This Row],[Active Blizzard]],-1,0)-1,0))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5">
        <f>TblRezone[[#This Row],[Hour]]</f>
        <v>24</v>
      </c>
      <c r="B27" s="162">
        <f ca="1">TblConstr[[#This Row],[Land]]</f>
        <v>250</v>
      </c>
      <c r="C27" s="97">
        <f ca="1">TblProd[[#This Row],[Mana]]</f>
        <v>0</v>
      </c>
      <c r="D27" s="164">
        <f ca="1">MIN(1,OFFSET(TblMagic[[#This Row],[Wiz str]],-1,0)+0.04+ROUNDDOWN(10*OFFSET(TblMili[[#This Row],[WG''s]],-1,0),0)+ tech_2_7*OFFSET(TblTech[[#This Row],[2-7]],-1,0) + tech_5_6*OFFSET(TblTech[[#This Row],[5-6]],-1,0) )-TblMagic[[#This Row],[Wiz str cost]]</f>
        <v>1</v>
      </c>
      <c r="E27" s="167">
        <f ca="1">OFFSET(TblMagic[[#This Row],[Time]],-1,0)+1/24</f>
        <v>44811.708333333278</v>
      </c>
      <c r="F27" s="164">
        <f ca="1">TblImps[[#This Row],[Population]]</f>
        <v>1</v>
      </c>
      <c r="G27" s="234"/>
      <c r="H27" s="234"/>
      <c r="I27" s="234"/>
      <c r="J27" s="234"/>
      <c r="K27" s="437"/>
      <c r="L27" s="234"/>
      <c r="M27" s="234"/>
      <c r="N27" s="234"/>
      <c r="O27" s="234"/>
      <c r="P27" s="234"/>
      <c r="Q27" s="234"/>
      <c r="R27" s="234"/>
      <c r="S27" s="234"/>
      <c r="T27" s="234"/>
      <c r="U27" s="234"/>
      <c r="V27" s="234"/>
      <c r="W27" s="150"/>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64">
        <f>SUMIF(TblMagic[[#This Row],[Gaia''s Watch]:[Useless spell]],1)*0.05</f>
        <v>0</v>
      </c>
      <c r="Z27" s="150"/>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Row],[Blizzard]],12,IF(OFFSET(TblMagic[[#This Row],[Active Blizzard]],-1,0)&gt;0,OFFSET(TblMagic[[#This Row],[Active Blizzard]],-1,0)-1,0))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5">
        <f>TblRezone[[#This Row],[Hour]]</f>
        <v>25</v>
      </c>
      <c r="B28" s="162">
        <f ca="1">TblConstr[[#This Row],[Land]]</f>
        <v>250</v>
      </c>
      <c r="C28" s="97">
        <f ca="1">TblProd[[#This Row],[Mana]]</f>
        <v>0</v>
      </c>
      <c r="D28" s="164">
        <f ca="1">MIN(1,OFFSET(TblMagic[[#This Row],[Wiz str]],-1,0)+0.04+ROUNDDOWN(10*OFFSET(TblMili[[#This Row],[WG''s]],-1,0),0)+ tech_2_7*OFFSET(TblTech[[#This Row],[2-7]],-1,0) + tech_5_6*OFFSET(TblTech[[#This Row],[5-6]],-1,0) )-TblMagic[[#This Row],[Wiz str cost]]</f>
        <v>1</v>
      </c>
      <c r="E28" s="167">
        <f ca="1">OFFSET(TblMagic[[#This Row],[Time]],-1,0)+1/24</f>
        <v>44811.749999999942</v>
      </c>
      <c r="F28" s="164">
        <f ca="1">TblImps[[#This Row],[Population]]</f>
        <v>1</v>
      </c>
      <c r="G28" s="234"/>
      <c r="H28" s="234"/>
      <c r="I28" s="234"/>
      <c r="J28" s="234"/>
      <c r="K28" s="437"/>
      <c r="L28" s="234"/>
      <c r="M28" s="234"/>
      <c r="N28" s="234"/>
      <c r="O28" s="234"/>
      <c r="P28" s="234"/>
      <c r="Q28" s="234"/>
      <c r="R28" s="234"/>
      <c r="S28" s="234"/>
      <c r="T28" s="234"/>
      <c r="U28" s="234"/>
      <c r="V28" s="234"/>
      <c r="W28" s="150"/>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64">
        <f>SUMIF(TblMagic[[#This Row],[Gaia''s Watch]:[Useless spell]],1)*0.05</f>
        <v>0</v>
      </c>
      <c r="Z28" s="150"/>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Row],[Blizzard]],12,IF(OFFSET(TblMagic[[#This Row],[Active Blizzard]],-1,0)&gt;0,OFFSET(TblMagic[[#This Row],[Active Blizzard]],-1,0)-1,0))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5">
        <f>TblRezone[[#This Row],[Hour]]</f>
        <v>26</v>
      </c>
      <c r="B29" s="162">
        <f ca="1">TblConstr[[#This Row],[Land]]</f>
        <v>250</v>
      </c>
      <c r="C29" s="97">
        <f ca="1">TblProd[[#This Row],[Mana]]</f>
        <v>0</v>
      </c>
      <c r="D29" s="164">
        <f ca="1">MIN(1,OFFSET(TblMagic[[#This Row],[Wiz str]],-1,0)+0.04+ROUNDDOWN(10*OFFSET(TblMili[[#This Row],[WG''s]],-1,0),0)+ tech_2_7*OFFSET(TblTech[[#This Row],[2-7]],-1,0) + tech_5_6*OFFSET(TblTech[[#This Row],[5-6]],-1,0) )-TblMagic[[#This Row],[Wiz str cost]]</f>
        <v>1</v>
      </c>
      <c r="E29" s="167">
        <f ca="1">OFFSET(TblMagic[[#This Row],[Time]],-1,0)+1/24</f>
        <v>44811.791666666606</v>
      </c>
      <c r="F29" s="164">
        <f ca="1">TblImps[[#This Row],[Population]]</f>
        <v>1</v>
      </c>
      <c r="G29" s="234"/>
      <c r="H29" s="234"/>
      <c r="I29" s="234"/>
      <c r="J29" s="234"/>
      <c r="K29" s="437"/>
      <c r="L29" s="234"/>
      <c r="M29" s="234"/>
      <c r="N29" s="234"/>
      <c r="O29" s="234"/>
      <c r="P29" s="234"/>
      <c r="Q29" s="234"/>
      <c r="R29" s="234"/>
      <c r="S29" s="234"/>
      <c r="T29" s="234"/>
      <c r="U29" s="234"/>
      <c r="V29" s="234"/>
      <c r="W29" s="150"/>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64">
        <f>SUMIF(TblMagic[[#This Row],[Gaia''s Watch]:[Useless spell]],1)*0.05</f>
        <v>0</v>
      </c>
      <c r="Z29" s="150"/>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Row],[Blizzard]],12,IF(OFFSET(TblMagic[[#This Row],[Active Blizzard]],-1,0)&gt;0,OFFSET(TblMagic[[#This Row],[Active Blizzard]],-1,0)-1,0))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5">
        <f>TblRezone[[#This Row],[Hour]]</f>
        <v>27</v>
      </c>
      <c r="B30" s="162">
        <f ca="1">TblConstr[[#This Row],[Land]]</f>
        <v>250</v>
      </c>
      <c r="C30" s="97">
        <f ca="1">TblProd[[#This Row],[Mana]]</f>
        <v>0</v>
      </c>
      <c r="D30" s="164">
        <f ca="1">MIN(1,OFFSET(TblMagic[[#This Row],[Wiz str]],-1,0)+0.04+ROUNDDOWN(10*OFFSET(TblMili[[#This Row],[WG''s]],-1,0),0)+ tech_2_7*OFFSET(TblTech[[#This Row],[2-7]],-1,0) + tech_5_6*OFFSET(TblTech[[#This Row],[5-6]],-1,0) )-TblMagic[[#This Row],[Wiz str cost]]</f>
        <v>1</v>
      </c>
      <c r="E30" s="167">
        <f ca="1">OFFSET(TblMagic[[#This Row],[Time]],-1,0)+1/24</f>
        <v>44811.83333333327</v>
      </c>
      <c r="F30" s="164">
        <f ca="1">TblImps[[#This Row],[Population]]</f>
        <v>1</v>
      </c>
      <c r="G30" s="234"/>
      <c r="H30" s="234"/>
      <c r="I30" s="234"/>
      <c r="J30" s="234"/>
      <c r="K30" s="437"/>
      <c r="L30" s="234"/>
      <c r="M30" s="234"/>
      <c r="N30" s="234"/>
      <c r="O30" s="234"/>
      <c r="P30" s="234"/>
      <c r="Q30" s="234"/>
      <c r="R30" s="234"/>
      <c r="S30" s="234"/>
      <c r="T30" s="234"/>
      <c r="U30" s="234"/>
      <c r="V30" s="234"/>
      <c r="W30" s="150"/>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64">
        <f>SUMIF(TblMagic[[#This Row],[Gaia''s Watch]:[Useless spell]],1)*0.05</f>
        <v>0</v>
      </c>
      <c r="Z30" s="150"/>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Row],[Blizzard]],12,IF(OFFSET(TblMagic[[#This Row],[Active Blizzard]],-1,0)&gt;0,OFFSET(TblMagic[[#This Row],[Active Blizzard]],-1,0)-1,0))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5">
        <f>TblRezone[[#This Row],[Hour]]</f>
        <v>28</v>
      </c>
      <c r="B31" s="162">
        <f ca="1">TblConstr[[#This Row],[Land]]</f>
        <v>250</v>
      </c>
      <c r="C31" s="97">
        <f ca="1">TblProd[[#This Row],[Mana]]</f>
        <v>0</v>
      </c>
      <c r="D31" s="164">
        <f ca="1">MIN(1,OFFSET(TblMagic[[#This Row],[Wiz str]],-1,0)+0.04+ROUNDDOWN(10*OFFSET(TblMili[[#This Row],[WG''s]],-1,0),0)+ tech_2_7*OFFSET(TblTech[[#This Row],[2-7]],-1,0) + tech_5_6*OFFSET(TblTech[[#This Row],[5-6]],-1,0) )-TblMagic[[#This Row],[Wiz str cost]]</f>
        <v>1</v>
      </c>
      <c r="E31" s="167">
        <f ca="1">OFFSET(TblMagic[[#This Row],[Time]],-1,0)+1/24</f>
        <v>44811.874999999935</v>
      </c>
      <c r="F31" s="164">
        <f ca="1">TblImps[[#This Row],[Population]]</f>
        <v>1</v>
      </c>
      <c r="G31" s="234"/>
      <c r="H31" s="234"/>
      <c r="I31" s="234"/>
      <c r="J31" s="234"/>
      <c r="K31" s="437"/>
      <c r="L31" s="234"/>
      <c r="M31" s="234"/>
      <c r="N31" s="234"/>
      <c r="O31" s="234"/>
      <c r="P31" s="234"/>
      <c r="Q31" s="234"/>
      <c r="R31" s="234"/>
      <c r="S31" s="234"/>
      <c r="T31" s="234"/>
      <c r="U31" s="234"/>
      <c r="V31" s="234"/>
      <c r="W31" s="150"/>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64">
        <f>SUMIF(TblMagic[[#This Row],[Gaia''s Watch]:[Useless spell]],1)*0.05</f>
        <v>0</v>
      </c>
      <c r="Z31" s="150"/>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Row],[Blizzard]],12,IF(OFFSET(TblMagic[[#This Row],[Active Blizzard]],-1,0)&gt;0,OFFSET(TblMagic[[#This Row],[Active Blizzard]],-1,0)-1,0))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5">
        <f>TblRezone[[#This Row],[Hour]]</f>
        <v>29</v>
      </c>
      <c r="B32" s="162">
        <f ca="1">TblConstr[[#This Row],[Land]]</f>
        <v>250</v>
      </c>
      <c r="C32" s="97">
        <f ca="1">TblProd[[#This Row],[Mana]]</f>
        <v>0</v>
      </c>
      <c r="D32" s="164">
        <f ca="1">MIN(1,OFFSET(TblMagic[[#This Row],[Wiz str]],-1,0)+0.04+ROUNDDOWN(10*OFFSET(TblMili[[#This Row],[WG''s]],-1,0),0)+ tech_2_7*OFFSET(TblTech[[#This Row],[2-7]],-1,0) + tech_5_6*OFFSET(TblTech[[#This Row],[5-6]],-1,0) )-TblMagic[[#This Row],[Wiz str cost]]</f>
        <v>1</v>
      </c>
      <c r="E32" s="167">
        <f ca="1">OFFSET(TblMagic[[#This Row],[Time]],-1,0)+1/24</f>
        <v>44811.916666666599</v>
      </c>
      <c r="F32" s="164">
        <f ca="1">TblImps[[#This Row],[Population]]</f>
        <v>1</v>
      </c>
      <c r="G32" s="234"/>
      <c r="H32" s="234"/>
      <c r="I32" s="234"/>
      <c r="J32" s="234"/>
      <c r="K32" s="437"/>
      <c r="L32" s="234"/>
      <c r="M32" s="234"/>
      <c r="N32" s="234"/>
      <c r="O32" s="234"/>
      <c r="P32" s="234"/>
      <c r="Q32" s="234"/>
      <c r="R32" s="234"/>
      <c r="S32" s="234"/>
      <c r="T32" s="234"/>
      <c r="U32" s="234"/>
      <c r="V32" s="234"/>
      <c r="W32" s="150"/>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64">
        <f>SUMIF(TblMagic[[#This Row],[Gaia''s Watch]:[Useless spell]],1)*0.05</f>
        <v>0</v>
      </c>
      <c r="Z32" s="150"/>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Row],[Blizzard]],12,IF(OFFSET(TblMagic[[#This Row],[Active Blizzard]],-1,0)&gt;0,OFFSET(TblMagic[[#This Row],[Active Blizzard]],-1,0)-1,0))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5">
        <f>TblRezone[[#This Row],[Hour]]</f>
        <v>30</v>
      </c>
      <c r="B33" s="162">
        <f ca="1">TblConstr[[#This Row],[Land]]</f>
        <v>250</v>
      </c>
      <c r="C33" s="97">
        <f ca="1">TblProd[[#This Row],[Mana]]</f>
        <v>0</v>
      </c>
      <c r="D33" s="164">
        <f ca="1">MIN(1,OFFSET(TblMagic[[#This Row],[Wiz str]],-1,0)+0.04+ROUNDDOWN(10*OFFSET(TblMili[[#This Row],[WG''s]],-1,0),0)+ tech_2_7*OFFSET(TblTech[[#This Row],[2-7]],-1,0) + tech_5_6*OFFSET(TblTech[[#This Row],[5-6]],-1,0) )-TblMagic[[#This Row],[Wiz str cost]]</f>
        <v>1</v>
      </c>
      <c r="E33" s="167">
        <f ca="1">OFFSET(TblMagic[[#This Row],[Time]],-1,0)+1/24</f>
        <v>44811.958333333263</v>
      </c>
      <c r="F33" s="164">
        <f ca="1">TblImps[[#This Row],[Population]]</f>
        <v>1</v>
      </c>
      <c r="G33" s="234"/>
      <c r="H33" s="234"/>
      <c r="I33" s="234"/>
      <c r="J33" s="234"/>
      <c r="K33" s="437"/>
      <c r="L33" s="234"/>
      <c r="M33" s="234"/>
      <c r="N33" s="234"/>
      <c r="O33" s="234"/>
      <c r="P33" s="234"/>
      <c r="Q33" s="234"/>
      <c r="R33" s="234"/>
      <c r="S33" s="234"/>
      <c r="T33" s="234"/>
      <c r="U33" s="234"/>
      <c r="V33" s="234"/>
      <c r="W33" s="150"/>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64">
        <f>SUMIF(TblMagic[[#This Row],[Gaia''s Watch]:[Useless spell]],1)*0.05</f>
        <v>0</v>
      </c>
      <c r="Z33" s="150"/>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Row],[Blizzard]],12,IF(OFFSET(TblMagic[[#This Row],[Active Blizzard]],-1,0)&gt;0,OFFSET(TblMagic[[#This Row],[Active Blizzard]],-1,0)-1,0))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5">
        <f>TblRezone[[#This Row],[Hour]]</f>
        <v>31</v>
      </c>
      <c r="B34" s="162">
        <f ca="1">TblConstr[[#This Row],[Land]]</f>
        <v>250</v>
      </c>
      <c r="C34" s="97">
        <f ca="1">TblProd[[#This Row],[Mana]]</f>
        <v>0</v>
      </c>
      <c r="D34" s="164">
        <f ca="1">MIN(1,OFFSET(TblMagic[[#This Row],[Wiz str]],-1,0)+0.04+ROUNDDOWN(10*OFFSET(TblMili[[#This Row],[WG''s]],-1,0),0)+ tech_2_7*OFFSET(TblTech[[#This Row],[2-7]],-1,0) + tech_5_6*OFFSET(TblTech[[#This Row],[5-6]],-1,0) )-TblMagic[[#This Row],[Wiz str cost]]</f>
        <v>1</v>
      </c>
      <c r="E34" s="167">
        <f ca="1">OFFSET(TblMagic[[#This Row],[Time]],-1,0)+1/24</f>
        <v>44811.999999999927</v>
      </c>
      <c r="F34" s="164">
        <f ca="1">TblImps[[#This Row],[Population]]</f>
        <v>1</v>
      </c>
      <c r="G34" s="234"/>
      <c r="H34" s="234"/>
      <c r="I34" s="234"/>
      <c r="J34" s="234"/>
      <c r="K34" s="437"/>
      <c r="L34" s="234"/>
      <c r="M34" s="234"/>
      <c r="N34" s="234"/>
      <c r="O34" s="234"/>
      <c r="P34" s="234"/>
      <c r="Q34" s="234"/>
      <c r="R34" s="234"/>
      <c r="S34" s="234"/>
      <c r="T34" s="234"/>
      <c r="U34" s="234"/>
      <c r="V34" s="234"/>
      <c r="W34" s="150"/>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64">
        <f>SUMIF(TblMagic[[#This Row],[Gaia''s Watch]:[Useless spell]],1)*0.05</f>
        <v>0</v>
      </c>
      <c r="Z34" s="150"/>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Row],[Blizzard]],12,IF(OFFSET(TblMagic[[#This Row],[Active Blizzard]],-1,0)&gt;0,OFFSET(TblMagic[[#This Row],[Active Blizzard]],-1,0)-1,0))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5">
        <f>TblRezone[[#This Row],[Hour]]</f>
        <v>32</v>
      </c>
      <c r="B35" s="162">
        <f ca="1">TblConstr[[#This Row],[Land]]</f>
        <v>250</v>
      </c>
      <c r="C35" s="97">
        <f ca="1">TblProd[[#This Row],[Mana]]</f>
        <v>0</v>
      </c>
      <c r="D35" s="164">
        <f ca="1">MIN(1,OFFSET(TblMagic[[#This Row],[Wiz str]],-1,0)+0.04+ROUNDDOWN(10*OFFSET(TblMili[[#This Row],[WG''s]],-1,0),0)+ tech_2_7*OFFSET(TblTech[[#This Row],[2-7]],-1,0) + tech_5_6*OFFSET(TblTech[[#This Row],[5-6]],-1,0) )-TblMagic[[#This Row],[Wiz str cost]]</f>
        <v>1</v>
      </c>
      <c r="E35" s="167">
        <f ca="1">OFFSET(TblMagic[[#This Row],[Time]],-1,0)+1/24</f>
        <v>44812.041666666591</v>
      </c>
      <c r="F35" s="164">
        <f ca="1">TblImps[[#This Row],[Population]]</f>
        <v>1</v>
      </c>
      <c r="G35" s="234"/>
      <c r="H35" s="234"/>
      <c r="I35" s="234"/>
      <c r="J35" s="234"/>
      <c r="K35" s="437"/>
      <c r="L35" s="234"/>
      <c r="M35" s="234"/>
      <c r="N35" s="234"/>
      <c r="O35" s="234"/>
      <c r="P35" s="234"/>
      <c r="Q35" s="234"/>
      <c r="R35" s="234"/>
      <c r="S35" s="234"/>
      <c r="T35" s="234"/>
      <c r="U35" s="234"/>
      <c r="V35" s="234"/>
      <c r="W35" s="150"/>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64">
        <f>SUMIF(TblMagic[[#This Row],[Gaia''s Watch]:[Useless spell]],1)*0.05</f>
        <v>0</v>
      </c>
      <c r="Z35" s="150"/>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Row],[Blizzard]],12,IF(OFFSET(TblMagic[[#This Row],[Active Blizzard]],-1,0)&gt;0,OFFSET(TblMagic[[#This Row],[Active Blizzard]],-1,0)-1,0))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5">
        <f>TblRezone[[#This Row],[Hour]]</f>
        <v>33</v>
      </c>
      <c r="B36" s="162">
        <f ca="1">TblConstr[[#This Row],[Land]]</f>
        <v>250</v>
      </c>
      <c r="C36" s="97">
        <f ca="1">TblProd[[#This Row],[Mana]]</f>
        <v>0</v>
      </c>
      <c r="D36" s="164">
        <f ca="1">MIN(1,OFFSET(TblMagic[[#This Row],[Wiz str]],-1,0)+0.04+ROUNDDOWN(10*OFFSET(TblMili[[#This Row],[WG''s]],-1,0),0)+ tech_2_7*OFFSET(TblTech[[#This Row],[2-7]],-1,0) + tech_5_6*OFFSET(TblTech[[#This Row],[5-6]],-1,0) )-TblMagic[[#This Row],[Wiz str cost]]</f>
        <v>1</v>
      </c>
      <c r="E36" s="167">
        <f ca="1">OFFSET(TblMagic[[#This Row],[Time]],-1,0)+1/24</f>
        <v>44812.083333333256</v>
      </c>
      <c r="F36" s="164">
        <f ca="1">TblImps[[#This Row],[Population]]</f>
        <v>1</v>
      </c>
      <c r="G36" s="234"/>
      <c r="H36" s="234"/>
      <c r="I36" s="234"/>
      <c r="J36" s="234"/>
      <c r="K36" s="437"/>
      <c r="L36" s="234"/>
      <c r="M36" s="234"/>
      <c r="N36" s="234"/>
      <c r="O36" s="234"/>
      <c r="P36" s="234"/>
      <c r="Q36" s="234"/>
      <c r="R36" s="234"/>
      <c r="S36" s="234"/>
      <c r="T36" s="234"/>
      <c r="U36" s="234"/>
      <c r="V36" s="234"/>
      <c r="W36" s="150"/>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64">
        <f>SUMIF(TblMagic[[#This Row],[Gaia''s Watch]:[Useless spell]],1)*0.05</f>
        <v>0</v>
      </c>
      <c r="Z36" s="150"/>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Row],[Blizzard]],12,IF(OFFSET(TblMagic[[#This Row],[Active Blizzard]],-1,0)&gt;0,OFFSET(TblMagic[[#This Row],[Active Blizzard]],-1,0)-1,0))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5">
        <f>TblRezone[[#This Row],[Hour]]</f>
        <v>34</v>
      </c>
      <c r="B37" s="162">
        <f ca="1">TblConstr[[#This Row],[Land]]</f>
        <v>250</v>
      </c>
      <c r="C37" s="97">
        <f ca="1">TblProd[[#This Row],[Mana]]</f>
        <v>0</v>
      </c>
      <c r="D37" s="164">
        <f ca="1">MIN(1,OFFSET(TblMagic[[#This Row],[Wiz str]],-1,0)+0.04+ROUNDDOWN(10*OFFSET(TblMili[[#This Row],[WG''s]],-1,0),0)+ tech_2_7*OFFSET(TblTech[[#This Row],[2-7]],-1,0) + tech_5_6*OFFSET(TblTech[[#This Row],[5-6]],-1,0) )-TblMagic[[#This Row],[Wiz str cost]]</f>
        <v>1</v>
      </c>
      <c r="E37" s="167">
        <f ca="1">OFFSET(TblMagic[[#This Row],[Time]],-1,0)+1/24</f>
        <v>44812.12499999992</v>
      </c>
      <c r="F37" s="164">
        <f ca="1">TblImps[[#This Row],[Population]]</f>
        <v>1</v>
      </c>
      <c r="G37" s="234"/>
      <c r="H37" s="234"/>
      <c r="I37" s="234"/>
      <c r="J37" s="234"/>
      <c r="K37" s="437"/>
      <c r="L37" s="234"/>
      <c r="M37" s="234"/>
      <c r="N37" s="234"/>
      <c r="O37" s="234"/>
      <c r="P37" s="234"/>
      <c r="Q37" s="234"/>
      <c r="R37" s="234"/>
      <c r="S37" s="234"/>
      <c r="T37" s="234"/>
      <c r="U37" s="234"/>
      <c r="V37" s="234"/>
      <c r="W37" s="150"/>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64">
        <f>SUMIF(TblMagic[[#This Row],[Gaia''s Watch]:[Useless spell]],1)*0.05</f>
        <v>0</v>
      </c>
      <c r="Z37" s="150"/>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Row],[Blizzard]],12,IF(OFFSET(TblMagic[[#This Row],[Active Blizzard]],-1,0)&gt;0,OFFSET(TblMagic[[#This Row],[Active Blizzard]],-1,0)-1,0))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5">
        <f>TblRezone[[#This Row],[Hour]]</f>
        <v>35</v>
      </c>
      <c r="B38" s="162">
        <f ca="1">TblConstr[[#This Row],[Land]]</f>
        <v>250</v>
      </c>
      <c r="C38" s="97">
        <f ca="1">TblProd[[#This Row],[Mana]]</f>
        <v>0</v>
      </c>
      <c r="D38" s="164">
        <f ca="1">MIN(1,OFFSET(TblMagic[[#This Row],[Wiz str]],-1,0)+0.04+ROUNDDOWN(10*OFFSET(TblMili[[#This Row],[WG''s]],-1,0),0)+ tech_2_7*OFFSET(TblTech[[#This Row],[2-7]],-1,0) + tech_5_6*OFFSET(TblTech[[#This Row],[5-6]],-1,0) )-TblMagic[[#This Row],[Wiz str cost]]</f>
        <v>1</v>
      </c>
      <c r="E38" s="167">
        <f ca="1">OFFSET(TblMagic[[#This Row],[Time]],-1,0)+1/24</f>
        <v>44812.166666666584</v>
      </c>
      <c r="F38" s="164">
        <f ca="1">TblImps[[#This Row],[Population]]</f>
        <v>1</v>
      </c>
      <c r="G38" s="234"/>
      <c r="H38" s="234"/>
      <c r="I38" s="234"/>
      <c r="J38" s="234"/>
      <c r="K38" s="437"/>
      <c r="L38" s="234"/>
      <c r="M38" s="234"/>
      <c r="N38" s="234"/>
      <c r="O38" s="234"/>
      <c r="P38" s="234"/>
      <c r="Q38" s="234"/>
      <c r="R38" s="234"/>
      <c r="S38" s="234"/>
      <c r="T38" s="234"/>
      <c r="U38" s="234"/>
      <c r="V38" s="234"/>
      <c r="W38" s="150"/>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64">
        <f>SUMIF(TblMagic[[#This Row],[Gaia''s Watch]:[Useless spell]],1)*0.05</f>
        <v>0</v>
      </c>
      <c r="Z38" s="150"/>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Row],[Blizzard]],12,IF(OFFSET(TblMagic[[#This Row],[Active Blizzard]],-1,0)&gt;0,OFFSET(TblMagic[[#This Row],[Active Blizzard]],-1,0)-1,0))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5">
        <f>TblRezone[[#This Row],[Hour]]</f>
        <v>36</v>
      </c>
      <c r="B39" s="162">
        <f ca="1">TblConstr[[#This Row],[Land]]</f>
        <v>250</v>
      </c>
      <c r="C39" s="97">
        <f ca="1">TblProd[[#This Row],[Mana]]</f>
        <v>0</v>
      </c>
      <c r="D39" s="164">
        <f ca="1">MIN(1,OFFSET(TblMagic[[#This Row],[Wiz str]],-1,0)+0.04+ROUNDDOWN(10*OFFSET(TblMili[[#This Row],[WG''s]],-1,0),0)+ tech_2_7*OFFSET(TblTech[[#This Row],[2-7]],-1,0) + tech_5_6*OFFSET(TblTech[[#This Row],[5-6]],-1,0) )-TblMagic[[#This Row],[Wiz str cost]]</f>
        <v>1</v>
      </c>
      <c r="E39" s="167">
        <f ca="1">OFFSET(TblMagic[[#This Row],[Time]],-1,0)+1/24</f>
        <v>44812.208333333248</v>
      </c>
      <c r="F39" s="164">
        <f ca="1">TblImps[[#This Row],[Population]]</f>
        <v>1</v>
      </c>
      <c r="G39" s="234"/>
      <c r="H39" s="234"/>
      <c r="I39" s="234"/>
      <c r="J39" s="234"/>
      <c r="K39" s="437"/>
      <c r="L39" s="234"/>
      <c r="M39" s="234"/>
      <c r="N39" s="234"/>
      <c r="O39" s="234"/>
      <c r="P39" s="234"/>
      <c r="Q39" s="234"/>
      <c r="R39" s="234"/>
      <c r="S39" s="234"/>
      <c r="T39" s="234"/>
      <c r="U39" s="234"/>
      <c r="V39" s="234"/>
      <c r="W39" s="150"/>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64">
        <f>SUMIF(TblMagic[[#This Row],[Gaia''s Watch]:[Useless spell]],1)*0.05</f>
        <v>0</v>
      </c>
      <c r="Z39" s="150"/>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Row],[Blizzard]],12,IF(OFFSET(TblMagic[[#This Row],[Active Blizzard]],-1,0)&gt;0,OFFSET(TblMagic[[#This Row],[Active Blizzard]],-1,0)-1,0))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5">
        <f>TblRezone[[#This Row],[Hour]]</f>
        <v>37</v>
      </c>
      <c r="B40" s="162">
        <f ca="1">TblConstr[[#This Row],[Land]]</f>
        <v>250</v>
      </c>
      <c r="C40" s="97">
        <f ca="1">TblProd[[#This Row],[Mana]]</f>
        <v>0</v>
      </c>
      <c r="D40" s="164">
        <f ca="1">MIN(1,OFFSET(TblMagic[[#This Row],[Wiz str]],-1,0)+0.04+ROUNDDOWN(10*OFFSET(TblMili[[#This Row],[WG''s]],-1,0),0)+ tech_2_7*OFFSET(TblTech[[#This Row],[2-7]],-1,0) + tech_5_6*OFFSET(TblTech[[#This Row],[5-6]],-1,0) )-TblMagic[[#This Row],[Wiz str cost]]</f>
        <v>1</v>
      </c>
      <c r="E40" s="167">
        <f ca="1">OFFSET(TblMagic[[#This Row],[Time]],-1,0)+1/24</f>
        <v>44812.249999999913</v>
      </c>
      <c r="F40" s="164">
        <f ca="1">TblImps[[#This Row],[Population]]</f>
        <v>1</v>
      </c>
      <c r="G40" s="234"/>
      <c r="H40" s="234"/>
      <c r="I40" s="234"/>
      <c r="J40" s="234"/>
      <c r="K40" s="437"/>
      <c r="L40" s="234"/>
      <c r="M40" s="234"/>
      <c r="N40" s="234"/>
      <c r="O40" s="234"/>
      <c r="P40" s="234"/>
      <c r="Q40" s="234"/>
      <c r="R40" s="234"/>
      <c r="S40" s="234"/>
      <c r="T40" s="234"/>
      <c r="U40" s="234"/>
      <c r="V40" s="234"/>
      <c r="W40" s="150"/>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64">
        <f>SUMIF(TblMagic[[#This Row],[Gaia''s Watch]:[Useless spell]],1)*0.05</f>
        <v>0</v>
      </c>
      <c r="Z40" s="150"/>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Row],[Blizzard]],12,IF(OFFSET(TblMagic[[#This Row],[Active Blizzard]],-1,0)&gt;0,OFFSET(TblMagic[[#This Row],[Active Blizzard]],-1,0)-1,0))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5">
        <f>TblRezone[[#This Row],[Hour]]</f>
        <v>38</v>
      </c>
      <c r="B41" s="162">
        <f ca="1">TblConstr[[#This Row],[Land]]</f>
        <v>250</v>
      </c>
      <c r="C41" s="97">
        <f ca="1">TblProd[[#This Row],[Mana]]</f>
        <v>0</v>
      </c>
      <c r="D41" s="164">
        <f ca="1">MIN(1,OFFSET(TblMagic[[#This Row],[Wiz str]],-1,0)+0.04+ROUNDDOWN(10*OFFSET(TblMili[[#This Row],[WG''s]],-1,0),0)+ tech_2_7*OFFSET(TblTech[[#This Row],[2-7]],-1,0) + tech_5_6*OFFSET(TblTech[[#This Row],[5-6]],-1,0) )-TblMagic[[#This Row],[Wiz str cost]]</f>
        <v>1</v>
      </c>
      <c r="E41" s="167">
        <f ca="1">OFFSET(TblMagic[[#This Row],[Time]],-1,0)+1/24</f>
        <v>44812.291666666577</v>
      </c>
      <c r="F41" s="164">
        <f ca="1">TblImps[[#This Row],[Population]]</f>
        <v>1</v>
      </c>
      <c r="G41" s="234"/>
      <c r="H41" s="234"/>
      <c r="I41" s="234"/>
      <c r="J41" s="234"/>
      <c r="K41" s="437"/>
      <c r="L41" s="234"/>
      <c r="M41" s="234"/>
      <c r="N41" s="234"/>
      <c r="O41" s="234"/>
      <c r="P41" s="234"/>
      <c r="Q41" s="234"/>
      <c r="R41" s="234"/>
      <c r="S41" s="234"/>
      <c r="T41" s="234"/>
      <c r="U41" s="234"/>
      <c r="V41" s="234"/>
      <c r="W41" s="150"/>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64">
        <f>SUMIF(TblMagic[[#This Row],[Gaia''s Watch]:[Useless spell]],1)*0.05</f>
        <v>0</v>
      </c>
      <c r="Z41" s="150"/>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Row],[Blizzard]],12,IF(OFFSET(TblMagic[[#This Row],[Active Blizzard]],-1,0)&gt;0,OFFSET(TblMagic[[#This Row],[Active Blizzard]],-1,0)-1,0))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5">
        <f>TblRezone[[#This Row],[Hour]]</f>
        <v>39</v>
      </c>
      <c r="B42" s="162">
        <f ca="1">TblConstr[[#This Row],[Land]]</f>
        <v>250</v>
      </c>
      <c r="C42" s="97">
        <f ca="1">TblProd[[#This Row],[Mana]]</f>
        <v>0</v>
      </c>
      <c r="D42" s="164">
        <f ca="1">MIN(1,OFFSET(TblMagic[[#This Row],[Wiz str]],-1,0)+0.04+ROUNDDOWN(10*OFFSET(TblMili[[#This Row],[WG''s]],-1,0),0)+ tech_2_7*OFFSET(TblTech[[#This Row],[2-7]],-1,0) + tech_5_6*OFFSET(TblTech[[#This Row],[5-6]],-1,0) )-TblMagic[[#This Row],[Wiz str cost]]</f>
        <v>1</v>
      </c>
      <c r="E42" s="167">
        <f ca="1">OFFSET(TblMagic[[#This Row],[Time]],-1,0)+1/24</f>
        <v>44812.333333333241</v>
      </c>
      <c r="F42" s="164">
        <f ca="1">TblImps[[#This Row],[Population]]</f>
        <v>1</v>
      </c>
      <c r="G42" s="234"/>
      <c r="H42" s="234"/>
      <c r="I42" s="234"/>
      <c r="J42" s="234"/>
      <c r="K42" s="437"/>
      <c r="L42" s="234"/>
      <c r="M42" s="234"/>
      <c r="N42" s="234"/>
      <c r="O42" s="234"/>
      <c r="P42" s="234"/>
      <c r="Q42" s="234"/>
      <c r="R42" s="234"/>
      <c r="S42" s="234"/>
      <c r="T42" s="234"/>
      <c r="U42" s="234"/>
      <c r="V42" s="234"/>
      <c r="W42" s="150"/>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64">
        <f>SUMIF(TblMagic[[#This Row],[Gaia''s Watch]:[Useless spell]],1)*0.05</f>
        <v>0</v>
      </c>
      <c r="Z42" s="150"/>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Row],[Blizzard]],12,IF(OFFSET(TblMagic[[#This Row],[Active Blizzard]],-1,0)&gt;0,OFFSET(TblMagic[[#This Row],[Active Blizzard]],-1,0)-1,0))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5">
        <f>TblRezone[[#This Row],[Hour]]</f>
        <v>40</v>
      </c>
      <c r="B43" s="162">
        <f ca="1">TblConstr[[#This Row],[Land]]</f>
        <v>250</v>
      </c>
      <c r="C43" s="97">
        <f ca="1">TblProd[[#This Row],[Mana]]</f>
        <v>0</v>
      </c>
      <c r="D43" s="164">
        <f ca="1">MIN(1,OFFSET(TblMagic[[#This Row],[Wiz str]],-1,0)+0.04+ROUNDDOWN(10*OFFSET(TblMili[[#This Row],[WG''s]],-1,0),0)+ tech_2_7*OFFSET(TblTech[[#This Row],[2-7]],-1,0) + tech_5_6*OFFSET(TblTech[[#This Row],[5-6]],-1,0) )-TblMagic[[#This Row],[Wiz str cost]]</f>
        <v>1</v>
      </c>
      <c r="E43" s="167">
        <f ca="1">OFFSET(TblMagic[[#This Row],[Time]],-1,0)+1/24</f>
        <v>44812.374999999905</v>
      </c>
      <c r="F43" s="164">
        <f ca="1">TblImps[[#This Row],[Population]]</f>
        <v>1</v>
      </c>
      <c r="G43" s="234"/>
      <c r="H43" s="234"/>
      <c r="I43" s="234"/>
      <c r="J43" s="234"/>
      <c r="K43" s="437"/>
      <c r="L43" s="234"/>
      <c r="M43" s="234"/>
      <c r="N43" s="234"/>
      <c r="O43" s="234"/>
      <c r="P43" s="234"/>
      <c r="Q43" s="234"/>
      <c r="R43" s="234"/>
      <c r="S43" s="234"/>
      <c r="T43" s="234"/>
      <c r="U43" s="234"/>
      <c r="V43" s="234"/>
      <c r="W43" s="150"/>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64">
        <f>SUMIF(TblMagic[[#This Row],[Gaia''s Watch]:[Useless spell]],1)*0.05</f>
        <v>0</v>
      </c>
      <c r="Z43" s="150"/>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Row],[Blizzard]],12,IF(OFFSET(TblMagic[[#This Row],[Active Blizzard]],-1,0)&gt;0,OFFSET(TblMagic[[#This Row],[Active Blizzard]],-1,0)-1,0))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5">
        <f>TblRezone[[#This Row],[Hour]]</f>
        <v>41</v>
      </c>
      <c r="B44" s="162">
        <f ca="1">TblConstr[[#This Row],[Land]]</f>
        <v>250</v>
      </c>
      <c r="C44" s="97">
        <f ca="1">TblProd[[#This Row],[Mana]]</f>
        <v>0</v>
      </c>
      <c r="D44" s="164">
        <f ca="1">MIN(1,OFFSET(TblMagic[[#This Row],[Wiz str]],-1,0)+0.04+ROUNDDOWN(10*OFFSET(TblMili[[#This Row],[WG''s]],-1,0),0)+ tech_2_7*OFFSET(TblTech[[#This Row],[2-7]],-1,0) + tech_5_6*OFFSET(TblTech[[#This Row],[5-6]],-1,0) )-TblMagic[[#This Row],[Wiz str cost]]</f>
        <v>1</v>
      </c>
      <c r="E44" s="167">
        <f ca="1">OFFSET(TblMagic[[#This Row],[Time]],-1,0)+1/24</f>
        <v>44812.41666666657</v>
      </c>
      <c r="F44" s="164">
        <f ca="1">TblImps[[#This Row],[Population]]</f>
        <v>1</v>
      </c>
      <c r="G44" s="234"/>
      <c r="H44" s="234"/>
      <c r="I44" s="234"/>
      <c r="J44" s="234"/>
      <c r="K44" s="437"/>
      <c r="L44" s="234"/>
      <c r="M44" s="234"/>
      <c r="N44" s="234"/>
      <c r="O44" s="234"/>
      <c r="P44" s="234"/>
      <c r="Q44" s="234"/>
      <c r="R44" s="234"/>
      <c r="S44" s="234"/>
      <c r="T44" s="234"/>
      <c r="U44" s="234"/>
      <c r="V44" s="234"/>
      <c r="W44" s="150"/>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64">
        <f>SUMIF(TblMagic[[#This Row],[Gaia''s Watch]:[Useless spell]],1)*0.05</f>
        <v>0</v>
      </c>
      <c r="Z44" s="150"/>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Row],[Blizzard]],12,IF(OFFSET(TblMagic[[#This Row],[Active Blizzard]],-1,0)&gt;0,OFFSET(TblMagic[[#This Row],[Active Blizzard]],-1,0)-1,0))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5">
        <f>TblRezone[[#This Row],[Hour]]</f>
        <v>42</v>
      </c>
      <c r="B45" s="162">
        <f ca="1">TblConstr[[#This Row],[Land]]</f>
        <v>250</v>
      </c>
      <c r="C45" s="97">
        <f ca="1">TblProd[[#This Row],[Mana]]</f>
        <v>0</v>
      </c>
      <c r="D45" s="164">
        <f ca="1">MIN(1,OFFSET(TblMagic[[#This Row],[Wiz str]],-1,0)+0.04+ROUNDDOWN(10*OFFSET(TblMili[[#This Row],[WG''s]],-1,0),0)+ tech_2_7*OFFSET(TblTech[[#This Row],[2-7]],-1,0) + tech_5_6*OFFSET(TblTech[[#This Row],[5-6]],-1,0) )-TblMagic[[#This Row],[Wiz str cost]]</f>
        <v>1</v>
      </c>
      <c r="E45" s="167">
        <f ca="1">OFFSET(TblMagic[[#This Row],[Time]],-1,0)+1/24</f>
        <v>44812.458333333234</v>
      </c>
      <c r="F45" s="164">
        <f ca="1">TblImps[[#This Row],[Population]]</f>
        <v>1</v>
      </c>
      <c r="G45" s="234"/>
      <c r="H45" s="234"/>
      <c r="I45" s="234"/>
      <c r="J45" s="234"/>
      <c r="K45" s="437"/>
      <c r="L45" s="234"/>
      <c r="M45" s="234"/>
      <c r="N45" s="234"/>
      <c r="O45" s="234"/>
      <c r="P45" s="234"/>
      <c r="Q45" s="234"/>
      <c r="R45" s="234"/>
      <c r="S45" s="234"/>
      <c r="T45" s="234"/>
      <c r="U45" s="234"/>
      <c r="V45" s="234"/>
      <c r="W45" s="150"/>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64">
        <f>SUMIF(TblMagic[[#This Row],[Gaia''s Watch]:[Useless spell]],1)*0.05</f>
        <v>0</v>
      </c>
      <c r="Z45" s="150"/>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Row],[Blizzard]],12,IF(OFFSET(TblMagic[[#This Row],[Active Blizzard]],-1,0)&gt;0,OFFSET(TblMagic[[#This Row],[Active Blizzard]],-1,0)-1,0))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5">
        <f>TblRezone[[#This Row],[Hour]]</f>
        <v>43</v>
      </c>
      <c r="B46" s="162">
        <f ca="1">TblConstr[[#This Row],[Land]]</f>
        <v>250</v>
      </c>
      <c r="C46" s="97">
        <f ca="1">TblProd[[#This Row],[Mana]]</f>
        <v>0</v>
      </c>
      <c r="D46" s="164">
        <f ca="1">MIN(1,OFFSET(TblMagic[[#This Row],[Wiz str]],-1,0)+0.04+ROUNDDOWN(10*OFFSET(TblMili[[#This Row],[WG''s]],-1,0),0)+ tech_2_7*OFFSET(TblTech[[#This Row],[2-7]],-1,0) + tech_5_6*OFFSET(TblTech[[#This Row],[5-6]],-1,0) )-TblMagic[[#This Row],[Wiz str cost]]</f>
        <v>1</v>
      </c>
      <c r="E46" s="167">
        <f ca="1">OFFSET(TblMagic[[#This Row],[Time]],-1,0)+1/24</f>
        <v>44812.499999999898</v>
      </c>
      <c r="F46" s="164">
        <f ca="1">TblImps[[#This Row],[Population]]</f>
        <v>1</v>
      </c>
      <c r="G46" s="234"/>
      <c r="H46" s="234"/>
      <c r="I46" s="234"/>
      <c r="J46" s="234"/>
      <c r="K46" s="437"/>
      <c r="L46" s="234"/>
      <c r="M46" s="234"/>
      <c r="N46" s="234"/>
      <c r="O46" s="234"/>
      <c r="P46" s="234"/>
      <c r="Q46" s="234"/>
      <c r="R46" s="234"/>
      <c r="S46" s="234"/>
      <c r="T46" s="234"/>
      <c r="U46" s="234"/>
      <c r="V46" s="234"/>
      <c r="W46" s="150"/>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64">
        <f>SUMIF(TblMagic[[#This Row],[Gaia''s Watch]:[Useless spell]],1)*0.05</f>
        <v>0</v>
      </c>
      <c r="Z46" s="150"/>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Row],[Blizzard]],12,IF(OFFSET(TblMagic[[#This Row],[Active Blizzard]],-1,0)&gt;0,OFFSET(TblMagic[[#This Row],[Active Blizzard]],-1,0)-1,0))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5">
        <f>TblRezone[[#This Row],[Hour]]</f>
        <v>44</v>
      </c>
      <c r="B47" s="162">
        <f ca="1">TblConstr[[#This Row],[Land]]</f>
        <v>250</v>
      </c>
      <c r="C47" s="97">
        <f ca="1">TblProd[[#This Row],[Mana]]</f>
        <v>0</v>
      </c>
      <c r="D47" s="164">
        <f ca="1">MIN(1,OFFSET(TblMagic[[#This Row],[Wiz str]],-1,0)+0.04+ROUNDDOWN(10*OFFSET(TblMili[[#This Row],[WG''s]],-1,0),0)+ tech_2_7*OFFSET(TblTech[[#This Row],[2-7]],-1,0) + tech_5_6*OFFSET(TblTech[[#This Row],[5-6]],-1,0) )-TblMagic[[#This Row],[Wiz str cost]]</f>
        <v>1</v>
      </c>
      <c r="E47" s="167">
        <f ca="1">OFFSET(TblMagic[[#This Row],[Time]],-1,0)+1/24</f>
        <v>44812.541666666562</v>
      </c>
      <c r="F47" s="164">
        <f ca="1">TblImps[[#This Row],[Population]]</f>
        <v>1</v>
      </c>
      <c r="G47" s="234"/>
      <c r="H47" s="234"/>
      <c r="I47" s="234"/>
      <c r="J47" s="234"/>
      <c r="K47" s="437"/>
      <c r="L47" s="234"/>
      <c r="M47" s="234"/>
      <c r="N47" s="234"/>
      <c r="O47" s="234"/>
      <c r="P47" s="234"/>
      <c r="Q47" s="234"/>
      <c r="R47" s="234"/>
      <c r="S47" s="234"/>
      <c r="T47" s="234"/>
      <c r="U47" s="234"/>
      <c r="V47" s="234"/>
      <c r="W47" s="150"/>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64">
        <f>SUMIF(TblMagic[[#This Row],[Gaia''s Watch]:[Useless spell]],1)*0.05</f>
        <v>0</v>
      </c>
      <c r="Z47" s="150"/>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Row],[Blizzard]],12,IF(OFFSET(TblMagic[[#This Row],[Active Blizzard]],-1,0)&gt;0,OFFSET(TblMagic[[#This Row],[Active Blizzard]],-1,0)-1,0))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5">
        <f>TblRezone[[#This Row],[Hour]]</f>
        <v>45</v>
      </c>
      <c r="B48" s="162">
        <f ca="1">TblConstr[[#This Row],[Land]]</f>
        <v>250</v>
      </c>
      <c r="C48" s="97">
        <f ca="1">TblProd[[#This Row],[Mana]]</f>
        <v>0</v>
      </c>
      <c r="D48" s="164">
        <f ca="1">MIN(1,OFFSET(TblMagic[[#This Row],[Wiz str]],-1,0)+0.04+ROUNDDOWN(10*OFFSET(TblMili[[#This Row],[WG''s]],-1,0),0)+ tech_2_7*OFFSET(TblTech[[#This Row],[2-7]],-1,0) + tech_5_6*OFFSET(TblTech[[#This Row],[5-6]],-1,0) )-TblMagic[[#This Row],[Wiz str cost]]</f>
        <v>1</v>
      </c>
      <c r="E48" s="167">
        <f ca="1">OFFSET(TblMagic[[#This Row],[Time]],-1,0)+1/24</f>
        <v>44812.583333333227</v>
      </c>
      <c r="F48" s="164">
        <f ca="1">TblImps[[#This Row],[Population]]</f>
        <v>1</v>
      </c>
      <c r="G48" s="234"/>
      <c r="H48" s="234"/>
      <c r="I48" s="234"/>
      <c r="J48" s="234"/>
      <c r="K48" s="437"/>
      <c r="L48" s="234"/>
      <c r="M48" s="234"/>
      <c r="N48" s="234"/>
      <c r="O48" s="234"/>
      <c r="P48" s="234"/>
      <c r="Q48" s="234"/>
      <c r="R48" s="234"/>
      <c r="S48" s="234"/>
      <c r="T48" s="234"/>
      <c r="U48" s="234"/>
      <c r="V48" s="234"/>
      <c r="W48" s="150"/>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64">
        <f>SUMIF(TblMagic[[#This Row],[Gaia''s Watch]:[Useless spell]],1)*0.05</f>
        <v>0</v>
      </c>
      <c r="Z48" s="150"/>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Row],[Blizzard]],12,IF(OFFSET(TblMagic[[#This Row],[Active Blizzard]],-1,0)&gt;0,OFFSET(TblMagic[[#This Row],[Active Blizzard]],-1,0)-1,0))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5">
        <f>TblRezone[[#This Row],[Hour]]</f>
        <v>46</v>
      </c>
      <c r="B49" s="162">
        <f ca="1">TblConstr[[#This Row],[Land]]</f>
        <v>250</v>
      </c>
      <c r="C49" s="97">
        <f ca="1">TblProd[[#This Row],[Mana]]</f>
        <v>0</v>
      </c>
      <c r="D49" s="164">
        <f ca="1">MIN(1,OFFSET(TblMagic[[#This Row],[Wiz str]],-1,0)+0.04+ROUNDDOWN(10*OFFSET(TblMili[[#This Row],[WG''s]],-1,0),0)+ tech_2_7*OFFSET(TblTech[[#This Row],[2-7]],-1,0) + tech_5_6*OFFSET(TblTech[[#This Row],[5-6]],-1,0) )-TblMagic[[#This Row],[Wiz str cost]]</f>
        <v>1</v>
      </c>
      <c r="E49" s="167">
        <f ca="1">OFFSET(TblMagic[[#This Row],[Time]],-1,0)+1/24</f>
        <v>44812.624999999891</v>
      </c>
      <c r="F49" s="164">
        <f ca="1">TblImps[[#This Row],[Population]]</f>
        <v>1</v>
      </c>
      <c r="G49" s="234"/>
      <c r="H49" s="234"/>
      <c r="I49" s="234"/>
      <c r="J49" s="234"/>
      <c r="K49" s="437"/>
      <c r="L49" s="234"/>
      <c r="M49" s="234"/>
      <c r="N49" s="234"/>
      <c r="O49" s="234"/>
      <c r="P49" s="234"/>
      <c r="Q49" s="234"/>
      <c r="R49" s="234"/>
      <c r="S49" s="234"/>
      <c r="T49" s="234"/>
      <c r="U49" s="234"/>
      <c r="V49" s="234"/>
      <c r="W49" s="150"/>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64">
        <f>SUMIF(TblMagic[[#This Row],[Gaia''s Watch]:[Useless spell]],1)*0.05</f>
        <v>0</v>
      </c>
      <c r="Z49" s="150"/>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Row],[Blizzard]],12,IF(OFFSET(TblMagic[[#This Row],[Active Blizzard]],-1,0)&gt;0,OFFSET(TblMagic[[#This Row],[Active Blizzard]],-1,0)-1,0))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5">
        <f>TblRezone[[#This Row],[Hour]]</f>
        <v>47</v>
      </c>
      <c r="B50" s="162">
        <f ca="1">TblConstr[[#This Row],[Land]]</f>
        <v>250</v>
      </c>
      <c r="C50" s="97">
        <f ca="1">TblProd[[#This Row],[Mana]]</f>
        <v>0</v>
      </c>
      <c r="D50" s="164">
        <f ca="1">MIN(1,OFFSET(TblMagic[[#This Row],[Wiz str]],-1,0)+0.04+ROUNDDOWN(10*OFFSET(TblMili[[#This Row],[WG''s]],-1,0),0)+ tech_2_7*OFFSET(TblTech[[#This Row],[2-7]],-1,0) + tech_5_6*OFFSET(TblTech[[#This Row],[5-6]],-1,0) )-TblMagic[[#This Row],[Wiz str cost]]</f>
        <v>1</v>
      </c>
      <c r="E50" s="167">
        <f ca="1">OFFSET(TblMagic[[#This Row],[Time]],-1,0)+1/24</f>
        <v>44812.666666666555</v>
      </c>
      <c r="F50" s="164">
        <f ca="1">TblImps[[#This Row],[Population]]</f>
        <v>1</v>
      </c>
      <c r="G50" s="234"/>
      <c r="H50" s="234"/>
      <c r="I50" s="234"/>
      <c r="J50" s="234"/>
      <c r="K50" s="437"/>
      <c r="L50" s="234"/>
      <c r="M50" s="234"/>
      <c r="N50" s="234"/>
      <c r="O50" s="234"/>
      <c r="P50" s="234"/>
      <c r="Q50" s="234"/>
      <c r="R50" s="234"/>
      <c r="S50" s="234"/>
      <c r="T50" s="234"/>
      <c r="U50" s="234"/>
      <c r="V50" s="234"/>
      <c r="W50" s="150"/>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64">
        <f>SUMIF(TblMagic[[#This Row],[Gaia''s Watch]:[Useless spell]],1)*0.05</f>
        <v>0</v>
      </c>
      <c r="Z50" s="150"/>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Row],[Blizzard]],12,IF(OFFSET(TblMagic[[#This Row],[Active Blizzard]],-1,0)&gt;0,OFFSET(TblMagic[[#This Row],[Active Blizzard]],-1,0)-1,0))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5">
        <f>TblRezone[[#This Row],[Hour]]</f>
        <v>48</v>
      </c>
      <c r="B51" s="162">
        <f ca="1">TblConstr[[#This Row],[Land]]</f>
        <v>250</v>
      </c>
      <c r="C51" s="97">
        <f ca="1">TblProd[[#This Row],[Mana]]</f>
        <v>0</v>
      </c>
      <c r="D51" s="164">
        <f ca="1">MIN(1,OFFSET(TblMagic[[#This Row],[Wiz str]],-1,0)+0.04+ROUNDDOWN(10*OFFSET(TblMili[[#This Row],[WG''s]],-1,0),0)+ tech_2_7*OFFSET(TblTech[[#This Row],[2-7]],-1,0) + tech_5_6*OFFSET(TblTech[[#This Row],[5-6]],-1,0) )-TblMagic[[#This Row],[Wiz str cost]]</f>
        <v>1</v>
      </c>
      <c r="E51" s="167">
        <f ca="1">OFFSET(TblMagic[[#This Row],[Time]],-1,0)+1/24</f>
        <v>44812.708333333219</v>
      </c>
      <c r="F51" s="164">
        <f ca="1">TblImps[[#This Row],[Population]]</f>
        <v>1</v>
      </c>
      <c r="G51" s="234"/>
      <c r="H51" s="234"/>
      <c r="I51" s="234"/>
      <c r="J51" s="234"/>
      <c r="K51" s="437"/>
      <c r="L51" s="234"/>
      <c r="M51" s="234"/>
      <c r="N51" s="234"/>
      <c r="O51" s="234"/>
      <c r="P51" s="234"/>
      <c r="Q51" s="234"/>
      <c r="R51" s="234"/>
      <c r="S51" s="234"/>
      <c r="T51" s="234"/>
      <c r="U51" s="234"/>
      <c r="V51" s="234"/>
      <c r="W51" s="150"/>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64">
        <f>SUMIF(TblMagic[[#This Row],[Gaia''s Watch]:[Useless spell]],1)*0.05</f>
        <v>0</v>
      </c>
      <c r="Z51" s="150"/>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Row],[Blizzard]],12,IF(OFFSET(TblMagic[[#This Row],[Active Blizzard]],-1,0)&gt;0,OFFSET(TblMagic[[#This Row],[Active Blizzard]],-1,0)-1,0))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5">
        <f>TblRezone[[#This Row],[Hour]]</f>
        <v>49</v>
      </c>
      <c r="B52" s="162">
        <f ca="1">TblConstr[[#This Row],[Land]]</f>
        <v>250</v>
      </c>
      <c r="C52" s="97">
        <f ca="1">TblProd[[#This Row],[Mana]]</f>
        <v>0</v>
      </c>
      <c r="D52" s="164">
        <f ca="1">MIN(1,OFFSET(TblMagic[[#This Row],[Wiz str]],-1,0)+0.04+ROUNDDOWN(10*OFFSET(TblMili[[#This Row],[WG''s]],-1,0),0)+ tech_2_7*OFFSET(TblTech[[#This Row],[2-7]],-1,0) + tech_5_6*OFFSET(TblTech[[#This Row],[5-6]],-1,0) )-TblMagic[[#This Row],[Wiz str cost]]</f>
        <v>1</v>
      </c>
      <c r="E52" s="167">
        <f ca="1">OFFSET(TblMagic[[#This Row],[Time]],-1,0)+1/24</f>
        <v>44812.749999999884</v>
      </c>
      <c r="F52" s="164">
        <f ca="1">TblImps[[#This Row],[Population]]</f>
        <v>1</v>
      </c>
      <c r="G52" s="234"/>
      <c r="H52" s="234"/>
      <c r="I52" s="234"/>
      <c r="J52" s="234"/>
      <c r="K52" s="437"/>
      <c r="L52" s="234"/>
      <c r="M52" s="234"/>
      <c r="N52" s="234"/>
      <c r="O52" s="234"/>
      <c r="P52" s="234"/>
      <c r="Q52" s="234"/>
      <c r="R52" s="234"/>
      <c r="S52" s="234"/>
      <c r="T52" s="234"/>
      <c r="U52" s="234"/>
      <c r="V52" s="234"/>
      <c r="W52" s="150"/>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64">
        <f>SUMIF(TblMagic[[#This Row],[Gaia''s Watch]:[Useless spell]],1)*0.05</f>
        <v>0</v>
      </c>
      <c r="Z52" s="150"/>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Row],[Blizzard]],12,IF(OFFSET(TblMagic[[#This Row],[Active Blizzard]],-1,0)&gt;0,OFFSET(TblMagic[[#This Row],[Active Blizzard]],-1,0)-1,0))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5">
        <f>TblRezone[[#This Row],[Hour]]</f>
        <v>50</v>
      </c>
      <c r="B53" s="162">
        <f ca="1">TblConstr[[#This Row],[Land]]</f>
        <v>250</v>
      </c>
      <c r="C53" s="97">
        <f ca="1">TblProd[[#This Row],[Mana]]</f>
        <v>0</v>
      </c>
      <c r="D53" s="164">
        <f ca="1">MIN(1,OFFSET(TblMagic[[#This Row],[Wiz str]],-1,0)+0.04+ROUNDDOWN(10*OFFSET(TblMili[[#This Row],[WG''s]],-1,0),0)+ tech_2_7*OFFSET(TblTech[[#This Row],[2-7]],-1,0) + tech_5_6*OFFSET(TblTech[[#This Row],[5-6]],-1,0) )-TblMagic[[#This Row],[Wiz str cost]]</f>
        <v>1</v>
      </c>
      <c r="E53" s="167">
        <f ca="1">OFFSET(TblMagic[[#This Row],[Time]],-1,0)+1/24</f>
        <v>44812.791666666548</v>
      </c>
      <c r="F53" s="164">
        <f ca="1">TblImps[[#This Row],[Population]]</f>
        <v>1</v>
      </c>
      <c r="G53" s="234"/>
      <c r="H53" s="234"/>
      <c r="I53" s="234"/>
      <c r="J53" s="234"/>
      <c r="K53" s="437"/>
      <c r="L53" s="234"/>
      <c r="M53" s="234"/>
      <c r="N53" s="234"/>
      <c r="O53" s="234"/>
      <c r="P53" s="234"/>
      <c r="Q53" s="234"/>
      <c r="R53" s="234"/>
      <c r="S53" s="234"/>
      <c r="T53" s="234"/>
      <c r="U53" s="234"/>
      <c r="V53" s="234"/>
      <c r="W53" s="150"/>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64">
        <f>SUMIF(TblMagic[[#This Row],[Gaia''s Watch]:[Useless spell]],1)*0.05</f>
        <v>0</v>
      </c>
      <c r="Z53" s="150"/>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Row],[Blizzard]],12,IF(OFFSET(TblMagic[[#This Row],[Active Blizzard]],-1,0)&gt;0,OFFSET(TblMagic[[#This Row],[Active Blizzard]],-1,0)-1,0))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5">
        <f>TblRezone[[#This Row],[Hour]]</f>
        <v>51</v>
      </c>
      <c r="B54" s="162">
        <f ca="1">TblConstr[[#This Row],[Land]]</f>
        <v>250</v>
      </c>
      <c r="C54" s="97">
        <f ca="1">TblProd[[#This Row],[Mana]]</f>
        <v>0</v>
      </c>
      <c r="D54" s="164">
        <f ca="1">MIN(1,OFFSET(TblMagic[[#This Row],[Wiz str]],-1,0)+0.04+ROUNDDOWN(10*OFFSET(TblMili[[#This Row],[WG''s]],-1,0),0)+ tech_2_7*OFFSET(TblTech[[#This Row],[2-7]],-1,0) + tech_5_6*OFFSET(TblTech[[#This Row],[5-6]],-1,0) )-TblMagic[[#This Row],[Wiz str cost]]</f>
        <v>1</v>
      </c>
      <c r="E54" s="167">
        <f ca="1">OFFSET(TblMagic[[#This Row],[Time]],-1,0)+1/24</f>
        <v>44812.833333333212</v>
      </c>
      <c r="F54" s="164">
        <f ca="1">TblImps[[#This Row],[Population]]</f>
        <v>1</v>
      </c>
      <c r="G54" s="234"/>
      <c r="H54" s="234"/>
      <c r="I54" s="234"/>
      <c r="J54" s="234"/>
      <c r="K54" s="437"/>
      <c r="L54" s="234"/>
      <c r="M54" s="234"/>
      <c r="N54" s="234"/>
      <c r="O54" s="234"/>
      <c r="P54" s="234"/>
      <c r="Q54" s="234"/>
      <c r="R54" s="234"/>
      <c r="S54" s="234"/>
      <c r="T54" s="234"/>
      <c r="U54" s="234"/>
      <c r="V54" s="234"/>
      <c r="W54" s="150"/>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64">
        <f>SUMIF(TblMagic[[#This Row],[Gaia''s Watch]:[Useless spell]],1)*0.05</f>
        <v>0</v>
      </c>
      <c r="Z54" s="150"/>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Row],[Blizzard]],12,IF(OFFSET(TblMagic[[#This Row],[Active Blizzard]],-1,0)&gt;0,OFFSET(TblMagic[[#This Row],[Active Blizzard]],-1,0)-1,0))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5">
        <f>TblRezone[[#This Row],[Hour]]</f>
        <v>52</v>
      </c>
      <c r="B55" s="162">
        <f ca="1">TblConstr[[#This Row],[Land]]</f>
        <v>250</v>
      </c>
      <c r="C55" s="97">
        <f ca="1">TblProd[[#This Row],[Mana]]</f>
        <v>0</v>
      </c>
      <c r="D55" s="164">
        <f ca="1">MIN(1,OFFSET(TblMagic[[#This Row],[Wiz str]],-1,0)+0.04+ROUNDDOWN(10*OFFSET(TblMili[[#This Row],[WG''s]],-1,0),0)+ tech_2_7*OFFSET(TblTech[[#This Row],[2-7]],-1,0) + tech_5_6*OFFSET(TblTech[[#This Row],[5-6]],-1,0) )-TblMagic[[#This Row],[Wiz str cost]]</f>
        <v>1</v>
      </c>
      <c r="E55" s="167">
        <f ca="1">OFFSET(TblMagic[[#This Row],[Time]],-1,0)+1/24</f>
        <v>44812.874999999876</v>
      </c>
      <c r="F55" s="164">
        <f ca="1">TblImps[[#This Row],[Population]]</f>
        <v>1</v>
      </c>
      <c r="G55" s="234"/>
      <c r="H55" s="234"/>
      <c r="I55" s="234"/>
      <c r="J55" s="234"/>
      <c r="K55" s="437"/>
      <c r="L55" s="234"/>
      <c r="M55" s="234"/>
      <c r="N55" s="234"/>
      <c r="O55" s="234"/>
      <c r="P55" s="234"/>
      <c r="Q55" s="234"/>
      <c r="R55" s="234"/>
      <c r="S55" s="234"/>
      <c r="T55" s="234"/>
      <c r="U55" s="234"/>
      <c r="V55" s="234"/>
      <c r="W55" s="150"/>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64">
        <f>SUMIF(TblMagic[[#This Row],[Gaia''s Watch]:[Useless spell]],1)*0.05</f>
        <v>0</v>
      </c>
      <c r="Z55" s="150"/>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Row],[Blizzard]],12,IF(OFFSET(TblMagic[[#This Row],[Active Blizzard]],-1,0)&gt;0,OFFSET(TblMagic[[#This Row],[Active Blizzard]],-1,0)-1,0))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5">
        <f>TblRezone[[#This Row],[Hour]]</f>
        <v>53</v>
      </c>
      <c r="B56" s="162">
        <f ca="1">TblConstr[[#This Row],[Land]]</f>
        <v>250</v>
      </c>
      <c r="C56" s="97">
        <f ca="1">TblProd[[#This Row],[Mana]]</f>
        <v>0</v>
      </c>
      <c r="D56" s="164">
        <f ca="1">MIN(1,OFFSET(TblMagic[[#This Row],[Wiz str]],-1,0)+0.04+ROUNDDOWN(10*OFFSET(TblMili[[#This Row],[WG''s]],-1,0),0)+ tech_2_7*OFFSET(TblTech[[#This Row],[2-7]],-1,0) + tech_5_6*OFFSET(TblTech[[#This Row],[5-6]],-1,0) )-TblMagic[[#This Row],[Wiz str cost]]</f>
        <v>1</v>
      </c>
      <c r="E56" s="167">
        <f ca="1">OFFSET(TblMagic[[#This Row],[Time]],-1,0)+1/24</f>
        <v>44812.916666666541</v>
      </c>
      <c r="F56" s="164">
        <f ca="1">TblImps[[#This Row],[Population]]</f>
        <v>1</v>
      </c>
      <c r="G56" s="234"/>
      <c r="H56" s="234"/>
      <c r="I56" s="234"/>
      <c r="J56" s="234"/>
      <c r="K56" s="437"/>
      <c r="L56" s="234"/>
      <c r="M56" s="234"/>
      <c r="N56" s="234"/>
      <c r="O56" s="234"/>
      <c r="P56" s="234"/>
      <c r="Q56" s="234"/>
      <c r="R56" s="234"/>
      <c r="S56" s="234"/>
      <c r="T56" s="234"/>
      <c r="U56" s="234"/>
      <c r="V56" s="234"/>
      <c r="W56" s="150"/>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64">
        <f>SUMIF(TblMagic[[#This Row],[Gaia''s Watch]:[Useless spell]],1)*0.05</f>
        <v>0</v>
      </c>
      <c r="Z56" s="150"/>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Row],[Blizzard]],12,IF(OFFSET(TblMagic[[#This Row],[Active Blizzard]],-1,0)&gt;0,OFFSET(TblMagic[[#This Row],[Active Blizzard]],-1,0)-1,0))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5">
        <f>TblRezone[[#This Row],[Hour]]</f>
        <v>54</v>
      </c>
      <c r="B57" s="162">
        <f ca="1">TblConstr[[#This Row],[Land]]</f>
        <v>250</v>
      </c>
      <c r="C57" s="97">
        <f ca="1">TblProd[[#This Row],[Mana]]</f>
        <v>0</v>
      </c>
      <c r="D57" s="164">
        <f ca="1">MIN(1,OFFSET(TblMagic[[#This Row],[Wiz str]],-1,0)+0.04+ROUNDDOWN(10*OFFSET(TblMili[[#This Row],[WG''s]],-1,0),0)+ tech_2_7*OFFSET(TblTech[[#This Row],[2-7]],-1,0) + tech_5_6*OFFSET(TblTech[[#This Row],[5-6]],-1,0) )-TblMagic[[#This Row],[Wiz str cost]]</f>
        <v>1</v>
      </c>
      <c r="E57" s="167">
        <f ca="1">OFFSET(TblMagic[[#This Row],[Time]],-1,0)+1/24</f>
        <v>44812.958333333205</v>
      </c>
      <c r="F57" s="164">
        <f ca="1">TblImps[[#This Row],[Population]]</f>
        <v>1</v>
      </c>
      <c r="G57" s="234"/>
      <c r="H57" s="234"/>
      <c r="I57" s="234"/>
      <c r="J57" s="234"/>
      <c r="K57" s="437"/>
      <c r="L57" s="234"/>
      <c r="M57" s="234"/>
      <c r="N57" s="234"/>
      <c r="O57" s="234"/>
      <c r="P57" s="234"/>
      <c r="Q57" s="234"/>
      <c r="R57" s="234"/>
      <c r="S57" s="234"/>
      <c r="T57" s="234"/>
      <c r="U57" s="234"/>
      <c r="V57" s="234"/>
      <c r="W57" s="150"/>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64">
        <f>SUMIF(TblMagic[[#This Row],[Gaia''s Watch]:[Useless spell]],1)*0.05</f>
        <v>0</v>
      </c>
      <c r="Z57" s="150"/>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Row],[Blizzard]],12,IF(OFFSET(TblMagic[[#This Row],[Active Blizzard]],-1,0)&gt;0,OFFSET(TblMagic[[#This Row],[Active Blizzard]],-1,0)-1,0))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5">
        <f>TblRezone[[#This Row],[Hour]]</f>
        <v>55</v>
      </c>
      <c r="B58" s="162">
        <f ca="1">TblConstr[[#This Row],[Land]]</f>
        <v>250</v>
      </c>
      <c r="C58" s="97">
        <f ca="1">TblProd[[#This Row],[Mana]]</f>
        <v>0</v>
      </c>
      <c r="D58" s="164">
        <f ca="1">MIN(1,OFFSET(TblMagic[[#This Row],[Wiz str]],-1,0)+0.04+ROUNDDOWN(10*OFFSET(TblMili[[#This Row],[WG''s]],-1,0),0)+ tech_2_7*OFFSET(TblTech[[#This Row],[2-7]],-1,0) + tech_5_6*OFFSET(TblTech[[#This Row],[5-6]],-1,0) )-TblMagic[[#This Row],[Wiz str cost]]</f>
        <v>1</v>
      </c>
      <c r="E58" s="167">
        <f ca="1">OFFSET(TblMagic[[#This Row],[Time]],-1,0)+1/24</f>
        <v>44812.999999999869</v>
      </c>
      <c r="F58" s="164">
        <f ca="1">TblImps[[#This Row],[Population]]</f>
        <v>1</v>
      </c>
      <c r="G58" s="234"/>
      <c r="H58" s="234"/>
      <c r="I58" s="234"/>
      <c r="J58" s="234"/>
      <c r="K58" s="437"/>
      <c r="L58" s="234"/>
      <c r="M58" s="234"/>
      <c r="N58" s="234"/>
      <c r="O58" s="234"/>
      <c r="P58" s="234"/>
      <c r="Q58" s="234"/>
      <c r="R58" s="234"/>
      <c r="S58" s="234"/>
      <c r="T58" s="234"/>
      <c r="U58" s="234"/>
      <c r="V58" s="234"/>
      <c r="W58" s="150"/>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64">
        <f>SUMIF(TblMagic[[#This Row],[Gaia''s Watch]:[Useless spell]],1)*0.05</f>
        <v>0</v>
      </c>
      <c r="Z58" s="150"/>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Row],[Blizzard]],12,IF(OFFSET(TblMagic[[#This Row],[Active Blizzard]],-1,0)&gt;0,OFFSET(TblMagic[[#This Row],[Active Blizzard]],-1,0)-1,0))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5">
        <f>TblRezone[[#This Row],[Hour]]</f>
        <v>56</v>
      </c>
      <c r="B59" s="162">
        <f ca="1">TblConstr[[#This Row],[Land]]</f>
        <v>250</v>
      </c>
      <c r="C59" s="97">
        <f ca="1">TblProd[[#This Row],[Mana]]</f>
        <v>0</v>
      </c>
      <c r="D59" s="164">
        <f ca="1">MIN(1,OFFSET(TblMagic[[#This Row],[Wiz str]],-1,0)+0.04+ROUNDDOWN(10*OFFSET(TblMili[[#This Row],[WG''s]],-1,0),0)+ tech_2_7*OFFSET(TblTech[[#This Row],[2-7]],-1,0) + tech_5_6*OFFSET(TblTech[[#This Row],[5-6]],-1,0) )-TblMagic[[#This Row],[Wiz str cost]]</f>
        <v>1</v>
      </c>
      <c r="E59" s="167">
        <f ca="1">OFFSET(TblMagic[[#This Row],[Time]],-1,0)+1/24</f>
        <v>44813.041666666533</v>
      </c>
      <c r="F59" s="164">
        <f ca="1">TblImps[[#This Row],[Population]]</f>
        <v>1</v>
      </c>
      <c r="G59" s="234"/>
      <c r="H59" s="234"/>
      <c r="I59" s="234"/>
      <c r="J59" s="234"/>
      <c r="K59" s="437"/>
      <c r="L59" s="234"/>
      <c r="M59" s="234"/>
      <c r="N59" s="234"/>
      <c r="O59" s="234"/>
      <c r="P59" s="234"/>
      <c r="Q59" s="234"/>
      <c r="R59" s="234"/>
      <c r="S59" s="234"/>
      <c r="T59" s="234"/>
      <c r="U59" s="234"/>
      <c r="V59" s="234"/>
      <c r="W59" s="150"/>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64">
        <f>SUMIF(TblMagic[[#This Row],[Gaia''s Watch]:[Useless spell]],1)*0.05</f>
        <v>0</v>
      </c>
      <c r="Z59" s="150"/>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Row],[Blizzard]],12,IF(OFFSET(TblMagic[[#This Row],[Active Blizzard]],-1,0)&gt;0,OFFSET(TblMagic[[#This Row],[Active Blizzard]],-1,0)-1,0))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5">
        <f>TblRezone[[#This Row],[Hour]]</f>
        <v>57</v>
      </c>
      <c r="B60" s="162">
        <f ca="1">TblConstr[[#This Row],[Land]]</f>
        <v>250</v>
      </c>
      <c r="C60" s="97">
        <f ca="1">TblProd[[#This Row],[Mana]]</f>
        <v>0</v>
      </c>
      <c r="D60" s="164">
        <f ca="1">MIN(1,OFFSET(TblMagic[[#This Row],[Wiz str]],-1,0)+0.04+ROUNDDOWN(10*OFFSET(TblMili[[#This Row],[WG''s]],-1,0),0)+ tech_2_7*OFFSET(TblTech[[#This Row],[2-7]],-1,0) + tech_5_6*OFFSET(TblTech[[#This Row],[5-6]],-1,0) )-TblMagic[[#This Row],[Wiz str cost]]</f>
        <v>1</v>
      </c>
      <c r="E60" s="167">
        <f ca="1">OFFSET(TblMagic[[#This Row],[Time]],-1,0)+1/24</f>
        <v>44813.083333333198</v>
      </c>
      <c r="F60" s="164">
        <f ca="1">TblImps[[#This Row],[Population]]</f>
        <v>1</v>
      </c>
      <c r="G60" s="234"/>
      <c r="H60" s="234"/>
      <c r="I60" s="234"/>
      <c r="J60" s="234"/>
      <c r="K60" s="437"/>
      <c r="L60" s="234"/>
      <c r="M60" s="234"/>
      <c r="N60" s="234"/>
      <c r="O60" s="234"/>
      <c r="P60" s="234"/>
      <c r="Q60" s="234"/>
      <c r="R60" s="234"/>
      <c r="S60" s="234"/>
      <c r="T60" s="234"/>
      <c r="U60" s="234"/>
      <c r="V60" s="234"/>
      <c r="W60" s="150"/>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64">
        <f>SUMIF(TblMagic[[#This Row],[Gaia''s Watch]:[Useless spell]],1)*0.05</f>
        <v>0</v>
      </c>
      <c r="Z60" s="150"/>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Row],[Blizzard]],12,IF(OFFSET(TblMagic[[#This Row],[Active Blizzard]],-1,0)&gt;0,OFFSET(TblMagic[[#This Row],[Active Blizzard]],-1,0)-1,0))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5">
        <f>TblRezone[[#This Row],[Hour]]</f>
        <v>58</v>
      </c>
      <c r="B61" s="162">
        <f ca="1">TblConstr[[#This Row],[Land]]</f>
        <v>250</v>
      </c>
      <c r="C61" s="97">
        <f ca="1">TblProd[[#This Row],[Mana]]</f>
        <v>0</v>
      </c>
      <c r="D61" s="164">
        <f ca="1">MIN(1,OFFSET(TblMagic[[#This Row],[Wiz str]],-1,0)+0.04+ROUNDDOWN(10*OFFSET(TblMili[[#This Row],[WG''s]],-1,0),0)+ tech_2_7*OFFSET(TblTech[[#This Row],[2-7]],-1,0) + tech_5_6*OFFSET(TblTech[[#This Row],[5-6]],-1,0) )-TblMagic[[#This Row],[Wiz str cost]]</f>
        <v>1</v>
      </c>
      <c r="E61" s="167">
        <f ca="1">OFFSET(TblMagic[[#This Row],[Time]],-1,0)+1/24</f>
        <v>44813.124999999862</v>
      </c>
      <c r="F61" s="164">
        <f ca="1">TblImps[[#This Row],[Population]]</f>
        <v>1</v>
      </c>
      <c r="G61" s="234"/>
      <c r="H61" s="234"/>
      <c r="I61" s="234"/>
      <c r="J61" s="234"/>
      <c r="K61" s="437"/>
      <c r="L61" s="234"/>
      <c r="M61" s="234"/>
      <c r="N61" s="234"/>
      <c r="O61" s="234"/>
      <c r="P61" s="234"/>
      <c r="Q61" s="234"/>
      <c r="R61" s="234"/>
      <c r="S61" s="234"/>
      <c r="T61" s="234"/>
      <c r="U61" s="234"/>
      <c r="V61" s="234"/>
      <c r="W61" s="150"/>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64">
        <f>SUMIF(TblMagic[[#This Row],[Gaia''s Watch]:[Useless spell]],1)*0.05</f>
        <v>0</v>
      </c>
      <c r="Z61" s="150"/>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Row],[Blizzard]],12,IF(OFFSET(TblMagic[[#This Row],[Active Blizzard]],-1,0)&gt;0,OFFSET(TblMagic[[#This Row],[Active Blizzard]],-1,0)-1,0))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5">
        <f>TblRezone[[#This Row],[Hour]]</f>
        <v>59</v>
      </c>
      <c r="B62" s="162">
        <f ca="1">TblConstr[[#This Row],[Land]]</f>
        <v>250</v>
      </c>
      <c r="C62" s="97">
        <f ca="1">TblProd[[#This Row],[Mana]]</f>
        <v>0</v>
      </c>
      <c r="D62" s="164">
        <f ca="1">MIN(1,OFFSET(TblMagic[[#This Row],[Wiz str]],-1,0)+0.04+ROUNDDOWN(10*OFFSET(TblMili[[#This Row],[WG''s]],-1,0),0)+ tech_2_7*OFFSET(TblTech[[#This Row],[2-7]],-1,0) + tech_5_6*OFFSET(TblTech[[#This Row],[5-6]],-1,0) )-TblMagic[[#This Row],[Wiz str cost]]</f>
        <v>1</v>
      </c>
      <c r="E62" s="167">
        <f ca="1">OFFSET(TblMagic[[#This Row],[Time]],-1,0)+1/24</f>
        <v>44813.166666666526</v>
      </c>
      <c r="F62" s="164">
        <f ca="1">TblImps[[#This Row],[Population]]</f>
        <v>1</v>
      </c>
      <c r="G62" s="234"/>
      <c r="H62" s="234"/>
      <c r="I62" s="234"/>
      <c r="J62" s="234"/>
      <c r="K62" s="437"/>
      <c r="L62" s="234"/>
      <c r="M62" s="234"/>
      <c r="N62" s="234"/>
      <c r="O62" s="234"/>
      <c r="P62" s="234"/>
      <c r="Q62" s="234"/>
      <c r="R62" s="234"/>
      <c r="S62" s="234"/>
      <c r="T62" s="234"/>
      <c r="U62" s="234"/>
      <c r="V62" s="234"/>
      <c r="W62" s="150"/>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64">
        <f>SUMIF(TblMagic[[#This Row],[Gaia''s Watch]:[Useless spell]],1)*0.05</f>
        <v>0</v>
      </c>
      <c r="Z62" s="150"/>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Row],[Blizzard]],12,IF(OFFSET(TblMagic[[#This Row],[Active Blizzard]],-1,0)&gt;0,OFFSET(TblMagic[[#This Row],[Active Blizzard]],-1,0)-1,0))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5">
        <f>TblRezone[[#This Row],[Hour]]</f>
        <v>60</v>
      </c>
      <c r="B63" s="162">
        <f ca="1">TblConstr[[#This Row],[Land]]</f>
        <v>250</v>
      </c>
      <c r="C63" s="97">
        <f ca="1">TblProd[[#This Row],[Mana]]</f>
        <v>0</v>
      </c>
      <c r="D63" s="164">
        <f ca="1">MIN(1,OFFSET(TblMagic[[#This Row],[Wiz str]],-1,0)+0.04+ROUNDDOWN(10*OFFSET(TblMili[[#This Row],[WG''s]],-1,0),0)+ tech_2_7*OFFSET(TblTech[[#This Row],[2-7]],-1,0) + tech_5_6*OFFSET(TblTech[[#This Row],[5-6]],-1,0) )-TblMagic[[#This Row],[Wiz str cost]]</f>
        <v>1</v>
      </c>
      <c r="E63" s="167">
        <f ca="1">OFFSET(TblMagic[[#This Row],[Time]],-1,0)+1/24</f>
        <v>44813.20833333319</v>
      </c>
      <c r="F63" s="164">
        <f ca="1">TblImps[[#This Row],[Population]]</f>
        <v>1</v>
      </c>
      <c r="G63" s="234"/>
      <c r="H63" s="234"/>
      <c r="I63" s="234"/>
      <c r="J63" s="234"/>
      <c r="K63" s="437"/>
      <c r="L63" s="234"/>
      <c r="M63" s="234"/>
      <c r="N63" s="234"/>
      <c r="O63" s="234"/>
      <c r="P63" s="234"/>
      <c r="Q63" s="234"/>
      <c r="R63" s="234"/>
      <c r="S63" s="234"/>
      <c r="T63" s="234"/>
      <c r="U63" s="234"/>
      <c r="V63" s="234"/>
      <c r="W63" s="150"/>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64">
        <f>SUMIF(TblMagic[[#This Row],[Gaia''s Watch]:[Useless spell]],1)*0.05</f>
        <v>0</v>
      </c>
      <c r="Z63" s="150"/>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Row],[Blizzard]],12,IF(OFFSET(TblMagic[[#This Row],[Active Blizzard]],-1,0)&gt;0,OFFSET(TblMagic[[#This Row],[Active Blizzard]],-1,0)-1,0))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5">
        <f>TblRezone[[#This Row],[Hour]]</f>
        <v>61</v>
      </c>
      <c r="B64" s="162">
        <f ca="1">TblConstr[[#This Row],[Land]]</f>
        <v>250</v>
      </c>
      <c r="C64" s="97">
        <f ca="1">TblProd[[#This Row],[Mana]]</f>
        <v>0</v>
      </c>
      <c r="D64" s="164">
        <f ca="1">MIN(1,OFFSET(TblMagic[[#This Row],[Wiz str]],-1,0)+0.04+ROUNDDOWN(10*OFFSET(TblMili[[#This Row],[WG''s]],-1,0),0)+ tech_2_7*OFFSET(TblTech[[#This Row],[2-7]],-1,0) + tech_5_6*OFFSET(TblTech[[#This Row],[5-6]],-1,0) )-TblMagic[[#This Row],[Wiz str cost]]</f>
        <v>1</v>
      </c>
      <c r="E64" s="167">
        <f ca="1">OFFSET(TblMagic[[#This Row],[Time]],-1,0)+1/24</f>
        <v>44813.249999999854</v>
      </c>
      <c r="F64" s="164">
        <f ca="1">TblImps[[#This Row],[Population]]</f>
        <v>1</v>
      </c>
      <c r="G64" s="234"/>
      <c r="H64" s="234"/>
      <c r="I64" s="234"/>
      <c r="J64" s="234"/>
      <c r="K64" s="437"/>
      <c r="L64" s="234"/>
      <c r="M64" s="234"/>
      <c r="N64" s="234"/>
      <c r="O64" s="234"/>
      <c r="P64" s="234"/>
      <c r="Q64" s="234"/>
      <c r="R64" s="234"/>
      <c r="S64" s="234"/>
      <c r="T64" s="234"/>
      <c r="U64" s="234"/>
      <c r="V64" s="234"/>
      <c r="W64" s="150"/>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64">
        <f>SUMIF(TblMagic[[#This Row],[Gaia''s Watch]:[Useless spell]],1)*0.05</f>
        <v>0</v>
      </c>
      <c r="Z64" s="150"/>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Row],[Blizzard]],12,IF(OFFSET(TblMagic[[#This Row],[Active Blizzard]],-1,0)&gt;0,OFFSET(TblMagic[[#This Row],[Active Blizzard]],-1,0)-1,0))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5">
        <f>TblRezone[[#This Row],[Hour]]</f>
        <v>62</v>
      </c>
      <c r="B65" s="162">
        <f ca="1">TblConstr[[#This Row],[Land]]</f>
        <v>250</v>
      </c>
      <c r="C65" s="97">
        <f ca="1">TblProd[[#This Row],[Mana]]</f>
        <v>0</v>
      </c>
      <c r="D65" s="164">
        <f ca="1">MIN(1,OFFSET(TblMagic[[#This Row],[Wiz str]],-1,0)+0.04+ROUNDDOWN(10*OFFSET(TblMili[[#This Row],[WG''s]],-1,0),0)+ tech_2_7*OFFSET(TblTech[[#This Row],[2-7]],-1,0) + tech_5_6*OFFSET(TblTech[[#This Row],[5-6]],-1,0) )-TblMagic[[#This Row],[Wiz str cost]]</f>
        <v>1</v>
      </c>
      <c r="E65" s="167">
        <f ca="1">OFFSET(TblMagic[[#This Row],[Time]],-1,0)+1/24</f>
        <v>44813.291666666519</v>
      </c>
      <c r="F65" s="164">
        <f ca="1">TblImps[[#This Row],[Population]]</f>
        <v>1</v>
      </c>
      <c r="G65" s="234"/>
      <c r="H65" s="234"/>
      <c r="I65" s="234"/>
      <c r="J65" s="234"/>
      <c r="K65" s="437"/>
      <c r="L65" s="234"/>
      <c r="M65" s="234"/>
      <c r="N65" s="234"/>
      <c r="O65" s="234"/>
      <c r="P65" s="234"/>
      <c r="Q65" s="234"/>
      <c r="R65" s="234"/>
      <c r="S65" s="234"/>
      <c r="T65" s="234"/>
      <c r="U65" s="234"/>
      <c r="V65" s="234"/>
      <c r="W65" s="150"/>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64">
        <f>SUMIF(TblMagic[[#This Row],[Gaia''s Watch]:[Useless spell]],1)*0.05</f>
        <v>0</v>
      </c>
      <c r="Z65" s="150"/>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Row],[Blizzard]],12,IF(OFFSET(TblMagic[[#This Row],[Active Blizzard]],-1,0)&gt;0,OFFSET(TblMagic[[#This Row],[Active Blizzard]],-1,0)-1,0))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5">
        <f>TblRezone[[#This Row],[Hour]]</f>
        <v>63</v>
      </c>
      <c r="B66" s="162">
        <f ca="1">TblConstr[[#This Row],[Land]]</f>
        <v>250</v>
      </c>
      <c r="C66" s="97">
        <f ca="1">TblProd[[#This Row],[Mana]]</f>
        <v>0</v>
      </c>
      <c r="D66" s="164">
        <f ca="1">MIN(1,OFFSET(TblMagic[[#This Row],[Wiz str]],-1,0)+0.04+ROUNDDOWN(10*OFFSET(TblMili[[#This Row],[WG''s]],-1,0),0)+ tech_2_7*OFFSET(TblTech[[#This Row],[2-7]],-1,0) + tech_5_6*OFFSET(TblTech[[#This Row],[5-6]],-1,0) )-TblMagic[[#This Row],[Wiz str cost]]</f>
        <v>1</v>
      </c>
      <c r="E66" s="167">
        <f ca="1">OFFSET(TblMagic[[#This Row],[Time]],-1,0)+1/24</f>
        <v>44813.333333333183</v>
      </c>
      <c r="F66" s="164">
        <f ca="1">TblImps[[#This Row],[Population]]</f>
        <v>1</v>
      </c>
      <c r="G66" s="234"/>
      <c r="H66" s="234"/>
      <c r="I66" s="234"/>
      <c r="J66" s="234"/>
      <c r="K66" s="437"/>
      <c r="L66" s="234"/>
      <c r="M66" s="234"/>
      <c r="N66" s="234"/>
      <c r="O66" s="234"/>
      <c r="P66" s="234"/>
      <c r="Q66" s="234"/>
      <c r="R66" s="234"/>
      <c r="S66" s="234"/>
      <c r="T66" s="234"/>
      <c r="U66" s="234"/>
      <c r="V66" s="234"/>
      <c r="W66" s="150"/>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64">
        <f>SUMIF(TblMagic[[#This Row],[Gaia''s Watch]:[Useless spell]],1)*0.05</f>
        <v>0</v>
      </c>
      <c r="Z66" s="150"/>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Row],[Blizzard]],12,IF(OFFSET(TblMagic[[#This Row],[Active Blizzard]],-1,0)&gt;0,OFFSET(TblMagic[[#This Row],[Active Blizzard]],-1,0)-1,0))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5">
        <f>TblRezone[[#This Row],[Hour]]</f>
        <v>64</v>
      </c>
      <c r="B67" s="162">
        <f ca="1">TblConstr[[#This Row],[Land]]</f>
        <v>250</v>
      </c>
      <c r="C67" s="97">
        <f ca="1">TblProd[[#This Row],[Mana]]</f>
        <v>0</v>
      </c>
      <c r="D67" s="164">
        <f ca="1">MIN(1,OFFSET(TblMagic[[#This Row],[Wiz str]],-1,0)+0.04+ROUNDDOWN(10*OFFSET(TblMili[[#This Row],[WG''s]],-1,0),0)+ tech_2_7*OFFSET(TblTech[[#This Row],[2-7]],-1,0) + tech_5_6*OFFSET(TblTech[[#This Row],[5-6]],-1,0) )-TblMagic[[#This Row],[Wiz str cost]]</f>
        <v>1</v>
      </c>
      <c r="E67" s="167">
        <f ca="1">OFFSET(TblMagic[[#This Row],[Time]],-1,0)+1/24</f>
        <v>44813.374999999847</v>
      </c>
      <c r="F67" s="164">
        <f ca="1">TblImps[[#This Row],[Population]]</f>
        <v>1</v>
      </c>
      <c r="G67" s="234"/>
      <c r="H67" s="234"/>
      <c r="I67" s="234"/>
      <c r="J67" s="234"/>
      <c r="K67" s="437"/>
      <c r="L67" s="234"/>
      <c r="M67" s="234"/>
      <c r="N67" s="234"/>
      <c r="O67" s="234"/>
      <c r="P67" s="234"/>
      <c r="Q67" s="234"/>
      <c r="R67" s="234"/>
      <c r="S67" s="234"/>
      <c r="T67" s="234"/>
      <c r="U67" s="234"/>
      <c r="V67" s="234"/>
      <c r="W67" s="150"/>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64">
        <f>SUMIF(TblMagic[[#This Row],[Gaia''s Watch]:[Useless spell]],1)*0.05</f>
        <v>0</v>
      </c>
      <c r="Z67" s="150"/>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Row],[Blizzard]],12,IF(OFFSET(TblMagic[[#This Row],[Active Blizzard]],-1,0)&gt;0,OFFSET(TblMagic[[#This Row],[Active Blizzard]],-1,0)-1,0))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5">
        <f>TblRezone[[#This Row],[Hour]]</f>
        <v>65</v>
      </c>
      <c r="B68" s="162">
        <f ca="1">TblConstr[[#This Row],[Land]]</f>
        <v>250</v>
      </c>
      <c r="C68" s="97">
        <f ca="1">TblProd[[#This Row],[Mana]]</f>
        <v>0</v>
      </c>
      <c r="D68" s="164">
        <f ca="1">MIN(1,OFFSET(TblMagic[[#This Row],[Wiz str]],-1,0)+0.04+ROUNDDOWN(10*OFFSET(TblMili[[#This Row],[WG''s]],-1,0),0)+ tech_2_7*OFFSET(TblTech[[#This Row],[2-7]],-1,0) + tech_5_6*OFFSET(TblTech[[#This Row],[5-6]],-1,0) )-TblMagic[[#This Row],[Wiz str cost]]</f>
        <v>1</v>
      </c>
      <c r="E68" s="167">
        <f ca="1">OFFSET(TblMagic[[#This Row],[Time]],-1,0)+1/24</f>
        <v>44813.416666666511</v>
      </c>
      <c r="F68" s="164">
        <f ca="1">TblImps[[#This Row],[Population]]</f>
        <v>1</v>
      </c>
      <c r="G68" s="234"/>
      <c r="H68" s="234"/>
      <c r="I68" s="234"/>
      <c r="J68" s="234"/>
      <c r="K68" s="437"/>
      <c r="L68" s="234"/>
      <c r="M68" s="234"/>
      <c r="N68" s="234"/>
      <c r="O68" s="234"/>
      <c r="P68" s="234"/>
      <c r="Q68" s="234"/>
      <c r="R68" s="234"/>
      <c r="S68" s="234"/>
      <c r="T68" s="234"/>
      <c r="U68" s="234"/>
      <c r="V68" s="234"/>
      <c r="W68" s="150"/>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64">
        <f>SUMIF(TblMagic[[#This Row],[Gaia''s Watch]:[Useless spell]],1)*0.05</f>
        <v>0</v>
      </c>
      <c r="Z68" s="150"/>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Row],[Blizzard]],12,IF(OFFSET(TblMagic[[#This Row],[Active Blizzard]],-1,0)&gt;0,OFFSET(TblMagic[[#This Row],[Active Blizzard]],-1,0)-1,0))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5">
        <f>TblRezone[[#This Row],[Hour]]</f>
        <v>66</v>
      </c>
      <c r="B69" s="162">
        <f ca="1">TblConstr[[#This Row],[Land]]</f>
        <v>250</v>
      </c>
      <c r="C69" s="97">
        <f ca="1">TblProd[[#This Row],[Mana]]</f>
        <v>0</v>
      </c>
      <c r="D69" s="164">
        <f ca="1">MIN(1,OFFSET(TblMagic[[#This Row],[Wiz str]],-1,0)+0.04+ROUNDDOWN(10*OFFSET(TblMili[[#This Row],[WG''s]],-1,0),0)+ tech_2_7*OFFSET(TblTech[[#This Row],[2-7]],-1,0) + tech_5_6*OFFSET(TblTech[[#This Row],[5-6]],-1,0) )-TblMagic[[#This Row],[Wiz str cost]]</f>
        <v>1</v>
      </c>
      <c r="E69" s="167">
        <f ca="1">OFFSET(TblMagic[[#This Row],[Time]],-1,0)+1/24</f>
        <v>44813.458333333176</v>
      </c>
      <c r="F69" s="164">
        <f ca="1">TblImps[[#This Row],[Population]]</f>
        <v>1</v>
      </c>
      <c r="G69" s="234"/>
      <c r="H69" s="234"/>
      <c r="I69" s="234"/>
      <c r="J69" s="234"/>
      <c r="K69" s="437"/>
      <c r="L69" s="234"/>
      <c r="M69" s="234"/>
      <c r="N69" s="234"/>
      <c r="O69" s="234"/>
      <c r="P69" s="234"/>
      <c r="Q69" s="234"/>
      <c r="R69" s="234"/>
      <c r="S69" s="234"/>
      <c r="T69" s="234"/>
      <c r="U69" s="234"/>
      <c r="V69" s="234"/>
      <c r="W69" s="150"/>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64">
        <f>SUMIF(TblMagic[[#This Row],[Gaia''s Watch]:[Useless spell]],1)*0.05</f>
        <v>0</v>
      </c>
      <c r="Z69" s="150"/>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Row],[Blizzard]],12,IF(OFFSET(TblMagic[[#This Row],[Active Blizzard]],-1,0)&gt;0,OFFSET(TblMagic[[#This Row],[Active Blizzard]],-1,0)-1,0))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5">
        <f>TblRezone[[#This Row],[Hour]]</f>
        <v>67</v>
      </c>
      <c r="B70" s="162">
        <f ca="1">TblConstr[[#This Row],[Land]]</f>
        <v>250</v>
      </c>
      <c r="C70" s="97">
        <f ca="1">TblProd[[#This Row],[Mana]]</f>
        <v>0</v>
      </c>
      <c r="D70" s="164">
        <f ca="1">MIN(1,OFFSET(TblMagic[[#This Row],[Wiz str]],-1,0)+0.04+ROUNDDOWN(10*OFFSET(TblMili[[#This Row],[WG''s]],-1,0),0)+ tech_2_7*OFFSET(TblTech[[#This Row],[2-7]],-1,0) + tech_5_6*OFFSET(TblTech[[#This Row],[5-6]],-1,0) )-TblMagic[[#This Row],[Wiz str cost]]</f>
        <v>1</v>
      </c>
      <c r="E70" s="167">
        <f ca="1">OFFSET(TblMagic[[#This Row],[Time]],-1,0)+1/24</f>
        <v>44813.49999999984</v>
      </c>
      <c r="F70" s="164">
        <f ca="1">TblImps[[#This Row],[Population]]</f>
        <v>1</v>
      </c>
      <c r="G70" s="234"/>
      <c r="H70" s="234"/>
      <c r="I70" s="234"/>
      <c r="J70" s="234"/>
      <c r="K70" s="437"/>
      <c r="L70" s="234"/>
      <c r="M70" s="234"/>
      <c r="N70" s="234"/>
      <c r="O70" s="234"/>
      <c r="P70" s="234"/>
      <c r="Q70" s="234"/>
      <c r="R70" s="234"/>
      <c r="S70" s="234"/>
      <c r="T70" s="234"/>
      <c r="U70" s="234"/>
      <c r="V70" s="234"/>
      <c r="W70" s="150"/>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64">
        <f>SUMIF(TblMagic[[#This Row],[Gaia''s Watch]:[Useless spell]],1)*0.05</f>
        <v>0</v>
      </c>
      <c r="Z70" s="150"/>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Row],[Blizzard]],12,IF(OFFSET(TblMagic[[#This Row],[Active Blizzard]],-1,0)&gt;0,OFFSET(TblMagic[[#This Row],[Active Blizzard]],-1,0)-1,0))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5">
        <f>TblRezone[[#This Row],[Hour]]</f>
        <v>68</v>
      </c>
      <c r="B71" s="162">
        <f ca="1">TblConstr[[#This Row],[Land]]</f>
        <v>250</v>
      </c>
      <c r="C71" s="97">
        <f ca="1">TblProd[[#This Row],[Mana]]</f>
        <v>0</v>
      </c>
      <c r="D71" s="164">
        <f ca="1">MIN(1,OFFSET(TblMagic[[#This Row],[Wiz str]],-1,0)+0.04+ROUNDDOWN(10*OFFSET(TblMili[[#This Row],[WG''s]],-1,0),0)+ tech_2_7*OFFSET(TblTech[[#This Row],[2-7]],-1,0) + tech_5_6*OFFSET(TblTech[[#This Row],[5-6]],-1,0) )-TblMagic[[#This Row],[Wiz str cost]]</f>
        <v>1</v>
      </c>
      <c r="E71" s="167">
        <f ca="1">OFFSET(TblMagic[[#This Row],[Time]],-1,0)+1/24</f>
        <v>44813.541666666504</v>
      </c>
      <c r="F71" s="164">
        <f ca="1">TblImps[[#This Row],[Population]]</f>
        <v>1</v>
      </c>
      <c r="G71" s="234"/>
      <c r="H71" s="234"/>
      <c r="I71" s="234"/>
      <c r="J71" s="234"/>
      <c r="K71" s="437"/>
      <c r="L71" s="234"/>
      <c r="M71" s="234"/>
      <c r="N71" s="234"/>
      <c r="O71" s="234"/>
      <c r="P71" s="234"/>
      <c r="Q71" s="234"/>
      <c r="R71" s="234"/>
      <c r="S71" s="234"/>
      <c r="T71" s="234"/>
      <c r="U71" s="234"/>
      <c r="V71" s="234"/>
      <c r="W71" s="150"/>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64">
        <f>SUMIF(TblMagic[[#This Row],[Gaia''s Watch]:[Useless spell]],1)*0.05</f>
        <v>0</v>
      </c>
      <c r="Z71" s="150"/>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Row],[Blizzard]],12,IF(OFFSET(TblMagic[[#This Row],[Active Blizzard]],-1,0)&gt;0,OFFSET(TblMagic[[#This Row],[Active Blizzard]],-1,0)-1,0))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5">
        <f>TblRezone[[#This Row],[Hour]]</f>
        <v>69</v>
      </c>
      <c r="B72" s="162">
        <f ca="1">TblConstr[[#This Row],[Land]]</f>
        <v>250</v>
      </c>
      <c r="C72" s="97">
        <f ca="1">TblProd[[#This Row],[Mana]]</f>
        <v>0</v>
      </c>
      <c r="D72" s="164">
        <f ca="1">MIN(1,OFFSET(TblMagic[[#This Row],[Wiz str]],-1,0)+0.04+ROUNDDOWN(10*OFFSET(TblMili[[#This Row],[WG''s]],-1,0),0)+ tech_2_7*OFFSET(TblTech[[#This Row],[2-7]],-1,0) + tech_5_6*OFFSET(TblTech[[#This Row],[5-6]],-1,0) )-TblMagic[[#This Row],[Wiz str cost]]</f>
        <v>1</v>
      </c>
      <c r="E72" s="167">
        <f ca="1">OFFSET(TblMagic[[#This Row],[Time]],-1,0)+1/24</f>
        <v>44813.583333333168</v>
      </c>
      <c r="F72" s="164">
        <f ca="1">TblImps[[#This Row],[Population]]</f>
        <v>1</v>
      </c>
      <c r="G72" s="234"/>
      <c r="H72" s="234"/>
      <c r="I72" s="234"/>
      <c r="J72" s="234"/>
      <c r="K72" s="437"/>
      <c r="L72" s="234"/>
      <c r="M72" s="234"/>
      <c r="N72" s="234"/>
      <c r="O72" s="234"/>
      <c r="P72" s="234"/>
      <c r="Q72" s="234"/>
      <c r="R72" s="234"/>
      <c r="S72" s="234"/>
      <c r="T72" s="234"/>
      <c r="U72" s="234"/>
      <c r="V72" s="234"/>
      <c r="W72" s="150"/>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64">
        <f>SUMIF(TblMagic[[#This Row],[Gaia''s Watch]:[Useless spell]],1)*0.05</f>
        <v>0</v>
      </c>
      <c r="Z72" s="150"/>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Row],[Blizzard]],12,IF(OFFSET(TblMagic[[#This Row],[Active Blizzard]],-1,0)&gt;0,OFFSET(TblMagic[[#This Row],[Active Blizzard]],-1,0)-1,0))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5">
        <f>TblRezone[[#This Row],[Hour]]</f>
        <v>70</v>
      </c>
      <c r="B73" s="162">
        <f ca="1">TblConstr[[#This Row],[Land]]</f>
        <v>250</v>
      </c>
      <c r="C73" s="97">
        <f ca="1">TblProd[[#This Row],[Mana]]</f>
        <v>0</v>
      </c>
      <c r="D73" s="164">
        <f ca="1">MIN(1,OFFSET(TblMagic[[#This Row],[Wiz str]],-1,0)+0.04+ROUNDDOWN(10*OFFSET(TblMili[[#This Row],[WG''s]],-1,0),0)+ tech_2_7*OFFSET(TblTech[[#This Row],[2-7]],-1,0) + tech_5_6*OFFSET(TblTech[[#This Row],[5-6]],-1,0) )-TblMagic[[#This Row],[Wiz str cost]]</f>
        <v>1</v>
      </c>
      <c r="E73" s="167">
        <f ca="1">OFFSET(TblMagic[[#This Row],[Time]],-1,0)+1/24</f>
        <v>44813.624999999833</v>
      </c>
      <c r="F73" s="164">
        <f ca="1">TblImps[[#This Row],[Population]]</f>
        <v>1</v>
      </c>
      <c r="G73" s="234"/>
      <c r="H73" s="234"/>
      <c r="I73" s="234"/>
      <c r="J73" s="234"/>
      <c r="K73" s="437"/>
      <c r="L73" s="234"/>
      <c r="M73" s="234"/>
      <c r="N73" s="234"/>
      <c r="O73" s="234"/>
      <c r="P73" s="234"/>
      <c r="Q73" s="234"/>
      <c r="R73" s="234"/>
      <c r="S73" s="234"/>
      <c r="T73" s="234"/>
      <c r="U73" s="234"/>
      <c r="V73" s="234"/>
      <c r="W73" s="150"/>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64">
        <f>SUMIF(TblMagic[[#This Row],[Gaia''s Watch]:[Useless spell]],1)*0.05</f>
        <v>0</v>
      </c>
      <c r="Z73" s="150"/>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Row],[Blizzard]],12,IF(OFFSET(TblMagic[[#This Row],[Active Blizzard]],-1,0)&gt;0,OFFSET(TblMagic[[#This Row],[Active Blizzard]],-1,0)-1,0))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5">
        <f>TblRezone[[#This Row],[Hour]]</f>
        <v>71</v>
      </c>
      <c r="B74" s="162">
        <f ca="1">TblConstr[[#This Row],[Land]]</f>
        <v>250</v>
      </c>
      <c r="C74" s="97">
        <f ca="1">TblProd[[#This Row],[Mana]]</f>
        <v>0</v>
      </c>
      <c r="D74" s="164">
        <f ca="1">MIN(1,OFFSET(TblMagic[[#This Row],[Wiz str]],-1,0)+0.04+ROUNDDOWN(10*OFFSET(TblMili[[#This Row],[WG''s]],-1,0),0)+ tech_2_7*OFFSET(TblTech[[#This Row],[2-7]],-1,0) + tech_5_6*OFFSET(TblTech[[#This Row],[5-6]],-1,0) )-TblMagic[[#This Row],[Wiz str cost]]</f>
        <v>1</v>
      </c>
      <c r="E74" s="167">
        <f ca="1">OFFSET(TblMagic[[#This Row],[Time]],-1,0)+1/24</f>
        <v>44813.666666666497</v>
      </c>
      <c r="F74" s="164">
        <f ca="1">TblImps[[#This Row],[Population]]</f>
        <v>1</v>
      </c>
      <c r="G74" s="234"/>
      <c r="H74" s="234"/>
      <c r="I74" s="234"/>
      <c r="J74" s="234"/>
      <c r="K74" s="437"/>
      <c r="L74" s="234"/>
      <c r="M74" s="234"/>
      <c r="N74" s="234"/>
      <c r="O74" s="234"/>
      <c r="P74" s="234"/>
      <c r="Q74" s="234"/>
      <c r="R74" s="234"/>
      <c r="S74" s="234"/>
      <c r="T74" s="234"/>
      <c r="U74" s="234"/>
      <c r="V74" s="234"/>
      <c r="W74" s="150"/>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64">
        <f>SUMIF(TblMagic[[#This Row],[Gaia''s Watch]:[Useless spell]],1)*0.05</f>
        <v>0</v>
      </c>
      <c r="Z74" s="150"/>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Row],[Blizzard]],12,IF(OFFSET(TblMagic[[#This Row],[Active Blizzard]],-1,0)&gt;0,OFFSET(TblMagic[[#This Row],[Active Blizzard]],-1,0)-1,0))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5">
        <f>TblRezone[[#This Row],[Hour]]</f>
        <v>72</v>
      </c>
      <c r="B75" s="162">
        <f ca="1">TblConstr[[#This Row],[Land]]</f>
        <v>250</v>
      </c>
      <c r="C75" s="97">
        <f ca="1">TblProd[[#This Row],[Mana]]</f>
        <v>0</v>
      </c>
      <c r="D75" s="164">
        <f ca="1">MIN(1,OFFSET(TblMagic[[#This Row],[Wiz str]],-1,0)+0.04+ROUNDDOWN(10*OFFSET(TblMili[[#This Row],[WG''s]],-1,0),0)+ tech_2_7*OFFSET(TblTech[[#This Row],[2-7]],-1,0) + tech_5_6*OFFSET(TblTech[[#This Row],[5-6]],-1,0) )-TblMagic[[#This Row],[Wiz str cost]]</f>
        <v>1</v>
      </c>
      <c r="E75" s="167">
        <f ca="1">OFFSET(TblMagic[[#This Row],[Time]],-1,0)+1/24</f>
        <v>44813.708333333161</v>
      </c>
      <c r="F75" s="164">
        <f ca="1">TblImps[[#This Row],[Population]]</f>
        <v>1</v>
      </c>
      <c r="G75" s="234"/>
      <c r="H75" s="234"/>
      <c r="I75" s="234"/>
      <c r="J75" s="234"/>
      <c r="K75" s="437"/>
      <c r="L75" s="234"/>
      <c r="M75" s="234"/>
      <c r="N75" s="234"/>
      <c r="O75" s="234"/>
      <c r="P75" s="234"/>
      <c r="Q75" s="234"/>
      <c r="R75" s="234"/>
      <c r="S75" s="234"/>
      <c r="T75" s="234"/>
      <c r="U75" s="234"/>
      <c r="V75" s="234"/>
      <c r="W75" s="150"/>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64">
        <f>SUMIF(TblMagic[[#This Row],[Gaia''s Watch]:[Useless spell]],1)*0.05</f>
        <v>0</v>
      </c>
      <c r="Z75" s="150"/>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Row],[Blizzard]],12,IF(OFFSET(TblMagic[[#This Row],[Active Blizzard]],-1,0)&gt;0,OFFSET(TblMagic[[#This Row],[Active Blizzard]],-1,0)-1,0))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6" customFormat="1" x14ac:dyDescent="0.2">
      <c r="A76" s="152">
        <f>TblRezone[[#This Row],[Hour]]</f>
        <v>73</v>
      </c>
      <c r="B76" s="170">
        <f ca="1">TblConstr[[#This Row],[Land]]</f>
        <v>250</v>
      </c>
      <c r="C76" s="215">
        <f ca="1">TblProd[[#This Row],[Mana]]</f>
        <v>0</v>
      </c>
      <c r="D76" s="292">
        <f ca="1">MIN(1,OFFSET(TblMagic[[#This Row],[Wiz str]],-1,0)+0.04+ROUNDDOWN(10*OFFSET(TblMili[[#This Row],[WG''s]],-1,0),0)+ tech_2_7*OFFSET(TblTech[[#This Row],[2-7]],-1,0) + tech_5_6*OFFSET(TblTech[[#This Row],[5-6]],-1,0) )-TblMagic[[#This Row],[Wiz str cost]]</f>
        <v>1</v>
      </c>
      <c r="E76" s="222">
        <f ca="1">OFFSET(TblMagic[[#This Row],[Time]],-1,0)+1/24</f>
        <v>44813.749999999825</v>
      </c>
      <c r="F76" s="292">
        <f ca="1">TblImps[[#This Row],[Population]]</f>
        <v>1</v>
      </c>
      <c r="G76" s="251"/>
      <c r="H76" s="251"/>
      <c r="I76" s="251"/>
      <c r="J76" s="251"/>
      <c r="K76" s="438"/>
      <c r="L76" s="251"/>
      <c r="M76" s="251"/>
      <c r="N76" s="251"/>
      <c r="O76" s="251"/>
      <c r="P76" s="251"/>
      <c r="Q76" s="251"/>
      <c r="R76" s="251"/>
      <c r="S76" s="251"/>
      <c r="T76" s="251"/>
      <c r="U76" s="251"/>
      <c r="V76" s="251"/>
      <c r="W76" s="157"/>
      <c r="X76" s="21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92">
        <f>SUMIF(TblMagic[[#This Row],[Gaia''s Watch]:[Useless spell]],1)*0.05</f>
        <v>0</v>
      </c>
      <c r="Z76" s="157"/>
      <c r="AA76" s="217">
        <f ca="1">IF(TblMagic[[#This Row],[Gaia''s Watch]],12,IF(OFFSET(TblMagic[[#This Row],[Active Gaia''s Watch]],-1,0)&gt;0,OFFSET(TblMagic[[#This Row],[Active Gaia''s Watch]],-1,0)-1,0))</f>
        <v>0</v>
      </c>
      <c r="AB76" s="217">
        <f ca="1">IF(TblMagic[[#This Row],[Mining Strength]],12,IF(OFFSET(TblMagic[[#This Row],[Active Mining Strength]],-1,0)&gt;0,OFFSET(TblMagic[[#This Row],[Active Mining Strength]],-1,0)-1,0))</f>
        <v>0</v>
      </c>
      <c r="AC76" s="217">
        <f ca="1">IF(TblMagic[[#This Row],[Ares Call]],12,IF(OFFSET(TblMagic[[#This Row],[Active Ares Call]],-1,0)&gt;0,OFFSET(TblMagic[[#This Row],[Active Ares Call]],-1,0)-1,0))</f>
        <v>0</v>
      </c>
      <c r="AD76" s="217">
        <f ca="1">IF(TblMagic[[#This Row],[Midas Touch]],12,IF(OFFSET(TblMagic[[#This Row],[Active Midas Touch]],-1,0)&gt;0,OFFSET(TblMagic[[#This Row],[Active Midas Touch]],-1,0)-1,0))</f>
        <v>0</v>
      </c>
      <c r="AE76" s="217">
        <f ca="1">IF(TblMagic[[#This Row],[Harmony]],12,IF(OFFSET(TblMagic[[#This Row],[Active Harmony]],-1,0)&gt;0,OFFSET(TblMagic[[#This Row],[Active Harmony]],-1,0)-1,0))</f>
        <v>0</v>
      </c>
      <c r="AF76" s="217">
        <f ca="1">IF(TblMagic[[#This Row],[Miner''s Sight]],12,IF(OFFSET(TblMagic[[#This Row],[Active Miner''s Sight]],-1,0)&gt;0,OFFSET(TblMagic[[#This Row],[Active Miner''s Sight]],-1,0)-1,0))</f>
        <v>0</v>
      </c>
      <c r="AG76" s="217">
        <f ca="1">IF(TblMagic[[#This Row],[Mechanical Genius]],12,IF(OFFSET(TblMagic[[#This Row],[Active Mechanical Genius]],-1,0)&gt;0,OFFSET(TblMagic[[#This Row],[Active Mechanical Genius]],-1,0)-1,0))</f>
        <v>0</v>
      </c>
      <c r="AH76" s="217">
        <f ca="1">IF(TblMagic[[#This Row],[Frenzy]],12,IF(OFFSET(TblMagic[[#This Row],[Active Frenzy]],-1,0)&gt;0,OFFSET(TblMagic[[#This Row],[Active Frenzy]],-1,0)-1,0))</f>
        <v>0</v>
      </c>
      <c r="AI76" s="217">
        <f ca="1">IF(TblMagic[[#This Row],[Killing Rage / Bloodrage / Crusade]],12,IF(OFFSET(TblMagic[[#This Row],[Active Warsong / Killing Rage / Bloodrage]],-1,0)&gt;0,OFFSET(TblMagic[[#This Row],[Active Warsong / Killing Rage / Bloodrage]],-1,0)-1,0))</f>
        <v>0</v>
      </c>
      <c r="AJ76" s="217">
        <f ca="1">IF(TblMagic[[#This Row],[Gaia''s Blessing]],12,IF(OFFSET(TblMagic[[#This Row],[Active Gaia''s Blessing]],-1,0)&gt;0,OFFSET(TblMagic[[#This Row],[Active Gaia''s Blessing]],-1,0)-1,0))</f>
        <v>0</v>
      </c>
      <c r="AK76" s="217">
        <f ca="1">IF(TblMagic[[#This Row],[Howling]],12,IF(OFFSET(TblMagic[[#This Row],[Active Howling]],-1,0)&gt;0,OFFSET(TblMagic[[#This Row],[Active Howling]],-1,0)-1,0))</f>
        <v>0</v>
      </c>
      <c r="AL76" s="217">
        <f ca="1">IF(TblMagic[[#This Row],[Blizzard]],12,IF(OFFSET(TblMagic[[#This Row],[Active Blizzard]],-1,0)&gt;0,OFFSET(TblMagic[[#This Row],[Active Blizzard]],-1,0)-1,0))</f>
        <v>0</v>
      </c>
      <c r="AM76" s="217">
        <f ca="1">IF(TblMagic[[#This Row],[Alchemists Flame]],12,IF(OFFSET(TblMagic[[#This Row],[Active Alchemists Flame]],-1,0)&gt;0,OFFSET(TblMagic[[#This Row],[Active Alchemists Flame]],-1,0)-1,0))</f>
        <v>0</v>
      </c>
      <c r="AN76" s="217">
        <f ca="1">IF(TblMagic[[#This Row],[Nightfall]],12,IF(OFFSET(TblMagic[[#This Row],[Active Nightfall]],-1,0)&gt;0,OFFSET(TblMagic[[#This Row],[Active Nightfall]],-1,0)-1,0))</f>
        <v>0</v>
      </c>
      <c r="AO76" s="217">
        <f ca="1">IF(TblMagic[[#This Row],[Favorable Terrain]],12,IF(OFFSET(TblMagic[[#This Row],[Active Favorable Terrain]],-1,0)&gt;0,OFFSET(TblMagic[[#This Row],[Active Favorable Terrain]],-1,0)-1,0))</f>
        <v>0</v>
      </c>
    </row>
    <row r="77" spans="1:41" x14ac:dyDescent="0.2">
      <c r="A77" s="145">
        <f>TblRezone[[#This Row],[Hour]]</f>
        <v>74</v>
      </c>
      <c r="B77" s="162">
        <f ca="1">TblConstr[[#This Row],[Land]]</f>
        <v>250</v>
      </c>
      <c r="C77" s="97">
        <f ca="1">TblProd[[#This Row],[Mana]]</f>
        <v>0</v>
      </c>
      <c r="D77" s="164">
        <f ca="1">MIN(1,OFFSET(TblMagic[[#This Row],[Wiz str]],-1,0)+0.04+ROUNDDOWN(10*OFFSET(TblMili[[#This Row],[WG''s]],-1,0),0)+ tech_2_7*OFFSET(TblTech[[#This Row],[2-7]],-1,0) + tech_5_6*OFFSET(TblTech[[#This Row],[5-6]],-1,0) )-TblMagic[[#This Row],[Wiz str cost]]</f>
        <v>1</v>
      </c>
      <c r="E77" s="167">
        <f ca="1">OFFSET(TblMagic[[#This Row],[Time]],-1,0)+1/24</f>
        <v>44813.79166666649</v>
      </c>
      <c r="F77" s="164">
        <f ca="1">TblImps[[#This Row],[Population]]</f>
        <v>1</v>
      </c>
      <c r="G77" s="234"/>
      <c r="H77" s="234"/>
      <c r="I77" s="234"/>
      <c r="J77" s="234"/>
      <c r="K77" s="437"/>
      <c r="L77" s="234"/>
      <c r="M77" s="234"/>
      <c r="N77" s="234"/>
      <c r="O77" s="234"/>
      <c r="P77" s="234"/>
      <c r="Q77" s="234"/>
      <c r="R77" s="234"/>
      <c r="S77" s="234"/>
      <c r="T77" s="234"/>
      <c r="U77" s="234"/>
      <c r="V77" s="234"/>
      <c r="W77" s="150"/>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64">
        <f>SUMIF(TblMagic[[#This Row],[Gaia''s Watch]:[Useless spell]],1)*0.05</f>
        <v>0</v>
      </c>
      <c r="Z77" s="150"/>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Row],[Blizzard]],12,IF(OFFSET(TblMagic[[#This Row],[Active Blizzard]],-1,0)&gt;0,OFFSET(TblMagic[[#This Row],[Active Blizzard]],-1,0)-1,0))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5">
        <f>TblRezone[[#This Row],[Hour]]</f>
        <v>75</v>
      </c>
      <c r="B78" s="162">
        <f ca="1">TblConstr[[#This Row],[Land]]</f>
        <v>250</v>
      </c>
      <c r="C78" s="97">
        <f ca="1">TblProd[[#This Row],[Mana]]</f>
        <v>0</v>
      </c>
      <c r="D78" s="164">
        <f ca="1">MIN(1,OFFSET(TblMagic[[#This Row],[Wiz str]],-1,0)+0.04+ROUNDDOWN(10*OFFSET(TblMili[[#This Row],[WG''s]],-1,0),0)+ tech_2_7*OFFSET(TblTech[[#This Row],[2-7]],-1,0) + tech_5_6*OFFSET(TblTech[[#This Row],[5-6]],-1,0) )-TblMagic[[#This Row],[Wiz str cost]]</f>
        <v>1</v>
      </c>
      <c r="E78" s="167">
        <f ca="1">OFFSET(TblMagic[[#This Row],[Time]],-1,0)+1/24</f>
        <v>44813.833333333154</v>
      </c>
      <c r="F78" s="164">
        <f ca="1">TblImps[[#This Row],[Population]]</f>
        <v>1</v>
      </c>
      <c r="G78" s="234"/>
      <c r="H78" s="234"/>
      <c r="I78" s="234"/>
      <c r="J78" s="234"/>
      <c r="K78" s="437"/>
      <c r="L78" s="234"/>
      <c r="M78" s="234"/>
      <c r="N78" s="234"/>
      <c r="O78" s="234"/>
      <c r="P78" s="234"/>
      <c r="Q78" s="234"/>
      <c r="R78" s="234"/>
      <c r="S78" s="234"/>
      <c r="T78" s="234"/>
      <c r="U78" s="234"/>
      <c r="V78" s="234"/>
      <c r="W78" s="150"/>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64">
        <f>SUMIF(TblMagic[[#This Row],[Gaia''s Watch]:[Useless spell]],1)*0.05</f>
        <v>0</v>
      </c>
      <c r="Z78" s="150"/>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Row],[Blizzard]],12,IF(OFFSET(TblMagic[[#This Row],[Active Blizzard]],-1,0)&gt;0,OFFSET(TblMagic[[#This Row],[Active Blizzard]],-1,0)-1,0))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5">
        <f>TblRezone[[#This Row],[Hour]]</f>
        <v>76</v>
      </c>
      <c r="B79" s="162">
        <f ca="1">TblConstr[[#This Row],[Land]]</f>
        <v>250</v>
      </c>
      <c r="C79" s="97">
        <f ca="1">TblProd[[#This Row],[Mana]]</f>
        <v>0</v>
      </c>
      <c r="D79" s="164">
        <f ca="1">MIN(1,OFFSET(TblMagic[[#This Row],[Wiz str]],-1,0)+0.04+ROUNDDOWN(10*OFFSET(TblMili[[#This Row],[WG''s]],-1,0),0)+ tech_2_7*OFFSET(TblTech[[#This Row],[2-7]],-1,0) + tech_5_6*OFFSET(TblTech[[#This Row],[5-6]],-1,0) )-TblMagic[[#This Row],[Wiz str cost]]</f>
        <v>1</v>
      </c>
      <c r="E79" s="167">
        <f ca="1">OFFSET(TblMagic[[#This Row],[Time]],-1,0)+1/24</f>
        <v>44813.874999999818</v>
      </c>
      <c r="F79" s="164">
        <f ca="1">TblImps[[#This Row],[Population]]</f>
        <v>1</v>
      </c>
      <c r="G79" s="234"/>
      <c r="H79" s="234"/>
      <c r="I79" s="234"/>
      <c r="J79" s="234"/>
      <c r="K79" s="437"/>
      <c r="L79" s="234"/>
      <c r="M79" s="234"/>
      <c r="N79" s="234"/>
      <c r="O79" s="234"/>
      <c r="P79" s="234"/>
      <c r="Q79" s="234"/>
      <c r="R79" s="234"/>
      <c r="S79" s="234"/>
      <c r="T79" s="234"/>
      <c r="U79" s="234"/>
      <c r="V79" s="234"/>
      <c r="W79" s="150"/>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64">
        <f>SUMIF(TblMagic[[#This Row],[Gaia''s Watch]:[Useless spell]],1)*0.05</f>
        <v>0</v>
      </c>
      <c r="Z79" s="150"/>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Row],[Blizzard]],12,IF(OFFSET(TblMagic[[#This Row],[Active Blizzard]],-1,0)&gt;0,OFFSET(TblMagic[[#This Row],[Active Blizzard]],-1,0)-1,0))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5">
        <f>TblRezone[[#This Row],[Hour]]</f>
        <v>77</v>
      </c>
      <c r="B80" s="162">
        <f ca="1">TblConstr[[#This Row],[Land]]</f>
        <v>250</v>
      </c>
      <c r="C80" s="97">
        <f ca="1">TblProd[[#This Row],[Mana]]</f>
        <v>0</v>
      </c>
      <c r="D80" s="164">
        <f ca="1">MIN(1,OFFSET(TblMagic[[#This Row],[Wiz str]],-1,0)+0.04+ROUNDDOWN(10*OFFSET(TblMili[[#This Row],[WG''s]],-1,0),0)+ tech_2_7*OFFSET(TblTech[[#This Row],[2-7]],-1,0) + tech_5_6*OFFSET(TblTech[[#This Row],[5-6]],-1,0) )-TblMagic[[#This Row],[Wiz str cost]]</f>
        <v>1</v>
      </c>
      <c r="E80" s="167">
        <f ca="1">OFFSET(TblMagic[[#This Row],[Time]],-1,0)+1/24</f>
        <v>44813.916666666482</v>
      </c>
      <c r="F80" s="164">
        <f ca="1">TblImps[[#This Row],[Population]]</f>
        <v>1</v>
      </c>
      <c r="G80" s="234"/>
      <c r="H80" s="234"/>
      <c r="I80" s="234"/>
      <c r="J80" s="234"/>
      <c r="K80" s="437"/>
      <c r="L80" s="234"/>
      <c r="M80" s="234"/>
      <c r="N80" s="234"/>
      <c r="O80" s="234"/>
      <c r="P80" s="234"/>
      <c r="Q80" s="234"/>
      <c r="R80" s="234"/>
      <c r="S80" s="234"/>
      <c r="T80" s="234"/>
      <c r="U80" s="234"/>
      <c r="V80" s="234"/>
      <c r="W80" s="150"/>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64">
        <f>SUMIF(TblMagic[[#This Row],[Gaia''s Watch]:[Useless spell]],1)*0.05</f>
        <v>0</v>
      </c>
      <c r="Z80" s="150"/>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Row],[Blizzard]],12,IF(OFFSET(TblMagic[[#This Row],[Active Blizzard]],-1,0)&gt;0,OFFSET(TblMagic[[#This Row],[Active Blizzard]],-1,0)-1,0))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5">
        <f>TblRezone[[#This Row],[Hour]]</f>
        <v>78</v>
      </c>
      <c r="B81" s="162">
        <f ca="1">TblConstr[[#This Row],[Land]]</f>
        <v>250</v>
      </c>
      <c r="C81" s="97">
        <f ca="1">TblProd[[#This Row],[Mana]]</f>
        <v>0</v>
      </c>
      <c r="D81" s="164">
        <f ca="1">MIN(1,OFFSET(TblMagic[[#This Row],[Wiz str]],-1,0)+0.04+ROUNDDOWN(10*OFFSET(TblMili[[#This Row],[WG''s]],-1,0),0)+ tech_2_7*OFFSET(TblTech[[#This Row],[2-7]],-1,0) + tech_5_6*OFFSET(TblTech[[#This Row],[5-6]],-1,0) )-TblMagic[[#This Row],[Wiz str cost]]</f>
        <v>1</v>
      </c>
      <c r="E81" s="167">
        <f ca="1">OFFSET(TblMagic[[#This Row],[Time]],-1,0)+1/24</f>
        <v>44813.958333333147</v>
      </c>
      <c r="F81" s="164">
        <f ca="1">TblImps[[#This Row],[Population]]</f>
        <v>1</v>
      </c>
      <c r="G81" s="234"/>
      <c r="H81" s="234"/>
      <c r="I81" s="234"/>
      <c r="J81" s="234"/>
      <c r="K81" s="437"/>
      <c r="L81" s="234"/>
      <c r="M81" s="234"/>
      <c r="N81" s="234"/>
      <c r="O81" s="234"/>
      <c r="P81" s="234"/>
      <c r="Q81" s="234"/>
      <c r="R81" s="234"/>
      <c r="S81" s="234"/>
      <c r="T81" s="234"/>
      <c r="U81" s="234"/>
      <c r="V81" s="234"/>
      <c r="W81" s="150"/>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64">
        <f>SUMIF(TblMagic[[#This Row],[Gaia''s Watch]:[Useless spell]],1)*0.05</f>
        <v>0</v>
      </c>
      <c r="Z81" s="150"/>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Row],[Blizzard]],12,IF(OFFSET(TblMagic[[#This Row],[Active Blizzard]],-1,0)&gt;0,OFFSET(TblMagic[[#This Row],[Active Blizzard]],-1,0)-1,0))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5">
        <f>TblRezone[[#This Row],[Hour]]</f>
        <v>79</v>
      </c>
      <c r="B82" s="162">
        <f ca="1">TblConstr[[#This Row],[Land]]</f>
        <v>250</v>
      </c>
      <c r="C82" s="97">
        <f ca="1">TblProd[[#This Row],[Mana]]</f>
        <v>0</v>
      </c>
      <c r="D82" s="164">
        <f ca="1">MIN(1,OFFSET(TblMagic[[#This Row],[Wiz str]],-1,0)+0.04+ROUNDDOWN(10*OFFSET(TblMili[[#This Row],[WG''s]],-1,0),0)+ tech_2_7*OFFSET(TblTech[[#This Row],[2-7]],-1,0) + tech_5_6*OFFSET(TblTech[[#This Row],[5-6]],-1,0) )-TblMagic[[#This Row],[Wiz str cost]]</f>
        <v>1</v>
      </c>
      <c r="E82" s="167">
        <f ca="1">OFFSET(TblMagic[[#This Row],[Time]],-1,0)+1/24</f>
        <v>44813.999999999811</v>
      </c>
      <c r="F82" s="164">
        <f ca="1">TblImps[[#This Row],[Population]]</f>
        <v>1</v>
      </c>
      <c r="G82" s="234"/>
      <c r="H82" s="234"/>
      <c r="I82" s="234"/>
      <c r="J82" s="234"/>
      <c r="K82" s="437"/>
      <c r="L82" s="234"/>
      <c r="M82" s="234"/>
      <c r="N82" s="234"/>
      <c r="O82" s="234"/>
      <c r="P82" s="234"/>
      <c r="Q82" s="234"/>
      <c r="R82" s="234"/>
      <c r="S82" s="234"/>
      <c r="T82" s="234"/>
      <c r="U82" s="234"/>
      <c r="V82" s="234"/>
      <c r="W82" s="150"/>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64">
        <f>SUMIF(TblMagic[[#This Row],[Gaia''s Watch]:[Useless spell]],1)*0.05</f>
        <v>0</v>
      </c>
      <c r="Z82" s="150"/>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Row],[Blizzard]],12,IF(OFFSET(TblMagic[[#This Row],[Active Blizzard]],-1,0)&gt;0,OFFSET(TblMagic[[#This Row],[Active Blizzard]],-1,0)-1,0))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5">
        <f>TblRezone[[#This Row],[Hour]]</f>
        <v>80</v>
      </c>
      <c r="B83" s="162">
        <f ca="1">TblConstr[[#This Row],[Land]]</f>
        <v>250</v>
      </c>
      <c r="C83" s="97">
        <f ca="1">TblProd[[#This Row],[Mana]]</f>
        <v>0</v>
      </c>
      <c r="D83" s="164">
        <f ca="1">MIN(1,OFFSET(TblMagic[[#This Row],[Wiz str]],-1,0)+0.04+ROUNDDOWN(10*OFFSET(TblMili[[#This Row],[WG''s]],-1,0),0)+ tech_2_7*OFFSET(TblTech[[#This Row],[2-7]],-1,0) + tech_5_6*OFFSET(TblTech[[#This Row],[5-6]],-1,0) )-TblMagic[[#This Row],[Wiz str cost]]</f>
        <v>1</v>
      </c>
      <c r="E83" s="167">
        <f ca="1">OFFSET(TblMagic[[#This Row],[Time]],-1,0)+1/24</f>
        <v>44814.041666666475</v>
      </c>
      <c r="F83" s="164">
        <f ca="1">TblImps[[#This Row],[Population]]</f>
        <v>1</v>
      </c>
      <c r="G83" s="234"/>
      <c r="H83" s="234"/>
      <c r="I83" s="234"/>
      <c r="J83" s="234"/>
      <c r="K83" s="437"/>
      <c r="L83" s="234"/>
      <c r="M83" s="234"/>
      <c r="N83" s="234"/>
      <c r="O83" s="234"/>
      <c r="P83" s="234"/>
      <c r="Q83" s="234"/>
      <c r="R83" s="234"/>
      <c r="S83" s="234"/>
      <c r="T83" s="234"/>
      <c r="U83" s="234"/>
      <c r="V83" s="234"/>
      <c r="W83" s="150"/>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64">
        <f>SUMIF(TblMagic[[#This Row],[Gaia''s Watch]:[Useless spell]],1)*0.05</f>
        <v>0</v>
      </c>
      <c r="Z83" s="150"/>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Row],[Blizzard]],12,IF(OFFSET(TblMagic[[#This Row],[Active Blizzard]],-1,0)&gt;0,OFFSET(TblMagic[[#This Row],[Active Blizzard]],-1,0)-1,0))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5">
        <f>TblRezone[[#This Row],[Hour]]</f>
        <v>81</v>
      </c>
      <c r="B84" s="162">
        <f ca="1">TblConstr[[#This Row],[Land]]</f>
        <v>250</v>
      </c>
      <c r="C84" s="97">
        <f ca="1">TblProd[[#This Row],[Mana]]</f>
        <v>0</v>
      </c>
      <c r="D84" s="164">
        <f ca="1">MIN(1,OFFSET(TblMagic[[#This Row],[Wiz str]],-1,0)+0.04+ROUNDDOWN(10*OFFSET(TblMili[[#This Row],[WG''s]],-1,0),0)+ tech_2_7*OFFSET(TblTech[[#This Row],[2-7]],-1,0) + tech_5_6*OFFSET(TblTech[[#This Row],[5-6]],-1,0) )-TblMagic[[#This Row],[Wiz str cost]]</f>
        <v>1</v>
      </c>
      <c r="E84" s="167">
        <f ca="1">OFFSET(TblMagic[[#This Row],[Time]],-1,0)+1/24</f>
        <v>44814.083333333139</v>
      </c>
      <c r="F84" s="164">
        <f ca="1">TblImps[[#This Row],[Population]]</f>
        <v>1</v>
      </c>
      <c r="G84" s="234"/>
      <c r="H84" s="234"/>
      <c r="I84" s="234"/>
      <c r="J84" s="234"/>
      <c r="K84" s="437"/>
      <c r="L84" s="234"/>
      <c r="M84" s="234"/>
      <c r="N84" s="234"/>
      <c r="O84" s="234"/>
      <c r="P84" s="234"/>
      <c r="Q84" s="234"/>
      <c r="R84" s="234"/>
      <c r="S84" s="234"/>
      <c r="T84" s="234"/>
      <c r="U84" s="234"/>
      <c r="V84" s="234"/>
      <c r="W84" s="150"/>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64">
        <f>SUMIF(TblMagic[[#This Row],[Gaia''s Watch]:[Useless spell]],1)*0.05</f>
        <v>0</v>
      </c>
      <c r="Z84" s="150"/>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Row],[Blizzard]],12,IF(OFFSET(TblMagic[[#This Row],[Active Blizzard]],-1,0)&gt;0,OFFSET(TblMagic[[#This Row],[Active Blizzard]],-1,0)-1,0))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5">
        <f>TblRezone[[#This Row],[Hour]]</f>
        <v>82</v>
      </c>
      <c r="B85" s="162">
        <f ca="1">TblConstr[[#This Row],[Land]]</f>
        <v>250</v>
      </c>
      <c r="C85" s="97">
        <f ca="1">TblProd[[#This Row],[Mana]]</f>
        <v>0</v>
      </c>
      <c r="D85" s="164">
        <f ca="1">MIN(1,OFFSET(TblMagic[[#This Row],[Wiz str]],-1,0)+0.04+ROUNDDOWN(10*OFFSET(TblMili[[#This Row],[WG''s]],-1,0),0)+ tech_2_7*OFFSET(TblTech[[#This Row],[2-7]],-1,0) + tech_5_6*OFFSET(TblTech[[#This Row],[5-6]],-1,0) )-TblMagic[[#This Row],[Wiz str cost]]</f>
        <v>1</v>
      </c>
      <c r="E85" s="167">
        <f ca="1">OFFSET(TblMagic[[#This Row],[Time]],-1,0)+1/24</f>
        <v>44814.124999999804</v>
      </c>
      <c r="F85" s="164">
        <f ca="1">TblImps[[#This Row],[Population]]</f>
        <v>1</v>
      </c>
      <c r="G85" s="234"/>
      <c r="H85" s="234"/>
      <c r="I85" s="234"/>
      <c r="J85" s="234"/>
      <c r="K85" s="437"/>
      <c r="L85" s="234"/>
      <c r="M85" s="234"/>
      <c r="N85" s="234"/>
      <c r="O85" s="234"/>
      <c r="P85" s="234"/>
      <c r="Q85" s="234"/>
      <c r="R85" s="234"/>
      <c r="S85" s="234"/>
      <c r="T85" s="234"/>
      <c r="U85" s="234"/>
      <c r="V85" s="234"/>
      <c r="W85" s="150"/>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64">
        <f>SUMIF(TblMagic[[#This Row],[Gaia''s Watch]:[Useless spell]],1)*0.05</f>
        <v>0</v>
      </c>
      <c r="Z85" s="150"/>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Row],[Blizzard]],12,IF(OFFSET(TblMagic[[#This Row],[Active Blizzard]],-1,0)&gt;0,OFFSET(TblMagic[[#This Row],[Active Blizzard]],-1,0)-1,0))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5">
        <f>TblRezone[[#This Row],[Hour]]</f>
        <v>83</v>
      </c>
      <c r="B86" s="162">
        <f ca="1">TblConstr[[#This Row],[Land]]</f>
        <v>250</v>
      </c>
      <c r="C86" s="97">
        <f ca="1">TblProd[[#This Row],[Mana]]</f>
        <v>0</v>
      </c>
      <c r="D86" s="164">
        <f ca="1">MIN(1,OFFSET(TblMagic[[#This Row],[Wiz str]],-1,0)+0.04+ROUNDDOWN(10*OFFSET(TblMili[[#This Row],[WG''s]],-1,0),0)+ tech_2_7*OFFSET(TblTech[[#This Row],[2-7]],-1,0) + tech_5_6*OFFSET(TblTech[[#This Row],[5-6]],-1,0) )-TblMagic[[#This Row],[Wiz str cost]]</f>
        <v>1</v>
      </c>
      <c r="E86" s="167">
        <f ca="1">OFFSET(TblMagic[[#This Row],[Time]],-1,0)+1/24</f>
        <v>44814.166666666468</v>
      </c>
      <c r="F86" s="164">
        <f ca="1">TblImps[[#This Row],[Population]]</f>
        <v>1</v>
      </c>
      <c r="G86" s="234"/>
      <c r="H86" s="234"/>
      <c r="I86" s="234"/>
      <c r="J86" s="234"/>
      <c r="K86" s="437"/>
      <c r="L86" s="234"/>
      <c r="M86" s="234"/>
      <c r="N86" s="234"/>
      <c r="O86" s="234"/>
      <c r="P86" s="234"/>
      <c r="Q86" s="234"/>
      <c r="R86" s="234"/>
      <c r="S86" s="234"/>
      <c r="T86" s="234"/>
      <c r="U86" s="234"/>
      <c r="V86" s="234"/>
      <c r="W86" s="150"/>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64">
        <f>SUMIF(TblMagic[[#This Row],[Gaia''s Watch]:[Useless spell]],1)*0.05</f>
        <v>0</v>
      </c>
      <c r="Z86" s="150"/>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Row],[Blizzard]],12,IF(OFFSET(TblMagic[[#This Row],[Active Blizzard]],-1,0)&gt;0,OFFSET(TblMagic[[#This Row],[Active Blizzard]],-1,0)-1,0))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5">
        <f>TblRezone[[#This Row],[Hour]]</f>
        <v>84</v>
      </c>
      <c r="B87" s="162">
        <f ca="1">TblConstr[[#This Row],[Land]]</f>
        <v>250</v>
      </c>
      <c r="C87" s="97">
        <f ca="1">TblProd[[#This Row],[Mana]]</f>
        <v>0</v>
      </c>
      <c r="D87" s="164">
        <f ca="1">MIN(1,OFFSET(TblMagic[[#This Row],[Wiz str]],-1,0)+0.04+ROUNDDOWN(10*OFFSET(TblMili[[#This Row],[WG''s]],-1,0),0)+ tech_2_7*OFFSET(TblTech[[#This Row],[2-7]],-1,0) + tech_5_6*OFFSET(TblTech[[#This Row],[5-6]],-1,0) )-TblMagic[[#This Row],[Wiz str cost]]</f>
        <v>1</v>
      </c>
      <c r="E87" s="167">
        <f ca="1">OFFSET(TblMagic[[#This Row],[Time]],-1,0)+1/24</f>
        <v>44814.208333333132</v>
      </c>
      <c r="F87" s="164">
        <f ca="1">TblImps[[#This Row],[Population]]</f>
        <v>1</v>
      </c>
      <c r="G87" s="234"/>
      <c r="H87" s="234"/>
      <c r="I87" s="234"/>
      <c r="J87" s="234"/>
      <c r="K87" s="437"/>
      <c r="L87" s="234"/>
      <c r="M87" s="234"/>
      <c r="N87" s="234"/>
      <c r="O87" s="234"/>
      <c r="P87" s="234"/>
      <c r="Q87" s="234"/>
      <c r="R87" s="234"/>
      <c r="S87" s="234"/>
      <c r="T87" s="234"/>
      <c r="U87" s="234"/>
      <c r="V87" s="234"/>
      <c r="W87" s="150"/>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64">
        <f>SUMIF(TblMagic[[#This Row],[Gaia''s Watch]:[Useless spell]],1)*0.05</f>
        <v>0</v>
      </c>
      <c r="Z87" s="150"/>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Row],[Blizzard]],12,IF(OFFSET(TblMagic[[#This Row],[Active Blizzard]],-1,0)&gt;0,OFFSET(TblMagic[[#This Row],[Active Blizzard]],-1,0)-1,0))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5">
        <f>TblRezone[[#This Row],[Hour]]</f>
        <v>85</v>
      </c>
      <c r="B88" s="162">
        <f ca="1">TblConstr[[#This Row],[Land]]</f>
        <v>250</v>
      </c>
      <c r="C88" s="97">
        <f ca="1">TblProd[[#This Row],[Mana]]</f>
        <v>0</v>
      </c>
      <c r="D88" s="164">
        <f ca="1">MIN(1,OFFSET(TblMagic[[#This Row],[Wiz str]],-1,0)+0.04+ROUNDDOWN(10*OFFSET(TblMili[[#This Row],[WG''s]],-1,0),0)+ tech_2_7*OFFSET(TblTech[[#This Row],[2-7]],-1,0) + tech_5_6*OFFSET(TblTech[[#This Row],[5-6]],-1,0) )-TblMagic[[#This Row],[Wiz str cost]]</f>
        <v>1</v>
      </c>
      <c r="E88" s="167">
        <f ca="1">OFFSET(TblMagic[[#This Row],[Time]],-1,0)+1/24</f>
        <v>44814.249999999796</v>
      </c>
      <c r="F88" s="164">
        <f ca="1">TblImps[[#This Row],[Population]]</f>
        <v>1</v>
      </c>
      <c r="G88" s="234"/>
      <c r="H88" s="234"/>
      <c r="I88" s="234"/>
      <c r="J88" s="234"/>
      <c r="K88" s="437"/>
      <c r="L88" s="234"/>
      <c r="M88" s="234"/>
      <c r="N88" s="234"/>
      <c r="O88" s="234"/>
      <c r="P88" s="234"/>
      <c r="Q88" s="234"/>
      <c r="R88" s="234"/>
      <c r="S88" s="234"/>
      <c r="T88" s="234"/>
      <c r="U88" s="234"/>
      <c r="V88" s="234"/>
      <c r="W88" s="150"/>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64">
        <f>SUMIF(TblMagic[[#This Row],[Gaia''s Watch]:[Useless spell]],1)*0.05</f>
        <v>0</v>
      </c>
      <c r="Z88" s="150"/>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Row],[Blizzard]],12,IF(OFFSET(TblMagic[[#This Row],[Active Blizzard]],-1,0)&gt;0,OFFSET(TblMagic[[#This Row],[Active Blizzard]],-1,0)-1,0))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5">
        <f>TblRezone[[#This Row],[Hour]]</f>
        <v>86</v>
      </c>
      <c r="B89" s="162">
        <f ca="1">TblConstr[[#This Row],[Land]]</f>
        <v>250</v>
      </c>
      <c r="C89" s="97">
        <f ca="1">TblProd[[#This Row],[Mana]]</f>
        <v>0</v>
      </c>
      <c r="D89" s="164">
        <f ca="1">MIN(1,OFFSET(TblMagic[[#This Row],[Wiz str]],-1,0)+0.04+ROUNDDOWN(10*OFFSET(TblMili[[#This Row],[WG''s]],-1,0),0)+ tech_2_7*OFFSET(TblTech[[#This Row],[2-7]],-1,0) + tech_5_6*OFFSET(TblTech[[#This Row],[5-6]],-1,0) )-TblMagic[[#This Row],[Wiz str cost]]</f>
        <v>1</v>
      </c>
      <c r="E89" s="167">
        <f ca="1">OFFSET(TblMagic[[#This Row],[Time]],-1,0)+1/24</f>
        <v>44814.291666666461</v>
      </c>
      <c r="F89" s="164">
        <f ca="1">TblImps[[#This Row],[Population]]</f>
        <v>1</v>
      </c>
      <c r="G89" s="234"/>
      <c r="H89" s="234"/>
      <c r="I89" s="234"/>
      <c r="J89" s="234"/>
      <c r="K89" s="437"/>
      <c r="L89" s="234"/>
      <c r="M89" s="234"/>
      <c r="N89" s="234"/>
      <c r="O89" s="234"/>
      <c r="P89" s="234"/>
      <c r="Q89" s="234"/>
      <c r="R89" s="234"/>
      <c r="S89" s="234"/>
      <c r="T89" s="234"/>
      <c r="U89" s="234"/>
      <c r="V89" s="234"/>
      <c r="W89" s="150"/>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64">
        <f>SUMIF(TblMagic[[#This Row],[Gaia''s Watch]:[Useless spell]],1)*0.05</f>
        <v>0</v>
      </c>
      <c r="Z89" s="150"/>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Row],[Blizzard]],12,IF(OFFSET(TblMagic[[#This Row],[Active Blizzard]],-1,0)&gt;0,OFFSET(TblMagic[[#This Row],[Active Blizzard]],-1,0)-1,0))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5">
        <f>TblRezone[[#This Row],[Hour]]</f>
        <v>87</v>
      </c>
      <c r="B90" s="162">
        <f ca="1">TblConstr[[#This Row],[Land]]</f>
        <v>250</v>
      </c>
      <c r="C90" s="97">
        <f ca="1">TblProd[[#This Row],[Mana]]</f>
        <v>0</v>
      </c>
      <c r="D90" s="164">
        <f ca="1">MIN(1,OFFSET(TblMagic[[#This Row],[Wiz str]],-1,0)+0.04+ROUNDDOWN(10*OFFSET(TblMili[[#This Row],[WG''s]],-1,0),0)+ tech_2_7*OFFSET(TblTech[[#This Row],[2-7]],-1,0) + tech_5_6*OFFSET(TblTech[[#This Row],[5-6]],-1,0) )-TblMagic[[#This Row],[Wiz str cost]]</f>
        <v>1</v>
      </c>
      <c r="E90" s="167">
        <f ca="1">OFFSET(TblMagic[[#This Row],[Time]],-1,0)+1/24</f>
        <v>44814.333333333125</v>
      </c>
      <c r="F90" s="164">
        <f ca="1">TblImps[[#This Row],[Population]]</f>
        <v>1</v>
      </c>
      <c r="G90" s="234"/>
      <c r="H90" s="234"/>
      <c r="I90" s="234"/>
      <c r="J90" s="234"/>
      <c r="K90" s="437"/>
      <c r="L90" s="234"/>
      <c r="M90" s="234"/>
      <c r="N90" s="234"/>
      <c r="O90" s="234"/>
      <c r="P90" s="234"/>
      <c r="Q90" s="234"/>
      <c r="R90" s="234"/>
      <c r="S90" s="234"/>
      <c r="T90" s="234"/>
      <c r="U90" s="234"/>
      <c r="V90" s="234"/>
      <c r="W90" s="150"/>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64">
        <f>SUMIF(TblMagic[[#This Row],[Gaia''s Watch]:[Useless spell]],1)*0.05</f>
        <v>0</v>
      </c>
      <c r="Z90" s="150"/>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Row],[Blizzard]],12,IF(OFFSET(TblMagic[[#This Row],[Active Blizzard]],-1,0)&gt;0,OFFSET(TblMagic[[#This Row],[Active Blizzard]],-1,0)-1,0))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5">
        <f>TblRezone[[#This Row],[Hour]]</f>
        <v>88</v>
      </c>
      <c r="B91" s="162">
        <f ca="1">TblConstr[[#This Row],[Land]]</f>
        <v>250</v>
      </c>
      <c r="C91" s="97">
        <f ca="1">TblProd[[#This Row],[Mana]]</f>
        <v>0</v>
      </c>
      <c r="D91" s="164">
        <f ca="1">MIN(1,OFFSET(TblMagic[[#This Row],[Wiz str]],-1,0)+0.04+ROUNDDOWN(10*OFFSET(TblMili[[#This Row],[WG''s]],-1,0),0)+ tech_2_7*OFFSET(TblTech[[#This Row],[2-7]],-1,0) + tech_5_6*OFFSET(TblTech[[#This Row],[5-6]],-1,0) )-TblMagic[[#This Row],[Wiz str cost]]</f>
        <v>1</v>
      </c>
      <c r="E91" s="167">
        <f ca="1">OFFSET(TblMagic[[#This Row],[Time]],-1,0)+1/24</f>
        <v>44814.374999999789</v>
      </c>
      <c r="F91" s="164">
        <f ca="1">TblImps[[#This Row],[Population]]</f>
        <v>1</v>
      </c>
      <c r="G91" s="234"/>
      <c r="H91" s="234"/>
      <c r="I91" s="234"/>
      <c r="J91" s="234"/>
      <c r="K91" s="437"/>
      <c r="L91" s="234"/>
      <c r="M91" s="234"/>
      <c r="N91" s="234"/>
      <c r="O91" s="234"/>
      <c r="P91" s="234"/>
      <c r="Q91" s="234"/>
      <c r="R91" s="234"/>
      <c r="S91" s="234"/>
      <c r="T91" s="234"/>
      <c r="U91" s="234"/>
      <c r="V91" s="234"/>
      <c r="W91" s="150"/>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64">
        <f>SUMIF(TblMagic[[#This Row],[Gaia''s Watch]:[Useless spell]],1)*0.05</f>
        <v>0</v>
      </c>
      <c r="Z91" s="150"/>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Row],[Blizzard]],12,IF(OFFSET(TblMagic[[#This Row],[Active Blizzard]],-1,0)&gt;0,OFFSET(TblMagic[[#This Row],[Active Blizzard]],-1,0)-1,0))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5">
        <f>TblRezone[[#This Row],[Hour]]</f>
        <v>89</v>
      </c>
      <c r="B92" s="162">
        <f ca="1">TblConstr[[#This Row],[Land]]</f>
        <v>250</v>
      </c>
      <c r="C92" s="97">
        <f ca="1">TblProd[[#This Row],[Mana]]</f>
        <v>0</v>
      </c>
      <c r="D92" s="164">
        <f ca="1">MIN(1,OFFSET(TblMagic[[#This Row],[Wiz str]],-1,0)+0.04+ROUNDDOWN(10*OFFSET(TblMili[[#This Row],[WG''s]],-1,0),0)+ tech_2_7*OFFSET(TblTech[[#This Row],[2-7]],-1,0) + tech_5_6*OFFSET(TblTech[[#This Row],[5-6]],-1,0) )-TblMagic[[#This Row],[Wiz str cost]]</f>
        <v>1</v>
      </c>
      <c r="E92" s="167">
        <f ca="1">OFFSET(TblMagic[[#This Row],[Time]],-1,0)+1/24</f>
        <v>44814.416666666453</v>
      </c>
      <c r="F92" s="164">
        <f ca="1">TblImps[[#This Row],[Population]]</f>
        <v>1</v>
      </c>
      <c r="G92" s="234"/>
      <c r="H92" s="234"/>
      <c r="I92" s="234"/>
      <c r="J92" s="234"/>
      <c r="K92" s="437"/>
      <c r="L92" s="234"/>
      <c r="M92" s="234"/>
      <c r="N92" s="234"/>
      <c r="O92" s="234"/>
      <c r="P92" s="234"/>
      <c r="Q92" s="234"/>
      <c r="R92" s="234"/>
      <c r="S92" s="234"/>
      <c r="T92" s="234"/>
      <c r="U92" s="234"/>
      <c r="V92" s="234"/>
      <c r="W92" s="150"/>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64">
        <f>SUMIF(TblMagic[[#This Row],[Gaia''s Watch]:[Useless spell]],1)*0.05</f>
        <v>0</v>
      </c>
      <c r="Z92" s="150"/>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Row],[Blizzard]],12,IF(OFFSET(TblMagic[[#This Row],[Active Blizzard]],-1,0)&gt;0,OFFSET(TblMagic[[#This Row],[Active Blizzard]],-1,0)-1,0))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5">
        <f>TblRezone[[#This Row],[Hour]]</f>
        <v>90</v>
      </c>
      <c r="B93" s="162">
        <f ca="1">TblConstr[[#This Row],[Land]]</f>
        <v>250</v>
      </c>
      <c r="C93" s="97">
        <f ca="1">TblProd[[#This Row],[Mana]]</f>
        <v>0</v>
      </c>
      <c r="D93" s="164">
        <f ca="1">MIN(1,OFFSET(TblMagic[[#This Row],[Wiz str]],-1,0)+0.04+ROUNDDOWN(10*OFFSET(TblMili[[#This Row],[WG''s]],-1,0),0)+ tech_2_7*OFFSET(TblTech[[#This Row],[2-7]],-1,0) + tech_5_6*OFFSET(TblTech[[#This Row],[5-6]],-1,0) )-TblMagic[[#This Row],[Wiz str cost]]</f>
        <v>1</v>
      </c>
      <c r="E93" s="167">
        <f ca="1">OFFSET(TblMagic[[#This Row],[Time]],-1,0)+1/24</f>
        <v>44814.458333333117</v>
      </c>
      <c r="F93" s="164">
        <f ca="1">TblImps[[#This Row],[Population]]</f>
        <v>1</v>
      </c>
      <c r="G93" s="234"/>
      <c r="H93" s="234"/>
      <c r="I93" s="234"/>
      <c r="J93" s="234"/>
      <c r="K93" s="437"/>
      <c r="L93" s="234"/>
      <c r="M93" s="234"/>
      <c r="N93" s="234"/>
      <c r="O93" s="234"/>
      <c r="P93" s="234"/>
      <c r="Q93" s="234"/>
      <c r="R93" s="234"/>
      <c r="S93" s="234"/>
      <c r="T93" s="234"/>
      <c r="U93" s="234"/>
      <c r="V93" s="234"/>
      <c r="W93" s="150"/>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64">
        <f>SUMIF(TblMagic[[#This Row],[Gaia''s Watch]:[Useless spell]],1)*0.05</f>
        <v>0</v>
      </c>
      <c r="Z93" s="150"/>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Row],[Blizzard]],12,IF(OFFSET(TblMagic[[#This Row],[Active Blizzard]],-1,0)&gt;0,OFFSET(TblMagic[[#This Row],[Active Blizzard]],-1,0)-1,0))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5">
        <f>TblRezone[[#This Row],[Hour]]</f>
        <v>91</v>
      </c>
      <c r="B94" s="162">
        <f ca="1">TblConstr[[#This Row],[Land]]</f>
        <v>250</v>
      </c>
      <c r="C94" s="97">
        <f ca="1">TblProd[[#This Row],[Mana]]</f>
        <v>0</v>
      </c>
      <c r="D94" s="164">
        <f ca="1">MIN(1,OFFSET(TblMagic[[#This Row],[Wiz str]],-1,0)+0.04+ROUNDDOWN(10*OFFSET(TblMili[[#This Row],[WG''s]],-1,0),0)+ tech_2_7*OFFSET(TblTech[[#This Row],[2-7]],-1,0) + tech_5_6*OFFSET(TblTech[[#This Row],[5-6]],-1,0) )-TblMagic[[#This Row],[Wiz str cost]]</f>
        <v>1</v>
      </c>
      <c r="E94" s="167">
        <f ca="1">OFFSET(TblMagic[[#This Row],[Time]],-1,0)+1/24</f>
        <v>44814.499999999782</v>
      </c>
      <c r="F94" s="164">
        <f ca="1">TblImps[[#This Row],[Population]]</f>
        <v>1</v>
      </c>
      <c r="G94" s="234"/>
      <c r="H94" s="234"/>
      <c r="I94" s="234"/>
      <c r="J94" s="234"/>
      <c r="K94" s="437"/>
      <c r="L94" s="234"/>
      <c r="M94" s="234"/>
      <c r="N94" s="234"/>
      <c r="O94" s="234"/>
      <c r="P94" s="234"/>
      <c r="Q94" s="234"/>
      <c r="R94" s="234"/>
      <c r="S94" s="234"/>
      <c r="T94" s="234"/>
      <c r="U94" s="234"/>
      <c r="V94" s="234"/>
      <c r="W94" s="150"/>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64">
        <f>SUMIF(TblMagic[[#This Row],[Gaia''s Watch]:[Useless spell]],1)*0.05</f>
        <v>0</v>
      </c>
      <c r="Z94" s="150"/>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Row],[Blizzard]],12,IF(OFFSET(TblMagic[[#This Row],[Active Blizzard]],-1,0)&gt;0,OFFSET(TblMagic[[#This Row],[Active Blizzard]],-1,0)-1,0))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5">
        <f>TblRezone[[#This Row],[Hour]]</f>
        <v>92</v>
      </c>
      <c r="B95" s="162">
        <f ca="1">TblConstr[[#This Row],[Land]]</f>
        <v>250</v>
      </c>
      <c r="C95" s="97">
        <f ca="1">TblProd[[#This Row],[Mana]]</f>
        <v>0</v>
      </c>
      <c r="D95" s="164">
        <f ca="1">MIN(1,OFFSET(TblMagic[[#This Row],[Wiz str]],-1,0)+0.04+ROUNDDOWN(10*OFFSET(TblMili[[#This Row],[WG''s]],-1,0),0)+ tech_2_7*OFFSET(TblTech[[#This Row],[2-7]],-1,0) + tech_5_6*OFFSET(TblTech[[#This Row],[5-6]],-1,0) )-TblMagic[[#This Row],[Wiz str cost]]</f>
        <v>1</v>
      </c>
      <c r="E95" s="167">
        <f ca="1">OFFSET(TblMagic[[#This Row],[Time]],-1,0)+1/24</f>
        <v>44814.541666666446</v>
      </c>
      <c r="F95" s="164">
        <f ca="1">TblImps[[#This Row],[Population]]</f>
        <v>1</v>
      </c>
      <c r="G95" s="234"/>
      <c r="H95" s="234"/>
      <c r="I95" s="234"/>
      <c r="J95" s="234"/>
      <c r="K95" s="437"/>
      <c r="L95" s="234"/>
      <c r="M95" s="234"/>
      <c r="N95" s="234"/>
      <c r="O95" s="234"/>
      <c r="P95" s="234"/>
      <c r="Q95" s="234"/>
      <c r="R95" s="234"/>
      <c r="S95" s="234"/>
      <c r="T95" s="234"/>
      <c r="U95" s="234"/>
      <c r="V95" s="234"/>
      <c r="W95" s="150"/>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64">
        <f>SUMIF(TblMagic[[#This Row],[Gaia''s Watch]:[Useless spell]],1)*0.05</f>
        <v>0</v>
      </c>
      <c r="Z95" s="150"/>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Row],[Blizzard]],12,IF(OFFSET(TblMagic[[#This Row],[Active Blizzard]],-1,0)&gt;0,OFFSET(TblMagic[[#This Row],[Active Blizzard]],-1,0)-1,0))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5">
        <f>TblRezone[[#This Row],[Hour]]</f>
        <v>93</v>
      </c>
      <c r="B96" s="162">
        <f ca="1">TblConstr[[#This Row],[Land]]</f>
        <v>250</v>
      </c>
      <c r="C96" s="97">
        <f ca="1">TblProd[[#This Row],[Mana]]</f>
        <v>0</v>
      </c>
      <c r="D96" s="164">
        <f ca="1">MIN(1,OFFSET(TblMagic[[#This Row],[Wiz str]],-1,0)+0.04+ROUNDDOWN(10*OFFSET(TblMili[[#This Row],[WG''s]],-1,0),0)+ tech_2_7*OFFSET(TblTech[[#This Row],[2-7]],-1,0) + tech_5_6*OFFSET(TblTech[[#This Row],[5-6]],-1,0) )-TblMagic[[#This Row],[Wiz str cost]]</f>
        <v>1</v>
      </c>
      <c r="E96" s="167">
        <f ca="1">OFFSET(TblMagic[[#This Row],[Time]],-1,0)+1/24</f>
        <v>44814.58333333311</v>
      </c>
      <c r="F96" s="164">
        <f ca="1">TblImps[[#This Row],[Population]]</f>
        <v>1</v>
      </c>
      <c r="G96" s="234"/>
      <c r="H96" s="234"/>
      <c r="I96" s="234"/>
      <c r="J96" s="234"/>
      <c r="K96" s="437"/>
      <c r="L96" s="234"/>
      <c r="M96" s="234"/>
      <c r="N96" s="234"/>
      <c r="O96" s="234"/>
      <c r="P96" s="234"/>
      <c r="Q96" s="234"/>
      <c r="R96" s="234"/>
      <c r="S96" s="234"/>
      <c r="T96" s="234"/>
      <c r="U96" s="234"/>
      <c r="V96" s="234"/>
      <c r="W96" s="150"/>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64">
        <f>SUMIF(TblMagic[[#This Row],[Gaia''s Watch]:[Useless spell]],1)*0.05</f>
        <v>0</v>
      </c>
      <c r="Z96" s="150"/>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Row],[Blizzard]],12,IF(OFFSET(TblMagic[[#This Row],[Active Blizzard]],-1,0)&gt;0,OFFSET(TblMagic[[#This Row],[Active Blizzard]],-1,0)-1,0))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5">
        <f>TblRezone[[#This Row],[Hour]]</f>
        <v>94</v>
      </c>
      <c r="B97" s="162">
        <f ca="1">TblConstr[[#This Row],[Land]]</f>
        <v>250</v>
      </c>
      <c r="C97" s="97">
        <f ca="1">TblProd[[#This Row],[Mana]]</f>
        <v>0</v>
      </c>
      <c r="D97" s="164">
        <f ca="1">MIN(1,OFFSET(TblMagic[[#This Row],[Wiz str]],-1,0)+0.04+ROUNDDOWN(10*OFFSET(TblMili[[#This Row],[WG''s]],-1,0),0)+ tech_2_7*OFFSET(TblTech[[#This Row],[2-7]],-1,0) + tech_5_6*OFFSET(TblTech[[#This Row],[5-6]],-1,0) )-TblMagic[[#This Row],[Wiz str cost]]</f>
        <v>1</v>
      </c>
      <c r="E97" s="167">
        <f ca="1">OFFSET(TblMagic[[#This Row],[Time]],-1,0)+1/24</f>
        <v>44814.624999999774</v>
      </c>
      <c r="F97" s="164">
        <f ca="1">TblImps[[#This Row],[Population]]</f>
        <v>1</v>
      </c>
      <c r="G97" s="234"/>
      <c r="H97" s="234"/>
      <c r="I97" s="234"/>
      <c r="J97" s="234"/>
      <c r="K97" s="437"/>
      <c r="L97" s="234"/>
      <c r="M97" s="234"/>
      <c r="N97" s="234"/>
      <c r="O97" s="234"/>
      <c r="P97" s="234"/>
      <c r="Q97" s="234"/>
      <c r="R97" s="234"/>
      <c r="S97" s="234"/>
      <c r="T97" s="234"/>
      <c r="U97" s="234"/>
      <c r="V97" s="234"/>
      <c r="W97" s="150"/>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64">
        <f>SUMIF(TblMagic[[#This Row],[Gaia''s Watch]:[Useless spell]],1)*0.05</f>
        <v>0</v>
      </c>
      <c r="Z97" s="150"/>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Row],[Blizzard]],12,IF(OFFSET(TblMagic[[#This Row],[Active Blizzard]],-1,0)&gt;0,OFFSET(TblMagic[[#This Row],[Active Blizzard]],-1,0)-1,0))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5">
        <f>TblRezone[[#This Row],[Hour]]</f>
        <v>95</v>
      </c>
      <c r="B98" s="162">
        <f ca="1">TblConstr[[#This Row],[Land]]</f>
        <v>250</v>
      </c>
      <c r="C98" s="97">
        <f ca="1">TblProd[[#This Row],[Mana]]</f>
        <v>0</v>
      </c>
      <c r="D98" s="164">
        <f ca="1">MIN(1,OFFSET(TblMagic[[#This Row],[Wiz str]],-1,0)+0.04+ROUNDDOWN(10*OFFSET(TblMili[[#This Row],[WG''s]],-1,0),0)+ tech_2_7*OFFSET(TblTech[[#This Row],[2-7]],-1,0) + tech_5_6*OFFSET(TblTech[[#This Row],[5-6]],-1,0) )-TblMagic[[#This Row],[Wiz str cost]]</f>
        <v>1</v>
      </c>
      <c r="E98" s="167">
        <f ca="1">OFFSET(TblMagic[[#This Row],[Time]],-1,0)+1/24</f>
        <v>44814.666666666439</v>
      </c>
      <c r="F98" s="164">
        <f ca="1">TblImps[[#This Row],[Population]]</f>
        <v>1</v>
      </c>
      <c r="G98" s="234"/>
      <c r="H98" s="234"/>
      <c r="I98" s="234"/>
      <c r="J98" s="234"/>
      <c r="K98" s="437"/>
      <c r="L98" s="234"/>
      <c r="M98" s="234"/>
      <c r="N98" s="234"/>
      <c r="O98" s="234"/>
      <c r="P98" s="234"/>
      <c r="Q98" s="234"/>
      <c r="R98" s="234"/>
      <c r="S98" s="234"/>
      <c r="T98" s="234"/>
      <c r="U98" s="234"/>
      <c r="V98" s="234"/>
      <c r="W98" s="150"/>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64">
        <f>SUMIF(TblMagic[[#This Row],[Gaia''s Watch]:[Useless spell]],1)*0.05</f>
        <v>0</v>
      </c>
      <c r="Z98" s="150"/>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Row],[Blizzard]],12,IF(OFFSET(TblMagic[[#This Row],[Active Blizzard]],-1,0)&gt;0,OFFSET(TblMagic[[#This Row],[Active Blizzard]],-1,0)-1,0))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5">
        <f>TblRezone[[#This Row],[Hour]]</f>
        <v>96</v>
      </c>
      <c r="B99" s="162">
        <f ca="1">TblConstr[[#This Row],[Land]]</f>
        <v>250</v>
      </c>
      <c r="C99" s="97">
        <f ca="1">TblProd[[#This Row],[Mana]]</f>
        <v>0</v>
      </c>
      <c r="D99" s="164">
        <f ca="1">MIN(1,OFFSET(TblMagic[[#This Row],[Wiz str]],-1,0)+0.04+ROUNDDOWN(10*OFFSET(TblMili[[#This Row],[WG''s]],-1,0),0)+ tech_2_7*OFFSET(TblTech[[#This Row],[2-7]],-1,0) + tech_5_6*OFFSET(TblTech[[#This Row],[5-6]],-1,0) )-TblMagic[[#This Row],[Wiz str cost]]</f>
        <v>1</v>
      </c>
      <c r="E99" s="167">
        <f ca="1">OFFSET(TblMagic[[#This Row],[Time]],-1,0)+1/24</f>
        <v>44814.708333333103</v>
      </c>
      <c r="F99" s="164">
        <f ca="1">TblImps[[#This Row],[Population]]</f>
        <v>1</v>
      </c>
      <c r="G99" s="234"/>
      <c r="H99" s="234"/>
      <c r="I99" s="234"/>
      <c r="J99" s="234"/>
      <c r="K99" s="437"/>
      <c r="L99" s="234"/>
      <c r="M99" s="234"/>
      <c r="N99" s="234"/>
      <c r="O99" s="234"/>
      <c r="P99" s="234"/>
      <c r="Q99" s="234"/>
      <c r="R99" s="234"/>
      <c r="S99" s="234"/>
      <c r="T99" s="234"/>
      <c r="U99" s="234"/>
      <c r="V99" s="234"/>
      <c r="W99" s="150"/>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64">
        <f>SUMIF(TblMagic[[#This Row],[Gaia''s Watch]:[Useless spell]],1)*0.05</f>
        <v>0</v>
      </c>
      <c r="Z99" s="150"/>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Row],[Blizzard]],12,IF(OFFSET(TblMagic[[#This Row],[Active Blizzard]],-1,0)&gt;0,OFFSET(TblMagic[[#This Row],[Active Blizzard]],-1,0)-1,0))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5">
        <f>TblRezone[[#This Row],[Hour]]</f>
        <v>97</v>
      </c>
      <c r="B100" s="162">
        <f ca="1">TblConstr[[#This Row],[Land]]</f>
        <v>250</v>
      </c>
      <c r="C100" s="97">
        <f ca="1">TblProd[[#This Row],[Mana]]</f>
        <v>0</v>
      </c>
      <c r="D100" s="164">
        <f ca="1">MIN(1,OFFSET(TblMagic[[#This Row],[Wiz str]],-1,0)+0.04+ROUNDDOWN(10*OFFSET(TblMili[[#This Row],[WG''s]],-1,0),0)+ tech_2_7*OFFSET(TblTech[[#This Row],[2-7]],-1,0) + tech_5_6*OFFSET(TblTech[[#This Row],[5-6]],-1,0) )-TblMagic[[#This Row],[Wiz str cost]]</f>
        <v>1</v>
      </c>
      <c r="E100" s="167">
        <f ca="1">OFFSET(TblMagic[[#This Row],[Time]],-1,0)+1/24</f>
        <v>44814.749999999767</v>
      </c>
      <c r="F100" s="164">
        <f ca="1">TblImps[[#This Row],[Population]]</f>
        <v>1</v>
      </c>
      <c r="G100" s="234"/>
      <c r="H100" s="234"/>
      <c r="I100" s="234"/>
      <c r="J100" s="234"/>
      <c r="K100" s="437"/>
      <c r="L100" s="234"/>
      <c r="M100" s="234"/>
      <c r="N100" s="234"/>
      <c r="O100" s="234"/>
      <c r="P100" s="234"/>
      <c r="Q100" s="234"/>
      <c r="R100" s="234"/>
      <c r="S100" s="234"/>
      <c r="T100" s="234"/>
      <c r="U100" s="234"/>
      <c r="V100" s="234"/>
      <c r="W100" s="150"/>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64">
        <f>SUMIF(TblMagic[[#This Row],[Gaia''s Watch]:[Useless spell]],1)*0.05</f>
        <v>0</v>
      </c>
      <c r="Z100" s="150"/>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Row],[Blizzard]],12,IF(OFFSET(TblMagic[[#This Row],[Active Blizzard]],-1,0)&gt;0,OFFSET(TblMagic[[#This Row],[Active Blizzard]],-1,0)-1,0))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5">
        <f>TblRezone[[#This Row],[Hour]]</f>
        <v>98</v>
      </c>
      <c r="B101" s="162">
        <f ca="1">TblConstr[[#This Row],[Land]]</f>
        <v>250</v>
      </c>
      <c r="C101" s="97">
        <f ca="1">TblProd[[#This Row],[Mana]]</f>
        <v>0</v>
      </c>
      <c r="D101" s="164">
        <f ca="1">MIN(1,OFFSET(TblMagic[[#This Row],[Wiz str]],-1,0)+0.04+ROUNDDOWN(10*OFFSET(TblMili[[#This Row],[WG''s]],-1,0),0)+ tech_2_7*OFFSET(TblTech[[#This Row],[2-7]],-1,0) + tech_5_6*OFFSET(TblTech[[#This Row],[5-6]],-1,0) )-TblMagic[[#This Row],[Wiz str cost]]</f>
        <v>1</v>
      </c>
      <c r="E101" s="167">
        <f ca="1">OFFSET(TblMagic[[#This Row],[Time]],-1,0)+1/24</f>
        <v>44814.791666666431</v>
      </c>
      <c r="F101" s="164">
        <f ca="1">TblImps[[#This Row],[Population]]</f>
        <v>1</v>
      </c>
      <c r="G101" s="234"/>
      <c r="H101" s="234"/>
      <c r="I101" s="234"/>
      <c r="J101" s="234"/>
      <c r="K101" s="437"/>
      <c r="L101" s="234"/>
      <c r="M101" s="234"/>
      <c r="N101" s="234"/>
      <c r="O101" s="234"/>
      <c r="P101" s="234"/>
      <c r="Q101" s="234"/>
      <c r="R101" s="234"/>
      <c r="S101" s="234"/>
      <c r="T101" s="234"/>
      <c r="U101" s="234"/>
      <c r="V101" s="234"/>
      <c r="W101" s="150"/>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64">
        <f>SUMIF(TblMagic[[#This Row],[Gaia''s Watch]:[Useless spell]],1)*0.05</f>
        <v>0</v>
      </c>
      <c r="Z101" s="150"/>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Row],[Blizzard]],12,IF(OFFSET(TblMagic[[#This Row],[Active Blizzard]],-1,0)&gt;0,OFFSET(TblMagic[[#This Row],[Active Blizzard]],-1,0)-1,0))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5">
        <f>TblRezone[[#This Row],[Hour]]</f>
        <v>99</v>
      </c>
      <c r="B102" s="162">
        <f ca="1">TblConstr[[#This Row],[Land]]</f>
        <v>250</v>
      </c>
      <c r="C102" s="97">
        <f ca="1">TblProd[[#This Row],[Mana]]</f>
        <v>0</v>
      </c>
      <c r="D102" s="164">
        <f ca="1">MIN(1,OFFSET(TblMagic[[#This Row],[Wiz str]],-1,0)+0.04+ROUNDDOWN(10*OFFSET(TblMili[[#This Row],[WG''s]],-1,0),0)+ tech_2_7*OFFSET(TblTech[[#This Row],[2-7]],-1,0) + tech_5_6*OFFSET(TblTech[[#This Row],[5-6]],-1,0) )-TblMagic[[#This Row],[Wiz str cost]]</f>
        <v>1</v>
      </c>
      <c r="E102" s="167">
        <f ca="1">OFFSET(TblMagic[[#This Row],[Time]],-1,0)+1/24</f>
        <v>44814.833333333096</v>
      </c>
      <c r="F102" s="164">
        <f ca="1">TblImps[[#This Row],[Population]]</f>
        <v>1</v>
      </c>
      <c r="G102" s="234"/>
      <c r="H102" s="234"/>
      <c r="I102" s="234"/>
      <c r="J102" s="234"/>
      <c r="K102" s="437"/>
      <c r="L102" s="234"/>
      <c r="M102" s="234"/>
      <c r="N102" s="234"/>
      <c r="O102" s="234"/>
      <c r="P102" s="234"/>
      <c r="Q102" s="234"/>
      <c r="R102" s="234"/>
      <c r="S102" s="234"/>
      <c r="T102" s="234"/>
      <c r="U102" s="234"/>
      <c r="V102" s="234"/>
      <c r="W102" s="150"/>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64">
        <f>SUMIF(TblMagic[[#This Row],[Gaia''s Watch]:[Useless spell]],1)*0.05</f>
        <v>0</v>
      </c>
      <c r="Z102" s="150"/>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Row],[Blizzard]],12,IF(OFFSET(TblMagic[[#This Row],[Active Blizzard]],-1,0)&gt;0,OFFSET(TblMagic[[#This Row],[Active Blizzard]],-1,0)-1,0))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5">
        <f>TblRezone[[#This Row],[Hour]]</f>
        <v>100</v>
      </c>
      <c r="B103" s="162">
        <f ca="1">TblConstr[[#This Row],[Land]]</f>
        <v>250</v>
      </c>
      <c r="C103" s="97">
        <f ca="1">TblProd[[#This Row],[Mana]]</f>
        <v>0</v>
      </c>
      <c r="D103" s="164">
        <f ca="1">MIN(1,OFFSET(TblMagic[[#This Row],[Wiz str]],-1,0)+0.04+ROUNDDOWN(10*OFFSET(TblMili[[#This Row],[WG''s]],-1,0),0)+ tech_2_7*OFFSET(TblTech[[#This Row],[2-7]],-1,0) + tech_5_6*OFFSET(TblTech[[#This Row],[5-6]],-1,0) )-TblMagic[[#This Row],[Wiz str cost]]</f>
        <v>1</v>
      </c>
      <c r="E103" s="167">
        <f ca="1">OFFSET(TblMagic[[#This Row],[Time]],-1,0)+1/24</f>
        <v>44814.87499999976</v>
      </c>
      <c r="F103" s="164">
        <f ca="1">TblImps[[#This Row],[Population]]</f>
        <v>1</v>
      </c>
      <c r="G103" s="234"/>
      <c r="H103" s="234"/>
      <c r="I103" s="234"/>
      <c r="J103" s="234"/>
      <c r="K103" s="437"/>
      <c r="L103" s="234"/>
      <c r="M103" s="234"/>
      <c r="N103" s="234"/>
      <c r="O103" s="234"/>
      <c r="P103" s="234"/>
      <c r="Q103" s="234"/>
      <c r="R103" s="234"/>
      <c r="S103" s="234"/>
      <c r="T103" s="234"/>
      <c r="U103" s="234"/>
      <c r="V103" s="234"/>
      <c r="W103" s="150"/>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64">
        <f>SUMIF(TblMagic[[#This Row],[Gaia''s Watch]:[Useless spell]],1)*0.05</f>
        <v>0</v>
      </c>
      <c r="Z103" s="150"/>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Row],[Blizzard]],12,IF(OFFSET(TblMagic[[#This Row],[Active Blizzard]],-1,0)&gt;0,OFFSET(TblMagic[[#This Row],[Active Blizzard]],-1,0)-1,0))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5">
        <f>TblRezone[[#This Row],[Hour]]</f>
        <v>101</v>
      </c>
      <c r="B104" s="162">
        <f ca="1">TblConstr[[#This Row],[Land]]</f>
        <v>250</v>
      </c>
      <c r="C104" s="97">
        <f ca="1">TblProd[[#This Row],[Mana]]</f>
        <v>0</v>
      </c>
      <c r="D104" s="164">
        <f ca="1">MIN(1,OFFSET(TblMagic[[#This Row],[Wiz str]],-1,0)+0.04+ROUNDDOWN(10*OFFSET(TblMili[[#This Row],[WG''s]],-1,0),0)+ tech_2_7*OFFSET(TblTech[[#This Row],[2-7]],-1,0) + tech_5_6*OFFSET(TblTech[[#This Row],[5-6]],-1,0) )-TblMagic[[#This Row],[Wiz str cost]]</f>
        <v>1</v>
      </c>
      <c r="E104" s="167">
        <f ca="1">OFFSET(TblMagic[[#This Row],[Time]],-1,0)+1/24</f>
        <v>44814.916666666424</v>
      </c>
      <c r="F104" s="164">
        <f ca="1">TblImps[[#This Row],[Population]]</f>
        <v>1</v>
      </c>
      <c r="G104" s="234"/>
      <c r="H104" s="234"/>
      <c r="I104" s="234"/>
      <c r="J104" s="234"/>
      <c r="K104" s="437"/>
      <c r="L104" s="234"/>
      <c r="M104" s="234"/>
      <c r="N104" s="234"/>
      <c r="O104" s="234"/>
      <c r="P104" s="234"/>
      <c r="Q104" s="234"/>
      <c r="R104" s="234"/>
      <c r="S104" s="234"/>
      <c r="T104" s="234"/>
      <c r="U104" s="234"/>
      <c r="V104" s="234"/>
      <c r="W104" s="150"/>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64">
        <f>SUMIF(TblMagic[[#This Row],[Gaia''s Watch]:[Useless spell]],1)*0.05</f>
        <v>0</v>
      </c>
      <c r="Z104" s="150"/>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Row],[Blizzard]],12,IF(OFFSET(TblMagic[[#This Row],[Active Blizzard]],-1,0)&gt;0,OFFSET(TblMagic[[#This Row],[Active Blizzard]],-1,0)-1,0))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5">
        <f>TblRezone[[#This Row],[Hour]]</f>
        <v>102</v>
      </c>
      <c r="B105" s="162">
        <f ca="1">TblConstr[[#This Row],[Land]]</f>
        <v>250</v>
      </c>
      <c r="C105" s="97">
        <f ca="1">TblProd[[#This Row],[Mana]]</f>
        <v>0</v>
      </c>
      <c r="D105" s="164">
        <f ca="1">MIN(1,OFFSET(TblMagic[[#This Row],[Wiz str]],-1,0)+0.04+ROUNDDOWN(10*OFFSET(TblMili[[#This Row],[WG''s]],-1,0),0)+ tech_2_7*OFFSET(TblTech[[#This Row],[2-7]],-1,0) + tech_5_6*OFFSET(TblTech[[#This Row],[5-6]],-1,0) )-TblMagic[[#This Row],[Wiz str cost]]</f>
        <v>1</v>
      </c>
      <c r="E105" s="167">
        <f ca="1">OFFSET(TblMagic[[#This Row],[Time]],-1,0)+1/24</f>
        <v>44814.958333333088</v>
      </c>
      <c r="F105" s="164">
        <f ca="1">TblImps[[#This Row],[Population]]</f>
        <v>1</v>
      </c>
      <c r="G105" s="234"/>
      <c r="H105" s="234"/>
      <c r="I105" s="234"/>
      <c r="J105" s="234"/>
      <c r="K105" s="437"/>
      <c r="L105" s="234"/>
      <c r="M105" s="234"/>
      <c r="N105" s="234"/>
      <c r="O105" s="234"/>
      <c r="P105" s="234"/>
      <c r="Q105" s="234"/>
      <c r="R105" s="234"/>
      <c r="S105" s="234"/>
      <c r="T105" s="234"/>
      <c r="U105" s="234"/>
      <c r="V105" s="234"/>
      <c r="W105" s="150"/>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64">
        <f>SUMIF(TblMagic[[#This Row],[Gaia''s Watch]:[Useless spell]],1)*0.05</f>
        <v>0</v>
      </c>
      <c r="Z105" s="150"/>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Row],[Blizzard]],12,IF(OFFSET(TblMagic[[#This Row],[Active Blizzard]],-1,0)&gt;0,OFFSET(TblMagic[[#This Row],[Active Blizzard]],-1,0)-1,0))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5">
        <f>TblRezone[[#This Row],[Hour]]</f>
        <v>103</v>
      </c>
      <c r="B106" s="162">
        <f ca="1">TblConstr[[#This Row],[Land]]</f>
        <v>250</v>
      </c>
      <c r="C106" s="97">
        <f ca="1">TblProd[[#This Row],[Mana]]</f>
        <v>0</v>
      </c>
      <c r="D106" s="164">
        <f ca="1">MIN(1,OFFSET(TblMagic[[#This Row],[Wiz str]],-1,0)+0.04+ROUNDDOWN(10*OFFSET(TblMili[[#This Row],[WG''s]],-1,0),0)+ tech_2_7*OFFSET(TblTech[[#This Row],[2-7]],-1,0) + tech_5_6*OFFSET(TblTech[[#This Row],[5-6]],-1,0) )-TblMagic[[#This Row],[Wiz str cost]]</f>
        <v>1</v>
      </c>
      <c r="E106" s="167">
        <f ca="1">OFFSET(TblMagic[[#This Row],[Time]],-1,0)+1/24</f>
        <v>44814.999999999753</v>
      </c>
      <c r="F106" s="164">
        <f ca="1">TblImps[[#This Row],[Population]]</f>
        <v>1</v>
      </c>
      <c r="G106" s="234"/>
      <c r="H106" s="234"/>
      <c r="I106" s="234"/>
      <c r="J106" s="234"/>
      <c r="K106" s="437"/>
      <c r="L106" s="234"/>
      <c r="M106" s="234"/>
      <c r="N106" s="234"/>
      <c r="O106" s="234"/>
      <c r="P106" s="234"/>
      <c r="Q106" s="234"/>
      <c r="R106" s="234"/>
      <c r="S106" s="234"/>
      <c r="T106" s="234"/>
      <c r="U106" s="234"/>
      <c r="V106" s="234"/>
      <c r="W106" s="150"/>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64">
        <f>SUMIF(TblMagic[[#This Row],[Gaia''s Watch]:[Useless spell]],1)*0.05</f>
        <v>0</v>
      </c>
      <c r="Z106" s="150"/>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Row],[Blizzard]],12,IF(OFFSET(TblMagic[[#This Row],[Active Blizzard]],-1,0)&gt;0,OFFSET(TblMagic[[#This Row],[Active Blizzard]],-1,0)-1,0))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5">
        <f>TblRezone[[#This Row],[Hour]]</f>
        <v>104</v>
      </c>
      <c r="B107" s="162">
        <f ca="1">TblConstr[[#This Row],[Land]]</f>
        <v>250</v>
      </c>
      <c r="C107" s="97">
        <f ca="1">TblProd[[#This Row],[Mana]]</f>
        <v>0</v>
      </c>
      <c r="D107" s="164">
        <f ca="1">MIN(1,OFFSET(TblMagic[[#This Row],[Wiz str]],-1,0)+0.04+ROUNDDOWN(10*OFFSET(TblMili[[#This Row],[WG''s]],-1,0),0)+ tech_2_7*OFFSET(TblTech[[#This Row],[2-7]],-1,0) + tech_5_6*OFFSET(TblTech[[#This Row],[5-6]],-1,0) )-TblMagic[[#This Row],[Wiz str cost]]</f>
        <v>1</v>
      </c>
      <c r="E107" s="167">
        <f ca="1">OFFSET(TblMagic[[#This Row],[Time]],-1,0)+1/24</f>
        <v>44815.041666666417</v>
      </c>
      <c r="F107" s="164">
        <f ca="1">TblImps[[#This Row],[Population]]</f>
        <v>1</v>
      </c>
      <c r="G107" s="234"/>
      <c r="H107" s="234"/>
      <c r="I107" s="234"/>
      <c r="J107" s="234"/>
      <c r="K107" s="437"/>
      <c r="L107" s="234"/>
      <c r="M107" s="234"/>
      <c r="N107" s="234"/>
      <c r="O107" s="234"/>
      <c r="P107" s="234"/>
      <c r="Q107" s="234"/>
      <c r="R107" s="234"/>
      <c r="S107" s="234"/>
      <c r="T107" s="234"/>
      <c r="U107" s="234"/>
      <c r="V107" s="234"/>
      <c r="W107" s="150"/>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64">
        <f>SUMIF(TblMagic[[#This Row],[Gaia''s Watch]:[Useless spell]],1)*0.05</f>
        <v>0</v>
      </c>
      <c r="Z107" s="150"/>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Row],[Blizzard]],12,IF(OFFSET(TblMagic[[#This Row],[Active Blizzard]],-1,0)&gt;0,OFFSET(TblMagic[[#This Row],[Active Blizzard]],-1,0)-1,0))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5">
        <f>TblRezone[[#This Row],[Hour]]</f>
        <v>105</v>
      </c>
      <c r="B108" s="162">
        <f ca="1">TblConstr[[#This Row],[Land]]</f>
        <v>250</v>
      </c>
      <c r="C108" s="97">
        <f ca="1">TblProd[[#This Row],[Mana]]</f>
        <v>0</v>
      </c>
      <c r="D108" s="164">
        <f ca="1">MIN(1,OFFSET(TblMagic[[#This Row],[Wiz str]],-1,0)+0.04+ROUNDDOWN(10*OFFSET(TblMili[[#This Row],[WG''s]],-1,0),0)+ tech_2_7*OFFSET(TblTech[[#This Row],[2-7]],-1,0) + tech_5_6*OFFSET(TblTech[[#This Row],[5-6]],-1,0) )-TblMagic[[#This Row],[Wiz str cost]]</f>
        <v>1</v>
      </c>
      <c r="E108" s="167">
        <f ca="1">OFFSET(TblMagic[[#This Row],[Time]],-1,0)+1/24</f>
        <v>44815.083333333081</v>
      </c>
      <c r="F108" s="164">
        <f ca="1">TblImps[[#This Row],[Population]]</f>
        <v>1</v>
      </c>
      <c r="G108" s="234"/>
      <c r="H108" s="234"/>
      <c r="I108" s="234"/>
      <c r="J108" s="234"/>
      <c r="K108" s="437"/>
      <c r="L108" s="234"/>
      <c r="M108" s="234"/>
      <c r="N108" s="234"/>
      <c r="O108" s="234"/>
      <c r="P108" s="234"/>
      <c r="Q108" s="234"/>
      <c r="R108" s="234"/>
      <c r="S108" s="234"/>
      <c r="T108" s="234"/>
      <c r="U108" s="234"/>
      <c r="V108" s="234"/>
      <c r="W108" s="150"/>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64">
        <f>SUMIF(TblMagic[[#This Row],[Gaia''s Watch]:[Useless spell]],1)*0.05</f>
        <v>0</v>
      </c>
      <c r="Z108" s="150"/>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Row],[Blizzard]],12,IF(OFFSET(TblMagic[[#This Row],[Active Blizzard]],-1,0)&gt;0,OFFSET(TblMagic[[#This Row],[Active Blizzard]],-1,0)-1,0))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5">
        <f>TblRezone[[#This Row],[Hour]]</f>
        <v>106</v>
      </c>
      <c r="B109" s="162">
        <f ca="1">TblConstr[[#This Row],[Land]]</f>
        <v>250</v>
      </c>
      <c r="C109" s="97">
        <f ca="1">TblProd[[#This Row],[Mana]]</f>
        <v>0</v>
      </c>
      <c r="D109" s="164">
        <f ca="1">MIN(1,OFFSET(TblMagic[[#This Row],[Wiz str]],-1,0)+0.04+ROUNDDOWN(10*OFFSET(TblMili[[#This Row],[WG''s]],-1,0),0)+ tech_2_7*OFFSET(TblTech[[#This Row],[2-7]],-1,0) + tech_5_6*OFFSET(TblTech[[#This Row],[5-6]],-1,0) )-TblMagic[[#This Row],[Wiz str cost]]</f>
        <v>1</v>
      </c>
      <c r="E109" s="167">
        <f ca="1">OFFSET(TblMagic[[#This Row],[Time]],-1,0)+1/24</f>
        <v>44815.124999999745</v>
      </c>
      <c r="F109" s="164">
        <f ca="1">TblImps[[#This Row],[Population]]</f>
        <v>1</v>
      </c>
      <c r="G109" s="234"/>
      <c r="H109" s="234"/>
      <c r="I109" s="234"/>
      <c r="J109" s="234"/>
      <c r="K109" s="437"/>
      <c r="L109" s="234"/>
      <c r="M109" s="234"/>
      <c r="N109" s="234"/>
      <c r="O109" s="234"/>
      <c r="P109" s="234"/>
      <c r="Q109" s="234"/>
      <c r="R109" s="234"/>
      <c r="S109" s="234"/>
      <c r="T109" s="234"/>
      <c r="U109" s="234"/>
      <c r="V109" s="234"/>
      <c r="W109" s="150"/>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64">
        <f>SUMIF(TblMagic[[#This Row],[Gaia''s Watch]:[Useless spell]],1)*0.05</f>
        <v>0</v>
      </c>
      <c r="Z109" s="150"/>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Row],[Blizzard]],12,IF(OFFSET(TblMagic[[#This Row],[Active Blizzard]],-1,0)&gt;0,OFFSET(TblMagic[[#This Row],[Active Blizzard]],-1,0)-1,0))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5">
        <f>TblRezone[[#This Row],[Hour]]</f>
        <v>107</v>
      </c>
      <c r="B110" s="162">
        <f ca="1">TblConstr[[#This Row],[Land]]</f>
        <v>250</v>
      </c>
      <c r="C110" s="97">
        <f ca="1">TblProd[[#This Row],[Mana]]</f>
        <v>0</v>
      </c>
      <c r="D110" s="164">
        <f ca="1">MIN(1,OFFSET(TblMagic[[#This Row],[Wiz str]],-1,0)+0.04+ROUNDDOWN(10*OFFSET(TblMili[[#This Row],[WG''s]],-1,0),0)+ tech_2_7*OFFSET(TblTech[[#This Row],[2-7]],-1,0) + tech_5_6*OFFSET(TblTech[[#This Row],[5-6]],-1,0) )-TblMagic[[#This Row],[Wiz str cost]]</f>
        <v>1</v>
      </c>
      <c r="E110" s="167">
        <f ca="1">OFFSET(TblMagic[[#This Row],[Time]],-1,0)+1/24</f>
        <v>44815.16666666641</v>
      </c>
      <c r="F110" s="164">
        <f ca="1">TblImps[[#This Row],[Population]]</f>
        <v>1</v>
      </c>
      <c r="G110" s="234"/>
      <c r="H110" s="234"/>
      <c r="I110" s="234"/>
      <c r="J110" s="234"/>
      <c r="K110" s="437"/>
      <c r="L110" s="234"/>
      <c r="M110" s="234"/>
      <c r="N110" s="234"/>
      <c r="O110" s="234"/>
      <c r="P110" s="234"/>
      <c r="Q110" s="234"/>
      <c r="R110" s="234"/>
      <c r="S110" s="234"/>
      <c r="T110" s="234"/>
      <c r="U110" s="234"/>
      <c r="V110" s="234"/>
      <c r="W110" s="150"/>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64">
        <f>SUMIF(TblMagic[[#This Row],[Gaia''s Watch]:[Useless spell]],1)*0.05</f>
        <v>0</v>
      </c>
      <c r="Z110" s="150"/>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Row],[Blizzard]],12,IF(OFFSET(TblMagic[[#This Row],[Active Blizzard]],-1,0)&gt;0,OFFSET(TblMagic[[#This Row],[Active Blizzard]],-1,0)-1,0))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5">
        <f>TblRezone[[#This Row],[Hour]]</f>
        <v>108</v>
      </c>
      <c r="B111" s="162">
        <f ca="1">TblConstr[[#This Row],[Land]]</f>
        <v>250</v>
      </c>
      <c r="C111" s="97">
        <f ca="1">TblProd[[#This Row],[Mana]]</f>
        <v>0</v>
      </c>
      <c r="D111" s="164">
        <f ca="1">MIN(1,OFFSET(TblMagic[[#This Row],[Wiz str]],-1,0)+0.04+ROUNDDOWN(10*OFFSET(TblMili[[#This Row],[WG''s]],-1,0),0)+ tech_2_7*OFFSET(TblTech[[#This Row],[2-7]],-1,0) + tech_5_6*OFFSET(TblTech[[#This Row],[5-6]],-1,0) )-TblMagic[[#This Row],[Wiz str cost]]</f>
        <v>1</v>
      </c>
      <c r="E111" s="167">
        <f ca="1">OFFSET(TblMagic[[#This Row],[Time]],-1,0)+1/24</f>
        <v>44815.208333333074</v>
      </c>
      <c r="F111" s="164">
        <f ca="1">TblImps[[#This Row],[Population]]</f>
        <v>1</v>
      </c>
      <c r="G111" s="234"/>
      <c r="H111" s="234"/>
      <c r="I111" s="234"/>
      <c r="J111" s="234"/>
      <c r="K111" s="437"/>
      <c r="L111" s="234"/>
      <c r="M111" s="234"/>
      <c r="N111" s="234"/>
      <c r="O111" s="234"/>
      <c r="P111" s="234"/>
      <c r="Q111" s="234"/>
      <c r="R111" s="234"/>
      <c r="S111" s="234"/>
      <c r="T111" s="234"/>
      <c r="U111" s="234"/>
      <c r="V111" s="234"/>
      <c r="W111" s="150"/>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64">
        <f>SUMIF(TblMagic[[#This Row],[Gaia''s Watch]:[Useless spell]],1)*0.05</f>
        <v>0</v>
      </c>
      <c r="Z111" s="150"/>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Row],[Blizzard]],12,IF(OFFSET(TblMagic[[#This Row],[Active Blizzard]],-1,0)&gt;0,OFFSET(TblMagic[[#This Row],[Active Blizzard]],-1,0)-1,0))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5">
        <f>TblRezone[[#This Row],[Hour]]</f>
        <v>109</v>
      </c>
      <c r="B112" s="162">
        <f ca="1">TblConstr[[#This Row],[Land]]</f>
        <v>250</v>
      </c>
      <c r="C112" s="97">
        <f ca="1">TblProd[[#This Row],[Mana]]</f>
        <v>0</v>
      </c>
      <c r="D112" s="164">
        <f ca="1">MIN(1,OFFSET(TblMagic[[#This Row],[Wiz str]],-1,0)+0.04+ROUNDDOWN(10*OFFSET(TblMili[[#This Row],[WG''s]],-1,0),0)+ tech_2_7*OFFSET(TblTech[[#This Row],[2-7]],-1,0) + tech_5_6*OFFSET(TblTech[[#This Row],[5-6]],-1,0) )-TblMagic[[#This Row],[Wiz str cost]]</f>
        <v>1</v>
      </c>
      <c r="E112" s="167">
        <f ca="1">OFFSET(TblMagic[[#This Row],[Time]],-1,0)+1/24</f>
        <v>44815.249999999738</v>
      </c>
      <c r="F112" s="164">
        <f ca="1">TblImps[[#This Row],[Population]]</f>
        <v>1</v>
      </c>
      <c r="G112" s="234"/>
      <c r="H112" s="234"/>
      <c r="I112" s="234"/>
      <c r="J112" s="234"/>
      <c r="K112" s="437"/>
      <c r="L112" s="234"/>
      <c r="M112" s="234"/>
      <c r="N112" s="234"/>
      <c r="O112" s="234"/>
      <c r="P112" s="234"/>
      <c r="Q112" s="234"/>
      <c r="R112" s="234"/>
      <c r="S112" s="234"/>
      <c r="T112" s="234"/>
      <c r="U112" s="234"/>
      <c r="V112" s="234"/>
      <c r="W112" s="150"/>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64">
        <f>SUMIF(TblMagic[[#This Row],[Gaia''s Watch]:[Useless spell]],1)*0.05</f>
        <v>0</v>
      </c>
      <c r="Z112" s="150"/>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Row],[Blizzard]],12,IF(OFFSET(TblMagic[[#This Row],[Active Blizzard]],-1,0)&gt;0,OFFSET(TblMagic[[#This Row],[Active Blizzard]],-1,0)-1,0))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5">
        <f>TblRezone[[#This Row],[Hour]]</f>
        <v>110</v>
      </c>
      <c r="B113" s="162">
        <f ca="1">TblConstr[[#This Row],[Land]]</f>
        <v>250</v>
      </c>
      <c r="C113" s="97">
        <f ca="1">TblProd[[#This Row],[Mana]]</f>
        <v>0</v>
      </c>
      <c r="D113" s="164">
        <f ca="1">MIN(1,OFFSET(TblMagic[[#This Row],[Wiz str]],-1,0)+0.04+ROUNDDOWN(10*OFFSET(TblMili[[#This Row],[WG''s]],-1,0),0)+ tech_2_7*OFFSET(TblTech[[#This Row],[2-7]],-1,0) + tech_5_6*OFFSET(TblTech[[#This Row],[5-6]],-1,0) )-TblMagic[[#This Row],[Wiz str cost]]</f>
        <v>1</v>
      </c>
      <c r="E113" s="167">
        <f ca="1">OFFSET(TblMagic[[#This Row],[Time]],-1,0)+1/24</f>
        <v>44815.291666666402</v>
      </c>
      <c r="F113" s="164">
        <f ca="1">TblImps[[#This Row],[Population]]</f>
        <v>1</v>
      </c>
      <c r="G113" s="234"/>
      <c r="H113" s="234"/>
      <c r="I113" s="234"/>
      <c r="J113" s="234"/>
      <c r="K113" s="437"/>
      <c r="L113" s="234"/>
      <c r="M113" s="234"/>
      <c r="N113" s="234"/>
      <c r="O113" s="234"/>
      <c r="P113" s="234"/>
      <c r="Q113" s="234"/>
      <c r="R113" s="234"/>
      <c r="S113" s="234"/>
      <c r="T113" s="234"/>
      <c r="U113" s="234"/>
      <c r="V113" s="234"/>
      <c r="W113" s="150"/>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64">
        <f>SUMIF(TblMagic[[#This Row],[Gaia''s Watch]:[Useless spell]],1)*0.05</f>
        <v>0</v>
      </c>
      <c r="Z113" s="150"/>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Row],[Blizzard]],12,IF(OFFSET(TblMagic[[#This Row],[Active Blizzard]],-1,0)&gt;0,OFFSET(TblMagic[[#This Row],[Active Blizzard]],-1,0)-1,0))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5">
        <f>TblRezone[[#This Row],[Hour]]</f>
        <v>111</v>
      </c>
      <c r="B114" s="162">
        <f ca="1">TblConstr[[#This Row],[Land]]</f>
        <v>250</v>
      </c>
      <c r="C114" s="97">
        <f ca="1">TblProd[[#This Row],[Mana]]</f>
        <v>0</v>
      </c>
      <c r="D114" s="164">
        <f ca="1">MIN(1,OFFSET(TblMagic[[#This Row],[Wiz str]],-1,0)+0.04+ROUNDDOWN(10*OFFSET(TblMili[[#This Row],[WG''s]],-1,0),0)+ tech_2_7*OFFSET(TblTech[[#This Row],[2-7]],-1,0) + tech_5_6*OFFSET(TblTech[[#This Row],[5-6]],-1,0) )-TblMagic[[#This Row],[Wiz str cost]]</f>
        <v>1</v>
      </c>
      <c r="E114" s="167">
        <f ca="1">OFFSET(TblMagic[[#This Row],[Time]],-1,0)+1/24</f>
        <v>44815.333333333067</v>
      </c>
      <c r="F114" s="164">
        <f ca="1">TblImps[[#This Row],[Population]]</f>
        <v>1</v>
      </c>
      <c r="G114" s="234"/>
      <c r="H114" s="234"/>
      <c r="I114" s="234"/>
      <c r="J114" s="234"/>
      <c r="K114" s="437"/>
      <c r="L114" s="234"/>
      <c r="M114" s="234"/>
      <c r="N114" s="234"/>
      <c r="O114" s="234"/>
      <c r="P114" s="234"/>
      <c r="Q114" s="234"/>
      <c r="R114" s="234"/>
      <c r="S114" s="234"/>
      <c r="T114" s="234"/>
      <c r="U114" s="234"/>
      <c r="V114" s="234"/>
      <c r="W114" s="150"/>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64">
        <f>SUMIF(TblMagic[[#This Row],[Gaia''s Watch]:[Useless spell]],1)*0.05</f>
        <v>0</v>
      </c>
      <c r="Z114" s="150"/>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Row],[Blizzard]],12,IF(OFFSET(TblMagic[[#This Row],[Active Blizzard]],-1,0)&gt;0,OFFSET(TblMagic[[#This Row],[Active Blizzard]],-1,0)-1,0))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5">
        <f>TblRezone[[#This Row],[Hour]]</f>
        <v>112</v>
      </c>
      <c r="B115" s="162">
        <f ca="1">TblConstr[[#This Row],[Land]]</f>
        <v>250</v>
      </c>
      <c r="C115" s="97">
        <f ca="1">TblProd[[#This Row],[Mana]]</f>
        <v>0</v>
      </c>
      <c r="D115" s="164">
        <f ca="1">MIN(1,OFFSET(TblMagic[[#This Row],[Wiz str]],-1,0)+0.04+ROUNDDOWN(10*OFFSET(TblMili[[#This Row],[WG''s]],-1,0),0)+ tech_2_7*OFFSET(TblTech[[#This Row],[2-7]],-1,0) + tech_5_6*OFFSET(TblTech[[#This Row],[5-6]],-1,0) )-TblMagic[[#This Row],[Wiz str cost]]</f>
        <v>1</v>
      </c>
      <c r="E115" s="167">
        <f ca="1">OFFSET(TblMagic[[#This Row],[Time]],-1,0)+1/24</f>
        <v>44815.374999999731</v>
      </c>
      <c r="F115" s="164">
        <f ca="1">TblImps[[#This Row],[Population]]</f>
        <v>1</v>
      </c>
      <c r="G115" s="234"/>
      <c r="H115" s="234"/>
      <c r="I115" s="234"/>
      <c r="J115" s="234"/>
      <c r="K115" s="437"/>
      <c r="L115" s="234"/>
      <c r="M115" s="234"/>
      <c r="N115" s="234"/>
      <c r="O115" s="234"/>
      <c r="P115" s="234"/>
      <c r="Q115" s="234"/>
      <c r="R115" s="234"/>
      <c r="S115" s="234"/>
      <c r="T115" s="234"/>
      <c r="U115" s="234"/>
      <c r="V115" s="234"/>
      <c r="W115" s="150"/>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64">
        <f>SUMIF(TblMagic[[#This Row],[Gaia''s Watch]:[Useless spell]],1)*0.05</f>
        <v>0</v>
      </c>
      <c r="Z115" s="150"/>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Row],[Blizzard]],12,IF(OFFSET(TblMagic[[#This Row],[Active Blizzard]],-1,0)&gt;0,OFFSET(TblMagic[[#This Row],[Active Blizzard]],-1,0)-1,0))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5">
        <f>TblRezone[[#This Row],[Hour]]</f>
        <v>113</v>
      </c>
      <c r="B116" s="162">
        <f ca="1">TblConstr[[#This Row],[Land]]</f>
        <v>250</v>
      </c>
      <c r="C116" s="97">
        <f ca="1">TblProd[[#This Row],[Mana]]</f>
        <v>0</v>
      </c>
      <c r="D116" s="164">
        <f ca="1">MIN(1,OFFSET(TblMagic[[#This Row],[Wiz str]],-1,0)+0.04+ROUNDDOWN(10*OFFSET(TblMili[[#This Row],[WG''s]],-1,0),0)+ tech_2_7*OFFSET(TblTech[[#This Row],[2-7]],-1,0) + tech_5_6*OFFSET(TblTech[[#This Row],[5-6]],-1,0) )-TblMagic[[#This Row],[Wiz str cost]]</f>
        <v>1</v>
      </c>
      <c r="E116" s="167">
        <f ca="1">OFFSET(TblMagic[[#This Row],[Time]],-1,0)+1/24</f>
        <v>44815.416666666395</v>
      </c>
      <c r="F116" s="164">
        <f ca="1">TblImps[[#This Row],[Population]]</f>
        <v>1</v>
      </c>
      <c r="G116" s="234"/>
      <c r="H116" s="234"/>
      <c r="I116" s="234"/>
      <c r="J116" s="234"/>
      <c r="K116" s="437"/>
      <c r="L116" s="234"/>
      <c r="M116" s="234"/>
      <c r="N116" s="234"/>
      <c r="O116" s="234"/>
      <c r="P116" s="234"/>
      <c r="Q116" s="234"/>
      <c r="R116" s="234"/>
      <c r="S116" s="234"/>
      <c r="T116" s="234"/>
      <c r="U116" s="234"/>
      <c r="V116" s="234"/>
      <c r="W116" s="150"/>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64">
        <f>SUMIF(TblMagic[[#This Row],[Gaia''s Watch]:[Useless spell]],1)*0.05</f>
        <v>0</v>
      </c>
      <c r="Z116" s="150"/>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Row],[Blizzard]],12,IF(OFFSET(TblMagic[[#This Row],[Active Blizzard]],-1,0)&gt;0,OFFSET(TblMagic[[#This Row],[Active Blizzard]],-1,0)-1,0))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5">
        <f>TblRezone[[#This Row],[Hour]]</f>
        <v>114</v>
      </c>
      <c r="B117" s="162">
        <f ca="1">TblConstr[[#This Row],[Land]]</f>
        <v>250</v>
      </c>
      <c r="C117" s="97">
        <f ca="1">TblProd[[#This Row],[Mana]]</f>
        <v>0</v>
      </c>
      <c r="D117" s="164">
        <f ca="1">MIN(1,OFFSET(TblMagic[[#This Row],[Wiz str]],-1,0)+0.04+ROUNDDOWN(10*OFFSET(TblMili[[#This Row],[WG''s]],-1,0),0)+ tech_2_7*OFFSET(TblTech[[#This Row],[2-7]],-1,0) + tech_5_6*OFFSET(TblTech[[#This Row],[5-6]],-1,0) )-TblMagic[[#This Row],[Wiz str cost]]</f>
        <v>1</v>
      </c>
      <c r="E117" s="167">
        <f ca="1">OFFSET(TblMagic[[#This Row],[Time]],-1,0)+1/24</f>
        <v>44815.458333333059</v>
      </c>
      <c r="F117" s="164">
        <f ca="1">TblImps[[#This Row],[Population]]</f>
        <v>1</v>
      </c>
      <c r="G117" s="234"/>
      <c r="H117" s="234"/>
      <c r="I117" s="234"/>
      <c r="J117" s="234"/>
      <c r="K117" s="437"/>
      <c r="L117" s="234"/>
      <c r="M117" s="234"/>
      <c r="N117" s="234"/>
      <c r="O117" s="234"/>
      <c r="P117" s="234"/>
      <c r="Q117" s="234"/>
      <c r="R117" s="234"/>
      <c r="S117" s="234"/>
      <c r="T117" s="234"/>
      <c r="U117" s="234"/>
      <c r="V117" s="234"/>
      <c r="W117" s="150"/>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64">
        <f>SUMIF(TblMagic[[#This Row],[Gaia''s Watch]:[Useless spell]],1)*0.05</f>
        <v>0</v>
      </c>
      <c r="Z117" s="150"/>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Row],[Blizzard]],12,IF(OFFSET(TblMagic[[#This Row],[Active Blizzard]],-1,0)&gt;0,OFFSET(TblMagic[[#This Row],[Active Blizzard]],-1,0)-1,0))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5">
        <f>TblRezone[[#This Row],[Hour]]</f>
        <v>115</v>
      </c>
      <c r="B118" s="162">
        <f ca="1">TblConstr[[#This Row],[Land]]</f>
        <v>250</v>
      </c>
      <c r="C118" s="97">
        <f ca="1">TblProd[[#This Row],[Mana]]</f>
        <v>0</v>
      </c>
      <c r="D118" s="164">
        <f ca="1">MIN(1,OFFSET(TblMagic[[#This Row],[Wiz str]],-1,0)+0.04+ROUNDDOWN(10*OFFSET(TblMili[[#This Row],[WG''s]],-1,0),0)+ tech_2_7*OFFSET(TblTech[[#This Row],[2-7]],-1,0) + tech_5_6*OFFSET(TblTech[[#This Row],[5-6]],-1,0) )-TblMagic[[#This Row],[Wiz str cost]]</f>
        <v>1</v>
      </c>
      <c r="E118" s="167">
        <f ca="1">OFFSET(TblMagic[[#This Row],[Time]],-1,0)+1/24</f>
        <v>44815.499999999724</v>
      </c>
      <c r="F118" s="164">
        <f ca="1">TblImps[[#This Row],[Population]]</f>
        <v>1</v>
      </c>
      <c r="G118" s="234"/>
      <c r="H118" s="234"/>
      <c r="I118" s="234"/>
      <c r="J118" s="234"/>
      <c r="K118" s="437"/>
      <c r="L118" s="234"/>
      <c r="M118" s="234"/>
      <c r="N118" s="234"/>
      <c r="O118" s="234"/>
      <c r="P118" s="234"/>
      <c r="Q118" s="234"/>
      <c r="R118" s="234"/>
      <c r="S118" s="234"/>
      <c r="T118" s="234"/>
      <c r="U118" s="234"/>
      <c r="V118" s="234"/>
      <c r="W118" s="150"/>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64">
        <f>SUMIF(TblMagic[[#This Row],[Gaia''s Watch]:[Useless spell]],1)*0.05</f>
        <v>0</v>
      </c>
      <c r="Z118" s="150"/>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Row],[Blizzard]],12,IF(OFFSET(TblMagic[[#This Row],[Active Blizzard]],-1,0)&gt;0,OFFSET(TblMagic[[#This Row],[Active Blizzard]],-1,0)-1,0))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5">
        <f>TblRezone[[#This Row],[Hour]]</f>
        <v>116</v>
      </c>
      <c r="B119" s="162">
        <f ca="1">TblConstr[[#This Row],[Land]]</f>
        <v>250</v>
      </c>
      <c r="C119" s="97">
        <f ca="1">TblProd[[#This Row],[Mana]]</f>
        <v>0</v>
      </c>
      <c r="D119" s="164">
        <f ca="1">MIN(1,OFFSET(TblMagic[[#This Row],[Wiz str]],-1,0)+0.04+ROUNDDOWN(10*OFFSET(TblMili[[#This Row],[WG''s]],-1,0),0)+ tech_2_7*OFFSET(TblTech[[#This Row],[2-7]],-1,0) + tech_5_6*OFFSET(TblTech[[#This Row],[5-6]],-1,0) )-TblMagic[[#This Row],[Wiz str cost]]</f>
        <v>1</v>
      </c>
      <c r="E119" s="167">
        <f ca="1">OFFSET(TblMagic[[#This Row],[Time]],-1,0)+1/24</f>
        <v>44815.541666666388</v>
      </c>
      <c r="F119" s="164">
        <f ca="1">TblImps[[#This Row],[Population]]</f>
        <v>1</v>
      </c>
      <c r="G119" s="234"/>
      <c r="H119" s="234"/>
      <c r="I119" s="234"/>
      <c r="J119" s="234"/>
      <c r="K119" s="437"/>
      <c r="L119" s="234"/>
      <c r="M119" s="234"/>
      <c r="N119" s="234"/>
      <c r="O119" s="234"/>
      <c r="P119" s="234"/>
      <c r="Q119" s="234"/>
      <c r="R119" s="234"/>
      <c r="S119" s="234"/>
      <c r="T119" s="234"/>
      <c r="U119" s="234"/>
      <c r="V119" s="234"/>
      <c r="W119" s="150"/>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64">
        <f>SUMIF(TblMagic[[#This Row],[Gaia''s Watch]:[Useless spell]],1)*0.05</f>
        <v>0</v>
      </c>
      <c r="Z119" s="150"/>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Row],[Blizzard]],12,IF(OFFSET(TblMagic[[#This Row],[Active Blizzard]],-1,0)&gt;0,OFFSET(TblMagic[[#This Row],[Active Blizzard]],-1,0)-1,0))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5">
        <f>TblRezone[[#This Row],[Hour]]</f>
        <v>117</v>
      </c>
      <c r="B120" s="162">
        <f ca="1">TblConstr[[#This Row],[Land]]</f>
        <v>250</v>
      </c>
      <c r="C120" s="97">
        <f ca="1">TblProd[[#This Row],[Mana]]</f>
        <v>0</v>
      </c>
      <c r="D120" s="164">
        <f ca="1">MIN(1,OFFSET(TblMagic[[#This Row],[Wiz str]],-1,0)+0.04+ROUNDDOWN(10*OFFSET(TblMili[[#This Row],[WG''s]],-1,0),0)+ tech_2_7*OFFSET(TblTech[[#This Row],[2-7]],-1,0) + tech_5_6*OFFSET(TblTech[[#This Row],[5-6]],-1,0) )-TblMagic[[#This Row],[Wiz str cost]]</f>
        <v>1</v>
      </c>
      <c r="E120" s="167">
        <f ca="1">OFFSET(TblMagic[[#This Row],[Time]],-1,0)+1/24</f>
        <v>44815.583333333052</v>
      </c>
      <c r="F120" s="164">
        <f ca="1">TblImps[[#This Row],[Population]]</f>
        <v>1</v>
      </c>
      <c r="G120" s="234"/>
      <c r="H120" s="234"/>
      <c r="I120" s="234"/>
      <c r="J120" s="234"/>
      <c r="K120" s="437"/>
      <c r="L120" s="234"/>
      <c r="M120" s="234"/>
      <c r="N120" s="234"/>
      <c r="O120" s="234"/>
      <c r="P120" s="234"/>
      <c r="Q120" s="234"/>
      <c r="R120" s="234"/>
      <c r="S120" s="234"/>
      <c r="T120" s="234"/>
      <c r="U120" s="234"/>
      <c r="V120" s="234"/>
      <c r="W120" s="150"/>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64">
        <f>SUMIF(TblMagic[[#This Row],[Gaia''s Watch]:[Useless spell]],1)*0.05</f>
        <v>0</v>
      </c>
      <c r="Z120" s="150"/>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Row],[Blizzard]],12,IF(OFFSET(TblMagic[[#This Row],[Active Blizzard]],-1,0)&gt;0,OFFSET(TblMagic[[#This Row],[Active Blizzard]],-1,0)-1,0))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5">
        <f>TblRezone[[#This Row],[Hour]]</f>
        <v>118</v>
      </c>
      <c r="B121" s="162">
        <f ca="1">TblConstr[[#This Row],[Land]]</f>
        <v>250</v>
      </c>
      <c r="C121" s="97">
        <f ca="1">TblProd[[#This Row],[Mana]]</f>
        <v>0</v>
      </c>
      <c r="D121" s="164">
        <f ca="1">MIN(1,OFFSET(TblMagic[[#This Row],[Wiz str]],-1,0)+0.04+ROUNDDOWN(10*OFFSET(TblMili[[#This Row],[WG''s]],-1,0),0)+ tech_2_7*OFFSET(TblTech[[#This Row],[2-7]],-1,0) + tech_5_6*OFFSET(TblTech[[#This Row],[5-6]],-1,0) )-TblMagic[[#This Row],[Wiz str cost]]</f>
        <v>1</v>
      </c>
      <c r="E121" s="167">
        <f ca="1">OFFSET(TblMagic[[#This Row],[Time]],-1,0)+1/24</f>
        <v>44815.624999999716</v>
      </c>
      <c r="F121" s="164">
        <f ca="1">TblImps[[#This Row],[Population]]</f>
        <v>1</v>
      </c>
      <c r="G121" s="234"/>
      <c r="H121" s="234"/>
      <c r="I121" s="234"/>
      <c r="J121" s="234"/>
      <c r="K121" s="437"/>
      <c r="L121" s="234"/>
      <c r="M121" s="234"/>
      <c r="N121" s="234"/>
      <c r="O121" s="234"/>
      <c r="P121" s="234"/>
      <c r="Q121" s="234"/>
      <c r="R121" s="234"/>
      <c r="S121" s="234"/>
      <c r="T121" s="234"/>
      <c r="U121" s="234"/>
      <c r="V121" s="234"/>
      <c r="W121" s="150"/>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64">
        <f>SUMIF(TblMagic[[#This Row],[Gaia''s Watch]:[Useless spell]],1)*0.05</f>
        <v>0</v>
      </c>
      <c r="Z121" s="150"/>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Row],[Blizzard]],12,IF(OFFSET(TblMagic[[#This Row],[Active Blizzard]],-1,0)&gt;0,OFFSET(TblMagic[[#This Row],[Active Blizzard]],-1,0)-1,0))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5">
        <f>TblRezone[[#This Row],[Hour]]</f>
        <v>119</v>
      </c>
      <c r="B122" s="162">
        <f ca="1">TblConstr[[#This Row],[Land]]</f>
        <v>250</v>
      </c>
      <c r="C122" s="97">
        <f ca="1">TblProd[[#This Row],[Mana]]</f>
        <v>0</v>
      </c>
      <c r="D122" s="164">
        <f ca="1">MIN(1,OFFSET(TblMagic[[#This Row],[Wiz str]],-1,0)+0.04+ROUNDDOWN(10*OFFSET(TblMili[[#This Row],[WG''s]],-1,0),0)+ tech_2_7*OFFSET(TblTech[[#This Row],[2-7]],-1,0) + tech_5_6*OFFSET(TblTech[[#This Row],[5-6]],-1,0) )-TblMagic[[#This Row],[Wiz str cost]]</f>
        <v>1</v>
      </c>
      <c r="E122" s="167">
        <f ca="1">OFFSET(TblMagic[[#This Row],[Time]],-1,0)+1/24</f>
        <v>44815.66666666638</v>
      </c>
      <c r="F122" s="164">
        <f ca="1">TblImps[[#This Row],[Population]]</f>
        <v>1</v>
      </c>
      <c r="G122" s="234"/>
      <c r="H122" s="234"/>
      <c r="I122" s="234"/>
      <c r="J122" s="234"/>
      <c r="K122" s="437"/>
      <c r="L122" s="234"/>
      <c r="M122" s="234"/>
      <c r="N122" s="234"/>
      <c r="O122" s="234"/>
      <c r="P122" s="234"/>
      <c r="Q122" s="234"/>
      <c r="R122" s="234"/>
      <c r="S122" s="234"/>
      <c r="T122" s="234"/>
      <c r="U122" s="234"/>
      <c r="V122" s="234"/>
      <c r="W122" s="150"/>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64">
        <f>SUMIF(TblMagic[[#This Row],[Gaia''s Watch]:[Useless spell]],1)*0.05</f>
        <v>0</v>
      </c>
      <c r="Z122" s="150"/>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Row],[Blizzard]],12,IF(OFFSET(TblMagic[[#This Row],[Active Blizzard]],-1,0)&gt;0,OFFSET(TblMagic[[#This Row],[Active Blizzard]],-1,0)-1,0))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5">
        <f>TblRezone[[#This Row],[Hour]]</f>
        <v>120</v>
      </c>
      <c r="B123" s="162">
        <f ca="1">TblConstr[[#This Row],[Land]]</f>
        <v>250</v>
      </c>
      <c r="C123" s="97">
        <f ca="1">TblProd[[#This Row],[Mana]]</f>
        <v>0</v>
      </c>
      <c r="D123" s="164">
        <f ca="1">MIN(1,OFFSET(TblMagic[[#This Row],[Wiz str]],-1,0)+0.04+ROUNDDOWN(10*OFFSET(TblMili[[#This Row],[WG''s]],-1,0),0)+ tech_2_7*OFFSET(TblTech[[#This Row],[2-7]],-1,0) + tech_5_6*OFFSET(TblTech[[#This Row],[5-6]],-1,0) )-TblMagic[[#This Row],[Wiz str cost]]</f>
        <v>1</v>
      </c>
      <c r="E123" s="167">
        <f ca="1">OFFSET(TblMagic[[#This Row],[Time]],-1,0)+1/24</f>
        <v>44815.708333333045</v>
      </c>
      <c r="F123" s="164">
        <f ca="1">TblImps[[#This Row],[Population]]</f>
        <v>1</v>
      </c>
      <c r="G123" s="234"/>
      <c r="H123" s="234"/>
      <c r="I123" s="234"/>
      <c r="J123" s="234"/>
      <c r="K123" s="437"/>
      <c r="L123" s="234"/>
      <c r="M123" s="234"/>
      <c r="N123" s="234"/>
      <c r="O123" s="234"/>
      <c r="P123" s="234"/>
      <c r="Q123" s="234"/>
      <c r="R123" s="234"/>
      <c r="S123" s="234"/>
      <c r="T123" s="234"/>
      <c r="U123" s="234"/>
      <c r="V123" s="234"/>
      <c r="W123" s="150"/>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64">
        <f>SUMIF(TblMagic[[#This Row],[Gaia''s Watch]:[Useless spell]],1)*0.05</f>
        <v>0</v>
      </c>
      <c r="Z123" s="150"/>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Row],[Blizzard]],12,IF(OFFSET(TblMagic[[#This Row],[Active Blizzard]],-1,0)&gt;0,OFFSET(TblMagic[[#This Row],[Active Blizzard]],-1,0)-1,0))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5">
        <f>TblRezone[[#This Row],[Hour]]</f>
        <v>121</v>
      </c>
      <c r="B124" s="162">
        <f ca="1">TblConstr[[#This Row],[Land]]</f>
        <v>250</v>
      </c>
      <c r="C124" s="97">
        <f ca="1">TblProd[[#This Row],[Mana]]</f>
        <v>0</v>
      </c>
      <c r="D124" s="164">
        <f ca="1">MIN(1,OFFSET(TblMagic[[#This Row],[Wiz str]],-1,0)+0.04+ROUNDDOWN(10*OFFSET(TblMili[[#This Row],[WG''s]],-1,0),0)+ tech_2_7*OFFSET(TblTech[[#This Row],[2-7]],-1,0) + tech_5_6*OFFSET(TblTech[[#This Row],[5-6]],-1,0) )-TblMagic[[#This Row],[Wiz str cost]]</f>
        <v>1</v>
      </c>
      <c r="E124" s="167">
        <f ca="1">OFFSET(TblMagic[[#This Row],[Time]],-1,0)+1/24</f>
        <v>44815.749999999709</v>
      </c>
      <c r="F124" s="164">
        <f ca="1">TblImps[[#This Row],[Population]]</f>
        <v>1</v>
      </c>
      <c r="G124" s="234"/>
      <c r="H124" s="234"/>
      <c r="I124" s="234"/>
      <c r="J124" s="234"/>
      <c r="K124" s="437"/>
      <c r="L124" s="234"/>
      <c r="M124" s="234"/>
      <c r="N124" s="234"/>
      <c r="O124" s="234"/>
      <c r="P124" s="234"/>
      <c r="Q124" s="234"/>
      <c r="R124" s="234"/>
      <c r="S124" s="234"/>
      <c r="T124" s="234"/>
      <c r="U124" s="234"/>
      <c r="V124" s="234"/>
      <c r="W124" s="150"/>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64">
        <f>SUMIF(TblMagic[[#This Row],[Gaia''s Watch]:[Useless spell]],1)*0.05</f>
        <v>0</v>
      </c>
      <c r="Z124" s="150"/>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Row],[Blizzard]],12,IF(OFFSET(TblMagic[[#This Row],[Active Blizzard]],-1,0)&gt;0,OFFSET(TblMagic[[#This Row],[Active Blizzard]],-1,0)-1,0))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5">
        <f>TblRezone[[#This Row],[Hour]]</f>
        <v>122</v>
      </c>
      <c r="B125" s="162">
        <f ca="1">TblConstr[[#This Row],[Land]]</f>
        <v>250</v>
      </c>
      <c r="C125" s="97">
        <f ca="1">TblProd[[#This Row],[Mana]]</f>
        <v>0</v>
      </c>
      <c r="D125" s="164">
        <f ca="1">MIN(1,OFFSET(TblMagic[[#This Row],[Wiz str]],-1,0)+0.04+ROUNDDOWN(10*OFFSET(TblMili[[#This Row],[WG''s]],-1,0),0)+ tech_2_7*OFFSET(TblTech[[#This Row],[2-7]],-1,0) + tech_5_6*OFFSET(TblTech[[#This Row],[5-6]],-1,0) )-TblMagic[[#This Row],[Wiz str cost]]</f>
        <v>1</v>
      </c>
      <c r="E125" s="167">
        <f ca="1">OFFSET(TblMagic[[#This Row],[Time]],-1,0)+1/24</f>
        <v>44815.791666666373</v>
      </c>
      <c r="F125" s="164">
        <f ca="1">TblImps[[#This Row],[Population]]</f>
        <v>1</v>
      </c>
      <c r="G125" s="234"/>
      <c r="H125" s="234"/>
      <c r="I125" s="234"/>
      <c r="J125" s="234"/>
      <c r="K125" s="437"/>
      <c r="L125" s="234"/>
      <c r="M125" s="234"/>
      <c r="N125" s="234"/>
      <c r="O125" s="234"/>
      <c r="P125" s="234"/>
      <c r="Q125" s="234"/>
      <c r="R125" s="234"/>
      <c r="S125" s="234"/>
      <c r="T125" s="234"/>
      <c r="U125" s="234"/>
      <c r="V125" s="234"/>
      <c r="W125" s="150"/>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64">
        <f>SUMIF(TblMagic[[#This Row],[Gaia''s Watch]:[Useless spell]],1)*0.05</f>
        <v>0</v>
      </c>
      <c r="Z125" s="150"/>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Row],[Blizzard]],12,IF(OFFSET(TblMagic[[#This Row],[Active Blizzard]],-1,0)&gt;0,OFFSET(TblMagic[[#This Row],[Active Blizzard]],-1,0)-1,0))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5">
        <f>TblRezone[[#This Row],[Hour]]</f>
        <v>123</v>
      </c>
      <c r="B126" s="162">
        <f ca="1">TblConstr[[#This Row],[Land]]</f>
        <v>250</v>
      </c>
      <c r="C126" s="97">
        <f ca="1">TblProd[[#This Row],[Mana]]</f>
        <v>0</v>
      </c>
      <c r="D126" s="164">
        <f ca="1">MIN(1,OFFSET(TblMagic[[#This Row],[Wiz str]],-1,0)+0.04+ROUNDDOWN(10*OFFSET(TblMili[[#This Row],[WG''s]],-1,0),0)+ tech_2_7*OFFSET(TblTech[[#This Row],[2-7]],-1,0) + tech_5_6*OFFSET(TblTech[[#This Row],[5-6]],-1,0) )-TblMagic[[#This Row],[Wiz str cost]]</f>
        <v>1</v>
      </c>
      <c r="E126" s="167">
        <f ca="1">OFFSET(TblMagic[[#This Row],[Time]],-1,0)+1/24</f>
        <v>44815.833333333037</v>
      </c>
      <c r="F126" s="164">
        <f ca="1">TblImps[[#This Row],[Population]]</f>
        <v>1</v>
      </c>
      <c r="G126" s="234"/>
      <c r="H126" s="234"/>
      <c r="I126" s="234"/>
      <c r="J126" s="234"/>
      <c r="K126" s="437"/>
      <c r="L126" s="234"/>
      <c r="M126" s="234"/>
      <c r="N126" s="234"/>
      <c r="O126" s="234"/>
      <c r="P126" s="234"/>
      <c r="Q126" s="234"/>
      <c r="R126" s="234"/>
      <c r="S126" s="234"/>
      <c r="T126" s="234"/>
      <c r="U126" s="234"/>
      <c r="V126" s="234"/>
      <c r="W126" s="150"/>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64">
        <f>SUMIF(TblMagic[[#This Row],[Gaia''s Watch]:[Useless spell]],1)*0.05</f>
        <v>0</v>
      </c>
      <c r="Z126" s="150"/>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Row],[Blizzard]],12,IF(OFFSET(TblMagic[[#This Row],[Active Blizzard]],-1,0)&gt;0,OFFSET(TblMagic[[#This Row],[Active Blizzard]],-1,0)-1,0))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5">
        <f>TblRezone[[#This Row],[Hour]]</f>
        <v>124</v>
      </c>
      <c r="B127" s="162">
        <f ca="1">TblConstr[[#This Row],[Land]]</f>
        <v>250</v>
      </c>
      <c r="C127" s="97">
        <f ca="1">TblProd[[#This Row],[Mana]]</f>
        <v>0</v>
      </c>
      <c r="D127" s="164">
        <f ca="1">MIN(1,OFFSET(TblMagic[[#This Row],[Wiz str]],-1,0)+0.04+ROUNDDOWN(10*OFFSET(TblMili[[#This Row],[WG''s]],-1,0),0)+ tech_2_7*OFFSET(TblTech[[#This Row],[2-7]],-1,0) + tech_5_6*OFFSET(TblTech[[#This Row],[5-6]],-1,0) )-TblMagic[[#This Row],[Wiz str cost]]</f>
        <v>1</v>
      </c>
      <c r="E127" s="167">
        <f ca="1">OFFSET(TblMagic[[#This Row],[Time]],-1,0)+1/24</f>
        <v>44815.874999999702</v>
      </c>
      <c r="F127" s="164">
        <f ca="1">TblImps[[#This Row],[Population]]</f>
        <v>1</v>
      </c>
      <c r="G127" s="234"/>
      <c r="H127" s="234"/>
      <c r="I127" s="234"/>
      <c r="J127" s="234"/>
      <c r="K127" s="437"/>
      <c r="L127" s="234"/>
      <c r="M127" s="234"/>
      <c r="N127" s="234"/>
      <c r="O127" s="234"/>
      <c r="P127" s="234"/>
      <c r="Q127" s="234"/>
      <c r="R127" s="234"/>
      <c r="S127" s="234"/>
      <c r="T127" s="234"/>
      <c r="U127" s="234"/>
      <c r="V127" s="234"/>
      <c r="W127" s="150"/>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64">
        <f>SUMIF(TblMagic[[#This Row],[Gaia''s Watch]:[Useless spell]],1)*0.05</f>
        <v>0</v>
      </c>
      <c r="Z127" s="150"/>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Row],[Blizzard]],12,IF(OFFSET(TblMagic[[#This Row],[Active Blizzard]],-1,0)&gt;0,OFFSET(TblMagic[[#This Row],[Active Blizzard]],-1,0)-1,0))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5">
        <f>TblRezone[[#This Row],[Hour]]</f>
        <v>125</v>
      </c>
      <c r="B128" s="162">
        <f ca="1">TblConstr[[#This Row],[Land]]</f>
        <v>250</v>
      </c>
      <c r="C128" s="97">
        <f ca="1">TblProd[[#This Row],[Mana]]</f>
        <v>0</v>
      </c>
      <c r="D128" s="164">
        <f ca="1">MIN(1,OFFSET(TblMagic[[#This Row],[Wiz str]],-1,0)+0.04+ROUNDDOWN(10*OFFSET(TblMili[[#This Row],[WG''s]],-1,0),0)+ tech_2_7*OFFSET(TblTech[[#This Row],[2-7]],-1,0) + tech_5_6*OFFSET(TblTech[[#This Row],[5-6]],-1,0) )-TblMagic[[#This Row],[Wiz str cost]]</f>
        <v>1</v>
      </c>
      <c r="E128" s="167">
        <f ca="1">OFFSET(TblMagic[[#This Row],[Time]],-1,0)+1/24</f>
        <v>44815.916666666366</v>
      </c>
      <c r="F128" s="164">
        <f ca="1">TblImps[[#This Row],[Population]]</f>
        <v>1</v>
      </c>
      <c r="G128" s="234"/>
      <c r="H128" s="234"/>
      <c r="I128" s="234"/>
      <c r="J128" s="234"/>
      <c r="K128" s="437"/>
      <c r="L128" s="234"/>
      <c r="M128" s="234"/>
      <c r="N128" s="234"/>
      <c r="O128" s="234"/>
      <c r="P128" s="234"/>
      <c r="Q128" s="234"/>
      <c r="R128" s="234"/>
      <c r="S128" s="234"/>
      <c r="T128" s="234"/>
      <c r="U128" s="234"/>
      <c r="V128" s="234"/>
      <c r="W128" s="150"/>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64">
        <f>SUMIF(TblMagic[[#This Row],[Gaia''s Watch]:[Useless spell]],1)*0.05</f>
        <v>0</v>
      </c>
      <c r="Z128" s="150"/>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Row],[Blizzard]],12,IF(OFFSET(TblMagic[[#This Row],[Active Blizzard]],-1,0)&gt;0,OFFSET(TblMagic[[#This Row],[Active Blizzard]],-1,0)-1,0))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5">
        <f>TblRezone[[#This Row],[Hour]]</f>
        <v>126</v>
      </c>
      <c r="B129" s="162">
        <f ca="1">TblConstr[[#This Row],[Land]]</f>
        <v>250</v>
      </c>
      <c r="C129" s="97">
        <f ca="1">TblProd[[#This Row],[Mana]]</f>
        <v>0</v>
      </c>
      <c r="D129" s="164">
        <f ca="1">MIN(1,OFFSET(TblMagic[[#This Row],[Wiz str]],-1,0)+0.04+ROUNDDOWN(10*OFFSET(TblMili[[#This Row],[WG''s]],-1,0),0)+ tech_2_7*OFFSET(TblTech[[#This Row],[2-7]],-1,0) + tech_5_6*OFFSET(TblTech[[#This Row],[5-6]],-1,0) )-TblMagic[[#This Row],[Wiz str cost]]</f>
        <v>1</v>
      </c>
      <c r="E129" s="167">
        <f ca="1">OFFSET(TblMagic[[#This Row],[Time]],-1,0)+1/24</f>
        <v>44815.95833333303</v>
      </c>
      <c r="F129" s="164">
        <f ca="1">TblImps[[#This Row],[Population]]</f>
        <v>1</v>
      </c>
      <c r="G129" s="234"/>
      <c r="H129" s="234"/>
      <c r="I129" s="234"/>
      <c r="J129" s="234"/>
      <c r="K129" s="437"/>
      <c r="L129" s="234"/>
      <c r="M129" s="234"/>
      <c r="N129" s="234"/>
      <c r="O129" s="234"/>
      <c r="P129" s="234"/>
      <c r="Q129" s="234"/>
      <c r="R129" s="234"/>
      <c r="S129" s="234"/>
      <c r="T129" s="234"/>
      <c r="U129" s="234"/>
      <c r="V129" s="234"/>
      <c r="W129" s="150"/>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64">
        <f>SUMIF(TblMagic[[#This Row],[Gaia''s Watch]:[Useless spell]],1)*0.05</f>
        <v>0</v>
      </c>
      <c r="Z129" s="150"/>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Row],[Blizzard]],12,IF(OFFSET(TblMagic[[#This Row],[Active Blizzard]],-1,0)&gt;0,OFFSET(TblMagic[[#This Row],[Active Blizzard]],-1,0)-1,0))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5">
        <f>TblRezone[[#This Row],[Hour]]</f>
        <v>127</v>
      </c>
      <c r="B130" s="162">
        <f ca="1">TblConstr[[#This Row],[Land]]</f>
        <v>250</v>
      </c>
      <c r="C130" s="97">
        <f ca="1">TblProd[[#This Row],[Mana]]</f>
        <v>0</v>
      </c>
      <c r="D130" s="164">
        <f ca="1">MIN(1,OFFSET(TblMagic[[#This Row],[Wiz str]],-1,0)+0.04+ROUNDDOWN(10*OFFSET(TblMili[[#This Row],[WG''s]],-1,0),0)+ tech_2_7*OFFSET(TblTech[[#This Row],[2-7]],-1,0) + tech_5_6*OFFSET(TblTech[[#This Row],[5-6]],-1,0) )-TblMagic[[#This Row],[Wiz str cost]]</f>
        <v>1</v>
      </c>
      <c r="E130" s="167">
        <f ca="1">OFFSET(TblMagic[[#This Row],[Time]],-1,0)+1/24</f>
        <v>44815.999999999694</v>
      </c>
      <c r="F130" s="164">
        <f ca="1">TblImps[[#This Row],[Population]]</f>
        <v>1</v>
      </c>
      <c r="G130" s="234"/>
      <c r="H130" s="234"/>
      <c r="I130" s="234"/>
      <c r="J130" s="234"/>
      <c r="K130" s="437"/>
      <c r="L130" s="234"/>
      <c r="M130" s="234"/>
      <c r="N130" s="234"/>
      <c r="O130" s="234"/>
      <c r="P130" s="234"/>
      <c r="Q130" s="234"/>
      <c r="R130" s="234"/>
      <c r="S130" s="234"/>
      <c r="T130" s="234"/>
      <c r="U130" s="234"/>
      <c r="V130" s="234"/>
      <c r="W130" s="150"/>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64">
        <f>SUMIF(TblMagic[[#This Row],[Gaia''s Watch]:[Useless spell]],1)*0.05</f>
        <v>0</v>
      </c>
      <c r="Z130" s="150"/>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Row],[Blizzard]],12,IF(OFFSET(TblMagic[[#This Row],[Active Blizzard]],-1,0)&gt;0,OFFSET(TblMagic[[#This Row],[Active Blizzard]],-1,0)-1,0))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5">
        <f>TblRezone[[#This Row],[Hour]]</f>
        <v>128</v>
      </c>
      <c r="B131" s="162">
        <f ca="1">TblConstr[[#This Row],[Land]]</f>
        <v>250</v>
      </c>
      <c r="C131" s="97">
        <f ca="1">TblProd[[#This Row],[Mana]]</f>
        <v>0</v>
      </c>
      <c r="D131" s="164">
        <f ca="1">MIN(1,OFFSET(TblMagic[[#This Row],[Wiz str]],-1,0)+0.04+ROUNDDOWN(10*OFFSET(TblMili[[#This Row],[WG''s]],-1,0),0)+ tech_2_7*OFFSET(TblTech[[#This Row],[2-7]],-1,0) + tech_5_6*OFFSET(TblTech[[#This Row],[5-6]],-1,0) )-TblMagic[[#This Row],[Wiz str cost]]</f>
        <v>1</v>
      </c>
      <c r="E131" s="167">
        <f ca="1">OFFSET(TblMagic[[#This Row],[Time]],-1,0)+1/24</f>
        <v>44816.041666666359</v>
      </c>
      <c r="F131" s="164">
        <f ca="1">TblImps[[#This Row],[Population]]</f>
        <v>1</v>
      </c>
      <c r="G131" s="234"/>
      <c r="H131" s="234"/>
      <c r="I131" s="234"/>
      <c r="J131" s="234"/>
      <c r="K131" s="437"/>
      <c r="L131" s="234"/>
      <c r="M131" s="234"/>
      <c r="N131" s="234"/>
      <c r="O131" s="234"/>
      <c r="P131" s="234"/>
      <c r="Q131" s="234"/>
      <c r="R131" s="234"/>
      <c r="S131" s="234"/>
      <c r="T131" s="234"/>
      <c r="U131" s="234"/>
      <c r="V131" s="234"/>
      <c r="W131" s="150"/>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64">
        <f>SUMIF(TblMagic[[#This Row],[Gaia''s Watch]:[Useless spell]],1)*0.05</f>
        <v>0</v>
      </c>
      <c r="Z131" s="150"/>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Row],[Blizzard]],12,IF(OFFSET(TblMagic[[#This Row],[Active Blizzard]],-1,0)&gt;0,OFFSET(TblMagic[[#This Row],[Active Blizzard]],-1,0)-1,0))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5">
        <f>TblRezone[[#This Row],[Hour]]</f>
        <v>129</v>
      </c>
      <c r="B132" s="162">
        <f ca="1">TblConstr[[#This Row],[Land]]</f>
        <v>250</v>
      </c>
      <c r="C132" s="97">
        <f ca="1">TblProd[[#This Row],[Mana]]</f>
        <v>0</v>
      </c>
      <c r="D132" s="164">
        <f ca="1">MIN(1,OFFSET(TblMagic[[#This Row],[Wiz str]],-1,0)+0.04+ROUNDDOWN(10*OFFSET(TblMili[[#This Row],[WG''s]],-1,0),0)+ tech_2_7*OFFSET(TblTech[[#This Row],[2-7]],-1,0) + tech_5_6*OFFSET(TblTech[[#This Row],[5-6]],-1,0) )-TblMagic[[#This Row],[Wiz str cost]]</f>
        <v>1</v>
      </c>
      <c r="E132" s="167">
        <f ca="1">OFFSET(TblMagic[[#This Row],[Time]],-1,0)+1/24</f>
        <v>44816.083333333023</v>
      </c>
      <c r="F132" s="164">
        <f ca="1">TblImps[[#This Row],[Population]]</f>
        <v>1</v>
      </c>
      <c r="G132" s="234"/>
      <c r="H132" s="234"/>
      <c r="I132" s="234"/>
      <c r="J132" s="234"/>
      <c r="K132" s="437"/>
      <c r="L132" s="234"/>
      <c r="M132" s="234"/>
      <c r="N132" s="234"/>
      <c r="O132" s="234"/>
      <c r="P132" s="234"/>
      <c r="Q132" s="234"/>
      <c r="R132" s="234"/>
      <c r="S132" s="234"/>
      <c r="T132" s="234"/>
      <c r="U132" s="234"/>
      <c r="V132" s="234"/>
      <c r="W132" s="150"/>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64">
        <f>SUMIF(TblMagic[[#This Row],[Gaia''s Watch]:[Useless spell]],1)*0.05</f>
        <v>0</v>
      </c>
      <c r="Z132" s="150"/>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Row],[Blizzard]],12,IF(OFFSET(TblMagic[[#This Row],[Active Blizzard]],-1,0)&gt;0,OFFSET(TblMagic[[#This Row],[Active Blizzard]],-1,0)-1,0))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5">
        <f>TblRezone[[#This Row],[Hour]]</f>
        <v>130</v>
      </c>
      <c r="B133" s="162">
        <f ca="1">TblConstr[[#This Row],[Land]]</f>
        <v>250</v>
      </c>
      <c r="C133" s="97">
        <f ca="1">TblProd[[#This Row],[Mana]]</f>
        <v>0</v>
      </c>
      <c r="D133" s="164">
        <f ca="1">MIN(1,OFFSET(TblMagic[[#This Row],[Wiz str]],-1,0)+0.04+ROUNDDOWN(10*OFFSET(TblMili[[#This Row],[WG''s]],-1,0),0)+ tech_2_7*OFFSET(TblTech[[#This Row],[2-7]],-1,0) + tech_5_6*OFFSET(TblTech[[#This Row],[5-6]],-1,0) )-TblMagic[[#This Row],[Wiz str cost]]</f>
        <v>1</v>
      </c>
      <c r="E133" s="167">
        <f ca="1">OFFSET(TblMagic[[#This Row],[Time]],-1,0)+1/24</f>
        <v>44816.124999999687</v>
      </c>
      <c r="F133" s="164">
        <f ca="1">TblImps[[#This Row],[Population]]</f>
        <v>1</v>
      </c>
      <c r="G133" s="234"/>
      <c r="H133" s="234"/>
      <c r="I133" s="234"/>
      <c r="J133" s="234"/>
      <c r="K133" s="437"/>
      <c r="L133" s="234"/>
      <c r="M133" s="234"/>
      <c r="N133" s="234"/>
      <c r="O133" s="234"/>
      <c r="P133" s="234"/>
      <c r="Q133" s="234"/>
      <c r="R133" s="234"/>
      <c r="S133" s="234"/>
      <c r="T133" s="234"/>
      <c r="U133" s="234"/>
      <c r="V133" s="234"/>
      <c r="W133" s="150"/>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64">
        <f>SUMIF(TblMagic[[#This Row],[Gaia''s Watch]:[Useless spell]],1)*0.05</f>
        <v>0</v>
      </c>
      <c r="Z133" s="150"/>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Row],[Blizzard]],12,IF(OFFSET(TblMagic[[#This Row],[Active Blizzard]],-1,0)&gt;0,OFFSET(TblMagic[[#This Row],[Active Blizzard]],-1,0)-1,0))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5">
        <f>TblRezone[[#This Row],[Hour]]</f>
        <v>131</v>
      </c>
      <c r="B134" s="162">
        <f ca="1">TblConstr[[#This Row],[Land]]</f>
        <v>250</v>
      </c>
      <c r="C134" s="97">
        <f ca="1">TblProd[[#This Row],[Mana]]</f>
        <v>0</v>
      </c>
      <c r="D134" s="164">
        <f ca="1">MIN(1,OFFSET(TblMagic[[#This Row],[Wiz str]],-1,0)+0.04+ROUNDDOWN(10*OFFSET(TblMili[[#This Row],[WG''s]],-1,0),0)+ tech_2_7*OFFSET(TblTech[[#This Row],[2-7]],-1,0) + tech_5_6*OFFSET(TblTech[[#This Row],[5-6]],-1,0) )-TblMagic[[#This Row],[Wiz str cost]]</f>
        <v>1</v>
      </c>
      <c r="E134" s="167">
        <f ca="1">OFFSET(TblMagic[[#This Row],[Time]],-1,0)+1/24</f>
        <v>44816.166666666351</v>
      </c>
      <c r="F134" s="164">
        <f ca="1">TblImps[[#This Row],[Population]]</f>
        <v>1</v>
      </c>
      <c r="G134" s="234"/>
      <c r="H134" s="234"/>
      <c r="I134" s="234"/>
      <c r="J134" s="234"/>
      <c r="K134" s="437"/>
      <c r="L134" s="234"/>
      <c r="M134" s="234"/>
      <c r="N134" s="234"/>
      <c r="O134" s="234"/>
      <c r="P134" s="234"/>
      <c r="Q134" s="234"/>
      <c r="R134" s="234"/>
      <c r="S134" s="234"/>
      <c r="T134" s="234"/>
      <c r="U134" s="234"/>
      <c r="V134" s="234"/>
      <c r="W134" s="150"/>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64">
        <f>SUMIF(TblMagic[[#This Row],[Gaia''s Watch]:[Useless spell]],1)*0.05</f>
        <v>0</v>
      </c>
      <c r="Z134" s="150"/>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Row],[Blizzard]],12,IF(OFFSET(TblMagic[[#This Row],[Active Blizzard]],-1,0)&gt;0,OFFSET(TblMagic[[#This Row],[Active Blizzard]],-1,0)-1,0))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5">
        <f>TblRezone[[#This Row],[Hour]]</f>
        <v>132</v>
      </c>
      <c r="B135" s="162">
        <f ca="1">TblConstr[[#This Row],[Land]]</f>
        <v>250</v>
      </c>
      <c r="C135" s="97">
        <f ca="1">TblProd[[#This Row],[Mana]]</f>
        <v>0</v>
      </c>
      <c r="D135" s="164">
        <f ca="1">MIN(1,OFFSET(TblMagic[[#This Row],[Wiz str]],-1,0)+0.04+ROUNDDOWN(10*OFFSET(TblMili[[#This Row],[WG''s]],-1,0),0)+ tech_2_7*OFFSET(TblTech[[#This Row],[2-7]],-1,0) + tech_5_6*OFFSET(TblTech[[#This Row],[5-6]],-1,0) )-TblMagic[[#This Row],[Wiz str cost]]</f>
        <v>1</v>
      </c>
      <c r="E135" s="167">
        <f ca="1">OFFSET(TblMagic[[#This Row],[Time]],-1,0)+1/24</f>
        <v>44816.208333333016</v>
      </c>
      <c r="F135" s="164">
        <f ca="1">TblImps[[#This Row],[Population]]</f>
        <v>1</v>
      </c>
      <c r="G135" s="234"/>
      <c r="H135" s="234"/>
      <c r="I135" s="234"/>
      <c r="J135" s="234"/>
      <c r="K135" s="437"/>
      <c r="L135" s="234"/>
      <c r="M135" s="234"/>
      <c r="N135" s="234"/>
      <c r="O135" s="234"/>
      <c r="P135" s="234"/>
      <c r="Q135" s="234"/>
      <c r="R135" s="234"/>
      <c r="S135" s="234"/>
      <c r="T135" s="234"/>
      <c r="U135" s="234"/>
      <c r="V135" s="234"/>
      <c r="W135" s="150"/>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64">
        <f>SUMIF(TblMagic[[#This Row],[Gaia''s Watch]:[Useless spell]],1)*0.05</f>
        <v>0</v>
      </c>
      <c r="Z135" s="150"/>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Row],[Blizzard]],12,IF(OFFSET(TblMagic[[#This Row],[Active Blizzard]],-1,0)&gt;0,OFFSET(TblMagic[[#This Row],[Active Blizzard]],-1,0)-1,0))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5">
        <f>TblRezone[[#This Row],[Hour]]</f>
        <v>133</v>
      </c>
      <c r="B136" s="162">
        <f ca="1">TblConstr[[#This Row],[Land]]</f>
        <v>250</v>
      </c>
      <c r="C136" s="97">
        <f ca="1">TblProd[[#This Row],[Mana]]</f>
        <v>0</v>
      </c>
      <c r="D136" s="164">
        <f ca="1">MIN(1,OFFSET(TblMagic[[#This Row],[Wiz str]],-1,0)+0.04+ROUNDDOWN(10*OFFSET(TblMili[[#This Row],[WG''s]],-1,0),0)+ tech_2_7*OFFSET(TblTech[[#This Row],[2-7]],-1,0) + tech_5_6*OFFSET(TblTech[[#This Row],[5-6]],-1,0) )-TblMagic[[#This Row],[Wiz str cost]]</f>
        <v>1</v>
      </c>
      <c r="E136" s="167">
        <f ca="1">OFFSET(TblMagic[[#This Row],[Time]],-1,0)+1/24</f>
        <v>44816.24999999968</v>
      </c>
      <c r="F136" s="164">
        <f ca="1">TblImps[[#This Row],[Population]]</f>
        <v>1</v>
      </c>
      <c r="G136" s="234"/>
      <c r="H136" s="234"/>
      <c r="I136" s="234"/>
      <c r="J136" s="234"/>
      <c r="K136" s="437"/>
      <c r="L136" s="234"/>
      <c r="M136" s="234"/>
      <c r="N136" s="234"/>
      <c r="O136" s="234"/>
      <c r="P136" s="234"/>
      <c r="Q136" s="234"/>
      <c r="R136" s="234"/>
      <c r="S136" s="234"/>
      <c r="T136" s="234"/>
      <c r="U136" s="234"/>
      <c r="V136" s="234"/>
      <c r="W136" s="150"/>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64">
        <f>SUMIF(TblMagic[[#This Row],[Gaia''s Watch]:[Useless spell]],1)*0.05</f>
        <v>0</v>
      </c>
      <c r="Z136" s="150"/>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Row],[Blizzard]],12,IF(OFFSET(TblMagic[[#This Row],[Active Blizzard]],-1,0)&gt;0,OFFSET(TblMagic[[#This Row],[Active Blizzard]],-1,0)-1,0))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5" t="s">
        <v>321</v>
      </c>
      <c r="D1269" s="448"/>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93">
        <f ca="1">(INDIRECT("D" &amp; (INDIRECT("A4")+2)) &gt;= INDIRECT("E" &amp; (INDIRECT("A5")+2)))*1</f>
        <v>1</v>
      </c>
    </row>
    <row r="2" spans="1:79" ht="15.75" x14ac:dyDescent="0.25">
      <c r="E2" s="185" t="s">
        <v>1029</v>
      </c>
      <c r="F2" s="309">
        <f>IFERROR(SMALL(TblTech[Activate @ hour],1),0)</f>
        <v>0</v>
      </c>
      <c r="G2" s="45" t="s">
        <v>1095</v>
      </c>
      <c r="M2" s="294">
        <f>INDEX(TblTech[[Activate @ hour]:[Number]],MATCH(TblTech[[#Headers],[1-1]],TblTech[[Number]:[Number]],0),1)</f>
        <v>0</v>
      </c>
      <c r="N2" s="294">
        <f>INDEX(TblTech[[Activate @ hour]:[Number]],MATCH(TblTech[[#Headers],[1-2]],TblTech[[Number]:[Number]],0),1)</f>
        <v>0</v>
      </c>
      <c r="O2" s="294">
        <f>INDEX(TblTech[[Activate @ hour]:[Number]],MATCH(TblTech[[#Headers],[1-3]],TblTech[[Number]:[Number]],0),1)</f>
        <v>0</v>
      </c>
      <c r="P2" s="294">
        <f>INDEX(TblTech[[Activate @ hour]:[Number]],MATCH(TblTech[[#Headers],[1-4]],TblTech[[Number]:[Number]],0),1)</f>
        <v>0</v>
      </c>
      <c r="Q2" s="294">
        <f>INDEX(TblTech[[Activate @ hour]:[Number]],MATCH(TblTech[[#Headers],[1-5]],TblTech[[Number]:[Number]],0),1)</f>
        <v>0</v>
      </c>
      <c r="R2" s="294">
        <f>INDEX(TblTech[[Activate @ hour]:[Number]],MATCH(TblTech[[#Headers],[1-6]],TblTech[[Number]:[Number]],0),1)</f>
        <v>0</v>
      </c>
      <c r="S2" s="294">
        <f>INDEX(TblTech[[Activate @ hour]:[Number]],MATCH(TblTech[[#Headers],[1-7]],TblTech[[Number]:[Number]],0),1)</f>
        <v>0</v>
      </c>
      <c r="T2" s="294">
        <f>INDEX(TblTech[[Activate @ hour]:[Number]],MATCH(TblTech[[#Headers],[1-8]],TblTech[[Number]:[Number]],0),1)</f>
        <v>0</v>
      </c>
      <c r="U2" s="294">
        <f>INDEX(TblTech[[Activate @ hour]:[Number]],MATCH(TblTech[[#Headers],[1-9]],TblTech[[Number]:[Number]],0),1)</f>
        <v>0</v>
      </c>
      <c r="V2" s="294">
        <f>INDEX(TblTech[[Activate @ hour]:[Number]],MATCH(TblTech[[#Headers],[1-10]],TblTech[[Number]:[Number]],0),1)</f>
        <v>0</v>
      </c>
      <c r="W2" s="294">
        <f>INDEX(TblTech[[Activate @ hour]:[Number]],MATCH(TblTech[[#Headers],[1-11]],TblTech[[Number]:[Number]],0),1)</f>
        <v>0</v>
      </c>
      <c r="X2" s="294">
        <f>INDEX(TblTech[[Activate @ hour]:[Number]],MATCH(TblTech[[#Headers],[2-1]],TblTech[[Number]:[Number]],0),1)</f>
        <v>0</v>
      </c>
      <c r="Y2" s="294">
        <f>INDEX(TblTech[[Activate @ hour]:[Number]],MATCH(TblTech[[#Headers],[2-2]],TblTech[[Number]:[Number]],0),1)</f>
        <v>0</v>
      </c>
      <c r="Z2" s="294">
        <f>INDEX(TblTech[[Activate @ hour]:[Number]],MATCH(TblTech[[#Headers],[2-3]],TblTech[[Number]:[Number]],0),1)</f>
        <v>0</v>
      </c>
      <c r="AA2" s="294">
        <f>INDEX(TblTech[[Activate @ hour]:[Number]],MATCH(TblTech[[#Headers],[2-4]],TblTech[[Number]:[Number]],0),1)</f>
        <v>0</v>
      </c>
      <c r="AB2" s="294">
        <f>INDEX(TblTech[[Activate @ hour]:[Number]],MATCH(TblTech[[#Headers],[2-5]],TblTech[[Number]:[Number]],0),1)</f>
        <v>0</v>
      </c>
      <c r="AC2" s="294">
        <f>INDEX(TblTech[[Activate @ hour]:[Number]],MATCH(TblTech[[#Headers],[2-6]],TblTech[[Number]:[Number]],0),1)</f>
        <v>0</v>
      </c>
      <c r="AD2" s="294">
        <f>INDEX(TblTech[[Activate @ hour]:[Number]],MATCH(TblTech[[#Headers],[2-7]],TblTech[[Number]:[Number]],0),1)</f>
        <v>0</v>
      </c>
      <c r="AE2" s="294">
        <f>INDEX(TblTech[[Activate @ hour]:[Number]],MATCH(TblTech[[#Headers],[2-8]],TblTech[[Number]:[Number]],0),1)</f>
        <v>0</v>
      </c>
      <c r="AF2" s="294">
        <f>INDEX(TblTech[[Activate @ hour]:[Number]],MATCH(TblTech[[#Headers],[2-9]],TblTech[[Number]:[Number]],0),1)</f>
        <v>0</v>
      </c>
      <c r="AG2" s="294">
        <f>INDEX(TblTech[[Activate @ hour]:[Number]],MATCH(TblTech[[#Headers],[2-10]],TblTech[[Number]:[Number]],0),1)</f>
        <v>0</v>
      </c>
      <c r="AH2" s="294">
        <f>INDEX(TblTech[[Activate @ hour]:[Number]],MATCH(TblTech[[#Headers],[3-1]],TblTech[[Number]:[Number]],0),1)</f>
        <v>0</v>
      </c>
      <c r="AI2" s="294">
        <f>INDEX(TblTech[[Activate @ hour]:[Number]],MATCH(TblTech[[#Headers],[3-2]],TblTech[[Number]:[Number]],0),1)</f>
        <v>0</v>
      </c>
      <c r="AJ2" s="294">
        <f>INDEX(TblTech[[Activate @ hour]:[Number]],MATCH(TblTech[[#Headers],[3-3]],TblTech[[Number]:[Number]],0),1)</f>
        <v>0</v>
      </c>
      <c r="AK2" s="294">
        <f>INDEX(TblTech[[Activate @ hour]:[Number]],MATCH(TblTech[[#Headers],[3-4]],TblTech[[Number]:[Number]],0),1)</f>
        <v>0</v>
      </c>
      <c r="AL2" s="294">
        <f>INDEX(TblTech[[Activate @ hour]:[Number]],MATCH(TblTech[[#Headers],[3-5]],TblTech[[Number]:[Number]],0),1)</f>
        <v>0</v>
      </c>
      <c r="AM2" s="294">
        <f>INDEX(TblTech[[Activate @ hour]:[Number]],MATCH(TblTech[[#Headers],[3-6]],TblTech[[Number]:[Number]],0),1)</f>
        <v>0</v>
      </c>
      <c r="AN2" s="294">
        <f>INDEX(TblTech[[Activate @ hour]:[Number]],MATCH(TblTech[[#Headers],[3-7]],TblTech[[Number]:[Number]],0),1)</f>
        <v>0</v>
      </c>
      <c r="AO2" s="294">
        <f>INDEX(TblTech[[Activate @ hour]:[Number]],MATCH(TblTech[[#Headers],[3-8]],TblTech[[Number]:[Number]],0),1)</f>
        <v>0</v>
      </c>
      <c r="AP2" s="294">
        <f>INDEX(TblTech[[Activate @ hour]:[Number]],MATCH(TblTech[[#Headers],[3-9]],TblTech[[Number]:[Number]],0),1)</f>
        <v>0</v>
      </c>
      <c r="AQ2" s="294">
        <f>INDEX(TblTech[[Activate @ hour]:[Number]],MATCH(TblTech[[#Headers],[4-1]],TblTech[[Number]:[Number]],0),1)</f>
        <v>0</v>
      </c>
      <c r="AR2" s="294">
        <f>INDEX(TblTech[[Activate @ hour]:[Number]],MATCH(TblTech[[#Headers],[4-2]],TblTech[[Number]:[Number]],0),1)</f>
        <v>0</v>
      </c>
      <c r="AS2" s="294">
        <f>INDEX(TblTech[[Activate @ hour]:[Number]],MATCH(TblTech[[#Headers],[4-3]],TblTech[[Number]:[Number]],0),1)</f>
        <v>0</v>
      </c>
      <c r="AT2" s="294">
        <f>INDEX(TblTech[[Activate @ hour]:[Number]],MATCH(TblTech[[#Headers],[4-4]],TblTech[[Number]:[Number]],0),1)</f>
        <v>0</v>
      </c>
      <c r="AU2" s="294">
        <f>INDEX(TblTech[[Activate @ hour]:[Number]],MATCH(TblTech[[#Headers],[4-5]],TblTech[[Number]:[Number]],0),1)</f>
        <v>0</v>
      </c>
      <c r="AV2" s="294">
        <f>INDEX(TblTech[[Activate @ hour]:[Number]],MATCH(TblTech[[#Headers],[4-6]],TblTech[[Number]:[Number]],0),1)</f>
        <v>0</v>
      </c>
      <c r="AW2" s="294">
        <f>INDEX(TblTech[[Activate @ hour]:[Number]],MATCH(TblTech[[#Headers],[4-7]],TblTech[[Number]:[Number]],0),1)</f>
        <v>0</v>
      </c>
      <c r="AX2" s="294">
        <f>INDEX(TblTech[[Activate @ hour]:[Number]],MATCH(TblTech[[#Headers],[4-8]],TblTech[[Number]:[Number]],0),1)</f>
        <v>0</v>
      </c>
      <c r="AY2" s="294">
        <f>INDEX(TblTech[[Activate @ hour]:[Number]],MATCH(TblTech[[#Headers],[5-1]],TblTech[[Number]:[Number]],0),1)</f>
        <v>0</v>
      </c>
      <c r="AZ2" s="294">
        <f>INDEX(TblTech[[Activate @ hour]:[Number]],MATCH(TblTech[[#Headers],[5-2]],TblTech[[Number]:[Number]],0),1)</f>
        <v>0</v>
      </c>
      <c r="BA2" s="294">
        <f>INDEX(TblTech[[Activate @ hour]:[Number]],MATCH(TblTech[[#Headers],[5-3]],TblTech[[Number]:[Number]],0),1)</f>
        <v>0</v>
      </c>
      <c r="BB2" s="294">
        <f>INDEX(TblTech[[Activate @ hour]:[Number]],MATCH(TblTech[[#Headers],[5-4]],TblTech[[Number]:[Number]],0),1)</f>
        <v>0</v>
      </c>
      <c r="BC2" s="294">
        <f>INDEX(TblTech[[Activate @ hour]:[Number]],MATCH(TblTech[[#Headers],[5-5]],TblTech[[Number]:[Number]],0),1)</f>
        <v>0</v>
      </c>
      <c r="BD2" s="294">
        <f>INDEX(TblTech[[Activate @ hour]:[Number]],MATCH(TblTech[[#Headers],[5-6]],TblTech[[Number]:[Number]],0),1)</f>
        <v>0</v>
      </c>
      <c r="BE2" s="294">
        <f>INDEX(TblTech[[Activate @ hour]:[Number]],MATCH(TblTech[[#Headers],[5-7]],TblTech[[Number]:[Number]],0),1)</f>
        <v>0</v>
      </c>
      <c r="BF2" s="294">
        <f>INDEX(TblTech[[Activate @ hour]:[Number]],MATCH(TblTech[[#Headers],[6-1]],TblTech[[Number]:[Number]],0),1)</f>
        <v>0</v>
      </c>
      <c r="BG2" s="294">
        <f>INDEX(TblTech[[Activate @ hour]:[Number]],MATCH(TblTech[[#Headers],[6-2]],TblTech[[Number]:[Number]],0),1)</f>
        <v>0</v>
      </c>
      <c r="BH2" s="294">
        <f>INDEX(TblTech[[Activate @ hour]:[Number]],MATCH(TblTech[[#Headers],[6-3]],TblTech[[Number]:[Number]],0),1)</f>
        <v>0</v>
      </c>
      <c r="BI2" s="294">
        <f>INDEX(TblTech[[Activate @ hour]:[Number]],MATCH(TblTech[[#Headers],[6-4]],TblTech[[Number]:[Number]],0),1)</f>
        <v>0</v>
      </c>
      <c r="BJ2" s="294">
        <f>INDEX(TblTech[[Activate @ hour]:[Number]],MATCH(TblTech[[#Headers],[6-5]],TblTech[[Number]:[Number]],0),1)</f>
        <v>0</v>
      </c>
      <c r="BK2" s="294">
        <f>INDEX(TblTech[[Activate @ hour]:[Number]],MATCH(TblTech[[#Headers],[6-6]],TblTech[[Number]:[Number]],0),1)</f>
        <v>0</v>
      </c>
      <c r="BL2" s="294">
        <f>INDEX(TblTech[[Activate @ hour]:[Number]],MATCH(TblTech[[#Headers],[7-1]],TblTech[[Number]:[Number]],0),1)</f>
        <v>0</v>
      </c>
      <c r="BM2" s="294">
        <f>INDEX(TblTech[[Activate @ hour]:[Number]],MATCH(TblTech[[#Headers],[7-2]],TblTech[[Number]:[Number]],0),1)</f>
        <v>0</v>
      </c>
      <c r="BN2" s="294">
        <f>INDEX(TblTech[[Activate @ hour]:[Number]],MATCH(TblTech[[#Headers],[7-3]],TblTech[[Number]:[Number]],0),1)</f>
        <v>0</v>
      </c>
      <c r="BO2" s="294">
        <f>INDEX(TblTech[[Activate @ hour]:[Number]],MATCH(TblTech[[#Headers],[7-4]],TblTech[[Number]:[Number]],0),1)</f>
        <v>0</v>
      </c>
      <c r="BP2" s="294">
        <f>INDEX(TblTech[[Activate @ hour]:[Number]],MATCH(TblTech[[#Headers],[7-5]],TblTech[[Number]:[Number]],0),1)</f>
        <v>0</v>
      </c>
      <c r="BQ2" s="294">
        <f>INDEX(TblTech[[Activate @ hour]:[Number]],MATCH(TblTech[[#Headers],[8-1]],TblTech[[Number]:[Number]],0),1)</f>
        <v>0</v>
      </c>
      <c r="BR2" s="294">
        <f>INDEX(TblTech[[Activate @ hour]:[Number]],MATCH(TblTech[[#Headers],[8-2]],TblTech[[Number]:[Number]],0),1)</f>
        <v>0</v>
      </c>
      <c r="BS2" s="294">
        <f>INDEX(TblTech[[Activate @ hour]:[Number]],MATCH(TblTech[[#Headers],[8-3]],TblTech[[Number]:[Number]],0),1)</f>
        <v>0</v>
      </c>
      <c r="BT2" s="294">
        <f>INDEX(TblTech[[Activate @ hour]:[Number]],MATCH(TblTech[[#Headers],[8-4]],TblTech[[Number]:[Number]],0),1)</f>
        <v>0</v>
      </c>
      <c r="BU2" s="294">
        <f>INDEX(TblTech[[Activate @ hour]:[Number]],MATCH(TblTech[[#Headers],[9-1]],TblTech[[Number]:[Number]],0),1)</f>
        <v>0</v>
      </c>
      <c r="BV2" s="294">
        <f>INDEX(TblTech[[Activate @ hour]:[Number]],MATCH(TblTech[[#Headers],[9-2]],TblTech[[Number]:[Number]],0),1)</f>
        <v>0</v>
      </c>
      <c r="BW2" s="294">
        <f>INDEX(TblTech[[Activate @ hour]:[Number]],MATCH(TblTech[[#Headers],[9-3]],TblTech[[Number]:[Number]],0),1)</f>
        <v>0</v>
      </c>
      <c r="BX2" s="294">
        <f>INDEX(TblTech[[Activate @ hour]:[Number]],MATCH(TblTech[[#Headers],[10-1]],TblTech[[Number]:[Number]],0),1)</f>
        <v>0</v>
      </c>
      <c r="BY2" s="294">
        <f>INDEX(TblTech[[Activate @ hour]:[Number]],MATCH(TblTech[[#Headers],[10-2]],TblTech[[Number]:[Number]],0),1)</f>
        <v>0</v>
      </c>
      <c r="BZ2" s="294">
        <f>INDEX(TblTech[[Activate @ hour]:[Number]],MATCH(TblTech[[#Headers],[11-1]],TblTech[[Number]:[Number]],0),1)</f>
        <v>0</v>
      </c>
    </row>
    <row r="3" spans="1:79" s="295" customFormat="1" ht="33.75" customHeight="1" x14ac:dyDescent="0.2">
      <c r="A3" s="295" t="s">
        <v>0</v>
      </c>
      <c r="B3" s="295" t="s">
        <v>1</v>
      </c>
      <c r="C3" s="295" t="s">
        <v>377</v>
      </c>
      <c r="D3" s="295" t="s">
        <v>33</v>
      </c>
      <c r="E3" s="295" t="s">
        <v>791</v>
      </c>
      <c r="F3" s="295" t="s">
        <v>1030</v>
      </c>
      <c r="G3" s="295" t="s">
        <v>957</v>
      </c>
      <c r="H3" s="295" t="s">
        <v>1001</v>
      </c>
      <c r="I3" s="295" t="s">
        <v>1002</v>
      </c>
      <c r="J3" s="295" t="s">
        <v>792</v>
      </c>
      <c r="K3" s="263" t="s">
        <v>793</v>
      </c>
      <c r="L3" s="295" t="s">
        <v>958</v>
      </c>
      <c r="M3" s="229" t="s">
        <v>545</v>
      </c>
      <c r="N3" s="229" t="s">
        <v>547</v>
      </c>
      <c r="O3" s="229" t="s">
        <v>549</v>
      </c>
      <c r="P3" s="229" t="s">
        <v>551</v>
      </c>
      <c r="Q3" s="229" t="s">
        <v>553</v>
      </c>
      <c r="R3" s="229" t="s">
        <v>555</v>
      </c>
      <c r="S3" s="229" t="s">
        <v>556</v>
      </c>
      <c r="T3" s="229" t="s">
        <v>557</v>
      </c>
      <c r="U3" s="229" t="s">
        <v>558</v>
      </c>
      <c r="V3" s="229" t="s">
        <v>560</v>
      </c>
      <c r="W3" s="229" t="s">
        <v>562</v>
      </c>
      <c r="X3" s="229" t="s">
        <v>563</v>
      </c>
      <c r="Y3" s="229" t="s">
        <v>564</v>
      </c>
      <c r="Z3" s="229" t="s">
        <v>565</v>
      </c>
      <c r="AA3" s="229" t="s">
        <v>567</v>
      </c>
      <c r="AB3" s="229" t="s">
        <v>569</v>
      </c>
      <c r="AC3" s="229" t="s">
        <v>570</v>
      </c>
      <c r="AD3" s="229" t="s">
        <v>572</v>
      </c>
      <c r="AE3" s="229" t="s">
        <v>574</v>
      </c>
      <c r="AF3" s="229" t="s">
        <v>575</v>
      </c>
      <c r="AG3" s="229" t="s">
        <v>576</v>
      </c>
      <c r="AH3" s="229" t="s">
        <v>578</v>
      </c>
      <c r="AI3" s="229" t="s">
        <v>580</v>
      </c>
      <c r="AJ3" s="229" t="s">
        <v>582</v>
      </c>
      <c r="AK3" s="229" t="s">
        <v>583</v>
      </c>
      <c r="AL3" s="229" t="s">
        <v>585</v>
      </c>
      <c r="AM3" s="229" t="s">
        <v>586</v>
      </c>
      <c r="AN3" s="229" t="s">
        <v>587</v>
      </c>
      <c r="AO3" s="229" t="s">
        <v>588</v>
      </c>
      <c r="AP3" s="229" t="s">
        <v>590</v>
      </c>
      <c r="AQ3" s="229" t="s">
        <v>592</v>
      </c>
      <c r="AR3" s="229" t="s">
        <v>593</v>
      </c>
      <c r="AS3" s="229" t="s">
        <v>594</v>
      </c>
      <c r="AT3" s="229" t="s">
        <v>595</v>
      </c>
      <c r="AU3" s="229" t="s">
        <v>596</v>
      </c>
      <c r="AV3" s="229" t="s">
        <v>597</v>
      </c>
      <c r="AW3" s="229" t="s">
        <v>599</v>
      </c>
      <c r="AX3" s="229" t="s">
        <v>601</v>
      </c>
      <c r="AY3" s="229" t="s">
        <v>602</v>
      </c>
      <c r="AZ3" s="229" t="s">
        <v>603</v>
      </c>
      <c r="BA3" s="229" t="s">
        <v>604</v>
      </c>
      <c r="BB3" s="229" t="s">
        <v>605</v>
      </c>
      <c r="BC3" s="229" t="s">
        <v>606</v>
      </c>
      <c r="BD3" s="229" t="s">
        <v>607</v>
      </c>
      <c r="BE3" s="229" t="s">
        <v>608</v>
      </c>
      <c r="BF3" s="229" t="s">
        <v>609</v>
      </c>
      <c r="BG3" s="229" t="s">
        <v>610</v>
      </c>
      <c r="BH3" s="229" t="s">
        <v>612</v>
      </c>
      <c r="BI3" s="229" t="s">
        <v>613</v>
      </c>
      <c r="BJ3" s="229" t="s">
        <v>615</v>
      </c>
      <c r="BK3" s="229" t="s">
        <v>616</v>
      </c>
      <c r="BL3" s="229" t="s">
        <v>617</v>
      </c>
      <c r="BM3" s="229" t="s">
        <v>619</v>
      </c>
      <c r="BN3" s="229" t="s">
        <v>621</v>
      </c>
      <c r="BO3" s="229" t="s">
        <v>622</v>
      </c>
      <c r="BP3" s="229" t="s">
        <v>623</v>
      </c>
      <c r="BQ3" s="229" t="s">
        <v>625</v>
      </c>
      <c r="BR3" s="229" t="s">
        <v>626</v>
      </c>
      <c r="BS3" s="229" t="s">
        <v>628</v>
      </c>
      <c r="BT3" s="229" t="s">
        <v>630</v>
      </c>
      <c r="BU3" s="229" t="s">
        <v>631</v>
      </c>
      <c r="BV3" s="229" t="s">
        <v>633</v>
      </c>
      <c r="BW3" s="229" t="s">
        <v>634</v>
      </c>
      <c r="BX3" s="229" t="s">
        <v>635</v>
      </c>
      <c r="BY3" s="229" t="s">
        <v>637</v>
      </c>
      <c r="BZ3" s="229" t="s">
        <v>638</v>
      </c>
      <c r="CA3" s="229" t="s">
        <v>694</v>
      </c>
    </row>
    <row r="4" spans="1:79" x14ac:dyDescent="0.2">
      <c r="A4" s="296">
        <f>TblRezone[[#This Row],[Hour]]</f>
        <v>1</v>
      </c>
      <c r="B4" s="297">
        <f ca="1">TblExplore[[#This Row],[Land-DB]]</f>
        <v>250</v>
      </c>
      <c r="C4" s="298">
        <f ca="1">TblProd[[#This Row],[Techpoints]]</f>
        <v>0</v>
      </c>
      <c r="D4" s="298">
        <f ca="1">TblProd[[#This Row],[Required]]</f>
        <v>3750</v>
      </c>
      <c r="E4" s="299"/>
      <c r="F4" s="300"/>
      <c r="G4" s="301" t="s">
        <v>545</v>
      </c>
      <c r="H4" s="302" t="s">
        <v>695</v>
      </c>
      <c r="I4" s="301" t="s">
        <v>546</v>
      </c>
      <c r="J4" s="297"/>
      <c r="K4" s="96">
        <f>TblTech[[#This Row],[Sum of tech]]</f>
        <v>0</v>
      </c>
      <c r="L4" s="303">
        <f>COUNTIF(TblTech[[#This Row],[1-1]:[11-1]],1)</f>
        <v>0</v>
      </c>
      <c r="M4" s="304" cm="1">
        <f t="array" ref="M4">IF(AND(M$2&lt;&gt;0,TblTech[[#This Row],[Hour]:[Hour]]&gt;=M$2),1,0)</f>
        <v>0</v>
      </c>
      <c r="N4" s="304" cm="1">
        <f t="array" ref="N4">IF(AND(N$2&lt;&gt;0,TblTech[[#This Row],[Hour]:[Hour]]&gt;=N$2),1,0)</f>
        <v>0</v>
      </c>
      <c r="O4" s="304" cm="1">
        <f t="array" ref="O4">IF(AND(O$2&lt;&gt;0,TblTech[[#This Row],[Hour]:[Hour]]&gt;=O$2),1,0)</f>
        <v>0</v>
      </c>
      <c r="P4" s="304" cm="1">
        <f t="array" ref="P4">IF(AND(P$2&lt;&gt;0,TblTech[[#This Row],[Hour]:[Hour]]&gt;=P$2),1,0)</f>
        <v>0</v>
      </c>
      <c r="Q4" s="304" cm="1">
        <f t="array" ref="Q4">IF(AND(Q$2&lt;&gt;0,TblTech[[#This Row],[Hour]:[Hour]]&gt;=Q$2),1,0)</f>
        <v>0</v>
      </c>
      <c r="R4" s="304" cm="1">
        <f t="array" ref="R4">IF(AND(R$2&lt;&gt;0,TblTech[[#This Row],[Hour]:[Hour]]&gt;=R$2),1,0)</f>
        <v>0</v>
      </c>
      <c r="S4" s="304" cm="1">
        <f t="array" ref="S4">IF(AND(S$2&lt;&gt;0,TblTech[[#This Row],[Hour]:[Hour]]&gt;=S$2),1,0)</f>
        <v>0</v>
      </c>
      <c r="T4" s="304" cm="1">
        <f t="array" ref="T4">IF(AND(T$2&lt;&gt;0,TblTech[[#This Row],[Hour]:[Hour]]&gt;=T$2),1,0)</f>
        <v>0</v>
      </c>
      <c r="U4" s="304" cm="1">
        <f t="array" ref="U4">IF(AND(U$2&lt;&gt;0,TblTech[[#This Row],[Hour]:[Hour]]&gt;=U$2),1,0)</f>
        <v>0</v>
      </c>
      <c r="V4" s="304" cm="1">
        <f t="array" ref="V4">IF(AND(V$2&lt;&gt;0,TblTech[[#This Row],[Hour]:[Hour]]&gt;=V$2),1,0)</f>
        <v>0</v>
      </c>
      <c r="W4" s="304" cm="1">
        <f t="array" ref="W4">IF(AND(W$2&lt;&gt;0,TblTech[[#This Row],[Hour]:[Hour]]&gt;=W$2),1,0)</f>
        <v>0</v>
      </c>
      <c r="X4" s="304" cm="1">
        <f t="array" ref="X4">IF(AND(X$2&lt;&gt;0,TblTech[[#This Row],[Hour]:[Hour]]&gt;=X$2),1,0)</f>
        <v>0</v>
      </c>
      <c r="Y4" s="304" cm="1">
        <f t="array" ref="Y4">IF(AND(Y$2&lt;&gt;0,TblTech[[#This Row],[Hour]:[Hour]]&gt;=Y$2),1,0)</f>
        <v>0</v>
      </c>
      <c r="Z4" s="304" cm="1">
        <f t="array" ref="Z4">IF(AND(Z$2&lt;&gt;0,TblTech[[#This Row],[Hour]:[Hour]]&gt;=Z$2),1,0)</f>
        <v>0</v>
      </c>
      <c r="AA4" s="304" cm="1">
        <f t="array" ref="AA4">IF(AND(AA$2&lt;&gt;0,TblTech[[#This Row],[Hour]:[Hour]]&gt;=AA$2),1,0)</f>
        <v>0</v>
      </c>
      <c r="AB4" s="304" cm="1">
        <f t="array" ref="AB4">IF(AND(AB$2&lt;&gt;0,TblTech[[#This Row],[Hour]:[Hour]]&gt;=AB$2),1,0)</f>
        <v>0</v>
      </c>
      <c r="AC4" s="304" cm="1">
        <f t="array" ref="AC4">IF(AND(AC$2&lt;&gt;0,TblTech[[#This Row],[Hour]:[Hour]]&gt;=AC$2),1,0)</f>
        <v>0</v>
      </c>
      <c r="AD4" s="304" cm="1">
        <f t="array" ref="AD4">IF(AND(AD$2&lt;&gt;0,TblTech[[#This Row],[Hour]:[Hour]]&gt;=AD$2),1,0)</f>
        <v>0</v>
      </c>
      <c r="AE4" s="304" cm="1">
        <f t="array" ref="AE4">IF(AND(AE$2&lt;&gt;0,TblTech[[#This Row],[Hour]:[Hour]]&gt;=AE$2),1,0)</f>
        <v>0</v>
      </c>
      <c r="AF4" s="304" cm="1">
        <f t="array" ref="AF4">IF(AND(AF$2&lt;&gt;0,TblTech[[#This Row],[Hour]:[Hour]]&gt;=AF$2),1,0)</f>
        <v>0</v>
      </c>
      <c r="AG4" s="304" cm="1">
        <f t="array" ref="AG4">IF(AND(AG$2&lt;&gt;0,TblTech[[#This Row],[Hour]:[Hour]]&gt;=AG$2),1,0)</f>
        <v>0</v>
      </c>
      <c r="AH4" s="304" cm="1">
        <f t="array" ref="AH4">IF(AND(AH$2&lt;&gt;0,TblTech[[#This Row],[Hour]:[Hour]]&gt;=AH$2),1,0)</f>
        <v>0</v>
      </c>
      <c r="AI4" s="304" cm="1">
        <f t="array" ref="AI4">IF(AND(AI$2&lt;&gt;0,TblTech[[#This Row],[Hour]:[Hour]]&gt;=AI$2),1,0)</f>
        <v>0</v>
      </c>
      <c r="AJ4" s="304" cm="1">
        <f t="array" ref="AJ4">IF(AND(AJ$2&lt;&gt;0,TblTech[[#This Row],[Hour]:[Hour]]&gt;=AJ$2),1,0)</f>
        <v>0</v>
      </c>
      <c r="AK4" s="304" cm="1">
        <f t="array" ref="AK4">IF(AND(AK$2&lt;&gt;0,TblTech[[#This Row],[Hour]:[Hour]]&gt;=AK$2),1,0)</f>
        <v>0</v>
      </c>
      <c r="AL4" s="304" cm="1">
        <f t="array" ref="AL4">IF(AND(AL$2&lt;&gt;0,TblTech[[#This Row],[Hour]:[Hour]]&gt;=AL$2),1,0)</f>
        <v>0</v>
      </c>
      <c r="AM4" s="304" cm="1">
        <f t="array" ref="AM4">IF(AND(AM$2&lt;&gt;0,TblTech[[#This Row],[Hour]:[Hour]]&gt;=AM$2),1,0)</f>
        <v>0</v>
      </c>
      <c r="AN4" s="304" cm="1">
        <f t="array" ref="AN4">IF(AND(AN$2&lt;&gt;0,TblTech[[#This Row],[Hour]:[Hour]]&gt;=AN$2),1,0)</f>
        <v>0</v>
      </c>
      <c r="AO4" s="304" cm="1">
        <f t="array" ref="AO4">IF(AND(AO$2&lt;&gt;0,TblTech[[#This Row],[Hour]:[Hour]]&gt;=AO$2),1,0)</f>
        <v>0</v>
      </c>
      <c r="AP4" s="304" cm="1">
        <f t="array" ref="AP4">IF(AND(AP$2&lt;&gt;0,TblTech[[#This Row],[Hour]:[Hour]]&gt;=AP$2),1,0)</f>
        <v>0</v>
      </c>
      <c r="AQ4" s="304" cm="1">
        <f t="array" ref="AQ4">IF(AND(AQ$2&lt;&gt;0,TblTech[[#This Row],[Hour]:[Hour]]&gt;=AQ$2),1,0)</f>
        <v>0</v>
      </c>
      <c r="AR4" s="304" cm="1">
        <f t="array" ref="AR4">IF(AND(AR$2&lt;&gt;0,TblTech[[#This Row],[Hour]:[Hour]]&gt;=AR$2),1,0)</f>
        <v>0</v>
      </c>
      <c r="AS4" s="304" cm="1">
        <f t="array" ref="AS4">IF(AND(AS$2&lt;&gt;0,TblTech[[#This Row],[Hour]:[Hour]]&gt;=AS$2),1,0)</f>
        <v>0</v>
      </c>
      <c r="AT4" s="304" cm="1">
        <f t="array" ref="AT4">IF(AND(AT$2&lt;&gt;0,TblTech[[#This Row],[Hour]:[Hour]]&gt;=AT$2),1,0)</f>
        <v>0</v>
      </c>
      <c r="AU4" s="304" cm="1">
        <f t="array" ref="AU4">IF(AND(AU$2&lt;&gt;0,TblTech[[#This Row],[Hour]:[Hour]]&gt;=AU$2),1,0)</f>
        <v>0</v>
      </c>
      <c r="AV4" s="304" cm="1">
        <f t="array" ref="AV4">IF(AND(AV$2&lt;&gt;0,TblTech[[#This Row],[Hour]:[Hour]]&gt;=AV$2),1,0)</f>
        <v>0</v>
      </c>
      <c r="AW4" s="304" cm="1">
        <f t="array" ref="AW4">IF(AND(AW$2&lt;&gt;0,TblTech[[#This Row],[Hour]:[Hour]]&gt;=AW$2),1,0)</f>
        <v>0</v>
      </c>
      <c r="AX4" s="304" cm="1">
        <f t="array" ref="AX4">IF(AND(AX$2&lt;&gt;0,TblTech[[#This Row],[Hour]:[Hour]]&gt;=AX$2),1,0)</f>
        <v>0</v>
      </c>
      <c r="AY4" s="304" cm="1">
        <f t="array" ref="AY4">IF(AND(AY$2&lt;&gt;0,TblTech[[#This Row],[Hour]:[Hour]]&gt;=AY$2),1,0)</f>
        <v>0</v>
      </c>
      <c r="AZ4" s="304" cm="1">
        <f t="array" ref="AZ4">IF(AND(AZ$2&lt;&gt;0,TblTech[[#This Row],[Hour]:[Hour]]&gt;=AZ$2),1,0)</f>
        <v>0</v>
      </c>
      <c r="BA4" s="304" cm="1">
        <f t="array" ref="BA4">IF(AND(BA$2&lt;&gt;0,TblTech[[#This Row],[Hour]:[Hour]]&gt;=BA$2),1,0)</f>
        <v>0</v>
      </c>
      <c r="BB4" s="304" cm="1">
        <f t="array" ref="BB4">IF(AND(BB$2&lt;&gt;0,TblTech[[#This Row],[Hour]:[Hour]]&gt;=BB$2),1,0)</f>
        <v>0</v>
      </c>
      <c r="BC4" s="304" cm="1">
        <f t="array" ref="BC4">IF(AND(BC$2&lt;&gt;0,TblTech[[#This Row],[Hour]:[Hour]]&gt;=BC$2),1,0)</f>
        <v>0</v>
      </c>
      <c r="BD4" s="304" cm="1">
        <f t="array" ref="BD4">IF(AND(BD$2&lt;&gt;0,TblTech[[#This Row],[Hour]:[Hour]]&gt;=BD$2),1,0)</f>
        <v>0</v>
      </c>
      <c r="BE4" s="304" cm="1">
        <f t="array" ref="BE4">IF(AND(BE$2&lt;&gt;0,TblTech[[#This Row],[Hour]:[Hour]]&gt;=BE$2),1,0)</f>
        <v>0</v>
      </c>
      <c r="BF4" s="304" cm="1">
        <f t="array" ref="BF4">IF(AND(BF$2&lt;&gt;0,TblTech[[#This Row],[Hour]:[Hour]]&gt;=BF$2),1,0)</f>
        <v>0</v>
      </c>
      <c r="BG4" s="304" cm="1">
        <f t="array" ref="BG4">IF(AND(BG$2&lt;&gt;0,TblTech[[#This Row],[Hour]:[Hour]]&gt;=BG$2),1,0)</f>
        <v>0</v>
      </c>
      <c r="BH4" s="304" cm="1">
        <f t="array" ref="BH4">IF(AND(BH$2&lt;&gt;0,TblTech[[#This Row],[Hour]:[Hour]]&gt;=BH$2),1,0)</f>
        <v>0</v>
      </c>
      <c r="BI4" s="304" cm="1">
        <f t="array" ref="BI4">IF(AND(BI$2&lt;&gt;0,TblTech[[#This Row],[Hour]:[Hour]]&gt;=BI$2),1,0)</f>
        <v>0</v>
      </c>
      <c r="BJ4" s="304" cm="1">
        <f t="array" ref="BJ4">IF(AND(BJ$2&lt;&gt;0,TblTech[[#This Row],[Hour]:[Hour]]&gt;=BJ$2),1,0)</f>
        <v>0</v>
      </c>
      <c r="BK4" s="304" cm="1">
        <f t="array" ref="BK4">IF(AND(BK$2&lt;&gt;0,TblTech[[#This Row],[Hour]:[Hour]]&gt;=BK$2),1,0)</f>
        <v>0</v>
      </c>
      <c r="BL4" s="304" cm="1">
        <f t="array" ref="BL4">IF(AND(BL$2&lt;&gt;0,TblTech[[#This Row],[Hour]:[Hour]]&gt;=BL$2),1,0)</f>
        <v>0</v>
      </c>
      <c r="BM4" s="304" cm="1">
        <f t="array" ref="BM4">IF(AND(BM$2&lt;&gt;0,TblTech[[#This Row],[Hour]:[Hour]]&gt;=BM$2),1,0)</f>
        <v>0</v>
      </c>
      <c r="BN4" s="304" cm="1">
        <f t="array" ref="BN4">IF(AND(BN$2&lt;&gt;0,TblTech[[#This Row],[Hour]:[Hour]]&gt;=BN$2),1,0)</f>
        <v>0</v>
      </c>
      <c r="BO4" s="304" cm="1">
        <f t="array" ref="BO4">IF(AND(BO$2&lt;&gt;0,TblTech[[#This Row],[Hour]:[Hour]]&gt;=BO$2),1,0)</f>
        <v>0</v>
      </c>
      <c r="BP4" s="304" cm="1">
        <f t="array" ref="BP4">IF(AND(BP$2&lt;&gt;0,TblTech[[#This Row],[Hour]:[Hour]]&gt;=BP$2),1,0)</f>
        <v>0</v>
      </c>
      <c r="BQ4" s="304" cm="1">
        <f t="array" ref="BQ4">IF(AND(BQ$2&lt;&gt;0,TblTech[[#This Row],[Hour]:[Hour]]&gt;=BQ$2),1,0)</f>
        <v>0</v>
      </c>
      <c r="BR4" s="304" cm="1">
        <f t="array" ref="BR4">IF(AND(BR$2&lt;&gt;0,TblTech[[#This Row],[Hour]:[Hour]]&gt;=BR$2),1,0)</f>
        <v>0</v>
      </c>
      <c r="BS4" s="304" cm="1">
        <f t="array" ref="BS4">IF(AND(BS$2&lt;&gt;0,TblTech[[#This Row],[Hour]:[Hour]]&gt;=BS$2),1,0)</f>
        <v>0</v>
      </c>
      <c r="BT4" s="304" cm="1">
        <f t="array" ref="BT4">IF(AND(BT$2&lt;&gt;0,TblTech[[#This Row],[Hour]:[Hour]]&gt;=BT$2),1,0)</f>
        <v>0</v>
      </c>
      <c r="BU4" s="304" cm="1">
        <f t="array" ref="BU4">IF(AND(BU$2&lt;&gt;0,TblTech[[#This Row],[Hour]:[Hour]]&gt;=BU$2),1,0)</f>
        <v>0</v>
      </c>
      <c r="BV4" s="304" cm="1">
        <f t="array" ref="BV4">IF(AND(BV$2&lt;&gt;0,TblTech[[#This Row],[Hour]:[Hour]]&gt;=BV$2),1,0)</f>
        <v>0</v>
      </c>
      <c r="BW4" s="304" cm="1">
        <f t="array" ref="BW4">IF(AND(BW$2&lt;&gt;0,TblTech[[#This Row],[Hour]:[Hour]]&gt;=BW$2),1,0)</f>
        <v>0</v>
      </c>
      <c r="BX4" s="304" cm="1">
        <f t="array" ref="BX4">IF(AND(BX$2&lt;&gt;0,TblTech[[#This Row],[Hour]:[Hour]]&gt;=BX$2),1,0)</f>
        <v>0</v>
      </c>
      <c r="BY4" s="304" cm="1">
        <f t="array" ref="BY4">IF(AND(BY$2&lt;&gt;0,TblTech[[#This Row],[Hour]:[Hour]]&gt;=BY$2),1,0)</f>
        <v>0</v>
      </c>
      <c r="BZ4" s="304" cm="1">
        <f t="array" ref="BZ4">IF(AND(BZ$2&lt;&gt;0,TblTech[[#This Row],[Hour]:[Hour]]&gt;=BZ$2),1,0)</f>
        <v>0</v>
      </c>
      <c r="CA4" s="408">
        <f>IFERROR(INDEX($H$4:$H$79,MATCH(INDEX(TblTech[[#Headers],[1-1]:[11-1]],1,MATCH(TblTech[[#This Row],[Hour]],$M$2:$BZ$2,0)),$G$4:$G$79,0)),)</f>
        <v>0</v>
      </c>
    </row>
    <row r="5" spans="1:79" x14ac:dyDescent="0.2">
      <c r="A5" s="296">
        <f>TblRezone[[#This Row],[Hour]]</f>
        <v>2</v>
      </c>
      <c r="B5" s="297">
        <f ca="1">TblExplore[[#This Row],[Land-DB]]</f>
        <v>250</v>
      </c>
      <c r="C5" s="298">
        <f ca="1">TblProd[[#This Row],[Techpoints]]</f>
        <v>0</v>
      </c>
      <c r="D5" s="298">
        <f ca="1">TblProd[[#This Row],[Required]]</f>
        <v>3750</v>
      </c>
      <c r="E5" s="299"/>
      <c r="F5" s="300"/>
      <c r="G5" s="301" t="s">
        <v>547</v>
      </c>
      <c r="H5" s="302" t="s">
        <v>696</v>
      </c>
      <c r="I5" s="301" t="s">
        <v>548</v>
      </c>
      <c r="J5" s="297"/>
      <c r="K5" s="96">
        <f ca="1">IF(TblTech[[#This Row],[Sum of tech]]&lt;&gt;OFFSET(TblTech[[#This Row],[Sum of tech]],-1,0),1,0)</f>
        <v>0</v>
      </c>
      <c r="L5" s="303">
        <f>COUNTIF(TblTech[[#This Row],[1-1]:[11-1]],1)</f>
        <v>0</v>
      </c>
      <c r="M5" s="304" cm="1">
        <f t="array" ref="M5">IF(AND(M$2&lt;&gt;0,TblTech[[#This Row],[Hour]:[Hour]]&gt;=M$2),1,0)</f>
        <v>0</v>
      </c>
      <c r="N5" s="304" cm="1">
        <f t="array" ref="N5">IF(AND(N$2&lt;&gt;0,TblTech[[#This Row],[Hour]:[Hour]]&gt;=N$2),1,0)</f>
        <v>0</v>
      </c>
      <c r="O5" s="304" cm="1">
        <f t="array" ref="O5">IF(AND(O$2&lt;&gt;0,TblTech[[#This Row],[Hour]:[Hour]]&gt;=O$2),1,0)</f>
        <v>0</v>
      </c>
      <c r="P5" s="304" cm="1">
        <f t="array" ref="P5">IF(AND(P$2&lt;&gt;0,TblTech[[#This Row],[Hour]:[Hour]]&gt;=P$2),1,0)</f>
        <v>0</v>
      </c>
      <c r="Q5" s="304" cm="1">
        <f t="array" ref="Q5">IF(AND(Q$2&lt;&gt;0,TblTech[[#This Row],[Hour]:[Hour]]&gt;=Q$2),1,0)</f>
        <v>0</v>
      </c>
      <c r="R5" s="304" cm="1">
        <f t="array" ref="R5">IF(AND(R$2&lt;&gt;0,TblTech[[#This Row],[Hour]:[Hour]]&gt;=R$2),1,0)</f>
        <v>0</v>
      </c>
      <c r="S5" s="304" cm="1">
        <f t="array" ref="S5">IF(AND(S$2&lt;&gt;0,TblTech[[#This Row],[Hour]:[Hour]]&gt;=S$2),1,0)</f>
        <v>0</v>
      </c>
      <c r="T5" s="304" cm="1">
        <f t="array" ref="T5">IF(AND(T$2&lt;&gt;0,TblTech[[#This Row],[Hour]:[Hour]]&gt;=T$2),1,0)</f>
        <v>0</v>
      </c>
      <c r="U5" s="304" cm="1">
        <f t="array" ref="U5">IF(AND(U$2&lt;&gt;0,TblTech[[#This Row],[Hour]:[Hour]]&gt;=U$2),1,0)</f>
        <v>0</v>
      </c>
      <c r="V5" s="304" cm="1">
        <f t="array" ref="V5">IF(AND(V$2&lt;&gt;0,TblTech[[#This Row],[Hour]:[Hour]]&gt;=V$2),1,0)</f>
        <v>0</v>
      </c>
      <c r="W5" s="304" cm="1">
        <f t="array" ref="W5">IF(AND(W$2&lt;&gt;0,TblTech[[#This Row],[Hour]:[Hour]]&gt;=W$2),1,0)</f>
        <v>0</v>
      </c>
      <c r="X5" s="304" cm="1">
        <f t="array" ref="X5">IF(AND(X$2&lt;&gt;0,TblTech[[#This Row],[Hour]:[Hour]]&gt;=X$2),1,0)</f>
        <v>0</v>
      </c>
      <c r="Y5" s="304" cm="1">
        <f t="array" ref="Y5">IF(AND(Y$2&lt;&gt;0,TblTech[[#This Row],[Hour]:[Hour]]&gt;=Y$2),1,0)</f>
        <v>0</v>
      </c>
      <c r="Z5" s="304" cm="1">
        <f t="array" ref="Z5">IF(AND(Z$2&lt;&gt;0,TblTech[[#This Row],[Hour]:[Hour]]&gt;=Z$2),1,0)</f>
        <v>0</v>
      </c>
      <c r="AA5" s="304" cm="1">
        <f t="array" ref="AA5">IF(AND(AA$2&lt;&gt;0,TblTech[[#This Row],[Hour]:[Hour]]&gt;=AA$2),1,0)</f>
        <v>0</v>
      </c>
      <c r="AB5" s="304" cm="1">
        <f t="array" ref="AB5">IF(AND(AB$2&lt;&gt;0,TblTech[[#This Row],[Hour]:[Hour]]&gt;=AB$2),1,0)</f>
        <v>0</v>
      </c>
      <c r="AC5" s="304" cm="1">
        <f t="array" ref="AC5">IF(AND(AC$2&lt;&gt;0,TblTech[[#This Row],[Hour]:[Hour]]&gt;=AC$2),1,0)</f>
        <v>0</v>
      </c>
      <c r="AD5" s="304" cm="1">
        <f t="array" ref="AD5">IF(AND(AD$2&lt;&gt;0,TblTech[[#This Row],[Hour]:[Hour]]&gt;=AD$2),1,0)</f>
        <v>0</v>
      </c>
      <c r="AE5" s="304" cm="1">
        <f t="array" ref="AE5">IF(AND(AE$2&lt;&gt;0,TblTech[[#This Row],[Hour]:[Hour]]&gt;=AE$2),1,0)</f>
        <v>0</v>
      </c>
      <c r="AF5" s="304" cm="1">
        <f t="array" ref="AF5">IF(AND(AF$2&lt;&gt;0,TblTech[[#This Row],[Hour]:[Hour]]&gt;=AF$2),1,0)</f>
        <v>0</v>
      </c>
      <c r="AG5" s="304" cm="1">
        <f t="array" ref="AG5">IF(AND(AG$2&lt;&gt;0,TblTech[[#This Row],[Hour]:[Hour]]&gt;=AG$2),1,0)</f>
        <v>0</v>
      </c>
      <c r="AH5" s="304" cm="1">
        <f t="array" ref="AH5">IF(AND(AH$2&lt;&gt;0,TblTech[[#This Row],[Hour]:[Hour]]&gt;=AH$2),1,0)</f>
        <v>0</v>
      </c>
      <c r="AI5" s="304" cm="1">
        <f t="array" ref="AI5">IF(AND(AI$2&lt;&gt;0,TblTech[[#This Row],[Hour]:[Hour]]&gt;=AI$2),1,0)</f>
        <v>0</v>
      </c>
      <c r="AJ5" s="304" cm="1">
        <f t="array" ref="AJ5">IF(AND(AJ$2&lt;&gt;0,TblTech[[#This Row],[Hour]:[Hour]]&gt;=AJ$2),1,0)</f>
        <v>0</v>
      </c>
      <c r="AK5" s="304" cm="1">
        <f t="array" ref="AK5">IF(AND(AK$2&lt;&gt;0,TblTech[[#This Row],[Hour]:[Hour]]&gt;=AK$2),1,0)</f>
        <v>0</v>
      </c>
      <c r="AL5" s="304" cm="1">
        <f t="array" ref="AL5">IF(AND(AL$2&lt;&gt;0,TblTech[[#This Row],[Hour]:[Hour]]&gt;=AL$2),1,0)</f>
        <v>0</v>
      </c>
      <c r="AM5" s="304" cm="1">
        <f t="array" ref="AM5">IF(AND(AM$2&lt;&gt;0,TblTech[[#This Row],[Hour]:[Hour]]&gt;=AM$2),1,0)</f>
        <v>0</v>
      </c>
      <c r="AN5" s="304" cm="1">
        <f t="array" ref="AN5">IF(AND(AN$2&lt;&gt;0,TblTech[[#This Row],[Hour]:[Hour]]&gt;=AN$2),1,0)</f>
        <v>0</v>
      </c>
      <c r="AO5" s="304" cm="1">
        <f t="array" ref="AO5">IF(AND(AO$2&lt;&gt;0,TblTech[[#This Row],[Hour]:[Hour]]&gt;=AO$2),1,0)</f>
        <v>0</v>
      </c>
      <c r="AP5" s="304" cm="1">
        <f t="array" ref="AP5">IF(AND(AP$2&lt;&gt;0,TblTech[[#This Row],[Hour]:[Hour]]&gt;=AP$2),1,0)</f>
        <v>0</v>
      </c>
      <c r="AQ5" s="304" cm="1">
        <f t="array" ref="AQ5">IF(AND(AQ$2&lt;&gt;0,TblTech[[#This Row],[Hour]:[Hour]]&gt;=AQ$2),1,0)</f>
        <v>0</v>
      </c>
      <c r="AR5" s="304" cm="1">
        <f t="array" ref="AR5">IF(AND(AR$2&lt;&gt;0,TblTech[[#This Row],[Hour]:[Hour]]&gt;=AR$2),1,0)</f>
        <v>0</v>
      </c>
      <c r="AS5" s="304" cm="1">
        <f t="array" ref="AS5">IF(AND(AS$2&lt;&gt;0,TblTech[[#This Row],[Hour]:[Hour]]&gt;=AS$2),1,0)</f>
        <v>0</v>
      </c>
      <c r="AT5" s="304" cm="1">
        <f t="array" ref="AT5">IF(AND(AT$2&lt;&gt;0,TblTech[[#This Row],[Hour]:[Hour]]&gt;=AT$2),1,0)</f>
        <v>0</v>
      </c>
      <c r="AU5" s="304" cm="1">
        <f t="array" ref="AU5">IF(AND(AU$2&lt;&gt;0,TblTech[[#This Row],[Hour]:[Hour]]&gt;=AU$2),1,0)</f>
        <v>0</v>
      </c>
      <c r="AV5" s="304" cm="1">
        <f t="array" ref="AV5">IF(AND(AV$2&lt;&gt;0,TblTech[[#This Row],[Hour]:[Hour]]&gt;=AV$2),1,0)</f>
        <v>0</v>
      </c>
      <c r="AW5" s="304" cm="1">
        <f t="array" ref="AW5">IF(AND(AW$2&lt;&gt;0,TblTech[[#This Row],[Hour]:[Hour]]&gt;=AW$2),1,0)</f>
        <v>0</v>
      </c>
      <c r="AX5" s="304" cm="1">
        <f t="array" ref="AX5">IF(AND(AX$2&lt;&gt;0,TblTech[[#This Row],[Hour]:[Hour]]&gt;=AX$2),1,0)</f>
        <v>0</v>
      </c>
      <c r="AY5" s="304" cm="1">
        <f t="array" ref="AY5">IF(AND(AY$2&lt;&gt;0,TblTech[[#This Row],[Hour]:[Hour]]&gt;=AY$2),1,0)</f>
        <v>0</v>
      </c>
      <c r="AZ5" s="304" cm="1">
        <f t="array" ref="AZ5">IF(AND(AZ$2&lt;&gt;0,TblTech[[#This Row],[Hour]:[Hour]]&gt;=AZ$2),1,0)</f>
        <v>0</v>
      </c>
      <c r="BA5" s="304" cm="1">
        <f t="array" ref="BA5">IF(AND(BA$2&lt;&gt;0,TblTech[[#This Row],[Hour]:[Hour]]&gt;=BA$2),1,0)</f>
        <v>0</v>
      </c>
      <c r="BB5" s="304" cm="1">
        <f t="array" ref="BB5">IF(AND(BB$2&lt;&gt;0,TblTech[[#This Row],[Hour]:[Hour]]&gt;=BB$2),1,0)</f>
        <v>0</v>
      </c>
      <c r="BC5" s="304" cm="1">
        <f t="array" ref="BC5">IF(AND(BC$2&lt;&gt;0,TblTech[[#This Row],[Hour]:[Hour]]&gt;=BC$2),1,0)</f>
        <v>0</v>
      </c>
      <c r="BD5" s="304" cm="1">
        <f t="array" ref="BD5">IF(AND(BD$2&lt;&gt;0,TblTech[[#This Row],[Hour]:[Hour]]&gt;=BD$2),1,0)</f>
        <v>0</v>
      </c>
      <c r="BE5" s="304" cm="1">
        <f t="array" ref="BE5">IF(AND(BE$2&lt;&gt;0,TblTech[[#This Row],[Hour]:[Hour]]&gt;=BE$2),1,0)</f>
        <v>0</v>
      </c>
      <c r="BF5" s="304" cm="1">
        <f t="array" ref="BF5">IF(AND(BF$2&lt;&gt;0,TblTech[[#This Row],[Hour]:[Hour]]&gt;=BF$2),1,0)</f>
        <v>0</v>
      </c>
      <c r="BG5" s="304" cm="1">
        <f t="array" ref="BG5">IF(AND(BG$2&lt;&gt;0,TblTech[[#This Row],[Hour]:[Hour]]&gt;=BG$2),1,0)</f>
        <v>0</v>
      </c>
      <c r="BH5" s="304" cm="1">
        <f t="array" ref="BH5">IF(AND(BH$2&lt;&gt;0,TblTech[[#This Row],[Hour]:[Hour]]&gt;=BH$2),1,0)</f>
        <v>0</v>
      </c>
      <c r="BI5" s="304" cm="1">
        <f t="array" ref="BI5">IF(AND(BI$2&lt;&gt;0,TblTech[[#This Row],[Hour]:[Hour]]&gt;=BI$2),1,0)</f>
        <v>0</v>
      </c>
      <c r="BJ5" s="304" cm="1">
        <f t="array" ref="BJ5">IF(AND(BJ$2&lt;&gt;0,TblTech[[#This Row],[Hour]:[Hour]]&gt;=BJ$2),1,0)</f>
        <v>0</v>
      </c>
      <c r="BK5" s="304" cm="1">
        <f t="array" ref="BK5">IF(AND(BK$2&lt;&gt;0,TblTech[[#This Row],[Hour]:[Hour]]&gt;=BK$2),1,0)</f>
        <v>0</v>
      </c>
      <c r="BL5" s="304" cm="1">
        <f t="array" ref="BL5">IF(AND(BL$2&lt;&gt;0,TblTech[[#This Row],[Hour]:[Hour]]&gt;=BL$2),1,0)</f>
        <v>0</v>
      </c>
      <c r="BM5" s="304" cm="1">
        <f t="array" ref="BM5">IF(AND(BM$2&lt;&gt;0,TblTech[[#This Row],[Hour]:[Hour]]&gt;=BM$2),1,0)</f>
        <v>0</v>
      </c>
      <c r="BN5" s="304" cm="1">
        <f t="array" ref="BN5">IF(AND(BN$2&lt;&gt;0,TblTech[[#This Row],[Hour]:[Hour]]&gt;=BN$2),1,0)</f>
        <v>0</v>
      </c>
      <c r="BO5" s="304" cm="1">
        <f t="array" ref="BO5">IF(AND(BO$2&lt;&gt;0,TblTech[[#This Row],[Hour]:[Hour]]&gt;=BO$2),1,0)</f>
        <v>0</v>
      </c>
      <c r="BP5" s="304" cm="1">
        <f t="array" ref="BP5">IF(AND(BP$2&lt;&gt;0,TblTech[[#This Row],[Hour]:[Hour]]&gt;=BP$2),1,0)</f>
        <v>0</v>
      </c>
      <c r="BQ5" s="304" cm="1">
        <f t="array" ref="BQ5">IF(AND(BQ$2&lt;&gt;0,TblTech[[#This Row],[Hour]:[Hour]]&gt;=BQ$2),1,0)</f>
        <v>0</v>
      </c>
      <c r="BR5" s="304" cm="1">
        <f t="array" ref="BR5">IF(AND(BR$2&lt;&gt;0,TblTech[[#This Row],[Hour]:[Hour]]&gt;=BR$2),1,0)</f>
        <v>0</v>
      </c>
      <c r="BS5" s="304" cm="1">
        <f t="array" ref="BS5">IF(AND(BS$2&lt;&gt;0,TblTech[[#This Row],[Hour]:[Hour]]&gt;=BS$2),1,0)</f>
        <v>0</v>
      </c>
      <c r="BT5" s="304" cm="1">
        <f t="array" ref="BT5">IF(AND(BT$2&lt;&gt;0,TblTech[[#This Row],[Hour]:[Hour]]&gt;=BT$2),1,0)</f>
        <v>0</v>
      </c>
      <c r="BU5" s="304" cm="1">
        <f t="array" ref="BU5">IF(AND(BU$2&lt;&gt;0,TblTech[[#This Row],[Hour]:[Hour]]&gt;=BU$2),1,0)</f>
        <v>0</v>
      </c>
      <c r="BV5" s="304" cm="1">
        <f t="array" ref="BV5">IF(AND(BV$2&lt;&gt;0,TblTech[[#This Row],[Hour]:[Hour]]&gt;=BV$2),1,0)</f>
        <v>0</v>
      </c>
      <c r="BW5" s="304" cm="1">
        <f t="array" ref="BW5">IF(AND(BW$2&lt;&gt;0,TblTech[[#This Row],[Hour]:[Hour]]&gt;=BW$2),1,0)</f>
        <v>0</v>
      </c>
      <c r="BX5" s="304" cm="1">
        <f t="array" ref="BX5">IF(AND(BX$2&lt;&gt;0,TblTech[[#This Row],[Hour]:[Hour]]&gt;=BX$2),1,0)</f>
        <v>0</v>
      </c>
      <c r="BY5" s="304" cm="1">
        <f t="array" ref="BY5">IF(AND(BY$2&lt;&gt;0,TblTech[[#This Row],[Hour]:[Hour]]&gt;=BY$2),1,0)</f>
        <v>0</v>
      </c>
      <c r="BZ5" s="304" cm="1">
        <f t="array" ref="BZ5">IF(AND(BZ$2&lt;&gt;0,TblTech[[#This Row],[Hour]:[Hour]]&gt;=BZ$2),1,0)</f>
        <v>0</v>
      </c>
      <c r="CA5" s="408">
        <f>IFERROR(INDEX($H$4:$H$79,MATCH(INDEX(TblTech[[#Headers],[1-1]:[11-1]],1,MATCH(TblTech[[#This Row],[Hour]],$M$2:$BZ$2,0)),$G$4:$G$79,0)),)</f>
        <v>0</v>
      </c>
    </row>
    <row r="6" spans="1:79" x14ac:dyDescent="0.2">
      <c r="A6" s="296">
        <f>TblRezone[[#This Row],[Hour]]</f>
        <v>3</v>
      </c>
      <c r="B6" s="297">
        <f ca="1">TblExplore[[#This Row],[Land-DB]]</f>
        <v>250</v>
      </c>
      <c r="C6" s="298">
        <f ca="1">TblProd[[#This Row],[Techpoints]]</f>
        <v>0</v>
      </c>
      <c r="D6" s="298">
        <f ca="1">TblProd[[#This Row],[Required]]</f>
        <v>3750</v>
      </c>
      <c r="E6" s="299"/>
      <c r="F6" s="300"/>
      <c r="G6" s="301" t="s">
        <v>549</v>
      </c>
      <c r="H6" s="302" t="s">
        <v>697</v>
      </c>
      <c r="I6" s="301" t="s">
        <v>550</v>
      </c>
      <c r="J6" s="297"/>
      <c r="K6" s="96">
        <f ca="1">IF(TblTech[[#This Row],[Sum of tech]]&lt;&gt;OFFSET(TblTech[[#This Row],[Sum of tech]],-1,0),1,0)</f>
        <v>0</v>
      </c>
      <c r="L6" s="303">
        <f>COUNTIF(TblTech[[#This Row],[1-1]:[11-1]],1)</f>
        <v>0</v>
      </c>
      <c r="M6" s="304" cm="1">
        <f t="array" ref="M6">IF(AND(M$2&lt;&gt;0,TblTech[[#This Row],[Hour]:[Hour]]&gt;=M$2),1,0)</f>
        <v>0</v>
      </c>
      <c r="N6" s="304" cm="1">
        <f t="array" ref="N6">IF(AND(N$2&lt;&gt;0,TblTech[[#This Row],[Hour]:[Hour]]&gt;=N$2),1,0)</f>
        <v>0</v>
      </c>
      <c r="O6" s="304" cm="1">
        <f t="array" ref="O6">IF(AND(O$2&lt;&gt;0,TblTech[[#This Row],[Hour]:[Hour]]&gt;=O$2),1,0)</f>
        <v>0</v>
      </c>
      <c r="P6" s="304" cm="1">
        <f t="array" ref="P6">IF(AND(P$2&lt;&gt;0,TblTech[[#This Row],[Hour]:[Hour]]&gt;=P$2),1,0)</f>
        <v>0</v>
      </c>
      <c r="Q6" s="304" cm="1">
        <f t="array" ref="Q6">IF(AND(Q$2&lt;&gt;0,TblTech[[#This Row],[Hour]:[Hour]]&gt;=Q$2),1,0)</f>
        <v>0</v>
      </c>
      <c r="R6" s="304" cm="1">
        <f t="array" ref="R6">IF(AND(R$2&lt;&gt;0,TblTech[[#This Row],[Hour]:[Hour]]&gt;=R$2),1,0)</f>
        <v>0</v>
      </c>
      <c r="S6" s="304" cm="1">
        <f t="array" ref="S6">IF(AND(S$2&lt;&gt;0,TblTech[[#This Row],[Hour]:[Hour]]&gt;=S$2),1,0)</f>
        <v>0</v>
      </c>
      <c r="T6" s="304" cm="1">
        <f t="array" ref="T6">IF(AND(T$2&lt;&gt;0,TblTech[[#This Row],[Hour]:[Hour]]&gt;=T$2),1,0)</f>
        <v>0</v>
      </c>
      <c r="U6" s="304" cm="1">
        <f t="array" ref="U6">IF(AND(U$2&lt;&gt;0,TblTech[[#This Row],[Hour]:[Hour]]&gt;=U$2),1,0)</f>
        <v>0</v>
      </c>
      <c r="V6" s="304" cm="1">
        <f t="array" ref="V6">IF(AND(V$2&lt;&gt;0,TblTech[[#This Row],[Hour]:[Hour]]&gt;=V$2),1,0)</f>
        <v>0</v>
      </c>
      <c r="W6" s="304" cm="1">
        <f t="array" ref="W6">IF(AND(W$2&lt;&gt;0,TblTech[[#This Row],[Hour]:[Hour]]&gt;=W$2),1,0)</f>
        <v>0</v>
      </c>
      <c r="X6" s="304" cm="1">
        <f t="array" ref="X6">IF(AND(X$2&lt;&gt;0,TblTech[[#This Row],[Hour]:[Hour]]&gt;=X$2),1,0)</f>
        <v>0</v>
      </c>
      <c r="Y6" s="304" cm="1">
        <f t="array" ref="Y6">IF(AND(Y$2&lt;&gt;0,TblTech[[#This Row],[Hour]:[Hour]]&gt;=Y$2),1,0)</f>
        <v>0</v>
      </c>
      <c r="Z6" s="304" cm="1">
        <f t="array" ref="Z6">IF(AND(Z$2&lt;&gt;0,TblTech[[#This Row],[Hour]:[Hour]]&gt;=Z$2),1,0)</f>
        <v>0</v>
      </c>
      <c r="AA6" s="304" cm="1">
        <f t="array" ref="AA6">IF(AND(AA$2&lt;&gt;0,TblTech[[#This Row],[Hour]:[Hour]]&gt;=AA$2),1,0)</f>
        <v>0</v>
      </c>
      <c r="AB6" s="304" cm="1">
        <f t="array" ref="AB6">IF(AND(AB$2&lt;&gt;0,TblTech[[#This Row],[Hour]:[Hour]]&gt;=AB$2),1,0)</f>
        <v>0</v>
      </c>
      <c r="AC6" s="304" cm="1">
        <f t="array" ref="AC6">IF(AND(AC$2&lt;&gt;0,TblTech[[#This Row],[Hour]:[Hour]]&gt;=AC$2),1,0)</f>
        <v>0</v>
      </c>
      <c r="AD6" s="304" cm="1">
        <f t="array" ref="AD6">IF(AND(AD$2&lt;&gt;0,TblTech[[#This Row],[Hour]:[Hour]]&gt;=AD$2),1,0)</f>
        <v>0</v>
      </c>
      <c r="AE6" s="304" cm="1">
        <f t="array" ref="AE6">IF(AND(AE$2&lt;&gt;0,TblTech[[#This Row],[Hour]:[Hour]]&gt;=AE$2),1,0)</f>
        <v>0</v>
      </c>
      <c r="AF6" s="304" cm="1">
        <f t="array" ref="AF6">IF(AND(AF$2&lt;&gt;0,TblTech[[#This Row],[Hour]:[Hour]]&gt;=AF$2),1,0)</f>
        <v>0</v>
      </c>
      <c r="AG6" s="304" cm="1">
        <f t="array" ref="AG6">IF(AND(AG$2&lt;&gt;0,TblTech[[#This Row],[Hour]:[Hour]]&gt;=AG$2),1,0)</f>
        <v>0</v>
      </c>
      <c r="AH6" s="304" cm="1">
        <f t="array" ref="AH6">IF(AND(AH$2&lt;&gt;0,TblTech[[#This Row],[Hour]:[Hour]]&gt;=AH$2),1,0)</f>
        <v>0</v>
      </c>
      <c r="AI6" s="304" cm="1">
        <f t="array" ref="AI6">IF(AND(AI$2&lt;&gt;0,TblTech[[#This Row],[Hour]:[Hour]]&gt;=AI$2),1,0)</f>
        <v>0</v>
      </c>
      <c r="AJ6" s="304" cm="1">
        <f t="array" ref="AJ6">IF(AND(AJ$2&lt;&gt;0,TblTech[[#This Row],[Hour]:[Hour]]&gt;=AJ$2),1,0)</f>
        <v>0</v>
      </c>
      <c r="AK6" s="304" cm="1">
        <f t="array" ref="AK6">IF(AND(AK$2&lt;&gt;0,TblTech[[#This Row],[Hour]:[Hour]]&gt;=AK$2),1,0)</f>
        <v>0</v>
      </c>
      <c r="AL6" s="304" cm="1">
        <f t="array" ref="AL6">IF(AND(AL$2&lt;&gt;0,TblTech[[#This Row],[Hour]:[Hour]]&gt;=AL$2),1,0)</f>
        <v>0</v>
      </c>
      <c r="AM6" s="304" cm="1">
        <f t="array" ref="AM6">IF(AND(AM$2&lt;&gt;0,TblTech[[#This Row],[Hour]:[Hour]]&gt;=AM$2),1,0)</f>
        <v>0</v>
      </c>
      <c r="AN6" s="304" cm="1">
        <f t="array" ref="AN6">IF(AND(AN$2&lt;&gt;0,TblTech[[#This Row],[Hour]:[Hour]]&gt;=AN$2),1,0)</f>
        <v>0</v>
      </c>
      <c r="AO6" s="304" cm="1">
        <f t="array" ref="AO6">IF(AND(AO$2&lt;&gt;0,TblTech[[#This Row],[Hour]:[Hour]]&gt;=AO$2),1,0)</f>
        <v>0</v>
      </c>
      <c r="AP6" s="304" cm="1">
        <f t="array" ref="AP6">IF(AND(AP$2&lt;&gt;0,TblTech[[#This Row],[Hour]:[Hour]]&gt;=AP$2),1,0)</f>
        <v>0</v>
      </c>
      <c r="AQ6" s="304" cm="1">
        <f t="array" ref="AQ6">IF(AND(AQ$2&lt;&gt;0,TblTech[[#This Row],[Hour]:[Hour]]&gt;=AQ$2),1,0)</f>
        <v>0</v>
      </c>
      <c r="AR6" s="304" cm="1">
        <f t="array" ref="AR6">IF(AND(AR$2&lt;&gt;0,TblTech[[#This Row],[Hour]:[Hour]]&gt;=AR$2),1,0)</f>
        <v>0</v>
      </c>
      <c r="AS6" s="304" cm="1">
        <f t="array" ref="AS6">IF(AND(AS$2&lt;&gt;0,TblTech[[#This Row],[Hour]:[Hour]]&gt;=AS$2),1,0)</f>
        <v>0</v>
      </c>
      <c r="AT6" s="304" cm="1">
        <f t="array" ref="AT6">IF(AND(AT$2&lt;&gt;0,TblTech[[#This Row],[Hour]:[Hour]]&gt;=AT$2),1,0)</f>
        <v>0</v>
      </c>
      <c r="AU6" s="304" cm="1">
        <f t="array" ref="AU6">IF(AND(AU$2&lt;&gt;0,TblTech[[#This Row],[Hour]:[Hour]]&gt;=AU$2),1,0)</f>
        <v>0</v>
      </c>
      <c r="AV6" s="304" cm="1">
        <f t="array" ref="AV6">IF(AND(AV$2&lt;&gt;0,TblTech[[#This Row],[Hour]:[Hour]]&gt;=AV$2),1,0)</f>
        <v>0</v>
      </c>
      <c r="AW6" s="304" cm="1">
        <f t="array" ref="AW6">IF(AND(AW$2&lt;&gt;0,TblTech[[#This Row],[Hour]:[Hour]]&gt;=AW$2),1,0)</f>
        <v>0</v>
      </c>
      <c r="AX6" s="304" cm="1">
        <f t="array" ref="AX6">IF(AND(AX$2&lt;&gt;0,TblTech[[#This Row],[Hour]:[Hour]]&gt;=AX$2),1,0)</f>
        <v>0</v>
      </c>
      <c r="AY6" s="304" cm="1">
        <f t="array" ref="AY6">IF(AND(AY$2&lt;&gt;0,TblTech[[#This Row],[Hour]:[Hour]]&gt;=AY$2),1,0)</f>
        <v>0</v>
      </c>
      <c r="AZ6" s="304" cm="1">
        <f t="array" ref="AZ6">IF(AND(AZ$2&lt;&gt;0,TblTech[[#This Row],[Hour]:[Hour]]&gt;=AZ$2),1,0)</f>
        <v>0</v>
      </c>
      <c r="BA6" s="304" cm="1">
        <f t="array" ref="BA6">IF(AND(BA$2&lt;&gt;0,TblTech[[#This Row],[Hour]:[Hour]]&gt;=BA$2),1,0)</f>
        <v>0</v>
      </c>
      <c r="BB6" s="304" cm="1">
        <f t="array" ref="BB6">IF(AND(BB$2&lt;&gt;0,TblTech[[#This Row],[Hour]:[Hour]]&gt;=BB$2),1,0)</f>
        <v>0</v>
      </c>
      <c r="BC6" s="304" cm="1">
        <f t="array" ref="BC6">IF(AND(BC$2&lt;&gt;0,TblTech[[#This Row],[Hour]:[Hour]]&gt;=BC$2),1,0)</f>
        <v>0</v>
      </c>
      <c r="BD6" s="304" cm="1">
        <f t="array" ref="BD6">IF(AND(BD$2&lt;&gt;0,TblTech[[#This Row],[Hour]:[Hour]]&gt;=BD$2),1,0)</f>
        <v>0</v>
      </c>
      <c r="BE6" s="304" cm="1">
        <f t="array" ref="BE6">IF(AND(BE$2&lt;&gt;0,TblTech[[#This Row],[Hour]:[Hour]]&gt;=BE$2),1,0)</f>
        <v>0</v>
      </c>
      <c r="BF6" s="304" cm="1">
        <f t="array" ref="BF6">IF(AND(BF$2&lt;&gt;0,TblTech[[#This Row],[Hour]:[Hour]]&gt;=BF$2),1,0)</f>
        <v>0</v>
      </c>
      <c r="BG6" s="304" cm="1">
        <f t="array" ref="BG6">IF(AND(BG$2&lt;&gt;0,TblTech[[#This Row],[Hour]:[Hour]]&gt;=BG$2),1,0)</f>
        <v>0</v>
      </c>
      <c r="BH6" s="304" cm="1">
        <f t="array" ref="BH6">IF(AND(BH$2&lt;&gt;0,TblTech[[#This Row],[Hour]:[Hour]]&gt;=BH$2),1,0)</f>
        <v>0</v>
      </c>
      <c r="BI6" s="304" cm="1">
        <f t="array" ref="BI6">IF(AND(BI$2&lt;&gt;0,TblTech[[#This Row],[Hour]:[Hour]]&gt;=BI$2),1,0)</f>
        <v>0</v>
      </c>
      <c r="BJ6" s="304" cm="1">
        <f t="array" ref="BJ6">IF(AND(BJ$2&lt;&gt;0,TblTech[[#This Row],[Hour]:[Hour]]&gt;=BJ$2),1,0)</f>
        <v>0</v>
      </c>
      <c r="BK6" s="304" cm="1">
        <f t="array" ref="BK6">IF(AND(BK$2&lt;&gt;0,TblTech[[#This Row],[Hour]:[Hour]]&gt;=BK$2),1,0)</f>
        <v>0</v>
      </c>
      <c r="BL6" s="304" cm="1">
        <f t="array" ref="BL6">IF(AND(BL$2&lt;&gt;0,TblTech[[#This Row],[Hour]:[Hour]]&gt;=BL$2),1,0)</f>
        <v>0</v>
      </c>
      <c r="BM6" s="304" cm="1">
        <f t="array" ref="BM6">IF(AND(BM$2&lt;&gt;0,TblTech[[#This Row],[Hour]:[Hour]]&gt;=BM$2),1,0)</f>
        <v>0</v>
      </c>
      <c r="BN6" s="304" cm="1">
        <f t="array" ref="BN6">IF(AND(BN$2&lt;&gt;0,TblTech[[#This Row],[Hour]:[Hour]]&gt;=BN$2),1,0)</f>
        <v>0</v>
      </c>
      <c r="BO6" s="304" cm="1">
        <f t="array" ref="BO6">IF(AND(BO$2&lt;&gt;0,TblTech[[#This Row],[Hour]:[Hour]]&gt;=BO$2),1,0)</f>
        <v>0</v>
      </c>
      <c r="BP6" s="304" cm="1">
        <f t="array" ref="BP6">IF(AND(BP$2&lt;&gt;0,TblTech[[#This Row],[Hour]:[Hour]]&gt;=BP$2),1,0)</f>
        <v>0</v>
      </c>
      <c r="BQ6" s="304" cm="1">
        <f t="array" ref="BQ6">IF(AND(BQ$2&lt;&gt;0,TblTech[[#This Row],[Hour]:[Hour]]&gt;=BQ$2),1,0)</f>
        <v>0</v>
      </c>
      <c r="BR6" s="304" cm="1">
        <f t="array" ref="BR6">IF(AND(BR$2&lt;&gt;0,TblTech[[#This Row],[Hour]:[Hour]]&gt;=BR$2),1,0)</f>
        <v>0</v>
      </c>
      <c r="BS6" s="304" cm="1">
        <f t="array" ref="BS6">IF(AND(BS$2&lt;&gt;0,TblTech[[#This Row],[Hour]:[Hour]]&gt;=BS$2),1,0)</f>
        <v>0</v>
      </c>
      <c r="BT6" s="304" cm="1">
        <f t="array" ref="BT6">IF(AND(BT$2&lt;&gt;0,TblTech[[#This Row],[Hour]:[Hour]]&gt;=BT$2),1,0)</f>
        <v>0</v>
      </c>
      <c r="BU6" s="304" cm="1">
        <f t="array" ref="BU6">IF(AND(BU$2&lt;&gt;0,TblTech[[#This Row],[Hour]:[Hour]]&gt;=BU$2),1,0)</f>
        <v>0</v>
      </c>
      <c r="BV6" s="304" cm="1">
        <f t="array" ref="BV6">IF(AND(BV$2&lt;&gt;0,TblTech[[#This Row],[Hour]:[Hour]]&gt;=BV$2),1,0)</f>
        <v>0</v>
      </c>
      <c r="BW6" s="304" cm="1">
        <f t="array" ref="BW6">IF(AND(BW$2&lt;&gt;0,TblTech[[#This Row],[Hour]:[Hour]]&gt;=BW$2),1,0)</f>
        <v>0</v>
      </c>
      <c r="BX6" s="304" cm="1">
        <f t="array" ref="BX6">IF(AND(BX$2&lt;&gt;0,TblTech[[#This Row],[Hour]:[Hour]]&gt;=BX$2),1,0)</f>
        <v>0</v>
      </c>
      <c r="BY6" s="304" cm="1">
        <f t="array" ref="BY6">IF(AND(BY$2&lt;&gt;0,TblTech[[#This Row],[Hour]:[Hour]]&gt;=BY$2),1,0)</f>
        <v>0</v>
      </c>
      <c r="BZ6" s="304" cm="1">
        <f t="array" ref="BZ6">IF(AND(BZ$2&lt;&gt;0,TblTech[[#This Row],[Hour]:[Hour]]&gt;=BZ$2),1,0)</f>
        <v>0</v>
      </c>
      <c r="CA6" s="408">
        <f>IFERROR(INDEX($H$4:$H$79,MATCH(INDEX(TblTech[[#Headers],[1-1]:[11-1]],1,MATCH(TblTech[[#This Row],[Hour]],$M$2:$BZ$2,0)),$G$4:$G$79,0)),)</f>
        <v>0</v>
      </c>
    </row>
    <row r="7" spans="1:79" x14ac:dyDescent="0.2">
      <c r="A7" s="296">
        <f>TblRezone[[#This Row],[Hour]]</f>
        <v>4</v>
      </c>
      <c r="B7" s="297">
        <f ca="1">TblExplore[[#This Row],[Land-DB]]</f>
        <v>250</v>
      </c>
      <c r="C7" s="298">
        <f ca="1">TblProd[[#This Row],[Techpoints]]</f>
        <v>0</v>
      </c>
      <c r="D7" s="298">
        <f ca="1">TblProd[[#This Row],[Required]]</f>
        <v>3750</v>
      </c>
      <c r="E7" s="299"/>
      <c r="F7" s="300"/>
      <c r="G7" s="301" t="s">
        <v>551</v>
      </c>
      <c r="H7" s="302" t="s">
        <v>698</v>
      </c>
      <c r="I7" s="301" t="s">
        <v>552</v>
      </c>
      <c r="J7" s="297"/>
      <c r="K7" s="96">
        <f ca="1">IF(TblTech[[#This Row],[Sum of tech]]&lt;&gt;OFFSET(TblTech[[#This Row],[Sum of tech]],-1,0),1,0)</f>
        <v>0</v>
      </c>
      <c r="L7" s="303">
        <f>COUNTIF(TblTech[[#This Row],[1-1]:[11-1]],1)</f>
        <v>0</v>
      </c>
      <c r="M7" s="304" cm="1">
        <f t="array" ref="M7">IF(AND(M$2&lt;&gt;0,TblTech[[#This Row],[Hour]:[Hour]]&gt;=M$2),1,0)</f>
        <v>0</v>
      </c>
      <c r="N7" s="304" cm="1">
        <f t="array" ref="N7">IF(AND(N$2&lt;&gt;0,TblTech[[#This Row],[Hour]:[Hour]]&gt;=N$2),1,0)</f>
        <v>0</v>
      </c>
      <c r="O7" s="304" cm="1">
        <f t="array" ref="O7">IF(AND(O$2&lt;&gt;0,TblTech[[#This Row],[Hour]:[Hour]]&gt;=O$2),1,0)</f>
        <v>0</v>
      </c>
      <c r="P7" s="304" cm="1">
        <f t="array" ref="P7">IF(AND(P$2&lt;&gt;0,TblTech[[#This Row],[Hour]:[Hour]]&gt;=P$2),1,0)</f>
        <v>0</v>
      </c>
      <c r="Q7" s="304" cm="1">
        <f t="array" ref="Q7">IF(AND(Q$2&lt;&gt;0,TblTech[[#This Row],[Hour]:[Hour]]&gt;=Q$2),1,0)</f>
        <v>0</v>
      </c>
      <c r="R7" s="304" cm="1">
        <f t="array" ref="R7">IF(AND(R$2&lt;&gt;0,TblTech[[#This Row],[Hour]:[Hour]]&gt;=R$2),1,0)</f>
        <v>0</v>
      </c>
      <c r="S7" s="304" cm="1">
        <f t="array" ref="S7">IF(AND(S$2&lt;&gt;0,TblTech[[#This Row],[Hour]:[Hour]]&gt;=S$2),1,0)</f>
        <v>0</v>
      </c>
      <c r="T7" s="304" cm="1">
        <f t="array" ref="T7">IF(AND(T$2&lt;&gt;0,TblTech[[#This Row],[Hour]:[Hour]]&gt;=T$2),1,0)</f>
        <v>0</v>
      </c>
      <c r="U7" s="304" cm="1">
        <f t="array" ref="U7">IF(AND(U$2&lt;&gt;0,TblTech[[#This Row],[Hour]:[Hour]]&gt;=U$2),1,0)</f>
        <v>0</v>
      </c>
      <c r="V7" s="304" cm="1">
        <f t="array" ref="V7">IF(AND(V$2&lt;&gt;0,TblTech[[#This Row],[Hour]:[Hour]]&gt;=V$2),1,0)</f>
        <v>0</v>
      </c>
      <c r="W7" s="304" cm="1">
        <f t="array" ref="W7">IF(AND(W$2&lt;&gt;0,TblTech[[#This Row],[Hour]:[Hour]]&gt;=W$2),1,0)</f>
        <v>0</v>
      </c>
      <c r="X7" s="304" cm="1">
        <f t="array" ref="X7">IF(AND(X$2&lt;&gt;0,TblTech[[#This Row],[Hour]:[Hour]]&gt;=X$2),1,0)</f>
        <v>0</v>
      </c>
      <c r="Y7" s="304" cm="1">
        <f t="array" ref="Y7">IF(AND(Y$2&lt;&gt;0,TblTech[[#This Row],[Hour]:[Hour]]&gt;=Y$2),1,0)</f>
        <v>0</v>
      </c>
      <c r="Z7" s="304" cm="1">
        <f t="array" ref="Z7">IF(AND(Z$2&lt;&gt;0,TblTech[[#This Row],[Hour]:[Hour]]&gt;=Z$2),1,0)</f>
        <v>0</v>
      </c>
      <c r="AA7" s="304" cm="1">
        <f t="array" ref="AA7">IF(AND(AA$2&lt;&gt;0,TblTech[[#This Row],[Hour]:[Hour]]&gt;=AA$2),1,0)</f>
        <v>0</v>
      </c>
      <c r="AB7" s="304" cm="1">
        <f t="array" ref="AB7">IF(AND(AB$2&lt;&gt;0,TblTech[[#This Row],[Hour]:[Hour]]&gt;=AB$2),1,0)</f>
        <v>0</v>
      </c>
      <c r="AC7" s="304" cm="1">
        <f t="array" ref="AC7">IF(AND(AC$2&lt;&gt;0,TblTech[[#This Row],[Hour]:[Hour]]&gt;=AC$2),1,0)</f>
        <v>0</v>
      </c>
      <c r="AD7" s="304" cm="1">
        <f t="array" ref="AD7">IF(AND(AD$2&lt;&gt;0,TblTech[[#This Row],[Hour]:[Hour]]&gt;=AD$2),1,0)</f>
        <v>0</v>
      </c>
      <c r="AE7" s="304" cm="1">
        <f t="array" ref="AE7">IF(AND(AE$2&lt;&gt;0,TblTech[[#This Row],[Hour]:[Hour]]&gt;=AE$2),1,0)</f>
        <v>0</v>
      </c>
      <c r="AF7" s="304" cm="1">
        <f t="array" ref="AF7">IF(AND(AF$2&lt;&gt;0,TblTech[[#This Row],[Hour]:[Hour]]&gt;=AF$2),1,0)</f>
        <v>0</v>
      </c>
      <c r="AG7" s="304" cm="1">
        <f t="array" ref="AG7">IF(AND(AG$2&lt;&gt;0,TblTech[[#This Row],[Hour]:[Hour]]&gt;=AG$2),1,0)</f>
        <v>0</v>
      </c>
      <c r="AH7" s="304" cm="1">
        <f t="array" ref="AH7">IF(AND(AH$2&lt;&gt;0,TblTech[[#This Row],[Hour]:[Hour]]&gt;=AH$2),1,0)</f>
        <v>0</v>
      </c>
      <c r="AI7" s="304" cm="1">
        <f t="array" ref="AI7">IF(AND(AI$2&lt;&gt;0,TblTech[[#This Row],[Hour]:[Hour]]&gt;=AI$2),1,0)</f>
        <v>0</v>
      </c>
      <c r="AJ7" s="304" cm="1">
        <f t="array" ref="AJ7">IF(AND(AJ$2&lt;&gt;0,TblTech[[#This Row],[Hour]:[Hour]]&gt;=AJ$2),1,0)</f>
        <v>0</v>
      </c>
      <c r="AK7" s="304" cm="1">
        <f t="array" ref="AK7">IF(AND(AK$2&lt;&gt;0,TblTech[[#This Row],[Hour]:[Hour]]&gt;=AK$2),1,0)</f>
        <v>0</v>
      </c>
      <c r="AL7" s="304" cm="1">
        <f t="array" ref="AL7">IF(AND(AL$2&lt;&gt;0,TblTech[[#This Row],[Hour]:[Hour]]&gt;=AL$2),1,0)</f>
        <v>0</v>
      </c>
      <c r="AM7" s="304" cm="1">
        <f t="array" ref="AM7">IF(AND(AM$2&lt;&gt;0,TblTech[[#This Row],[Hour]:[Hour]]&gt;=AM$2),1,0)</f>
        <v>0</v>
      </c>
      <c r="AN7" s="304" cm="1">
        <f t="array" ref="AN7">IF(AND(AN$2&lt;&gt;0,TblTech[[#This Row],[Hour]:[Hour]]&gt;=AN$2),1,0)</f>
        <v>0</v>
      </c>
      <c r="AO7" s="304" cm="1">
        <f t="array" ref="AO7">IF(AND(AO$2&lt;&gt;0,TblTech[[#This Row],[Hour]:[Hour]]&gt;=AO$2),1,0)</f>
        <v>0</v>
      </c>
      <c r="AP7" s="304" cm="1">
        <f t="array" ref="AP7">IF(AND(AP$2&lt;&gt;0,TblTech[[#This Row],[Hour]:[Hour]]&gt;=AP$2),1,0)</f>
        <v>0</v>
      </c>
      <c r="AQ7" s="304" cm="1">
        <f t="array" ref="AQ7">IF(AND(AQ$2&lt;&gt;0,TblTech[[#This Row],[Hour]:[Hour]]&gt;=AQ$2),1,0)</f>
        <v>0</v>
      </c>
      <c r="AR7" s="304" cm="1">
        <f t="array" ref="AR7">IF(AND(AR$2&lt;&gt;0,TblTech[[#This Row],[Hour]:[Hour]]&gt;=AR$2),1,0)</f>
        <v>0</v>
      </c>
      <c r="AS7" s="304" cm="1">
        <f t="array" ref="AS7">IF(AND(AS$2&lt;&gt;0,TblTech[[#This Row],[Hour]:[Hour]]&gt;=AS$2),1,0)</f>
        <v>0</v>
      </c>
      <c r="AT7" s="304" cm="1">
        <f t="array" ref="AT7">IF(AND(AT$2&lt;&gt;0,TblTech[[#This Row],[Hour]:[Hour]]&gt;=AT$2),1,0)</f>
        <v>0</v>
      </c>
      <c r="AU7" s="304" cm="1">
        <f t="array" ref="AU7">IF(AND(AU$2&lt;&gt;0,TblTech[[#This Row],[Hour]:[Hour]]&gt;=AU$2),1,0)</f>
        <v>0</v>
      </c>
      <c r="AV7" s="304" cm="1">
        <f t="array" ref="AV7">IF(AND(AV$2&lt;&gt;0,TblTech[[#This Row],[Hour]:[Hour]]&gt;=AV$2),1,0)</f>
        <v>0</v>
      </c>
      <c r="AW7" s="304" cm="1">
        <f t="array" ref="AW7">IF(AND(AW$2&lt;&gt;0,TblTech[[#This Row],[Hour]:[Hour]]&gt;=AW$2),1,0)</f>
        <v>0</v>
      </c>
      <c r="AX7" s="304" cm="1">
        <f t="array" ref="AX7">IF(AND(AX$2&lt;&gt;0,TblTech[[#This Row],[Hour]:[Hour]]&gt;=AX$2),1,0)</f>
        <v>0</v>
      </c>
      <c r="AY7" s="304" cm="1">
        <f t="array" ref="AY7">IF(AND(AY$2&lt;&gt;0,TblTech[[#This Row],[Hour]:[Hour]]&gt;=AY$2),1,0)</f>
        <v>0</v>
      </c>
      <c r="AZ7" s="304" cm="1">
        <f t="array" ref="AZ7">IF(AND(AZ$2&lt;&gt;0,TblTech[[#This Row],[Hour]:[Hour]]&gt;=AZ$2),1,0)</f>
        <v>0</v>
      </c>
      <c r="BA7" s="304" cm="1">
        <f t="array" ref="BA7">IF(AND(BA$2&lt;&gt;0,TblTech[[#This Row],[Hour]:[Hour]]&gt;=BA$2),1,0)</f>
        <v>0</v>
      </c>
      <c r="BB7" s="304" cm="1">
        <f t="array" ref="BB7">IF(AND(BB$2&lt;&gt;0,TblTech[[#This Row],[Hour]:[Hour]]&gt;=BB$2),1,0)</f>
        <v>0</v>
      </c>
      <c r="BC7" s="304" cm="1">
        <f t="array" ref="BC7">IF(AND(BC$2&lt;&gt;0,TblTech[[#This Row],[Hour]:[Hour]]&gt;=BC$2),1,0)</f>
        <v>0</v>
      </c>
      <c r="BD7" s="304" cm="1">
        <f t="array" ref="BD7">IF(AND(BD$2&lt;&gt;0,TblTech[[#This Row],[Hour]:[Hour]]&gt;=BD$2),1,0)</f>
        <v>0</v>
      </c>
      <c r="BE7" s="304" cm="1">
        <f t="array" ref="BE7">IF(AND(BE$2&lt;&gt;0,TblTech[[#This Row],[Hour]:[Hour]]&gt;=BE$2),1,0)</f>
        <v>0</v>
      </c>
      <c r="BF7" s="304" cm="1">
        <f t="array" ref="BF7">IF(AND(BF$2&lt;&gt;0,TblTech[[#This Row],[Hour]:[Hour]]&gt;=BF$2),1,0)</f>
        <v>0</v>
      </c>
      <c r="BG7" s="304" cm="1">
        <f t="array" ref="BG7">IF(AND(BG$2&lt;&gt;0,TblTech[[#This Row],[Hour]:[Hour]]&gt;=BG$2),1,0)</f>
        <v>0</v>
      </c>
      <c r="BH7" s="304" cm="1">
        <f t="array" ref="BH7">IF(AND(BH$2&lt;&gt;0,TblTech[[#This Row],[Hour]:[Hour]]&gt;=BH$2),1,0)</f>
        <v>0</v>
      </c>
      <c r="BI7" s="304" cm="1">
        <f t="array" ref="BI7">IF(AND(BI$2&lt;&gt;0,TblTech[[#This Row],[Hour]:[Hour]]&gt;=BI$2),1,0)</f>
        <v>0</v>
      </c>
      <c r="BJ7" s="304" cm="1">
        <f t="array" ref="BJ7">IF(AND(BJ$2&lt;&gt;0,TblTech[[#This Row],[Hour]:[Hour]]&gt;=BJ$2),1,0)</f>
        <v>0</v>
      </c>
      <c r="BK7" s="304" cm="1">
        <f t="array" ref="BK7">IF(AND(BK$2&lt;&gt;0,TblTech[[#This Row],[Hour]:[Hour]]&gt;=BK$2),1,0)</f>
        <v>0</v>
      </c>
      <c r="BL7" s="304" cm="1">
        <f t="array" ref="BL7">IF(AND(BL$2&lt;&gt;0,TblTech[[#This Row],[Hour]:[Hour]]&gt;=BL$2),1,0)</f>
        <v>0</v>
      </c>
      <c r="BM7" s="304" cm="1">
        <f t="array" ref="BM7">IF(AND(BM$2&lt;&gt;0,TblTech[[#This Row],[Hour]:[Hour]]&gt;=BM$2),1,0)</f>
        <v>0</v>
      </c>
      <c r="BN7" s="304" cm="1">
        <f t="array" ref="BN7">IF(AND(BN$2&lt;&gt;0,TblTech[[#This Row],[Hour]:[Hour]]&gt;=BN$2),1,0)</f>
        <v>0</v>
      </c>
      <c r="BO7" s="304" cm="1">
        <f t="array" ref="BO7">IF(AND(BO$2&lt;&gt;0,TblTech[[#This Row],[Hour]:[Hour]]&gt;=BO$2),1,0)</f>
        <v>0</v>
      </c>
      <c r="BP7" s="304" cm="1">
        <f t="array" ref="BP7">IF(AND(BP$2&lt;&gt;0,TblTech[[#This Row],[Hour]:[Hour]]&gt;=BP$2),1,0)</f>
        <v>0</v>
      </c>
      <c r="BQ7" s="304" cm="1">
        <f t="array" ref="BQ7">IF(AND(BQ$2&lt;&gt;0,TblTech[[#This Row],[Hour]:[Hour]]&gt;=BQ$2),1,0)</f>
        <v>0</v>
      </c>
      <c r="BR7" s="304" cm="1">
        <f t="array" ref="BR7">IF(AND(BR$2&lt;&gt;0,TblTech[[#This Row],[Hour]:[Hour]]&gt;=BR$2),1,0)</f>
        <v>0</v>
      </c>
      <c r="BS7" s="304" cm="1">
        <f t="array" ref="BS7">IF(AND(BS$2&lt;&gt;0,TblTech[[#This Row],[Hour]:[Hour]]&gt;=BS$2),1,0)</f>
        <v>0</v>
      </c>
      <c r="BT7" s="304" cm="1">
        <f t="array" ref="BT7">IF(AND(BT$2&lt;&gt;0,TblTech[[#This Row],[Hour]:[Hour]]&gt;=BT$2),1,0)</f>
        <v>0</v>
      </c>
      <c r="BU7" s="304" cm="1">
        <f t="array" ref="BU7">IF(AND(BU$2&lt;&gt;0,TblTech[[#This Row],[Hour]:[Hour]]&gt;=BU$2),1,0)</f>
        <v>0</v>
      </c>
      <c r="BV7" s="304" cm="1">
        <f t="array" ref="BV7">IF(AND(BV$2&lt;&gt;0,TblTech[[#This Row],[Hour]:[Hour]]&gt;=BV$2),1,0)</f>
        <v>0</v>
      </c>
      <c r="BW7" s="304" cm="1">
        <f t="array" ref="BW7">IF(AND(BW$2&lt;&gt;0,TblTech[[#This Row],[Hour]:[Hour]]&gt;=BW$2),1,0)</f>
        <v>0</v>
      </c>
      <c r="BX7" s="304" cm="1">
        <f t="array" ref="BX7">IF(AND(BX$2&lt;&gt;0,TblTech[[#This Row],[Hour]:[Hour]]&gt;=BX$2),1,0)</f>
        <v>0</v>
      </c>
      <c r="BY7" s="304" cm="1">
        <f t="array" ref="BY7">IF(AND(BY$2&lt;&gt;0,TblTech[[#This Row],[Hour]:[Hour]]&gt;=BY$2),1,0)</f>
        <v>0</v>
      </c>
      <c r="BZ7" s="304" cm="1">
        <f t="array" ref="BZ7">IF(AND(BZ$2&lt;&gt;0,TblTech[[#This Row],[Hour]:[Hour]]&gt;=BZ$2),1,0)</f>
        <v>0</v>
      </c>
      <c r="CA7" s="408">
        <f>IFERROR(INDEX($H$4:$H$79,MATCH(INDEX(TblTech[[#Headers],[1-1]:[11-1]],1,MATCH(TblTech[[#This Row],[Hour]],$M$2:$BZ$2,0)),$G$4:$G$79,0)),)</f>
        <v>0</v>
      </c>
    </row>
    <row r="8" spans="1:79" x14ac:dyDescent="0.2">
      <c r="A8" s="296">
        <f>TblRezone[[#This Row],[Hour]]</f>
        <v>5</v>
      </c>
      <c r="B8" s="297">
        <f ca="1">TblExplore[[#This Row],[Land-DB]]</f>
        <v>250</v>
      </c>
      <c r="C8" s="298">
        <f ca="1">TblProd[[#This Row],[Techpoints]]</f>
        <v>0</v>
      </c>
      <c r="D8" s="298">
        <f ca="1">TblProd[[#This Row],[Required]]</f>
        <v>3750</v>
      </c>
      <c r="E8" s="299"/>
      <c r="F8" s="300"/>
      <c r="G8" s="301" t="s">
        <v>553</v>
      </c>
      <c r="H8" s="302" t="s">
        <v>699</v>
      </c>
      <c r="I8" s="301" t="s">
        <v>554</v>
      </c>
      <c r="J8" s="297"/>
      <c r="K8" s="96">
        <f ca="1">IF(TblTech[[#This Row],[Sum of tech]]&lt;&gt;OFFSET(TblTech[[#This Row],[Sum of tech]],-1,0),1,0)</f>
        <v>0</v>
      </c>
      <c r="L8" s="303">
        <f>COUNTIF(TblTech[[#This Row],[1-1]:[11-1]],1)</f>
        <v>0</v>
      </c>
      <c r="M8" s="304" cm="1">
        <f t="array" ref="M8">IF(AND(M$2&lt;&gt;0,TblTech[[#This Row],[Hour]:[Hour]]&gt;=M$2),1,0)</f>
        <v>0</v>
      </c>
      <c r="N8" s="304" cm="1">
        <f t="array" ref="N8">IF(AND(N$2&lt;&gt;0,TblTech[[#This Row],[Hour]:[Hour]]&gt;=N$2),1,0)</f>
        <v>0</v>
      </c>
      <c r="O8" s="304" cm="1">
        <f t="array" ref="O8">IF(AND(O$2&lt;&gt;0,TblTech[[#This Row],[Hour]:[Hour]]&gt;=O$2),1,0)</f>
        <v>0</v>
      </c>
      <c r="P8" s="304" cm="1">
        <f t="array" ref="P8">IF(AND(P$2&lt;&gt;0,TblTech[[#This Row],[Hour]:[Hour]]&gt;=P$2),1,0)</f>
        <v>0</v>
      </c>
      <c r="Q8" s="304" cm="1">
        <f t="array" ref="Q8">IF(AND(Q$2&lt;&gt;0,TblTech[[#This Row],[Hour]:[Hour]]&gt;=Q$2),1,0)</f>
        <v>0</v>
      </c>
      <c r="R8" s="304" cm="1">
        <f t="array" ref="R8">IF(AND(R$2&lt;&gt;0,TblTech[[#This Row],[Hour]:[Hour]]&gt;=R$2),1,0)</f>
        <v>0</v>
      </c>
      <c r="S8" s="304" cm="1">
        <f t="array" ref="S8">IF(AND(S$2&lt;&gt;0,TblTech[[#This Row],[Hour]:[Hour]]&gt;=S$2),1,0)</f>
        <v>0</v>
      </c>
      <c r="T8" s="304" cm="1">
        <f t="array" ref="T8">IF(AND(T$2&lt;&gt;0,TblTech[[#This Row],[Hour]:[Hour]]&gt;=T$2),1,0)</f>
        <v>0</v>
      </c>
      <c r="U8" s="304" cm="1">
        <f t="array" ref="U8">IF(AND(U$2&lt;&gt;0,TblTech[[#This Row],[Hour]:[Hour]]&gt;=U$2),1,0)</f>
        <v>0</v>
      </c>
      <c r="V8" s="304" cm="1">
        <f t="array" ref="V8">IF(AND(V$2&lt;&gt;0,TblTech[[#This Row],[Hour]:[Hour]]&gt;=V$2),1,0)</f>
        <v>0</v>
      </c>
      <c r="W8" s="304" cm="1">
        <f t="array" ref="W8">IF(AND(W$2&lt;&gt;0,TblTech[[#This Row],[Hour]:[Hour]]&gt;=W$2),1,0)</f>
        <v>0</v>
      </c>
      <c r="X8" s="304" cm="1">
        <f t="array" ref="X8">IF(AND(X$2&lt;&gt;0,TblTech[[#This Row],[Hour]:[Hour]]&gt;=X$2),1,0)</f>
        <v>0</v>
      </c>
      <c r="Y8" s="304" cm="1">
        <f t="array" ref="Y8">IF(AND(Y$2&lt;&gt;0,TblTech[[#This Row],[Hour]:[Hour]]&gt;=Y$2),1,0)</f>
        <v>0</v>
      </c>
      <c r="Z8" s="304" cm="1">
        <f t="array" ref="Z8">IF(AND(Z$2&lt;&gt;0,TblTech[[#This Row],[Hour]:[Hour]]&gt;=Z$2),1,0)</f>
        <v>0</v>
      </c>
      <c r="AA8" s="304" cm="1">
        <f t="array" ref="AA8">IF(AND(AA$2&lt;&gt;0,TblTech[[#This Row],[Hour]:[Hour]]&gt;=AA$2),1,0)</f>
        <v>0</v>
      </c>
      <c r="AB8" s="304" cm="1">
        <f t="array" ref="AB8">IF(AND(AB$2&lt;&gt;0,TblTech[[#This Row],[Hour]:[Hour]]&gt;=AB$2),1,0)</f>
        <v>0</v>
      </c>
      <c r="AC8" s="304" cm="1">
        <f t="array" ref="AC8">IF(AND(AC$2&lt;&gt;0,TblTech[[#This Row],[Hour]:[Hour]]&gt;=AC$2),1,0)</f>
        <v>0</v>
      </c>
      <c r="AD8" s="304" cm="1">
        <f t="array" ref="AD8">IF(AND(AD$2&lt;&gt;0,TblTech[[#This Row],[Hour]:[Hour]]&gt;=AD$2),1,0)</f>
        <v>0</v>
      </c>
      <c r="AE8" s="304" cm="1">
        <f t="array" ref="AE8">IF(AND(AE$2&lt;&gt;0,TblTech[[#This Row],[Hour]:[Hour]]&gt;=AE$2),1,0)</f>
        <v>0</v>
      </c>
      <c r="AF8" s="304" cm="1">
        <f t="array" ref="AF8">IF(AND(AF$2&lt;&gt;0,TblTech[[#This Row],[Hour]:[Hour]]&gt;=AF$2),1,0)</f>
        <v>0</v>
      </c>
      <c r="AG8" s="304" cm="1">
        <f t="array" ref="AG8">IF(AND(AG$2&lt;&gt;0,TblTech[[#This Row],[Hour]:[Hour]]&gt;=AG$2),1,0)</f>
        <v>0</v>
      </c>
      <c r="AH8" s="304" cm="1">
        <f t="array" ref="AH8">IF(AND(AH$2&lt;&gt;0,TblTech[[#This Row],[Hour]:[Hour]]&gt;=AH$2),1,0)</f>
        <v>0</v>
      </c>
      <c r="AI8" s="304" cm="1">
        <f t="array" ref="AI8">IF(AND(AI$2&lt;&gt;0,TblTech[[#This Row],[Hour]:[Hour]]&gt;=AI$2),1,0)</f>
        <v>0</v>
      </c>
      <c r="AJ8" s="304" cm="1">
        <f t="array" ref="AJ8">IF(AND(AJ$2&lt;&gt;0,TblTech[[#This Row],[Hour]:[Hour]]&gt;=AJ$2),1,0)</f>
        <v>0</v>
      </c>
      <c r="AK8" s="304" cm="1">
        <f t="array" ref="AK8">IF(AND(AK$2&lt;&gt;0,TblTech[[#This Row],[Hour]:[Hour]]&gt;=AK$2),1,0)</f>
        <v>0</v>
      </c>
      <c r="AL8" s="304" cm="1">
        <f t="array" ref="AL8">IF(AND(AL$2&lt;&gt;0,TblTech[[#This Row],[Hour]:[Hour]]&gt;=AL$2),1,0)</f>
        <v>0</v>
      </c>
      <c r="AM8" s="304" cm="1">
        <f t="array" ref="AM8">IF(AND(AM$2&lt;&gt;0,TblTech[[#This Row],[Hour]:[Hour]]&gt;=AM$2),1,0)</f>
        <v>0</v>
      </c>
      <c r="AN8" s="304" cm="1">
        <f t="array" ref="AN8">IF(AND(AN$2&lt;&gt;0,TblTech[[#This Row],[Hour]:[Hour]]&gt;=AN$2),1,0)</f>
        <v>0</v>
      </c>
      <c r="AO8" s="304" cm="1">
        <f t="array" ref="AO8">IF(AND(AO$2&lt;&gt;0,TblTech[[#This Row],[Hour]:[Hour]]&gt;=AO$2),1,0)</f>
        <v>0</v>
      </c>
      <c r="AP8" s="304" cm="1">
        <f t="array" ref="AP8">IF(AND(AP$2&lt;&gt;0,TblTech[[#This Row],[Hour]:[Hour]]&gt;=AP$2),1,0)</f>
        <v>0</v>
      </c>
      <c r="AQ8" s="304" cm="1">
        <f t="array" ref="AQ8">IF(AND(AQ$2&lt;&gt;0,TblTech[[#This Row],[Hour]:[Hour]]&gt;=AQ$2),1,0)</f>
        <v>0</v>
      </c>
      <c r="AR8" s="304" cm="1">
        <f t="array" ref="AR8">IF(AND(AR$2&lt;&gt;0,TblTech[[#This Row],[Hour]:[Hour]]&gt;=AR$2),1,0)</f>
        <v>0</v>
      </c>
      <c r="AS8" s="304" cm="1">
        <f t="array" ref="AS8">IF(AND(AS$2&lt;&gt;0,TblTech[[#This Row],[Hour]:[Hour]]&gt;=AS$2),1,0)</f>
        <v>0</v>
      </c>
      <c r="AT8" s="304" cm="1">
        <f t="array" ref="AT8">IF(AND(AT$2&lt;&gt;0,TblTech[[#This Row],[Hour]:[Hour]]&gt;=AT$2),1,0)</f>
        <v>0</v>
      </c>
      <c r="AU8" s="304" cm="1">
        <f t="array" ref="AU8">IF(AND(AU$2&lt;&gt;0,TblTech[[#This Row],[Hour]:[Hour]]&gt;=AU$2),1,0)</f>
        <v>0</v>
      </c>
      <c r="AV8" s="304" cm="1">
        <f t="array" ref="AV8">IF(AND(AV$2&lt;&gt;0,TblTech[[#This Row],[Hour]:[Hour]]&gt;=AV$2),1,0)</f>
        <v>0</v>
      </c>
      <c r="AW8" s="304" cm="1">
        <f t="array" ref="AW8">IF(AND(AW$2&lt;&gt;0,TblTech[[#This Row],[Hour]:[Hour]]&gt;=AW$2),1,0)</f>
        <v>0</v>
      </c>
      <c r="AX8" s="304" cm="1">
        <f t="array" ref="AX8">IF(AND(AX$2&lt;&gt;0,TblTech[[#This Row],[Hour]:[Hour]]&gt;=AX$2),1,0)</f>
        <v>0</v>
      </c>
      <c r="AY8" s="304" cm="1">
        <f t="array" ref="AY8">IF(AND(AY$2&lt;&gt;0,TblTech[[#This Row],[Hour]:[Hour]]&gt;=AY$2),1,0)</f>
        <v>0</v>
      </c>
      <c r="AZ8" s="304" cm="1">
        <f t="array" ref="AZ8">IF(AND(AZ$2&lt;&gt;0,TblTech[[#This Row],[Hour]:[Hour]]&gt;=AZ$2),1,0)</f>
        <v>0</v>
      </c>
      <c r="BA8" s="304" cm="1">
        <f t="array" ref="BA8">IF(AND(BA$2&lt;&gt;0,TblTech[[#This Row],[Hour]:[Hour]]&gt;=BA$2),1,0)</f>
        <v>0</v>
      </c>
      <c r="BB8" s="304" cm="1">
        <f t="array" ref="BB8">IF(AND(BB$2&lt;&gt;0,TblTech[[#This Row],[Hour]:[Hour]]&gt;=BB$2),1,0)</f>
        <v>0</v>
      </c>
      <c r="BC8" s="304" cm="1">
        <f t="array" ref="BC8">IF(AND(BC$2&lt;&gt;0,TblTech[[#This Row],[Hour]:[Hour]]&gt;=BC$2),1,0)</f>
        <v>0</v>
      </c>
      <c r="BD8" s="304" cm="1">
        <f t="array" ref="BD8">IF(AND(BD$2&lt;&gt;0,TblTech[[#This Row],[Hour]:[Hour]]&gt;=BD$2),1,0)</f>
        <v>0</v>
      </c>
      <c r="BE8" s="304" cm="1">
        <f t="array" ref="BE8">IF(AND(BE$2&lt;&gt;0,TblTech[[#This Row],[Hour]:[Hour]]&gt;=BE$2),1,0)</f>
        <v>0</v>
      </c>
      <c r="BF8" s="304" cm="1">
        <f t="array" ref="BF8">IF(AND(BF$2&lt;&gt;0,TblTech[[#This Row],[Hour]:[Hour]]&gt;=BF$2),1,0)</f>
        <v>0</v>
      </c>
      <c r="BG8" s="304" cm="1">
        <f t="array" ref="BG8">IF(AND(BG$2&lt;&gt;0,TblTech[[#This Row],[Hour]:[Hour]]&gt;=BG$2),1,0)</f>
        <v>0</v>
      </c>
      <c r="BH8" s="304" cm="1">
        <f t="array" ref="BH8">IF(AND(BH$2&lt;&gt;0,TblTech[[#This Row],[Hour]:[Hour]]&gt;=BH$2),1,0)</f>
        <v>0</v>
      </c>
      <c r="BI8" s="304" cm="1">
        <f t="array" ref="BI8">IF(AND(BI$2&lt;&gt;0,TblTech[[#This Row],[Hour]:[Hour]]&gt;=BI$2),1,0)</f>
        <v>0</v>
      </c>
      <c r="BJ8" s="304" cm="1">
        <f t="array" ref="BJ8">IF(AND(BJ$2&lt;&gt;0,TblTech[[#This Row],[Hour]:[Hour]]&gt;=BJ$2),1,0)</f>
        <v>0</v>
      </c>
      <c r="BK8" s="304" cm="1">
        <f t="array" ref="BK8">IF(AND(BK$2&lt;&gt;0,TblTech[[#This Row],[Hour]:[Hour]]&gt;=BK$2),1,0)</f>
        <v>0</v>
      </c>
      <c r="BL8" s="304" cm="1">
        <f t="array" ref="BL8">IF(AND(BL$2&lt;&gt;0,TblTech[[#This Row],[Hour]:[Hour]]&gt;=BL$2),1,0)</f>
        <v>0</v>
      </c>
      <c r="BM8" s="304" cm="1">
        <f t="array" ref="BM8">IF(AND(BM$2&lt;&gt;0,TblTech[[#This Row],[Hour]:[Hour]]&gt;=BM$2),1,0)</f>
        <v>0</v>
      </c>
      <c r="BN8" s="304" cm="1">
        <f t="array" ref="BN8">IF(AND(BN$2&lt;&gt;0,TblTech[[#This Row],[Hour]:[Hour]]&gt;=BN$2),1,0)</f>
        <v>0</v>
      </c>
      <c r="BO8" s="304" cm="1">
        <f t="array" ref="BO8">IF(AND(BO$2&lt;&gt;0,TblTech[[#This Row],[Hour]:[Hour]]&gt;=BO$2),1,0)</f>
        <v>0</v>
      </c>
      <c r="BP8" s="304" cm="1">
        <f t="array" ref="BP8">IF(AND(BP$2&lt;&gt;0,TblTech[[#This Row],[Hour]:[Hour]]&gt;=BP$2),1,0)</f>
        <v>0</v>
      </c>
      <c r="BQ8" s="304" cm="1">
        <f t="array" ref="BQ8">IF(AND(BQ$2&lt;&gt;0,TblTech[[#This Row],[Hour]:[Hour]]&gt;=BQ$2),1,0)</f>
        <v>0</v>
      </c>
      <c r="BR8" s="304" cm="1">
        <f t="array" ref="BR8">IF(AND(BR$2&lt;&gt;0,TblTech[[#This Row],[Hour]:[Hour]]&gt;=BR$2),1,0)</f>
        <v>0</v>
      </c>
      <c r="BS8" s="304" cm="1">
        <f t="array" ref="BS8">IF(AND(BS$2&lt;&gt;0,TblTech[[#This Row],[Hour]:[Hour]]&gt;=BS$2),1,0)</f>
        <v>0</v>
      </c>
      <c r="BT8" s="304" cm="1">
        <f t="array" ref="BT8">IF(AND(BT$2&lt;&gt;0,TblTech[[#This Row],[Hour]:[Hour]]&gt;=BT$2),1,0)</f>
        <v>0</v>
      </c>
      <c r="BU8" s="304" cm="1">
        <f t="array" ref="BU8">IF(AND(BU$2&lt;&gt;0,TblTech[[#This Row],[Hour]:[Hour]]&gt;=BU$2),1,0)</f>
        <v>0</v>
      </c>
      <c r="BV8" s="304" cm="1">
        <f t="array" ref="BV8">IF(AND(BV$2&lt;&gt;0,TblTech[[#This Row],[Hour]:[Hour]]&gt;=BV$2),1,0)</f>
        <v>0</v>
      </c>
      <c r="BW8" s="304" cm="1">
        <f t="array" ref="BW8">IF(AND(BW$2&lt;&gt;0,TblTech[[#This Row],[Hour]:[Hour]]&gt;=BW$2),1,0)</f>
        <v>0</v>
      </c>
      <c r="BX8" s="304" cm="1">
        <f t="array" ref="BX8">IF(AND(BX$2&lt;&gt;0,TblTech[[#This Row],[Hour]:[Hour]]&gt;=BX$2),1,0)</f>
        <v>0</v>
      </c>
      <c r="BY8" s="304" cm="1">
        <f t="array" ref="BY8">IF(AND(BY$2&lt;&gt;0,TblTech[[#This Row],[Hour]:[Hour]]&gt;=BY$2),1,0)</f>
        <v>0</v>
      </c>
      <c r="BZ8" s="304" cm="1">
        <f t="array" ref="BZ8">IF(AND(BZ$2&lt;&gt;0,TblTech[[#This Row],[Hour]:[Hour]]&gt;=BZ$2),1,0)</f>
        <v>0</v>
      </c>
      <c r="CA8" s="408">
        <f>IFERROR(INDEX($H$4:$H$79,MATCH(INDEX(TblTech[[#Headers],[1-1]:[11-1]],1,MATCH(TblTech[[#This Row],[Hour]],$M$2:$BZ$2,0)),$G$4:$G$79,0)),)</f>
        <v>0</v>
      </c>
    </row>
    <row r="9" spans="1:79" x14ac:dyDescent="0.2">
      <c r="A9" s="296">
        <f>TblRezone[[#This Row],[Hour]]</f>
        <v>6</v>
      </c>
      <c r="B9" s="297">
        <f ca="1">TblExplore[[#This Row],[Land-DB]]</f>
        <v>250</v>
      </c>
      <c r="C9" s="298">
        <f ca="1">TblProd[[#This Row],[Techpoints]]</f>
        <v>0</v>
      </c>
      <c r="D9" s="298">
        <f ca="1">TblProd[[#This Row],[Required]]</f>
        <v>3750</v>
      </c>
      <c r="E9" s="299"/>
      <c r="F9" s="300"/>
      <c r="G9" s="301" t="s">
        <v>555</v>
      </c>
      <c r="H9" s="302" t="s">
        <v>710</v>
      </c>
      <c r="I9" s="301" t="s">
        <v>571</v>
      </c>
      <c r="J9" s="297"/>
      <c r="K9" s="96">
        <f ca="1">IF(TblTech[[#This Row],[Sum of tech]]&lt;&gt;OFFSET(TblTech[[#This Row],[Sum of tech]],-1,0),1,0)</f>
        <v>0</v>
      </c>
      <c r="L9" s="303">
        <f>COUNTIF(TblTech[[#This Row],[1-1]:[11-1]],1)</f>
        <v>0</v>
      </c>
      <c r="M9" s="304" cm="1">
        <f t="array" ref="M9">IF(AND(M$2&lt;&gt;0,TblTech[[#This Row],[Hour]:[Hour]]&gt;=M$2),1,0)</f>
        <v>0</v>
      </c>
      <c r="N9" s="304" cm="1">
        <f t="array" ref="N9">IF(AND(N$2&lt;&gt;0,TblTech[[#This Row],[Hour]:[Hour]]&gt;=N$2),1,0)</f>
        <v>0</v>
      </c>
      <c r="O9" s="304" cm="1">
        <f t="array" ref="O9">IF(AND(O$2&lt;&gt;0,TblTech[[#This Row],[Hour]:[Hour]]&gt;=O$2),1,0)</f>
        <v>0</v>
      </c>
      <c r="P9" s="304" cm="1">
        <f t="array" ref="P9">IF(AND(P$2&lt;&gt;0,TblTech[[#This Row],[Hour]:[Hour]]&gt;=P$2),1,0)</f>
        <v>0</v>
      </c>
      <c r="Q9" s="304" cm="1">
        <f t="array" ref="Q9">IF(AND(Q$2&lt;&gt;0,TblTech[[#This Row],[Hour]:[Hour]]&gt;=Q$2),1,0)</f>
        <v>0</v>
      </c>
      <c r="R9" s="304" cm="1">
        <f t="array" ref="R9">IF(AND(R$2&lt;&gt;0,TblTech[[#This Row],[Hour]:[Hour]]&gt;=R$2),1,0)</f>
        <v>0</v>
      </c>
      <c r="S9" s="304" cm="1">
        <f t="array" ref="S9">IF(AND(S$2&lt;&gt;0,TblTech[[#This Row],[Hour]:[Hour]]&gt;=S$2),1,0)</f>
        <v>0</v>
      </c>
      <c r="T9" s="304" cm="1">
        <f t="array" ref="T9">IF(AND(T$2&lt;&gt;0,TblTech[[#This Row],[Hour]:[Hour]]&gt;=T$2),1,0)</f>
        <v>0</v>
      </c>
      <c r="U9" s="304" cm="1">
        <f t="array" ref="U9">IF(AND(U$2&lt;&gt;0,TblTech[[#This Row],[Hour]:[Hour]]&gt;=U$2),1,0)</f>
        <v>0</v>
      </c>
      <c r="V9" s="304" cm="1">
        <f t="array" ref="V9">IF(AND(V$2&lt;&gt;0,TblTech[[#This Row],[Hour]:[Hour]]&gt;=V$2),1,0)</f>
        <v>0</v>
      </c>
      <c r="W9" s="304" cm="1">
        <f t="array" ref="W9">IF(AND(W$2&lt;&gt;0,TblTech[[#This Row],[Hour]:[Hour]]&gt;=W$2),1,0)</f>
        <v>0</v>
      </c>
      <c r="X9" s="304" cm="1">
        <f t="array" ref="X9">IF(AND(X$2&lt;&gt;0,TblTech[[#This Row],[Hour]:[Hour]]&gt;=X$2),1,0)</f>
        <v>0</v>
      </c>
      <c r="Y9" s="304" cm="1">
        <f t="array" ref="Y9">IF(AND(Y$2&lt;&gt;0,TblTech[[#This Row],[Hour]:[Hour]]&gt;=Y$2),1,0)</f>
        <v>0</v>
      </c>
      <c r="Z9" s="304" cm="1">
        <f t="array" ref="Z9">IF(AND(Z$2&lt;&gt;0,TblTech[[#This Row],[Hour]:[Hour]]&gt;=Z$2),1,0)</f>
        <v>0</v>
      </c>
      <c r="AA9" s="304" cm="1">
        <f t="array" ref="AA9">IF(AND(AA$2&lt;&gt;0,TblTech[[#This Row],[Hour]:[Hour]]&gt;=AA$2),1,0)</f>
        <v>0</v>
      </c>
      <c r="AB9" s="304" cm="1">
        <f t="array" ref="AB9">IF(AND(AB$2&lt;&gt;0,TblTech[[#This Row],[Hour]:[Hour]]&gt;=AB$2),1,0)</f>
        <v>0</v>
      </c>
      <c r="AC9" s="304" cm="1">
        <f t="array" ref="AC9">IF(AND(AC$2&lt;&gt;0,TblTech[[#This Row],[Hour]:[Hour]]&gt;=AC$2),1,0)</f>
        <v>0</v>
      </c>
      <c r="AD9" s="304" cm="1">
        <f t="array" ref="AD9">IF(AND(AD$2&lt;&gt;0,TblTech[[#This Row],[Hour]:[Hour]]&gt;=AD$2),1,0)</f>
        <v>0</v>
      </c>
      <c r="AE9" s="304" cm="1">
        <f t="array" ref="AE9">IF(AND(AE$2&lt;&gt;0,TblTech[[#This Row],[Hour]:[Hour]]&gt;=AE$2),1,0)</f>
        <v>0</v>
      </c>
      <c r="AF9" s="304" cm="1">
        <f t="array" ref="AF9">IF(AND(AF$2&lt;&gt;0,TblTech[[#This Row],[Hour]:[Hour]]&gt;=AF$2),1,0)</f>
        <v>0</v>
      </c>
      <c r="AG9" s="304" cm="1">
        <f t="array" ref="AG9">IF(AND(AG$2&lt;&gt;0,TblTech[[#This Row],[Hour]:[Hour]]&gt;=AG$2),1,0)</f>
        <v>0</v>
      </c>
      <c r="AH9" s="304" cm="1">
        <f t="array" ref="AH9">IF(AND(AH$2&lt;&gt;0,TblTech[[#This Row],[Hour]:[Hour]]&gt;=AH$2),1,0)</f>
        <v>0</v>
      </c>
      <c r="AI9" s="304" cm="1">
        <f t="array" ref="AI9">IF(AND(AI$2&lt;&gt;0,TblTech[[#This Row],[Hour]:[Hour]]&gt;=AI$2),1,0)</f>
        <v>0</v>
      </c>
      <c r="AJ9" s="304" cm="1">
        <f t="array" ref="AJ9">IF(AND(AJ$2&lt;&gt;0,TblTech[[#This Row],[Hour]:[Hour]]&gt;=AJ$2),1,0)</f>
        <v>0</v>
      </c>
      <c r="AK9" s="304" cm="1">
        <f t="array" ref="AK9">IF(AND(AK$2&lt;&gt;0,TblTech[[#This Row],[Hour]:[Hour]]&gt;=AK$2),1,0)</f>
        <v>0</v>
      </c>
      <c r="AL9" s="304" cm="1">
        <f t="array" ref="AL9">IF(AND(AL$2&lt;&gt;0,TblTech[[#This Row],[Hour]:[Hour]]&gt;=AL$2),1,0)</f>
        <v>0</v>
      </c>
      <c r="AM9" s="304" cm="1">
        <f t="array" ref="AM9">IF(AND(AM$2&lt;&gt;0,TblTech[[#This Row],[Hour]:[Hour]]&gt;=AM$2),1,0)</f>
        <v>0</v>
      </c>
      <c r="AN9" s="304" cm="1">
        <f t="array" ref="AN9">IF(AND(AN$2&lt;&gt;0,TblTech[[#This Row],[Hour]:[Hour]]&gt;=AN$2),1,0)</f>
        <v>0</v>
      </c>
      <c r="AO9" s="304" cm="1">
        <f t="array" ref="AO9">IF(AND(AO$2&lt;&gt;0,TblTech[[#This Row],[Hour]:[Hour]]&gt;=AO$2),1,0)</f>
        <v>0</v>
      </c>
      <c r="AP9" s="304" cm="1">
        <f t="array" ref="AP9">IF(AND(AP$2&lt;&gt;0,TblTech[[#This Row],[Hour]:[Hour]]&gt;=AP$2),1,0)</f>
        <v>0</v>
      </c>
      <c r="AQ9" s="304" cm="1">
        <f t="array" ref="AQ9">IF(AND(AQ$2&lt;&gt;0,TblTech[[#This Row],[Hour]:[Hour]]&gt;=AQ$2),1,0)</f>
        <v>0</v>
      </c>
      <c r="AR9" s="304" cm="1">
        <f t="array" ref="AR9">IF(AND(AR$2&lt;&gt;0,TblTech[[#This Row],[Hour]:[Hour]]&gt;=AR$2),1,0)</f>
        <v>0</v>
      </c>
      <c r="AS9" s="304" cm="1">
        <f t="array" ref="AS9">IF(AND(AS$2&lt;&gt;0,TblTech[[#This Row],[Hour]:[Hour]]&gt;=AS$2),1,0)</f>
        <v>0</v>
      </c>
      <c r="AT9" s="304" cm="1">
        <f t="array" ref="AT9">IF(AND(AT$2&lt;&gt;0,TblTech[[#This Row],[Hour]:[Hour]]&gt;=AT$2),1,0)</f>
        <v>0</v>
      </c>
      <c r="AU9" s="304" cm="1">
        <f t="array" ref="AU9">IF(AND(AU$2&lt;&gt;0,TblTech[[#This Row],[Hour]:[Hour]]&gt;=AU$2),1,0)</f>
        <v>0</v>
      </c>
      <c r="AV9" s="304" cm="1">
        <f t="array" ref="AV9">IF(AND(AV$2&lt;&gt;0,TblTech[[#This Row],[Hour]:[Hour]]&gt;=AV$2),1,0)</f>
        <v>0</v>
      </c>
      <c r="AW9" s="304" cm="1">
        <f t="array" ref="AW9">IF(AND(AW$2&lt;&gt;0,TblTech[[#This Row],[Hour]:[Hour]]&gt;=AW$2),1,0)</f>
        <v>0</v>
      </c>
      <c r="AX9" s="304" cm="1">
        <f t="array" ref="AX9">IF(AND(AX$2&lt;&gt;0,TblTech[[#This Row],[Hour]:[Hour]]&gt;=AX$2),1,0)</f>
        <v>0</v>
      </c>
      <c r="AY9" s="304" cm="1">
        <f t="array" ref="AY9">IF(AND(AY$2&lt;&gt;0,TblTech[[#This Row],[Hour]:[Hour]]&gt;=AY$2),1,0)</f>
        <v>0</v>
      </c>
      <c r="AZ9" s="304" cm="1">
        <f t="array" ref="AZ9">IF(AND(AZ$2&lt;&gt;0,TblTech[[#This Row],[Hour]:[Hour]]&gt;=AZ$2),1,0)</f>
        <v>0</v>
      </c>
      <c r="BA9" s="304" cm="1">
        <f t="array" ref="BA9">IF(AND(BA$2&lt;&gt;0,TblTech[[#This Row],[Hour]:[Hour]]&gt;=BA$2),1,0)</f>
        <v>0</v>
      </c>
      <c r="BB9" s="304" cm="1">
        <f t="array" ref="BB9">IF(AND(BB$2&lt;&gt;0,TblTech[[#This Row],[Hour]:[Hour]]&gt;=BB$2),1,0)</f>
        <v>0</v>
      </c>
      <c r="BC9" s="304" cm="1">
        <f t="array" ref="BC9">IF(AND(BC$2&lt;&gt;0,TblTech[[#This Row],[Hour]:[Hour]]&gt;=BC$2),1,0)</f>
        <v>0</v>
      </c>
      <c r="BD9" s="304" cm="1">
        <f t="array" ref="BD9">IF(AND(BD$2&lt;&gt;0,TblTech[[#This Row],[Hour]:[Hour]]&gt;=BD$2),1,0)</f>
        <v>0</v>
      </c>
      <c r="BE9" s="304" cm="1">
        <f t="array" ref="BE9">IF(AND(BE$2&lt;&gt;0,TblTech[[#This Row],[Hour]:[Hour]]&gt;=BE$2),1,0)</f>
        <v>0</v>
      </c>
      <c r="BF9" s="304" cm="1">
        <f t="array" ref="BF9">IF(AND(BF$2&lt;&gt;0,TblTech[[#This Row],[Hour]:[Hour]]&gt;=BF$2),1,0)</f>
        <v>0</v>
      </c>
      <c r="BG9" s="304" cm="1">
        <f t="array" ref="BG9">IF(AND(BG$2&lt;&gt;0,TblTech[[#This Row],[Hour]:[Hour]]&gt;=BG$2),1,0)</f>
        <v>0</v>
      </c>
      <c r="BH9" s="304" cm="1">
        <f t="array" ref="BH9">IF(AND(BH$2&lt;&gt;0,TblTech[[#This Row],[Hour]:[Hour]]&gt;=BH$2),1,0)</f>
        <v>0</v>
      </c>
      <c r="BI9" s="304" cm="1">
        <f t="array" ref="BI9">IF(AND(BI$2&lt;&gt;0,TblTech[[#This Row],[Hour]:[Hour]]&gt;=BI$2),1,0)</f>
        <v>0</v>
      </c>
      <c r="BJ9" s="304" cm="1">
        <f t="array" ref="BJ9">IF(AND(BJ$2&lt;&gt;0,TblTech[[#This Row],[Hour]:[Hour]]&gt;=BJ$2),1,0)</f>
        <v>0</v>
      </c>
      <c r="BK9" s="304" cm="1">
        <f t="array" ref="BK9">IF(AND(BK$2&lt;&gt;0,TblTech[[#This Row],[Hour]:[Hour]]&gt;=BK$2),1,0)</f>
        <v>0</v>
      </c>
      <c r="BL9" s="304" cm="1">
        <f t="array" ref="BL9">IF(AND(BL$2&lt;&gt;0,TblTech[[#This Row],[Hour]:[Hour]]&gt;=BL$2),1,0)</f>
        <v>0</v>
      </c>
      <c r="BM9" s="304" cm="1">
        <f t="array" ref="BM9">IF(AND(BM$2&lt;&gt;0,TblTech[[#This Row],[Hour]:[Hour]]&gt;=BM$2),1,0)</f>
        <v>0</v>
      </c>
      <c r="BN9" s="304" cm="1">
        <f t="array" ref="BN9">IF(AND(BN$2&lt;&gt;0,TblTech[[#This Row],[Hour]:[Hour]]&gt;=BN$2),1,0)</f>
        <v>0</v>
      </c>
      <c r="BO9" s="304" cm="1">
        <f t="array" ref="BO9">IF(AND(BO$2&lt;&gt;0,TblTech[[#This Row],[Hour]:[Hour]]&gt;=BO$2),1,0)</f>
        <v>0</v>
      </c>
      <c r="BP9" s="304" cm="1">
        <f t="array" ref="BP9">IF(AND(BP$2&lt;&gt;0,TblTech[[#This Row],[Hour]:[Hour]]&gt;=BP$2),1,0)</f>
        <v>0</v>
      </c>
      <c r="BQ9" s="304" cm="1">
        <f t="array" ref="BQ9">IF(AND(BQ$2&lt;&gt;0,TblTech[[#This Row],[Hour]:[Hour]]&gt;=BQ$2),1,0)</f>
        <v>0</v>
      </c>
      <c r="BR9" s="304" cm="1">
        <f t="array" ref="BR9">IF(AND(BR$2&lt;&gt;0,TblTech[[#This Row],[Hour]:[Hour]]&gt;=BR$2),1,0)</f>
        <v>0</v>
      </c>
      <c r="BS9" s="304" cm="1">
        <f t="array" ref="BS9">IF(AND(BS$2&lt;&gt;0,TblTech[[#This Row],[Hour]:[Hour]]&gt;=BS$2),1,0)</f>
        <v>0</v>
      </c>
      <c r="BT9" s="304" cm="1">
        <f t="array" ref="BT9">IF(AND(BT$2&lt;&gt;0,TblTech[[#This Row],[Hour]:[Hour]]&gt;=BT$2),1,0)</f>
        <v>0</v>
      </c>
      <c r="BU9" s="304" cm="1">
        <f t="array" ref="BU9">IF(AND(BU$2&lt;&gt;0,TblTech[[#This Row],[Hour]:[Hour]]&gt;=BU$2),1,0)</f>
        <v>0</v>
      </c>
      <c r="BV9" s="304" cm="1">
        <f t="array" ref="BV9">IF(AND(BV$2&lt;&gt;0,TblTech[[#This Row],[Hour]:[Hour]]&gt;=BV$2),1,0)</f>
        <v>0</v>
      </c>
      <c r="BW9" s="304" cm="1">
        <f t="array" ref="BW9">IF(AND(BW$2&lt;&gt;0,TblTech[[#This Row],[Hour]:[Hour]]&gt;=BW$2),1,0)</f>
        <v>0</v>
      </c>
      <c r="BX9" s="304" cm="1">
        <f t="array" ref="BX9">IF(AND(BX$2&lt;&gt;0,TblTech[[#This Row],[Hour]:[Hour]]&gt;=BX$2),1,0)</f>
        <v>0</v>
      </c>
      <c r="BY9" s="304" cm="1">
        <f t="array" ref="BY9">IF(AND(BY$2&lt;&gt;0,TblTech[[#This Row],[Hour]:[Hour]]&gt;=BY$2),1,0)</f>
        <v>0</v>
      </c>
      <c r="BZ9" s="304" cm="1">
        <f t="array" ref="BZ9">IF(AND(BZ$2&lt;&gt;0,TblTech[[#This Row],[Hour]:[Hour]]&gt;=BZ$2),1,0)</f>
        <v>0</v>
      </c>
      <c r="CA9" s="408">
        <f>IFERROR(INDEX($H$4:$H$79,MATCH(INDEX(TblTech[[#Headers],[1-1]:[11-1]],1,MATCH(TblTech[[#This Row],[Hour]],$M$2:$BZ$2,0)),$G$4:$G$79,0)),)</f>
        <v>0</v>
      </c>
    </row>
    <row r="10" spans="1:79" x14ac:dyDescent="0.2">
      <c r="A10" s="296">
        <f>TblRezone[[#This Row],[Hour]]</f>
        <v>7</v>
      </c>
      <c r="B10" s="297">
        <f ca="1">TblExplore[[#This Row],[Land-DB]]</f>
        <v>250</v>
      </c>
      <c r="C10" s="298">
        <f ca="1">TblProd[[#This Row],[Techpoints]]</f>
        <v>0</v>
      </c>
      <c r="D10" s="298">
        <f ca="1">TblProd[[#This Row],[Required]]</f>
        <v>3750</v>
      </c>
      <c r="E10" s="299"/>
      <c r="F10" s="300"/>
      <c r="G10" s="301" t="s">
        <v>556</v>
      </c>
      <c r="H10" s="302" t="s">
        <v>739</v>
      </c>
      <c r="I10" s="301" t="s">
        <v>754</v>
      </c>
      <c r="J10" s="297"/>
      <c r="K10" s="96">
        <f ca="1">IF(TblTech[[#This Row],[Sum of tech]]&lt;&gt;OFFSET(TblTech[[#This Row],[Sum of tech]],-1,0),1,0)</f>
        <v>0</v>
      </c>
      <c r="L10" s="303">
        <f>COUNTIF(TblTech[[#This Row],[1-1]:[11-1]],1)</f>
        <v>0</v>
      </c>
      <c r="M10" s="304" cm="1">
        <f t="array" ref="M10">IF(AND(M$2&lt;&gt;0,TblTech[[#This Row],[Hour]:[Hour]]&gt;=M$2),1,0)</f>
        <v>0</v>
      </c>
      <c r="N10" s="304" cm="1">
        <f t="array" ref="N10">IF(AND(N$2&lt;&gt;0,TblTech[[#This Row],[Hour]:[Hour]]&gt;=N$2),1,0)</f>
        <v>0</v>
      </c>
      <c r="O10" s="304" cm="1">
        <f t="array" ref="O10">IF(AND(O$2&lt;&gt;0,TblTech[[#This Row],[Hour]:[Hour]]&gt;=O$2),1,0)</f>
        <v>0</v>
      </c>
      <c r="P10" s="304" cm="1">
        <f t="array" ref="P10">IF(AND(P$2&lt;&gt;0,TblTech[[#This Row],[Hour]:[Hour]]&gt;=P$2),1,0)</f>
        <v>0</v>
      </c>
      <c r="Q10" s="304" cm="1">
        <f t="array" ref="Q10">IF(AND(Q$2&lt;&gt;0,TblTech[[#This Row],[Hour]:[Hour]]&gt;=Q$2),1,0)</f>
        <v>0</v>
      </c>
      <c r="R10" s="304" cm="1">
        <f t="array" ref="R10">IF(AND(R$2&lt;&gt;0,TblTech[[#This Row],[Hour]:[Hour]]&gt;=R$2),1,0)</f>
        <v>0</v>
      </c>
      <c r="S10" s="304" cm="1">
        <f t="array" ref="S10">IF(AND(S$2&lt;&gt;0,TblTech[[#This Row],[Hour]:[Hour]]&gt;=S$2),1,0)</f>
        <v>0</v>
      </c>
      <c r="T10" s="304" cm="1">
        <f t="array" ref="T10">IF(AND(T$2&lt;&gt;0,TblTech[[#This Row],[Hour]:[Hour]]&gt;=T$2),1,0)</f>
        <v>0</v>
      </c>
      <c r="U10" s="304" cm="1">
        <f t="array" ref="U10">IF(AND(U$2&lt;&gt;0,TblTech[[#This Row],[Hour]:[Hour]]&gt;=U$2),1,0)</f>
        <v>0</v>
      </c>
      <c r="V10" s="304" cm="1">
        <f t="array" ref="V10">IF(AND(V$2&lt;&gt;0,TblTech[[#This Row],[Hour]:[Hour]]&gt;=V$2),1,0)</f>
        <v>0</v>
      </c>
      <c r="W10" s="304" cm="1">
        <f t="array" ref="W10">IF(AND(W$2&lt;&gt;0,TblTech[[#This Row],[Hour]:[Hour]]&gt;=W$2),1,0)</f>
        <v>0</v>
      </c>
      <c r="X10" s="304" cm="1">
        <f t="array" ref="X10">IF(AND(X$2&lt;&gt;0,TblTech[[#This Row],[Hour]:[Hour]]&gt;=X$2),1,0)</f>
        <v>0</v>
      </c>
      <c r="Y10" s="304" cm="1">
        <f t="array" ref="Y10">IF(AND(Y$2&lt;&gt;0,TblTech[[#This Row],[Hour]:[Hour]]&gt;=Y$2),1,0)</f>
        <v>0</v>
      </c>
      <c r="Z10" s="304" cm="1">
        <f t="array" ref="Z10">IF(AND(Z$2&lt;&gt;0,TblTech[[#This Row],[Hour]:[Hour]]&gt;=Z$2),1,0)</f>
        <v>0</v>
      </c>
      <c r="AA10" s="304" cm="1">
        <f t="array" ref="AA10">IF(AND(AA$2&lt;&gt;0,TblTech[[#This Row],[Hour]:[Hour]]&gt;=AA$2),1,0)</f>
        <v>0</v>
      </c>
      <c r="AB10" s="304" cm="1">
        <f t="array" ref="AB10">IF(AND(AB$2&lt;&gt;0,TblTech[[#This Row],[Hour]:[Hour]]&gt;=AB$2),1,0)</f>
        <v>0</v>
      </c>
      <c r="AC10" s="304" cm="1">
        <f t="array" ref="AC10">IF(AND(AC$2&lt;&gt;0,TblTech[[#This Row],[Hour]:[Hour]]&gt;=AC$2),1,0)</f>
        <v>0</v>
      </c>
      <c r="AD10" s="304" cm="1">
        <f t="array" ref="AD10">IF(AND(AD$2&lt;&gt;0,TblTech[[#This Row],[Hour]:[Hour]]&gt;=AD$2),1,0)</f>
        <v>0</v>
      </c>
      <c r="AE10" s="304" cm="1">
        <f t="array" ref="AE10">IF(AND(AE$2&lt;&gt;0,TblTech[[#This Row],[Hour]:[Hour]]&gt;=AE$2),1,0)</f>
        <v>0</v>
      </c>
      <c r="AF10" s="304" cm="1">
        <f t="array" ref="AF10">IF(AND(AF$2&lt;&gt;0,TblTech[[#This Row],[Hour]:[Hour]]&gt;=AF$2),1,0)</f>
        <v>0</v>
      </c>
      <c r="AG10" s="304" cm="1">
        <f t="array" ref="AG10">IF(AND(AG$2&lt;&gt;0,TblTech[[#This Row],[Hour]:[Hour]]&gt;=AG$2),1,0)</f>
        <v>0</v>
      </c>
      <c r="AH10" s="304" cm="1">
        <f t="array" ref="AH10">IF(AND(AH$2&lt;&gt;0,TblTech[[#This Row],[Hour]:[Hour]]&gt;=AH$2),1,0)</f>
        <v>0</v>
      </c>
      <c r="AI10" s="304" cm="1">
        <f t="array" ref="AI10">IF(AND(AI$2&lt;&gt;0,TblTech[[#This Row],[Hour]:[Hour]]&gt;=AI$2),1,0)</f>
        <v>0</v>
      </c>
      <c r="AJ10" s="304" cm="1">
        <f t="array" ref="AJ10">IF(AND(AJ$2&lt;&gt;0,TblTech[[#This Row],[Hour]:[Hour]]&gt;=AJ$2),1,0)</f>
        <v>0</v>
      </c>
      <c r="AK10" s="304" cm="1">
        <f t="array" ref="AK10">IF(AND(AK$2&lt;&gt;0,TblTech[[#This Row],[Hour]:[Hour]]&gt;=AK$2),1,0)</f>
        <v>0</v>
      </c>
      <c r="AL10" s="304" cm="1">
        <f t="array" ref="AL10">IF(AND(AL$2&lt;&gt;0,TblTech[[#This Row],[Hour]:[Hour]]&gt;=AL$2),1,0)</f>
        <v>0</v>
      </c>
      <c r="AM10" s="304" cm="1">
        <f t="array" ref="AM10">IF(AND(AM$2&lt;&gt;0,TblTech[[#This Row],[Hour]:[Hour]]&gt;=AM$2),1,0)</f>
        <v>0</v>
      </c>
      <c r="AN10" s="304" cm="1">
        <f t="array" ref="AN10">IF(AND(AN$2&lt;&gt;0,TblTech[[#This Row],[Hour]:[Hour]]&gt;=AN$2),1,0)</f>
        <v>0</v>
      </c>
      <c r="AO10" s="304" cm="1">
        <f t="array" ref="AO10">IF(AND(AO$2&lt;&gt;0,TblTech[[#This Row],[Hour]:[Hour]]&gt;=AO$2),1,0)</f>
        <v>0</v>
      </c>
      <c r="AP10" s="304" cm="1">
        <f t="array" ref="AP10">IF(AND(AP$2&lt;&gt;0,TblTech[[#This Row],[Hour]:[Hour]]&gt;=AP$2),1,0)</f>
        <v>0</v>
      </c>
      <c r="AQ10" s="304" cm="1">
        <f t="array" ref="AQ10">IF(AND(AQ$2&lt;&gt;0,TblTech[[#This Row],[Hour]:[Hour]]&gt;=AQ$2),1,0)</f>
        <v>0</v>
      </c>
      <c r="AR10" s="304" cm="1">
        <f t="array" ref="AR10">IF(AND(AR$2&lt;&gt;0,TblTech[[#This Row],[Hour]:[Hour]]&gt;=AR$2),1,0)</f>
        <v>0</v>
      </c>
      <c r="AS10" s="304" cm="1">
        <f t="array" ref="AS10">IF(AND(AS$2&lt;&gt;0,TblTech[[#This Row],[Hour]:[Hour]]&gt;=AS$2),1,0)</f>
        <v>0</v>
      </c>
      <c r="AT10" s="304" cm="1">
        <f t="array" ref="AT10">IF(AND(AT$2&lt;&gt;0,TblTech[[#This Row],[Hour]:[Hour]]&gt;=AT$2),1,0)</f>
        <v>0</v>
      </c>
      <c r="AU10" s="304" cm="1">
        <f t="array" ref="AU10">IF(AND(AU$2&lt;&gt;0,TblTech[[#This Row],[Hour]:[Hour]]&gt;=AU$2),1,0)</f>
        <v>0</v>
      </c>
      <c r="AV10" s="304" cm="1">
        <f t="array" ref="AV10">IF(AND(AV$2&lt;&gt;0,TblTech[[#This Row],[Hour]:[Hour]]&gt;=AV$2),1,0)</f>
        <v>0</v>
      </c>
      <c r="AW10" s="304" cm="1">
        <f t="array" ref="AW10">IF(AND(AW$2&lt;&gt;0,TblTech[[#This Row],[Hour]:[Hour]]&gt;=AW$2),1,0)</f>
        <v>0</v>
      </c>
      <c r="AX10" s="304" cm="1">
        <f t="array" ref="AX10">IF(AND(AX$2&lt;&gt;0,TblTech[[#This Row],[Hour]:[Hour]]&gt;=AX$2),1,0)</f>
        <v>0</v>
      </c>
      <c r="AY10" s="304" cm="1">
        <f t="array" ref="AY10">IF(AND(AY$2&lt;&gt;0,TblTech[[#This Row],[Hour]:[Hour]]&gt;=AY$2),1,0)</f>
        <v>0</v>
      </c>
      <c r="AZ10" s="304" cm="1">
        <f t="array" ref="AZ10">IF(AND(AZ$2&lt;&gt;0,TblTech[[#This Row],[Hour]:[Hour]]&gt;=AZ$2),1,0)</f>
        <v>0</v>
      </c>
      <c r="BA10" s="304" cm="1">
        <f t="array" ref="BA10">IF(AND(BA$2&lt;&gt;0,TblTech[[#This Row],[Hour]:[Hour]]&gt;=BA$2),1,0)</f>
        <v>0</v>
      </c>
      <c r="BB10" s="304" cm="1">
        <f t="array" ref="BB10">IF(AND(BB$2&lt;&gt;0,TblTech[[#This Row],[Hour]:[Hour]]&gt;=BB$2),1,0)</f>
        <v>0</v>
      </c>
      <c r="BC10" s="304" cm="1">
        <f t="array" ref="BC10">IF(AND(BC$2&lt;&gt;0,TblTech[[#This Row],[Hour]:[Hour]]&gt;=BC$2),1,0)</f>
        <v>0</v>
      </c>
      <c r="BD10" s="304" cm="1">
        <f t="array" ref="BD10">IF(AND(BD$2&lt;&gt;0,TblTech[[#This Row],[Hour]:[Hour]]&gt;=BD$2),1,0)</f>
        <v>0</v>
      </c>
      <c r="BE10" s="304" cm="1">
        <f t="array" ref="BE10">IF(AND(BE$2&lt;&gt;0,TblTech[[#This Row],[Hour]:[Hour]]&gt;=BE$2),1,0)</f>
        <v>0</v>
      </c>
      <c r="BF10" s="304" cm="1">
        <f t="array" ref="BF10">IF(AND(BF$2&lt;&gt;0,TblTech[[#This Row],[Hour]:[Hour]]&gt;=BF$2),1,0)</f>
        <v>0</v>
      </c>
      <c r="BG10" s="304" cm="1">
        <f t="array" ref="BG10">IF(AND(BG$2&lt;&gt;0,TblTech[[#This Row],[Hour]:[Hour]]&gt;=BG$2),1,0)</f>
        <v>0</v>
      </c>
      <c r="BH10" s="304" cm="1">
        <f t="array" ref="BH10">IF(AND(BH$2&lt;&gt;0,TblTech[[#This Row],[Hour]:[Hour]]&gt;=BH$2),1,0)</f>
        <v>0</v>
      </c>
      <c r="BI10" s="304" cm="1">
        <f t="array" ref="BI10">IF(AND(BI$2&lt;&gt;0,TblTech[[#This Row],[Hour]:[Hour]]&gt;=BI$2),1,0)</f>
        <v>0</v>
      </c>
      <c r="BJ10" s="304" cm="1">
        <f t="array" ref="BJ10">IF(AND(BJ$2&lt;&gt;0,TblTech[[#This Row],[Hour]:[Hour]]&gt;=BJ$2),1,0)</f>
        <v>0</v>
      </c>
      <c r="BK10" s="304" cm="1">
        <f t="array" ref="BK10">IF(AND(BK$2&lt;&gt;0,TblTech[[#This Row],[Hour]:[Hour]]&gt;=BK$2),1,0)</f>
        <v>0</v>
      </c>
      <c r="BL10" s="304" cm="1">
        <f t="array" ref="BL10">IF(AND(BL$2&lt;&gt;0,TblTech[[#This Row],[Hour]:[Hour]]&gt;=BL$2),1,0)</f>
        <v>0</v>
      </c>
      <c r="BM10" s="304" cm="1">
        <f t="array" ref="BM10">IF(AND(BM$2&lt;&gt;0,TblTech[[#This Row],[Hour]:[Hour]]&gt;=BM$2),1,0)</f>
        <v>0</v>
      </c>
      <c r="BN10" s="304" cm="1">
        <f t="array" ref="BN10">IF(AND(BN$2&lt;&gt;0,TblTech[[#This Row],[Hour]:[Hour]]&gt;=BN$2),1,0)</f>
        <v>0</v>
      </c>
      <c r="BO10" s="304" cm="1">
        <f t="array" ref="BO10">IF(AND(BO$2&lt;&gt;0,TblTech[[#This Row],[Hour]:[Hour]]&gt;=BO$2),1,0)</f>
        <v>0</v>
      </c>
      <c r="BP10" s="304" cm="1">
        <f t="array" ref="BP10">IF(AND(BP$2&lt;&gt;0,TblTech[[#This Row],[Hour]:[Hour]]&gt;=BP$2),1,0)</f>
        <v>0</v>
      </c>
      <c r="BQ10" s="304" cm="1">
        <f t="array" ref="BQ10">IF(AND(BQ$2&lt;&gt;0,TblTech[[#This Row],[Hour]:[Hour]]&gt;=BQ$2),1,0)</f>
        <v>0</v>
      </c>
      <c r="BR10" s="304" cm="1">
        <f t="array" ref="BR10">IF(AND(BR$2&lt;&gt;0,TblTech[[#This Row],[Hour]:[Hour]]&gt;=BR$2),1,0)</f>
        <v>0</v>
      </c>
      <c r="BS10" s="304" cm="1">
        <f t="array" ref="BS10">IF(AND(BS$2&lt;&gt;0,TblTech[[#This Row],[Hour]:[Hour]]&gt;=BS$2),1,0)</f>
        <v>0</v>
      </c>
      <c r="BT10" s="304" cm="1">
        <f t="array" ref="BT10">IF(AND(BT$2&lt;&gt;0,TblTech[[#This Row],[Hour]:[Hour]]&gt;=BT$2),1,0)</f>
        <v>0</v>
      </c>
      <c r="BU10" s="304" cm="1">
        <f t="array" ref="BU10">IF(AND(BU$2&lt;&gt;0,TblTech[[#This Row],[Hour]:[Hour]]&gt;=BU$2),1,0)</f>
        <v>0</v>
      </c>
      <c r="BV10" s="304" cm="1">
        <f t="array" ref="BV10">IF(AND(BV$2&lt;&gt;0,TblTech[[#This Row],[Hour]:[Hour]]&gt;=BV$2),1,0)</f>
        <v>0</v>
      </c>
      <c r="BW10" s="304" cm="1">
        <f t="array" ref="BW10">IF(AND(BW$2&lt;&gt;0,TblTech[[#This Row],[Hour]:[Hour]]&gt;=BW$2),1,0)</f>
        <v>0</v>
      </c>
      <c r="BX10" s="304" cm="1">
        <f t="array" ref="BX10">IF(AND(BX$2&lt;&gt;0,TblTech[[#This Row],[Hour]:[Hour]]&gt;=BX$2),1,0)</f>
        <v>0</v>
      </c>
      <c r="BY10" s="304" cm="1">
        <f t="array" ref="BY10">IF(AND(BY$2&lt;&gt;0,TblTech[[#This Row],[Hour]:[Hour]]&gt;=BY$2),1,0)</f>
        <v>0</v>
      </c>
      <c r="BZ10" s="304" cm="1">
        <f t="array" ref="BZ10">IF(AND(BZ$2&lt;&gt;0,TblTech[[#This Row],[Hour]:[Hour]]&gt;=BZ$2),1,0)</f>
        <v>0</v>
      </c>
      <c r="CA10" s="408">
        <f>IFERROR(INDEX($H$4:$H$79,MATCH(INDEX(TblTech[[#Headers],[1-1]:[11-1]],1,MATCH(TblTech[[#This Row],[Hour]],$M$2:$BZ$2,0)),$G$4:$G$79,0)),)</f>
        <v>0</v>
      </c>
    </row>
    <row r="11" spans="1:79" x14ac:dyDescent="0.2">
      <c r="A11" s="296">
        <f>TblRezone[[#This Row],[Hour]]</f>
        <v>8</v>
      </c>
      <c r="B11" s="297">
        <f ca="1">TblExplore[[#This Row],[Land-DB]]</f>
        <v>250</v>
      </c>
      <c r="C11" s="298">
        <f ca="1">TblProd[[#This Row],[Techpoints]]</f>
        <v>0</v>
      </c>
      <c r="D11" s="298">
        <f ca="1">TblProd[[#This Row],[Required]]</f>
        <v>3750</v>
      </c>
      <c r="E11" s="299"/>
      <c r="F11" s="300"/>
      <c r="G11" s="301" t="s">
        <v>557</v>
      </c>
      <c r="H11" s="302" t="s">
        <v>702</v>
      </c>
      <c r="I11" s="301" t="s">
        <v>1076</v>
      </c>
      <c r="J11" s="297"/>
      <c r="K11" s="96">
        <f ca="1">IF(TblTech[[#This Row],[Sum of tech]]&lt;&gt;OFFSET(TblTech[[#This Row],[Sum of tech]],-1,0),1,0)</f>
        <v>0</v>
      </c>
      <c r="L11" s="303">
        <f>COUNTIF(TblTech[[#This Row],[1-1]:[11-1]],1)</f>
        <v>0</v>
      </c>
      <c r="M11" s="304" cm="1">
        <f t="array" ref="M11">IF(AND(M$2&lt;&gt;0,TblTech[[#This Row],[Hour]:[Hour]]&gt;=M$2),1,0)</f>
        <v>0</v>
      </c>
      <c r="N11" s="304" cm="1">
        <f t="array" ref="N11">IF(AND(N$2&lt;&gt;0,TblTech[[#This Row],[Hour]:[Hour]]&gt;=N$2),1,0)</f>
        <v>0</v>
      </c>
      <c r="O11" s="304" cm="1">
        <f t="array" ref="O11">IF(AND(O$2&lt;&gt;0,TblTech[[#This Row],[Hour]:[Hour]]&gt;=O$2),1,0)</f>
        <v>0</v>
      </c>
      <c r="P11" s="304" cm="1">
        <f t="array" ref="P11">IF(AND(P$2&lt;&gt;0,TblTech[[#This Row],[Hour]:[Hour]]&gt;=P$2),1,0)</f>
        <v>0</v>
      </c>
      <c r="Q11" s="304" cm="1">
        <f t="array" ref="Q11">IF(AND(Q$2&lt;&gt;0,TblTech[[#This Row],[Hour]:[Hour]]&gt;=Q$2),1,0)</f>
        <v>0</v>
      </c>
      <c r="R11" s="304" cm="1">
        <f t="array" ref="R11">IF(AND(R$2&lt;&gt;0,TblTech[[#This Row],[Hour]:[Hour]]&gt;=R$2),1,0)</f>
        <v>0</v>
      </c>
      <c r="S11" s="304" cm="1">
        <f t="array" ref="S11">IF(AND(S$2&lt;&gt;0,TblTech[[#This Row],[Hour]:[Hour]]&gt;=S$2),1,0)</f>
        <v>0</v>
      </c>
      <c r="T11" s="304" cm="1">
        <f t="array" ref="T11">IF(AND(T$2&lt;&gt;0,TblTech[[#This Row],[Hour]:[Hour]]&gt;=T$2),1,0)</f>
        <v>0</v>
      </c>
      <c r="U11" s="304" cm="1">
        <f t="array" ref="U11">IF(AND(U$2&lt;&gt;0,TblTech[[#This Row],[Hour]:[Hour]]&gt;=U$2),1,0)</f>
        <v>0</v>
      </c>
      <c r="V11" s="304" cm="1">
        <f t="array" ref="V11">IF(AND(V$2&lt;&gt;0,TblTech[[#This Row],[Hour]:[Hour]]&gt;=V$2),1,0)</f>
        <v>0</v>
      </c>
      <c r="W11" s="304" cm="1">
        <f t="array" ref="W11">IF(AND(W$2&lt;&gt;0,TblTech[[#This Row],[Hour]:[Hour]]&gt;=W$2),1,0)</f>
        <v>0</v>
      </c>
      <c r="X11" s="304" cm="1">
        <f t="array" ref="X11">IF(AND(X$2&lt;&gt;0,TblTech[[#This Row],[Hour]:[Hour]]&gt;=X$2),1,0)</f>
        <v>0</v>
      </c>
      <c r="Y11" s="304" cm="1">
        <f t="array" ref="Y11">IF(AND(Y$2&lt;&gt;0,TblTech[[#This Row],[Hour]:[Hour]]&gt;=Y$2),1,0)</f>
        <v>0</v>
      </c>
      <c r="Z11" s="304" cm="1">
        <f t="array" ref="Z11">IF(AND(Z$2&lt;&gt;0,TblTech[[#This Row],[Hour]:[Hour]]&gt;=Z$2),1,0)</f>
        <v>0</v>
      </c>
      <c r="AA11" s="304" cm="1">
        <f t="array" ref="AA11">IF(AND(AA$2&lt;&gt;0,TblTech[[#This Row],[Hour]:[Hour]]&gt;=AA$2),1,0)</f>
        <v>0</v>
      </c>
      <c r="AB11" s="304" cm="1">
        <f t="array" ref="AB11">IF(AND(AB$2&lt;&gt;0,TblTech[[#This Row],[Hour]:[Hour]]&gt;=AB$2),1,0)</f>
        <v>0</v>
      </c>
      <c r="AC11" s="304" cm="1">
        <f t="array" ref="AC11">IF(AND(AC$2&lt;&gt;0,TblTech[[#This Row],[Hour]:[Hour]]&gt;=AC$2),1,0)</f>
        <v>0</v>
      </c>
      <c r="AD11" s="304" cm="1">
        <f t="array" ref="AD11">IF(AND(AD$2&lt;&gt;0,TblTech[[#This Row],[Hour]:[Hour]]&gt;=AD$2),1,0)</f>
        <v>0</v>
      </c>
      <c r="AE11" s="304" cm="1">
        <f t="array" ref="AE11">IF(AND(AE$2&lt;&gt;0,TblTech[[#This Row],[Hour]:[Hour]]&gt;=AE$2),1,0)</f>
        <v>0</v>
      </c>
      <c r="AF11" s="304" cm="1">
        <f t="array" ref="AF11">IF(AND(AF$2&lt;&gt;0,TblTech[[#This Row],[Hour]:[Hour]]&gt;=AF$2),1,0)</f>
        <v>0</v>
      </c>
      <c r="AG11" s="304" cm="1">
        <f t="array" ref="AG11">IF(AND(AG$2&lt;&gt;0,TblTech[[#This Row],[Hour]:[Hour]]&gt;=AG$2),1,0)</f>
        <v>0</v>
      </c>
      <c r="AH11" s="304" cm="1">
        <f t="array" ref="AH11">IF(AND(AH$2&lt;&gt;0,TblTech[[#This Row],[Hour]:[Hour]]&gt;=AH$2),1,0)</f>
        <v>0</v>
      </c>
      <c r="AI11" s="304" cm="1">
        <f t="array" ref="AI11">IF(AND(AI$2&lt;&gt;0,TblTech[[#This Row],[Hour]:[Hour]]&gt;=AI$2),1,0)</f>
        <v>0</v>
      </c>
      <c r="AJ11" s="304" cm="1">
        <f t="array" ref="AJ11">IF(AND(AJ$2&lt;&gt;0,TblTech[[#This Row],[Hour]:[Hour]]&gt;=AJ$2),1,0)</f>
        <v>0</v>
      </c>
      <c r="AK11" s="304" cm="1">
        <f t="array" ref="AK11">IF(AND(AK$2&lt;&gt;0,TblTech[[#This Row],[Hour]:[Hour]]&gt;=AK$2),1,0)</f>
        <v>0</v>
      </c>
      <c r="AL11" s="304" cm="1">
        <f t="array" ref="AL11">IF(AND(AL$2&lt;&gt;0,TblTech[[#This Row],[Hour]:[Hour]]&gt;=AL$2),1,0)</f>
        <v>0</v>
      </c>
      <c r="AM11" s="304" cm="1">
        <f t="array" ref="AM11">IF(AND(AM$2&lt;&gt;0,TblTech[[#This Row],[Hour]:[Hour]]&gt;=AM$2),1,0)</f>
        <v>0</v>
      </c>
      <c r="AN11" s="304" cm="1">
        <f t="array" ref="AN11">IF(AND(AN$2&lt;&gt;0,TblTech[[#This Row],[Hour]:[Hour]]&gt;=AN$2),1,0)</f>
        <v>0</v>
      </c>
      <c r="AO11" s="304" cm="1">
        <f t="array" ref="AO11">IF(AND(AO$2&lt;&gt;0,TblTech[[#This Row],[Hour]:[Hour]]&gt;=AO$2),1,0)</f>
        <v>0</v>
      </c>
      <c r="AP11" s="304" cm="1">
        <f t="array" ref="AP11">IF(AND(AP$2&lt;&gt;0,TblTech[[#This Row],[Hour]:[Hour]]&gt;=AP$2),1,0)</f>
        <v>0</v>
      </c>
      <c r="AQ11" s="304" cm="1">
        <f t="array" ref="AQ11">IF(AND(AQ$2&lt;&gt;0,TblTech[[#This Row],[Hour]:[Hour]]&gt;=AQ$2),1,0)</f>
        <v>0</v>
      </c>
      <c r="AR11" s="304" cm="1">
        <f t="array" ref="AR11">IF(AND(AR$2&lt;&gt;0,TblTech[[#This Row],[Hour]:[Hour]]&gt;=AR$2),1,0)</f>
        <v>0</v>
      </c>
      <c r="AS11" s="304" cm="1">
        <f t="array" ref="AS11">IF(AND(AS$2&lt;&gt;0,TblTech[[#This Row],[Hour]:[Hour]]&gt;=AS$2),1,0)</f>
        <v>0</v>
      </c>
      <c r="AT11" s="304" cm="1">
        <f t="array" ref="AT11">IF(AND(AT$2&lt;&gt;0,TblTech[[#This Row],[Hour]:[Hour]]&gt;=AT$2),1,0)</f>
        <v>0</v>
      </c>
      <c r="AU11" s="304" cm="1">
        <f t="array" ref="AU11">IF(AND(AU$2&lt;&gt;0,TblTech[[#This Row],[Hour]:[Hour]]&gt;=AU$2),1,0)</f>
        <v>0</v>
      </c>
      <c r="AV11" s="304" cm="1">
        <f t="array" ref="AV11">IF(AND(AV$2&lt;&gt;0,TblTech[[#This Row],[Hour]:[Hour]]&gt;=AV$2),1,0)</f>
        <v>0</v>
      </c>
      <c r="AW11" s="304" cm="1">
        <f t="array" ref="AW11">IF(AND(AW$2&lt;&gt;0,TblTech[[#This Row],[Hour]:[Hour]]&gt;=AW$2),1,0)</f>
        <v>0</v>
      </c>
      <c r="AX11" s="304" cm="1">
        <f t="array" ref="AX11">IF(AND(AX$2&lt;&gt;0,TblTech[[#This Row],[Hour]:[Hour]]&gt;=AX$2),1,0)</f>
        <v>0</v>
      </c>
      <c r="AY11" s="304" cm="1">
        <f t="array" ref="AY11">IF(AND(AY$2&lt;&gt;0,TblTech[[#This Row],[Hour]:[Hour]]&gt;=AY$2),1,0)</f>
        <v>0</v>
      </c>
      <c r="AZ11" s="304" cm="1">
        <f t="array" ref="AZ11">IF(AND(AZ$2&lt;&gt;0,TblTech[[#This Row],[Hour]:[Hour]]&gt;=AZ$2),1,0)</f>
        <v>0</v>
      </c>
      <c r="BA11" s="304" cm="1">
        <f t="array" ref="BA11">IF(AND(BA$2&lt;&gt;0,TblTech[[#This Row],[Hour]:[Hour]]&gt;=BA$2),1,0)</f>
        <v>0</v>
      </c>
      <c r="BB11" s="304" cm="1">
        <f t="array" ref="BB11">IF(AND(BB$2&lt;&gt;0,TblTech[[#This Row],[Hour]:[Hour]]&gt;=BB$2),1,0)</f>
        <v>0</v>
      </c>
      <c r="BC11" s="304" cm="1">
        <f t="array" ref="BC11">IF(AND(BC$2&lt;&gt;0,TblTech[[#This Row],[Hour]:[Hour]]&gt;=BC$2),1,0)</f>
        <v>0</v>
      </c>
      <c r="BD11" s="304" cm="1">
        <f t="array" ref="BD11">IF(AND(BD$2&lt;&gt;0,TblTech[[#This Row],[Hour]:[Hour]]&gt;=BD$2),1,0)</f>
        <v>0</v>
      </c>
      <c r="BE11" s="304" cm="1">
        <f t="array" ref="BE11">IF(AND(BE$2&lt;&gt;0,TblTech[[#This Row],[Hour]:[Hour]]&gt;=BE$2),1,0)</f>
        <v>0</v>
      </c>
      <c r="BF11" s="304" cm="1">
        <f t="array" ref="BF11">IF(AND(BF$2&lt;&gt;0,TblTech[[#This Row],[Hour]:[Hour]]&gt;=BF$2),1,0)</f>
        <v>0</v>
      </c>
      <c r="BG11" s="304" cm="1">
        <f t="array" ref="BG11">IF(AND(BG$2&lt;&gt;0,TblTech[[#This Row],[Hour]:[Hour]]&gt;=BG$2),1,0)</f>
        <v>0</v>
      </c>
      <c r="BH11" s="304" cm="1">
        <f t="array" ref="BH11">IF(AND(BH$2&lt;&gt;0,TblTech[[#This Row],[Hour]:[Hour]]&gt;=BH$2),1,0)</f>
        <v>0</v>
      </c>
      <c r="BI11" s="304" cm="1">
        <f t="array" ref="BI11">IF(AND(BI$2&lt;&gt;0,TblTech[[#This Row],[Hour]:[Hour]]&gt;=BI$2),1,0)</f>
        <v>0</v>
      </c>
      <c r="BJ11" s="304" cm="1">
        <f t="array" ref="BJ11">IF(AND(BJ$2&lt;&gt;0,TblTech[[#This Row],[Hour]:[Hour]]&gt;=BJ$2),1,0)</f>
        <v>0</v>
      </c>
      <c r="BK11" s="304" cm="1">
        <f t="array" ref="BK11">IF(AND(BK$2&lt;&gt;0,TblTech[[#This Row],[Hour]:[Hour]]&gt;=BK$2),1,0)</f>
        <v>0</v>
      </c>
      <c r="BL11" s="304" cm="1">
        <f t="array" ref="BL11">IF(AND(BL$2&lt;&gt;0,TblTech[[#This Row],[Hour]:[Hour]]&gt;=BL$2),1,0)</f>
        <v>0</v>
      </c>
      <c r="BM11" s="304" cm="1">
        <f t="array" ref="BM11">IF(AND(BM$2&lt;&gt;0,TblTech[[#This Row],[Hour]:[Hour]]&gt;=BM$2),1,0)</f>
        <v>0</v>
      </c>
      <c r="BN11" s="304" cm="1">
        <f t="array" ref="BN11">IF(AND(BN$2&lt;&gt;0,TblTech[[#This Row],[Hour]:[Hour]]&gt;=BN$2),1,0)</f>
        <v>0</v>
      </c>
      <c r="BO11" s="304" cm="1">
        <f t="array" ref="BO11">IF(AND(BO$2&lt;&gt;0,TblTech[[#This Row],[Hour]:[Hour]]&gt;=BO$2),1,0)</f>
        <v>0</v>
      </c>
      <c r="BP11" s="304" cm="1">
        <f t="array" ref="BP11">IF(AND(BP$2&lt;&gt;0,TblTech[[#This Row],[Hour]:[Hour]]&gt;=BP$2),1,0)</f>
        <v>0</v>
      </c>
      <c r="BQ11" s="304" cm="1">
        <f t="array" ref="BQ11">IF(AND(BQ$2&lt;&gt;0,TblTech[[#This Row],[Hour]:[Hour]]&gt;=BQ$2),1,0)</f>
        <v>0</v>
      </c>
      <c r="BR11" s="304" cm="1">
        <f t="array" ref="BR11">IF(AND(BR$2&lt;&gt;0,TblTech[[#This Row],[Hour]:[Hour]]&gt;=BR$2),1,0)</f>
        <v>0</v>
      </c>
      <c r="BS11" s="304" cm="1">
        <f t="array" ref="BS11">IF(AND(BS$2&lt;&gt;0,TblTech[[#This Row],[Hour]:[Hour]]&gt;=BS$2),1,0)</f>
        <v>0</v>
      </c>
      <c r="BT11" s="304" cm="1">
        <f t="array" ref="BT11">IF(AND(BT$2&lt;&gt;0,TblTech[[#This Row],[Hour]:[Hour]]&gt;=BT$2),1,0)</f>
        <v>0</v>
      </c>
      <c r="BU11" s="304" cm="1">
        <f t="array" ref="BU11">IF(AND(BU$2&lt;&gt;0,TblTech[[#This Row],[Hour]:[Hour]]&gt;=BU$2),1,0)</f>
        <v>0</v>
      </c>
      <c r="BV11" s="304" cm="1">
        <f t="array" ref="BV11">IF(AND(BV$2&lt;&gt;0,TblTech[[#This Row],[Hour]:[Hour]]&gt;=BV$2),1,0)</f>
        <v>0</v>
      </c>
      <c r="BW11" s="304" cm="1">
        <f t="array" ref="BW11">IF(AND(BW$2&lt;&gt;0,TblTech[[#This Row],[Hour]:[Hour]]&gt;=BW$2),1,0)</f>
        <v>0</v>
      </c>
      <c r="BX11" s="304" cm="1">
        <f t="array" ref="BX11">IF(AND(BX$2&lt;&gt;0,TblTech[[#This Row],[Hour]:[Hour]]&gt;=BX$2),1,0)</f>
        <v>0</v>
      </c>
      <c r="BY11" s="304" cm="1">
        <f t="array" ref="BY11">IF(AND(BY$2&lt;&gt;0,TblTech[[#This Row],[Hour]:[Hour]]&gt;=BY$2),1,0)</f>
        <v>0</v>
      </c>
      <c r="BZ11" s="304" cm="1">
        <f t="array" ref="BZ11">IF(AND(BZ$2&lt;&gt;0,TblTech[[#This Row],[Hour]:[Hour]]&gt;=BZ$2),1,0)</f>
        <v>0</v>
      </c>
      <c r="CA11" s="408">
        <f>IFERROR(INDEX($H$4:$H$79,MATCH(INDEX(TblTech[[#Headers],[1-1]:[11-1]],1,MATCH(TblTech[[#This Row],[Hour]],$M$2:$BZ$2,0)),$G$4:$G$79,0)),)</f>
        <v>0</v>
      </c>
    </row>
    <row r="12" spans="1:79" x14ac:dyDescent="0.2">
      <c r="A12" s="296">
        <f>TblRezone[[#This Row],[Hour]]</f>
        <v>9</v>
      </c>
      <c r="B12" s="297">
        <f ca="1">TblExplore[[#This Row],[Land-DB]]</f>
        <v>250</v>
      </c>
      <c r="C12" s="298">
        <f ca="1">TblProd[[#This Row],[Techpoints]]</f>
        <v>0</v>
      </c>
      <c r="D12" s="298">
        <f ca="1">TblProd[[#This Row],[Required]]</f>
        <v>3750</v>
      </c>
      <c r="E12" s="299"/>
      <c r="F12" s="300"/>
      <c r="G12" s="301" t="s">
        <v>558</v>
      </c>
      <c r="H12" s="302" t="s">
        <v>721</v>
      </c>
      <c r="I12" s="301" t="s">
        <v>591</v>
      </c>
      <c r="J12" s="297"/>
      <c r="K12" s="96">
        <f ca="1">IF(TblTech[[#This Row],[Sum of tech]]&lt;&gt;OFFSET(TblTech[[#This Row],[Sum of tech]],-1,0),1,0)</f>
        <v>0</v>
      </c>
      <c r="L12" s="303">
        <f>COUNTIF(TblTech[[#This Row],[1-1]:[11-1]],1)</f>
        <v>0</v>
      </c>
      <c r="M12" s="304" cm="1">
        <f t="array" ref="M12">IF(AND(M$2&lt;&gt;0,TblTech[[#This Row],[Hour]:[Hour]]&gt;=M$2),1,0)</f>
        <v>0</v>
      </c>
      <c r="N12" s="304" cm="1">
        <f t="array" ref="N12">IF(AND(N$2&lt;&gt;0,TblTech[[#This Row],[Hour]:[Hour]]&gt;=N$2),1,0)</f>
        <v>0</v>
      </c>
      <c r="O12" s="304" cm="1">
        <f t="array" ref="O12">IF(AND(O$2&lt;&gt;0,TblTech[[#This Row],[Hour]:[Hour]]&gt;=O$2),1,0)</f>
        <v>0</v>
      </c>
      <c r="P12" s="304" cm="1">
        <f t="array" ref="P12">IF(AND(P$2&lt;&gt;0,TblTech[[#This Row],[Hour]:[Hour]]&gt;=P$2),1,0)</f>
        <v>0</v>
      </c>
      <c r="Q12" s="304" cm="1">
        <f t="array" ref="Q12">IF(AND(Q$2&lt;&gt;0,TblTech[[#This Row],[Hour]:[Hour]]&gt;=Q$2),1,0)</f>
        <v>0</v>
      </c>
      <c r="R12" s="304" cm="1">
        <f t="array" ref="R12">IF(AND(R$2&lt;&gt;0,TblTech[[#This Row],[Hour]:[Hour]]&gt;=R$2),1,0)</f>
        <v>0</v>
      </c>
      <c r="S12" s="304" cm="1">
        <f t="array" ref="S12">IF(AND(S$2&lt;&gt;0,TblTech[[#This Row],[Hour]:[Hour]]&gt;=S$2),1,0)</f>
        <v>0</v>
      </c>
      <c r="T12" s="304" cm="1">
        <f t="array" ref="T12">IF(AND(T$2&lt;&gt;0,TblTech[[#This Row],[Hour]:[Hour]]&gt;=T$2),1,0)</f>
        <v>0</v>
      </c>
      <c r="U12" s="304" cm="1">
        <f t="array" ref="U12">IF(AND(U$2&lt;&gt;0,TblTech[[#This Row],[Hour]:[Hour]]&gt;=U$2),1,0)</f>
        <v>0</v>
      </c>
      <c r="V12" s="304" cm="1">
        <f t="array" ref="V12">IF(AND(V$2&lt;&gt;0,TblTech[[#This Row],[Hour]:[Hour]]&gt;=V$2),1,0)</f>
        <v>0</v>
      </c>
      <c r="W12" s="304" cm="1">
        <f t="array" ref="W12">IF(AND(W$2&lt;&gt;0,TblTech[[#This Row],[Hour]:[Hour]]&gt;=W$2),1,0)</f>
        <v>0</v>
      </c>
      <c r="X12" s="304" cm="1">
        <f t="array" ref="X12">IF(AND(X$2&lt;&gt;0,TblTech[[#This Row],[Hour]:[Hour]]&gt;=X$2),1,0)</f>
        <v>0</v>
      </c>
      <c r="Y12" s="304" cm="1">
        <f t="array" ref="Y12">IF(AND(Y$2&lt;&gt;0,TblTech[[#This Row],[Hour]:[Hour]]&gt;=Y$2),1,0)</f>
        <v>0</v>
      </c>
      <c r="Z12" s="304" cm="1">
        <f t="array" ref="Z12">IF(AND(Z$2&lt;&gt;0,TblTech[[#This Row],[Hour]:[Hour]]&gt;=Z$2),1,0)</f>
        <v>0</v>
      </c>
      <c r="AA12" s="304" cm="1">
        <f t="array" ref="AA12">IF(AND(AA$2&lt;&gt;0,TblTech[[#This Row],[Hour]:[Hour]]&gt;=AA$2),1,0)</f>
        <v>0</v>
      </c>
      <c r="AB12" s="304" cm="1">
        <f t="array" ref="AB12">IF(AND(AB$2&lt;&gt;0,TblTech[[#This Row],[Hour]:[Hour]]&gt;=AB$2),1,0)</f>
        <v>0</v>
      </c>
      <c r="AC12" s="304" cm="1">
        <f t="array" ref="AC12">IF(AND(AC$2&lt;&gt;0,TblTech[[#This Row],[Hour]:[Hour]]&gt;=AC$2),1,0)</f>
        <v>0</v>
      </c>
      <c r="AD12" s="304" cm="1">
        <f t="array" ref="AD12">IF(AND(AD$2&lt;&gt;0,TblTech[[#This Row],[Hour]:[Hour]]&gt;=AD$2),1,0)</f>
        <v>0</v>
      </c>
      <c r="AE12" s="304" cm="1">
        <f t="array" ref="AE12">IF(AND(AE$2&lt;&gt;0,TblTech[[#This Row],[Hour]:[Hour]]&gt;=AE$2),1,0)</f>
        <v>0</v>
      </c>
      <c r="AF12" s="304" cm="1">
        <f t="array" ref="AF12">IF(AND(AF$2&lt;&gt;0,TblTech[[#This Row],[Hour]:[Hour]]&gt;=AF$2),1,0)</f>
        <v>0</v>
      </c>
      <c r="AG12" s="304" cm="1">
        <f t="array" ref="AG12">IF(AND(AG$2&lt;&gt;0,TblTech[[#This Row],[Hour]:[Hour]]&gt;=AG$2),1,0)</f>
        <v>0</v>
      </c>
      <c r="AH12" s="304" cm="1">
        <f t="array" ref="AH12">IF(AND(AH$2&lt;&gt;0,TblTech[[#This Row],[Hour]:[Hour]]&gt;=AH$2),1,0)</f>
        <v>0</v>
      </c>
      <c r="AI12" s="304" cm="1">
        <f t="array" ref="AI12">IF(AND(AI$2&lt;&gt;0,TblTech[[#This Row],[Hour]:[Hour]]&gt;=AI$2),1,0)</f>
        <v>0</v>
      </c>
      <c r="AJ12" s="304" cm="1">
        <f t="array" ref="AJ12">IF(AND(AJ$2&lt;&gt;0,TblTech[[#This Row],[Hour]:[Hour]]&gt;=AJ$2),1,0)</f>
        <v>0</v>
      </c>
      <c r="AK12" s="304" cm="1">
        <f t="array" ref="AK12">IF(AND(AK$2&lt;&gt;0,TblTech[[#This Row],[Hour]:[Hour]]&gt;=AK$2),1,0)</f>
        <v>0</v>
      </c>
      <c r="AL12" s="304" cm="1">
        <f t="array" ref="AL12">IF(AND(AL$2&lt;&gt;0,TblTech[[#This Row],[Hour]:[Hour]]&gt;=AL$2),1,0)</f>
        <v>0</v>
      </c>
      <c r="AM12" s="304" cm="1">
        <f t="array" ref="AM12">IF(AND(AM$2&lt;&gt;0,TblTech[[#This Row],[Hour]:[Hour]]&gt;=AM$2),1,0)</f>
        <v>0</v>
      </c>
      <c r="AN12" s="304" cm="1">
        <f t="array" ref="AN12">IF(AND(AN$2&lt;&gt;0,TblTech[[#This Row],[Hour]:[Hour]]&gt;=AN$2),1,0)</f>
        <v>0</v>
      </c>
      <c r="AO12" s="304" cm="1">
        <f t="array" ref="AO12">IF(AND(AO$2&lt;&gt;0,TblTech[[#This Row],[Hour]:[Hour]]&gt;=AO$2),1,0)</f>
        <v>0</v>
      </c>
      <c r="AP12" s="304" cm="1">
        <f t="array" ref="AP12">IF(AND(AP$2&lt;&gt;0,TblTech[[#This Row],[Hour]:[Hour]]&gt;=AP$2),1,0)</f>
        <v>0</v>
      </c>
      <c r="AQ12" s="304" cm="1">
        <f t="array" ref="AQ12">IF(AND(AQ$2&lt;&gt;0,TblTech[[#This Row],[Hour]:[Hour]]&gt;=AQ$2),1,0)</f>
        <v>0</v>
      </c>
      <c r="AR12" s="304" cm="1">
        <f t="array" ref="AR12">IF(AND(AR$2&lt;&gt;0,TblTech[[#This Row],[Hour]:[Hour]]&gt;=AR$2),1,0)</f>
        <v>0</v>
      </c>
      <c r="AS12" s="304" cm="1">
        <f t="array" ref="AS12">IF(AND(AS$2&lt;&gt;0,TblTech[[#This Row],[Hour]:[Hour]]&gt;=AS$2),1,0)</f>
        <v>0</v>
      </c>
      <c r="AT12" s="304" cm="1">
        <f t="array" ref="AT12">IF(AND(AT$2&lt;&gt;0,TblTech[[#This Row],[Hour]:[Hour]]&gt;=AT$2),1,0)</f>
        <v>0</v>
      </c>
      <c r="AU12" s="304" cm="1">
        <f t="array" ref="AU12">IF(AND(AU$2&lt;&gt;0,TblTech[[#This Row],[Hour]:[Hour]]&gt;=AU$2),1,0)</f>
        <v>0</v>
      </c>
      <c r="AV12" s="304" cm="1">
        <f t="array" ref="AV12">IF(AND(AV$2&lt;&gt;0,TblTech[[#This Row],[Hour]:[Hour]]&gt;=AV$2),1,0)</f>
        <v>0</v>
      </c>
      <c r="AW12" s="304" cm="1">
        <f t="array" ref="AW12">IF(AND(AW$2&lt;&gt;0,TblTech[[#This Row],[Hour]:[Hour]]&gt;=AW$2),1,0)</f>
        <v>0</v>
      </c>
      <c r="AX12" s="304" cm="1">
        <f t="array" ref="AX12">IF(AND(AX$2&lt;&gt;0,TblTech[[#This Row],[Hour]:[Hour]]&gt;=AX$2),1,0)</f>
        <v>0</v>
      </c>
      <c r="AY12" s="304" cm="1">
        <f t="array" ref="AY12">IF(AND(AY$2&lt;&gt;0,TblTech[[#This Row],[Hour]:[Hour]]&gt;=AY$2),1,0)</f>
        <v>0</v>
      </c>
      <c r="AZ12" s="304" cm="1">
        <f t="array" ref="AZ12">IF(AND(AZ$2&lt;&gt;0,TblTech[[#This Row],[Hour]:[Hour]]&gt;=AZ$2),1,0)</f>
        <v>0</v>
      </c>
      <c r="BA12" s="304" cm="1">
        <f t="array" ref="BA12">IF(AND(BA$2&lt;&gt;0,TblTech[[#This Row],[Hour]:[Hour]]&gt;=BA$2),1,0)</f>
        <v>0</v>
      </c>
      <c r="BB12" s="304" cm="1">
        <f t="array" ref="BB12">IF(AND(BB$2&lt;&gt;0,TblTech[[#This Row],[Hour]:[Hour]]&gt;=BB$2),1,0)</f>
        <v>0</v>
      </c>
      <c r="BC12" s="304" cm="1">
        <f t="array" ref="BC12">IF(AND(BC$2&lt;&gt;0,TblTech[[#This Row],[Hour]:[Hour]]&gt;=BC$2),1,0)</f>
        <v>0</v>
      </c>
      <c r="BD12" s="304" cm="1">
        <f t="array" ref="BD12">IF(AND(BD$2&lt;&gt;0,TblTech[[#This Row],[Hour]:[Hour]]&gt;=BD$2),1,0)</f>
        <v>0</v>
      </c>
      <c r="BE12" s="304" cm="1">
        <f t="array" ref="BE12">IF(AND(BE$2&lt;&gt;0,TblTech[[#This Row],[Hour]:[Hour]]&gt;=BE$2),1,0)</f>
        <v>0</v>
      </c>
      <c r="BF12" s="304" cm="1">
        <f t="array" ref="BF12">IF(AND(BF$2&lt;&gt;0,TblTech[[#This Row],[Hour]:[Hour]]&gt;=BF$2),1,0)</f>
        <v>0</v>
      </c>
      <c r="BG12" s="304" cm="1">
        <f t="array" ref="BG12">IF(AND(BG$2&lt;&gt;0,TblTech[[#This Row],[Hour]:[Hour]]&gt;=BG$2),1,0)</f>
        <v>0</v>
      </c>
      <c r="BH12" s="304" cm="1">
        <f t="array" ref="BH12">IF(AND(BH$2&lt;&gt;0,TblTech[[#This Row],[Hour]:[Hour]]&gt;=BH$2),1,0)</f>
        <v>0</v>
      </c>
      <c r="BI12" s="304" cm="1">
        <f t="array" ref="BI12">IF(AND(BI$2&lt;&gt;0,TblTech[[#This Row],[Hour]:[Hour]]&gt;=BI$2),1,0)</f>
        <v>0</v>
      </c>
      <c r="BJ12" s="304" cm="1">
        <f t="array" ref="BJ12">IF(AND(BJ$2&lt;&gt;0,TblTech[[#This Row],[Hour]:[Hour]]&gt;=BJ$2),1,0)</f>
        <v>0</v>
      </c>
      <c r="BK12" s="304" cm="1">
        <f t="array" ref="BK12">IF(AND(BK$2&lt;&gt;0,TblTech[[#This Row],[Hour]:[Hour]]&gt;=BK$2),1,0)</f>
        <v>0</v>
      </c>
      <c r="BL12" s="304" cm="1">
        <f t="array" ref="BL12">IF(AND(BL$2&lt;&gt;0,TblTech[[#This Row],[Hour]:[Hour]]&gt;=BL$2),1,0)</f>
        <v>0</v>
      </c>
      <c r="BM12" s="304" cm="1">
        <f t="array" ref="BM12">IF(AND(BM$2&lt;&gt;0,TblTech[[#This Row],[Hour]:[Hour]]&gt;=BM$2),1,0)</f>
        <v>0</v>
      </c>
      <c r="BN12" s="304" cm="1">
        <f t="array" ref="BN12">IF(AND(BN$2&lt;&gt;0,TblTech[[#This Row],[Hour]:[Hour]]&gt;=BN$2),1,0)</f>
        <v>0</v>
      </c>
      <c r="BO12" s="304" cm="1">
        <f t="array" ref="BO12">IF(AND(BO$2&lt;&gt;0,TblTech[[#This Row],[Hour]:[Hour]]&gt;=BO$2),1,0)</f>
        <v>0</v>
      </c>
      <c r="BP12" s="304" cm="1">
        <f t="array" ref="BP12">IF(AND(BP$2&lt;&gt;0,TblTech[[#This Row],[Hour]:[Hour]]&gt;=BP$2),1,0)</f>
        <v>0</v>
      </c>
      <c r="BQ12" s="304" cm="1">
        <f t="array" ref="BQ12">IF(AND(BQ$2&lt;&gt;0,TblTech[[#This Row],[Hour]:[Hour]]&gt;=BQ$2),1,0)</f>
        <v>0</v>
      </c>
      <c r="BR12" s="304" cm="1">
        <f t="array" ref="BR12">IF(AND(BR$2&lt;&gt;0,TblTech[[#This Row],[Hour]:[Hour]]&gt;=BR$2),1,0)</f>
        <v>0</v>
      </c>
      <c r="BS12" s="304" cm="1">
        <f t="array" ref="BS12">IF(AND(BS$2&lt;&gt;0,TblTech[[#This Row],[Hour]:[Hour]]&gt;=BS$2),1,0)</f>
        <v>0</v>
      </c>
      <c r="BT12" s="304" cm="1">
        <f t="array" ref="BT12">IF(AND(BT$2&lt;&gt;0,TblTech[[#This Row],[Hour]:[Hour]]&gt;=BT$2),1,0)</f>
        <v>0</v>
      </c>
      <c r="BU12" s="304" cm="1">
        <f t="array" ref="BU12">IF(AND(BU$2&lt;&gt;0,TblTech[[#This Row],[Hour]:[Hour]]&gt;=BU$2),1,0)</f>
        <v>0</v>
      </c>
      <c r="BV12" s="304" cm="1">
        <f t="array" ref="BV12">IF(AND(BV$2&lt;&gt;0,TblTech[[#This Row],[Hour]:[Hour]]&gt;=BV$2),1,0)</f>
        <v>0</v>
      </c>
      <c r="BW12" s="304" cm="1">
        <f t="array" ref="BW12">IF(AND(BW$2&lt;&gt;0,TblTech[[#This Row],[Hour]:[Hour]]&gt;=BW$2),1,0)</f>
        <v>0</v>
      </c>
      <c r="BX12" s="304" cm="1">
        <f t="array" ref="BX12">IF(AND(BX$2&lt;&gt;0,TblTech[[#This Row],[Hour]:[Hour]]&gt;=BX$2),1,0)</f>
        <v>0</v>
      </c>
      <c r="BY12" s="304" cm="1">
        <f t="array" ref="BY12">IF(AND(BY$2&lt;&gt;0,TblTech[[#This Row],[Hour]:[Hour]]&gt;=BY$2),1,0)</f>
        <v>0</v>
      </c>
      <c r="BZ12" s="304" cm="1">
        <f t="array" ref="BZ12">IF(AND(BZ$2&lt;&gt;0,TblTech[[#This Row],[Hour]:[Hour]]&gt;=BZ$2),1,0)</f>
        <v>0</v>
      </c>
      <c r="CA12" s="408">
        <f>IFERROR(INDEX($H$4:$H$79,MATCH(INDEX(TblTech[[#Headers],[1-1]:[11-1]],1,MATCH(TblTech[[#This Row],[Hour]],$M$2:$BZ$2,0)),$G$4:$G$79,0)),)</f>
        <v>0</v>
      </c>
    </row>
    <row r="13" spans="1:79" x14ac:dyDescent="0.2">
      <c r="A13" s="296">
        <f>TblRezone[[#This Row],[Hour]]</f>
        <v>10</v>
      </c>
      <c r="B13" s="297">
        <f ca="1">TblExplore[[#This Row],[Land-DB]]</f>
        <v>250</v>
      </c>
      <c r="C13" s="298">
        <f ca="1">TblProd[[#This Row],[Techpoints]]</f>
        <v>0</v>
      </c>
      <c r="D13" s="298">
        <f ca="1">TblProd[[#This Row],[Required]]</f>
        <v>3750</v>
      </c>
      <c r="E13" s="299"/>
      <c r="F13" s="300"/>
      <c r="G13" s="301" t="s">
        <v>560</v>
      </c>
      <c r="H13" s="302" t="s">
        <v>703</v>
      </c>
      <c r="I13" s="301" t="s">
        <v>559</v>
      </c>
      <c r="J13" s="297"/>
      <c r="K13" s="96">
        <f ca="1">IF(TblTech[[#This Row],[Sum of tech]]&lt;&gt;OFFSET(TblTech[[#This Row],[Sum of tech]],-1,0),1,0)</f>
        <v>0</v>
      </c>
      <c r="L13" s="303">
        <f>COUNTIF(TblTech[[#This Row],[1-1]:[11-1]],1)</f>
        <v>0</v>
      </c>
      <c r="M13" s="304" cm="1">
        <f t="array" ref="M13">IF(AND(M$2&lt;&gt;0,TblTech[[#This Row],[Hour]:[Hour]]&gt;=M$2),1,0)</f>
        <v>0</v>
      </c>
      <c r="N13" s="304" cm="1">
        <f t="array" ref="N13">IF(AND(N$2&lt;&gt;0,TblTech[[#This Row],[Hour]:[Hour]]&gt;=N$2),1,0)</f>
        <v>0</v>
      </c>
      <c r="O13" s="304" cm="1">
        <f t="array" ref="O13">IF(AND(O$2&lt;&gt;0,TblTech[[#This Row],[Hour]:[Hour]]&gt;=O$2),1,0)</f>
        <v>0</v>
      </c>
      <c r="P13" s="304" cm="1">
        <f t="array" ref="P13">IF(AND(P$2&lt;&gt;0,TblTech[[#This Row],[Hour]:[Hour]]&gt;=P$2),1,0)</f>
        <v>0</v>
      </c>
      <c r="Q13" s="304" cm="1">
        <f t="array" ref="Q13">IF(AND(Q$2&lt;&gt;0,TblTech[[#This Row],[Hour]:[Hour]]&gt;=Q$2),1,0)</f>
        <v>0</v>
      </c>
      <c r="R13" s="304" cm="1">
        <f t="array" ref="R13">IF(AND(R$2&lt;&gt;0,TblTech[[#This Row],[Hour]:[Hour]]&gt;=R$2),1,0)</f>
        <v>0</v>
      </c>
      <c r="S13" s="304" cm="1">
        <f t="array" ref="S13">IF(AND(S$2&lt;&gt;0,TblTech[[#This Row],[Hour]:[Hour]]&gt;=S$2),1,0)</f>
        <v>0</v>
      </c>
      <c r="T13" s="304" cm="1">
        <f t="array" ref="T13">IF(AND(T$2&lt;&gt;0,TblTech[[#This Row],[Hour]:[Hour]]&gt;=T$2),1,0)</f>
        <v>0</v>
      </c>
      <c r="U13" s="304" cm="1">
        <f t="array" ref="U13">IF(AND(U$2&lt;&gt;0,TblTech[[#This Row],[Hour]:[Hour]]&gt;=U$2),1,0)</f>
        <v>0</v>
      </c>
      <c r="V13" s="304" cm="1">
        <f t="array" ref="V13">IF(AND(V$2&lt;&gt;0,TblTech[[#This Row],[Hour]:[Hour]]&gt;=V$2),1,0)</f>
        <v>0</v>
      </c>
      <c r="W13" s="304" cm="1">
        <f t="array" ref="W13">IF(AND(W$2&lt;&gt;0,TblTech[[#This Row],[Hour]:[Hour]]&gt;=W$2),1,0)</f>
        <v>0</v>
      </c>
      <c r="X13" s="304" cm="1">
        <f t="array" ref="X13">IF(AND(X$2&lt;&gt;0,TblTech[[#This Row],[Hour]:[Hour]]&gt;=X$2),1,0)</f>
        <v>0</v>
      </c>
      <c r="Y13" s="304" cm="1">
        <f t="array" ref="Y13">IF(AND(Y$2&lt;&gt;0,TblTech[[#This Row],[Hour]:[Hour]]&gt;=Y$2),1,0)</f>
        <v>0</v>
      </c>
      <c r="Z13" s="304" cm="1">
        <f t="array" ref="Z13">IF(AND(Z$2&lt;&gt;0,TblTech[[#This Row],[Hour]:[Hour]]&gt;=Z$2),1,0)</f>
        <v>0</v>
      </c>
      <c r="AA13" s="304" cm="1">
        <f t="array" ref="AA13">IF(AND(AA$2&lt;&gt;0,TblTech[[#This Row],[Hour]:[Hour]]&gt;=AA$2),1,0)</f>
        <v>0</v>
      </c>
      <c r="AB13" s="304" cm="1">
        <f t="array" ref="AB13">IF(AND(AB$2&lt;&gt;0,TblTech[[#This Row],[Hour]:[Hour]]&gt;=AB$2),1,0)</f>
        <v>0</v>
      </c>
      <c r="AC13" s="304" cm="1">
        <f t="array" ref="AC13">IF(AND(AC$2&lt;&gt;0,TblTech[[#This Row],[Hour]:[Hour]]&gt;=AC$2),1,0)</f>
        <v>0</v>
      </c>
      <c r="AD13" s="304" cm="1">
        <f t="array" ref="AD13">IF(AND(AD$2&lt;&gt;0,TblTech[[#This Row],[Hour]:[Hour]]&gt;=AD$2),1,0)</f>
        <v>0</v>
      </c>
      <c r="AE13" s="304" cm="1">
        <f t="array" ref="AE13">IF(AND(AE$2&lt;&gt;0,TblTech[[#This Row],[Hour]:[Hour]]&gt;=AE$2),1,0)</f>
        <v>0</v>
      </c>
      <c r="AF13" s="304" cm="1">
        <f t="array" ref="AF13">IF(AND(AF$2&lt;&gt;0,TblTech[[#This Row],[Hour]:[Hour]]&gt;=AF$2),1,0)</f>
        <v>0</v>
      </c>
      <c r="AG13" s="304" cm="1">
        <f t="array" ref="AG13">IF(AND(AG$2&lt;&gt;0,TblTech[[#This Row],[Hour]:[Hour]]&gt;=AG$2),1,0)</f>
        <v>0</v>
      </c>
      <c r="AH13" s="304" cm="1">
        <f t="array" ref="AH13">IF(AND(AH$2&lt;&gt;0,TblTech[[#This Row],[Hour]:[Hour]]&gt;=AH$2),1,0)</f>
        <v>0</v>
      </c>
      <c r="AI13" s="304" cm="1">
        <f t="array" ref="AI13">IF(AND(AI$2&lt;&gt;0,TblTech[[#This Row],[Hour]:[Hour]]&gt;=AI$2),1,0)</f>
        <v>0</v>
      </c>
      <c r="AJ13" s="304" cm="1">
        <f t="array" ref="AJ13">IF(AND(AJ$2&lt;&gt;0,TblTech[[#This Row],[Hour]:[Hour]]&gt;=AJ$2),1,0)</f>
        <v>0</v>
      </c>
      <c r="AK13" s="304" cm="1">
        <f t="array" ref="AK13">IF(AND(AK$2&lt;&gt;0,TblTech[[#This Row],[Hour]:[Hour]]&gt;=AK$2),1,0)</f>
        <v>0</v>
      </c>
      <c r="AL13" s="304" cm="1">
        <f t="array" ref="AL13">IF(AND(AL$2&lt;&gt;0,TblTech[[#This Row],[Hour]:[Hour]]&gt;=AL$2),1,0)</f>
        <v>0</v>
      </c>
      <c r="AM13" s="304" cm="1">
        <f t="array" ref="AM13">IF(AND(AM$2&lt;&gt;0,TblTech[[#This Row],[Hour]:[Hour]]&gt;=AM$2),1,0)</f>
        <v>0</v>
      </c>
      <c r="AN13" s="304" cm="1">
        <f t="array" ref="AN13">IF(AND(AN$2&lt;&gt;0,TblTech[[#This Row],[Hour]:[Hour]]&gt;=AN$2),1,0)</f>
        <v>0</v>
      </c>
      <c r="AO13" s="304" cm="1">
        <f t="array" ref="AO13">IF(AND(AO$2&lt;&gt;0,TblTech[[#This Row],[Hour]:[Hour]]&gt;=AO$2),1,0)</f>
        <v>0</v>
      </c>
      <c r="AP13" s="304" cm="1">
        <f t="array" ref="AP13">IF(AND(AP$2&lt;&gt;0,TblTech[[#This Row],[Hour]:[Hour]]&gt;=AP$2),1,0)</f>
        <v>0</v>
      </c>
      <c r="AQ13" s="304" cm="1">
        <f t="array" ref="AQ13">IF(AND(AQ$2&lt;&gt;0,TblTech[[#This Row],[Hour]:[Hour]]&gt;=AQ$2),1,0)</f>
        <v>0</v>
      </c>
      <c r="AR13" s="304" cm="1">
        <f t="array" ref="AR13">IF(AND(AR$2&lt;&gt;0,TblTech[[#This Row],[Hour]:[Hour]]&gt;=AR$2),1,0)</f>
        <v>0</v>
      </c>
      <c r="AS13" s="304" cm="1">
        <f t="array" ref="AS13">IF(AND(AS$2&lt;&gt;0,TblTech[[#This Row],[Hour]:[Hour]]&gt;=AS$2),1,0)</f>
        <v>0</v>
      </c>
      <c r="AT13" s="304" cm="1">
        <f t="array" ref="AT13">IF(AND(AT$2&lt;&gt;0,TblTech[[#This Row],[Hour]:[Hour]]&gt;=AT$2),1,0)</f>
        <v>0</v>
      </c>
      <c r="AU13" s="304" cm="1">
        <f t="array" ref="AU13">IF(AND(AU$2&lt;&gt;0,TblTech[[#This Row],[Hour]:[Hour]]&gt;=AU$2),1,0)</f>
        <v>0</v>
      </c>
      <c r="AV13" s="304" cm="1">
        <f t="array" ref="AV13">IF(AND(AV$2&lt;&gt;0,TblTech[[#This Row],[Hour]:[Hour]]&gt;=AV$2),1,0)</f>
        <v>0</v>
      </c>
      <c r="AW13" s="304" cm="1">
        <f t="array" ref="AW13">IF(AND(AW$2&lt;&gt;0,TblTech[[#This Row],[Hour]:[Hour]]&gt;=AW$2),1,0)</f>
        <v>0</v>
      </c>
      <c r="AX13" s="304" cm="1">
        <f t="array" ref="AX13">IF(AND(AX$2&lt;&gt;0,TblTech[[#This Row],[Hour]:[Hour]]&gt;=AX$2),1,0)</f>
        <v>0</v>
      </c>
      <c r="AY13" s="304" cm="1">
        <f t="array" ref="AY13">IF(AND(AY$2&lt;&gt;0,TblTech[[#This Row],[Hour]:[Hour]]&gt;=AY$2),1,0)</f>
        <v>0</v>
      </c>
      <c r="AZ13" s="304" cm="1">
        <f t="array" ref="AZ13">IF(AND(AZ$2&lt;&gt;0,TblTech[[#This Row],[Hour]:[Hour]]&gt;=AZ$2),1,0)</f>
        <v>0</v>
      </c>
      <c r="BA13" s="304" cm="1">
        <f t="array" ref="BA13">IF(AND(BA$2&lt;&gt;0,TblTech[[#This Row],[Hour]:[Hour]]&gt;=BA$2),1,0)</f>
        <v>0</v>
      </c>
      <c r="BB13" s="304" cm="1">
        <f t="array" ref="BB13">IF(AND(BB$2&lt;&gt;0,TblTech[[#This Row],[Hour]:[Hour]]&gt;=BB$2),1,0)</f>
        <v>0</v>
      </c>
      <c r="BC13" s="304" cm="1">
        <f t="array" ref="BC13">IF(AND(BC$2&lt;&gt;0,TblTech[[#This Row],[Hour]:[Hour]]&gt;=BC$2),1,0)</f>
        <v>0</v>
      </c>
      <c r="BD13" s="304" cm="1">
        <f t="array" ref="BD13">IF(AND(BD$2&lt;&gt;0,TblTech[[#This Row],[Hour]:[Hour]]&gt;=BD$2),1,0)</f>
        <v>0</v>
      </c>
      <c r="BE13" s="304" cm="1">
        <f t="array" ref="BE13">IF(AND(BE$2&lt;&gt;0,TblTech[[#This Row],[Hour]:[Hour]]&gt;=BE$2),1,0)</f>
        <v>0</v>
      </c>
      <c r="BF13" s="304" cm="1">
        <f t="array" ref="BF13">IF(AND(BF$2&lt;&gt;0,TblTech[[#This Row],[Hour]:[Hour]]&gt;=BF$2),1,0)</f>
        <v>0</v>
      </c>
      <c r="BG13" s="304" cm="1">
        <f t="array" ref="BG13">IF(AND(BG$2&lt;&gt;0,TblTech[[#This Row],[Hour]:[Hour]]&gt;=BG$2),1,0)</f>
        <v>0</v>
      </c>
      <c r="BH13" s="304" cm="1">
        <f t="array" ref="BH13">IF(AND(BH$2&lt;&gt;0,TblTech[[#This Row],[Hour]:[Hour]]&gt;=BH$2),1,0)</f>
        <v>0</v>
      </c>
      <c r="BI13" s="304" cm="1">
        <f t="array" ref="BI13">IF(AND(BI$2&lt;&gt;0,TblTech[[#This Row],[Hour]:[Hour]]&gt;=BI$2),1,0)</f>
        <v>0</v>
      </c>
      <c r="BJ13" s="304" cm="1">
        <f t="array" ref="BJ13">IF(AND(BJ$2&lt;&gt;0,TblTech[[#This Row],[Hour]:[Hour]]&gt;=BJ$2),1,0)</f>
        <v>0</v>
      </c>
      <c r="BK13" s="304" cm="1">
        <f t="array" ref="BK13">IF(AND(BK$2&lt;&gt;0,TblTech[[#This Row],[Hour]:[Hour]]&gt;=BK$2),1,0)</f>
        <v>0</v>
      </c>
      <c r="BL13" s="304" cm="1">
        <f t="array" ref="BL13">IF(AND(BL$2&lt;&gt;0,TblTech[[#This Row],[Hour]:[Hour]]&gt;=BL$2),1,0)</f>
        <v>0</v>
      </c>
      <c r="BM13" s="304" cm="1">
        <f t="array" ref="BM13">IF(AND(BM$2&lt;&gt;0,TblTech[[#This Row],[Hour]:[Hour]]&gt;=BM$2),1,0)</f>
        <v>0</v>
      </c>
      <c r="BN13" s="304" cm="1">
        <f t="array" ref="BN13">IF(AND(BN$2&lt;&gt;0,TblTech[[#This Row],[Hour]:[Hour]]&gt;=BN$2),1,0)</f>
        <v>0</v>
      </c>
      <c r="BO13" s="304" cm="1">
        <f t="array" ref="BO13">IF(AND(BO$2&lt;&gt;0,TblTech[[#This Row],[Hour]:[Hour]]&gt;=BO$2),1,0)</f>
        <v>0</v>
      </c>
      <c r="BP13" s="304" cm="1">
        <f t="array" ref="BP13">IF(AND(BP$2&lt;&gt;0,TblTech[[#This Row],[Hour]:[Hour]]&gt;=BP$2),1,0)</f>
        <v>0</v>
      </c>
      <c r="BQ13" s="304" cm="1">
        <f t="array" ref="BQ13">IF(AND(BQ$2&lt;&gt;0,TblTech[[#This Row],[Hour]:[Hour]]&gt;=BQ$2),1,0)</f>
        <v>0</v>
      </c>
      <c r="BR13" s="304" cm="1">
        <f t="array" ref="BR13">IF(AND(BR$2&lt;&gt;0,TblTech[[#This Row],[Hour]:[Hour]]&gt;=BR$2),1,0)</f>
        <v>0</v>
      </c>
      <c r="BS13" s="304" cm="1">
        <f t="array" ref="BS13">IF(AND(BS$2&lt;&gt;0,TblTech[[#This Row],[Hour]:[Hour]]&gt;=BS$2),1,0)</f>
        <v>0</v>
      </c>
      <c r="BT13" s="304" cm="1">
        <f t="array" ref="BT13">IF(AND(BT$2&lt;&gt;0,TblTech[[#This Row],[Hour]:[Hour]]&gt;=BT$2),1,0)</f>
        <v>0</v>
      </c>
      <c r="BU13" s="304" cm="1">
        <f t="array" ref="BU13">IF(AND(BU$2&lt;&gt;0,TblTech[[#This Row],[Hour]:[Hour]]&gt;=BU$2),1,0)</f>
        <v>0</v>
      </c>
      <c r="BV13" s="304" cm="1">
        <f t="array" ref="BV13">IF(AND(BV$2&lt;&gt;0,TblTech[[#This Row],[Hour]:[Hour]]&gt;=BV$2),1,0)</f>
        <v>0</v>
      </c>
      <c r="BW13" s="304" cm="1">
        <f t="array" ref="BW13">IF(AND(BW$2&lt;&gt;0,TblTech[[#This Row],[Hour]:[Hour]]&gt;=BW$2),1,0)</f>
        <v>0</v>
      </c>
      <c r="BX13" s="304" cm="1">
        <f t="array" ref="BX13">IF(AND(BX$2&lt;&gt;0,TblTech[[#This Row],[Hour]:[Hour]]&gt;=BX$2),1,0)</f>
        <v>0</v>
      </c>
      <c r="BY13" s="304" cm="1">
        <f t="array" ref="BY13">IF(AND(BY$2&lt;&gt;0,TblTech[[#This Row],[Hour]:[Hour]]&gt;=BY$2),1,0)</f>
        <v>0</v>
      </c>
      <c r="BZ13" s="304" cm="1">
        <f t="array" ref="BZ13">IF(AND(BZ$2&lt;&gt;0,TblTech[[#This Row],[Hour]:[Hour]]&gt;=BZ$2),1,0)</f>
        <v>0</v>
      </c>
      <c r="CA13" s="408">
        <f>IFERROR(INDEX($H$4:$H$79,MATCH(INDEX(TblTech[[#Headers],[1-1]:[11-1]],1,MATCH(TblTech[[#This Row],[Hour]],$M$2:$BZ$2,0)),$G$4:$G$79,0)),)</f>
        <v>0</v>
      </c>
    </row>
    <row r="14" spans="1:79" x14ac:dyDescent="0.2">
      <c r="A14" s="296">
        <f>TblRezone[[#This Row],[Hour]]</f>
        <v>11</v>
      </c>
      <c r="B14" s="297">
        <f ca="1">TblExplore[[#This Row],[Land-DB]]</f>
        <v>250</v>
      </c>
      <c r="C14" s="298">
        <f ca="1">TblProd[[#This Row],[Techpoints]]</f>
        <v>0</v>
      </c>
      <c r="D14" s="298">
        <f ca="1">TblProd[[#This Row],[Required]]</f>
        <v>3750</v>
      </c>
      <c r="E14" s="299"/>
      <c r="F14" s="300"/>
      <c r="G14" s="301" t="s">
        <v>562</v>
      </c>
      <c r="H14" s="302" t="s">
        <v>1088</v>
      </c>
      <c r="I14" s="301" t="s">
        <v>755</v>
      </c>
      <c r="J14" s="297"/>
      <c r="K14" s="96">
        <f ca="1">IF(TblTech[[#This Row],[Sum of tech]]&lt;&gt;OFFSET(TblTech[[#This Row],[Sum of tech]],-1,0),1,0)</f>
        <v>0</v>
      </c>
      <c r="L14" s="303">
        <f>COUNTIF(TblTech[[#This Row],[1-1]:[11-1]],1)</f>
        <v>0</v>
      </c>
      <c r="M14" s="304" cm="1">
        <f t="array" ref="M14">IF(AND(M$2&lt;&gt;0,TblTech[[#This Row],[Hour]:[Hour]]&gt;=M$2),1,0)</f>
        <v>0</v>
      </c>
      <c r="N14" s="304" cm="1">
        <f t="array" ref="N14">IF(AND(N$2&lt;&gt;0,TblTech[[#This Row],[Hour]:[Hour]]&gt;=N$2),1,0)</f>
        <v>0</v>
      </c>
      <c r="O14" s="304" cm="1">
        <f t="array" ref="O14">IF(AND(O$2&lt;&gt;0,TblTech[[#This Row],[Hour]:[Hour]]&gt;=O$2),1,0)</f>
        <v>0</v>
      </c>
      <c r="P14" s="304" cm="1">
        <f t="array" ref="P14">IF(AND(P$2&lt;&gt;0,TblTech[[#This Row],[Hour]:[Hour]]&gt;=P$2),1,0)</f>
        <v>0</v>
      </c>
      <c r="Q14" s="304" cm="1">
        <f t="array" ref="Q14">IF(AND(Q$2&lt;&gt;0,TblTech[[#This Row],[Hour]:[Hour]]&gt;=Q$2),1,0)</f>
        <v>0</v>
      </c>
      <c r="R14" s="304" cm="1">
        <f t="array" ref="R14">IF(AND(R$2&lt;&gt;0,TblTech[[#This Row],[Hour]:[Hour]]&gt;=R$2),1,0)</f>
        <v>0</v>
      </c>
      <c r="S14" s="304" cm="1">
        <f t="array" ref="S14">IF(AND(S$2&lt;&gt;0,TblTech[[#This Row],[Hour]:[Hour]]&gt;=S$2),1,0)</f>
        <v>0</v>
      </c>
      <c r="T14" s="304" cm="1">
        <f t="array" ref="T14">IF(AND(T$2&lt;&gt;0,TblTech[[#This Row],[Hour]:[Hour]]&gt;=T$2),1,0)</f>
        <v>0</v>
      </c>
      <c r="U14" s="304" cm="1">
        <f t="array" ref="U14">IF(AND(U$2&lt;&gt;0,TblTech[[#This Row],[Hour]:[Hour]]&gt;=U$2),1,0)</f>
        <v>0</v>
      </c>
      <c r="V14" s="304" cm="1">
        <f t="array" ref="V14">IF(AND(V$2&lt;&gt;0,TblTech[[#This Row],[Hour]:[Hour]]&gt;=V$2),1,0)</f>
        <v>0</v>
      </c>
      <c r="W14" s="304" cm="1">
        <f t="array" ref="W14">IF(AND(W$2&lt;&gt;0,TblTech[[#This Row],[Hour]:[Hour]]&gt;=W$2),1,0)</f>
        <v>0</v>
      </c>
      <c r="X14" s="304" cm="1">
        <f t="array" ref="X14">IF(AND(X$2&lt;&gt;0,TblTech[[#This Row],[Hour]:[Hour]]&gt;=X$2),1,0)</f>
        <v>0</v>
      </c>
      <c r="Y14" s="304" cm="1">
        <f t="array" ref="Y14">IF(AND(Y$2&lt;&gt;0,TblTech[[#This Row],[Hour]:[Hour]]&gt;=Y$2),1,0)</f>
        <v>0</v>
      </c>
      <c r="Z14" s="304" cm="1">
        <f t="array" ref="Z14">IF(AND(Z$2&lt;&gt;0,TblTech[[#This Row],[Hour]:[Hour]]&gt;=Z$2),1,0)</f>
        <v>0</v>
      </c>
      <c r="AA14" s="304" cm="1">
        <f t="array" ref="AA14">IF(AND(AA$2&lt;&gt;0,TblTech[[#This Row],[Hour]:[Hour]]&gt;=AA$2),1,0)</f>
        <v>0</v>
      </c>
      <c r="AB14" s="304" cm="1">
        <f t="array" ref="AB14">IF(AND(AB$2&lt;&gt;0,TblTech[[#This Row],[Hour]:[Hour]]&gt;=AB$2),1,0)</f>
        <v>0</v>
      </c>
      <c r="AC14" s="304" cm="1">
        <f t="array" ref="AC14">IF(AND(AC$2&lt;&gt;0,TblTech[[#This Row],[Hour]:[Hour]]&gt;=AC$2),1,0)</f>
        <v>0</v>
      </c>
      <c r="AD14" s="304" cm="1">
        <f t="array" ref="AD14">IF(AND(AD$2&lt;&gt;0,TblTech[[#This Row],[Hour]:[Hour]]&gt;=AD$2),1,0)</f>
        <v>0</v>
      </c>
      <c r="AE14" s="304" cm="1">
        <f t="array" ref="AE14">IF(AND(AE$2&lt;&gt;0,TblTech[[#This Row],[Hour]:[Hour]]&gt;=AE$2),1,0)</f>
        <v>0</v>
      </c>
      <c r="AF14" s="304" cm="1">
        <f t="array" ref="AF14">IF(AND(AF$2&lt;&gt;0,TblTech[[#This Row],[Hour]:[Hour]]&gt;=AF$2),1,0)</f>
        <v>0</v>
      </c>
      <c r="AG14" s="304" cm="1">
        <f t="array" ref="AG14">IF(AND(AG$2&lt;&gt;0,TblTech[[#This Row],[Hour]:[Hour]]&gt;=AG$2),1,0)</f>
        <v>0</v>
      </c>
      <c r="AH14" s="304" cm="1">
        <f t="array" ref="AH14">IF(AND(AH$2&lt;&gt;0,TblTech[[#This Row],[Hour]:[Hour]]&gt;=AH$2),1,0)</f>
        <v>0</v>
      </c>
      <c r="AI14" s="304" cm="1">
        <f t="array" ref="AI14">IF(AND(AI$2&lt;&gt;0,TblTech[[#This Row],[Hour]:[Hour]]&gt;=AI$2),1,0)</f>
        <v>0</v>
      </c>
      <c r="AJ14" s="304" cm="1">
        <f t="array" ref="AJ14">IF(AND(AJ$2&lt;&gt;0,TblTech[[#This Row],[Hour]:[Hour]]&gt;=AJ$2),1,0)</f>
        <v>0</v>
      </c>
      <c r="AK14" s="304" cm="1">
        <f t="array" ref="AK14">IF(AND(AK$2&lt;&gt;0,TblTech[[#This Row],[Hour]:[Hour]]&gt;=AK$2),1,0)</f>
        <v>0</v>
      </c>
      <c r="AL14" s="304" cm="1">
        <f t="array" ref="AL14">IF(AND(AL$2&lt;&gt;0,TblTech[[#This Row],[Hour]:[Hour]]&gt;=AL$2),1,0)</f>
        <v>0</v>
      </c>
      <c r="AM14" s="304" cm="1">
        <f t="array" ref="AM14">IF(AND(AM$2&lt;&gt;0,TblTech[[#This Row],[Hour]:[Hour]]&gt;=AM$2),1,0)</f>
        <v>0</v>
      </c>
      <c r="AN14" s="304" cm="1">
        <f t="array" ref="AN14">IF(AND(AN$2&lt;&gt;0,TblTech[[#This Row],[Hour]:[Hour]]&gt;=AN$2),1,0)</f>
        <v>0</v>
      </c>
      <c r="AO14" s="304" cm="1">
        <f t="array" ref="AO14">IF(AND(AO$2&lt;&gt;0,TblTech[[#This Row],[Hour]:[Hour]]&gt;=AO$2),1,0)</f>
        <v>0</v>
      </c>
      <c r="AP14" s="304" cm="1">
        <f t="array" ref="AP14">IF(AND(AP$2&lt;&gt;0,TblTech[[#This Row],[Hour]:[Hour]]&gt;=AP$2),1,0)</f>
        <v>0</v>
      </c>
      <c r="AQ14" s="304" cm="1">
        <f t="array" ref="AQ14">IF(AND(AQ$2&lt;&gt;0,TblTech[[#This Row],[Hour]:[Hour]]&gt;=AQ$2),1,0)</f>
        <v>0</v>
      </c>
      <c r="AR14" s="304" cm="1">
        <f t="array" ref="AR14">IF(AND(AR$2&lt;&gt;0,TblTech[[#This Row],[Hour]:[Hour]]&gt;=AR$2),1,0)</f>
        <v>0</v>
      </c>
      <c r="AS14" s="304" cm="1">
        <f t="array" ref="AS14">IF(AND(AS$2&lt;&gt;0,TblTech[[#This Row],[Hour]:[Hour]]&gt;=AS$2),1,0)</f>
        <v>0</v>
      </c>
      <c r="AT14" s="304" cm="1">
        <f t="array" ref="AT14">IF(AND(AT$2&lt;&gt;0,TblTech[[#This Row],[Hour]:[Hour]]&gt;=AT$2),1,0)</f>
        <v>0</v>
      </c>
      <c r="AU14" s="304" cm="1">
        <f t="array" ref="AU14">IF(AND(AU$2&lt;&gt;0,TblTech[[#This Row],[Hour]:[Hour]]&gt;=AU$2),1,0)</f>
        <v>0</v>
      </c>
      <c r="AV14" s="304" cm="1">
        <f t="array" ref="AV14">IF(AND(AV$2&lt;&gt;0,TblTech[[#This Row],[Hour]:[Hour]]&gt;=AV$2),1,0)</f>
        <v>0</v>
      </c>
      <c r="AW14" s="304" cm="1">
        <f t="array" ref="AW14">IF(AND(AW$2&lt;&gt;0,TblTech[[#This Row],[Hour]:[Hour]]&gt;=AW$2),1,0)</f>
        <v>0</v>
      </c>
      <c r="AX14" s="304" cm="1">
        <f t="array" ref="AX14">IF(AND(AX$2&lt;&gt;0,TblTech[[#This Row],[Hour]:[Hour]]&gt;=AX$2),1,0)</f>
        <v>0</v>
      </c>
      <c r="AY14" s="304" cm="1">
        <f t="array" ref="AY14">IF(AND(AY$2&lt;&gt;0,TblTech[[#This Row],[Hour]:[Hour]]&gt;=AY$2),1,0)</f>
        <v>0</v>
      </c>
      <c r="AZ14" s="304" cm="1">
        <f t="array" ref="AZ14">IF(AND(AZ$2&lt;&gt;0,TblTech[[#This Row],[Hour]:[Hour]]&gt;=AZ$2),1,0)</f>
        <v>0</v>
      </c>
      <c r="BA14" s="304" cm="1">
        <f t="array" ref="BA14">IF(AND(BA$2&lt;&gt;0,TblTech[[#This Row],[Hour]:[Hour]]&gt;=BA$2),1,0)</f>
        <v>0</v>
      </c>
      <c r="BB14" s="304" cm="1">
        <f t="array" ref="BB14">IF(AND(BB$2&lt;&gt;0,TblTech[[#This Row],[Hour]:[Hour]]&gt;=BB$2),1,0)</f>
        <v>0</v>
      </c>
      <c r="BC14" s="304" cm="1">
        <f t="array" ref="BC14">IF(AND(BC$2&lt;&gt;0,TblTech[[#This Row],[Hour]:[Hour]]&gt;=BC$2),1,0)</f>
        <v>0</v>
      </c>
      <c r="BD14" s="304" cm="1">
        <f t="array" ref="BD14">IF(AND(BD$2&lt;&gt;0,TblTech[[#This Row],[Hour]:[Hour]]&gt;=BD$2),1,0)</f>
        <v>0</v>
      </c>
      <c r="BE14" s="304" cm="1">
        <f t="array" ref="BE14">IF(AND(BE$2&lt;&gt;0,TblTech[[#This Row],[Hour]:[Hour]]&gt;=BE$2),1,0)</f>
        <v>0</v>
      </c>
      <c r="BF14" s="304" cm="1">
        <f t="array" ref="BF14">IF(AND(BF$2&lt;&gt;0,TblTech[[#This Row],[Hour]:[Hour]]&gt;=BF$2),1,0)</f>
        <v>0</v>
      </c>
      <c r="BG14" s="304" cm="1">
        <f t="array" ref="BG14">IF(AND(BG$2&lt;&gt;0,TblTech[[#This Row],[Hour]:[Hour]]&gt;=BG$2),1,0)</f>
        <v>0</v>
      </c>
      <c r="BH14" s="304" cm="1">
        <f t="array" ref="BH14">IF(AND(BH$2&lt;&gt;0,TblTech[[#This Row],[Hour]:[Hour]]&gt;=BH$2),1,0)</f>
        <v>0</v>
      </c>
      <c r="BI14" s="304" cm="1">
        <f t="array" ref="BI14">IF(AND(BI$2&lt;&gt;0,TblTech[[#This Row],[Hour]:[Hour]]&gt;=BI$2),1,0)</f>
        <v>0</v>
      </c>
      <c r="BJ14" s="304" cm="1">
        <f t="array" ref="BJ14">IF(AND(BJ$2&lt;&gt;0,TblTech[[#This Row],[Hour]:[Hour]]&gt;=BJ$2),1,0)</f>
        <v>0</v>
      </c>
      <c r="BK14" s="304" cm="1">
        <f t="array" ref="BK14">IF(AND(BK$2&lt;&gt;0,TblTech[[#This Row],[Hour]:[Hour]]&gt;=BK$2),1,0)</f>
        <v>0</v>
      </c>
      <c r="BL14" s="304" cm="1">
        <f t="array" ref="BL14">IF(AND(BL$2&lt;&gt;0,TblTech[[#This Row],[Hour]:[Hour]]&gt;=BL$2),1,0)</f>
        <v>0</v>
      </c>
      <c r="BM14" s="304" cm="1">
        <f t="array" ref="BM14">IF(AND(BM$2&lt;&gt;0,TblTech[[#This Row],[Hour]:[Hour]]&gt;=BM$2),1,0)</f>
        <v>0</v>
      </c>
      <c r="BN14" s="304" cm="1">
        <f t="array" ref="BN14">IF(AND(BN$2&lt;&gt;0,TblTech[[#This Row],[Hour]:[Hour]]&gt;=BN$2),1,0)</f>
        <v>0</v>
      </c>
      <c r="BO14" s="304" cm="1">
        <f t="array" ref="BO14">IF(AND(BO$2&lt;&gt;0,TblTech[[#This Row],[Hour]:[Hour]]&gt;=BO$2),1,0)</f>
        <v>0</v>
      </c>
      <c r="BP14" s="304" cm="1">
        <f t="array" ref="BP14">IF(AND(BP$2&lt;&gt;0,TblTech[[#This Row],[Hour]:[Hour]]&gt;=BP$2),1,0)</f>
        <v>0</v>
      </c>
      <c r="BQ14" s="304" cm="1">
        <f t="array" ref="BQ14">IF(AND(BQ$2&lt;&gt;0,TblTech[[#This Row],[Hour]:[Hour]]&gt;=BQ$2),1,0)</f>
        <v>0</v>
      </c>
      <c r="BR14" s="304" cm="1">
        <f t="array" ref="BR14">IF(AND(BR$2&lt;&gt;0,TblTech[[#This Row],[Hour]:[Hour]]&gt;=BR$2),1,0)</f>
        <v>0</v>
      </c>
      <c r="BS14" s="304" cm="1">
        <f t="array" ref="BS14">IF(AND(BS$2&lt;&gt;0,TblTech[[#This Row],[Hour]:[Hour]]&gt;=BS$2),1,0)</f>
        <v>0</v>
      </c>
      <c r="BT14" s="304" cm="1">
        <f t="array" ref="BT14">IF(AND(BT$2&lt;&gt;0,TblTech[[#This Row],[Hour]:[Hour]]&gt;=BT$2),1,0)</f>
        <v>0</v>
      </c>
      <c r="BU14" s="304" cm="1">
        <f t="array" ref="BU14">IF(AND(BU$2&lt;&gt;0,TblTech[[#This Row],[Hour]:[Hour]]&gt;=BU$2),1,0)</f>
        <v>0</v>
      </c>
      <c r="BV14" s="304" cm="1">
        <f t="array" ref="BV14">IF(AND(BV$2&lt;&gt;0,TblTech[[#This Row],[Hour]:[Hour]]&gt;=BV$2),1,0)</f>
        <v>0</v>
      </c>
      <c r="BW14" s="304" cm="1">
        <f t="array" ref="BW14">IF(AND(BW$2&lt;&gt;0,TblTech[[#This Row],[Hour]:[Hour]]&gt;=BW$2),1,0)</f>
        <v>0</v>
      </c>
      <c r="BX14" s="304" cm="1">
        <f t="array" ref="BX14">IF(AND(BX$2&lt;&gt;0,TblTech[[#This Row],[Hour]:[Hour]]&gt;=BX$2),1,0)</f>
        <v>0</v>
      </c>
      <c r="BY14" s="304" cm="1">
        <f t="array" ref="BY14">IF(AND(BY$2&lt;&gt;0,TblTech[[#This Row],[Hour]:[Hour]]&gt;=BY$2),1,0)</f>
        <v>0</v>
      </c>
      <c r="BZ14" s="304" cm="1">
        <f t="array" ref="BZ14">IF(AND(BZ$2&lt;&gt;0,TblTech[[#This Row],[Hour]:[Hour]]&gt;=BZ$2),1,0)</f>
        <v>0</v>
      </c>
      <c r="CA14" s="408">
        <f>IFERROR(INDEX($H$4:$H$79,MATCH(INDEX(TblTech[[#Headers],[1-1]:[11-1]],1,MATCH(TblTech[[#This Row],[Hour]],$M$2:$BZ$2,0)),$G$4:$G$79,0)),)</f>
        <v>0</v>
      </c>
    </row>
    <row r="15" spans="1:79" x14ac:dyDescent="0.2">
      <c r="A15" s="296">
        <f>TblRezone[[#This Row],[Hour]]</f>
        <v>12</v>
      </c>
      <c r="B15" s="297">
        <f ca="1">TblExplore[[#This Row],[Land-DB]]</f>
        <v>250</v>
      </c>
      <c r="C15" s="298">
        <f ca="1">TblProd[[#This Row],[Techpoints]]</f>
        <v>0</v>
      </c>
      <c r="D15" s="298">
        <f ca="1">TblProd[[#This Row],[Required]]</f>
        <v>3750</v>
      </c>
      <c r="E15" s="299"/>
      <c r="F15" s="300"/>
      <c r="G15" s="301"/>
      <c r="H15" s="302"/>
      <c r="I15" s="301"/>
      <c r="J15" s="297"/>
      <c r="K15" s="96">
        <f ca="1">IF(TblTech[[#This Row],[Sum of tech]]&lt;&gt;OFFSET(TblTech[[#This Row],[Sum of tech]],-1,0),1,0)</f>
        <v>0</v>
      </c>
      <c r="L15" s="303">
        <f>COUNTIF(TblTech[[#This Row],[1-1]:[11-1]],1)</f>
        <v>0</v>
      </c>
      <c r="M15" s="304" cm="1">
        <f t="array" ref="M15">IF(AND(M$2&lt;&gt;0,TblTech[[#This Row],[Hour]:[Hour]]&gt;=M$2),1,0)</f>
        <v>0</v>
      </c>
      <c r="N15" s="304" cm="1">
        <f t="array" ref="N15">IF(AND(N$2&lt;&gt;0,TblTech[[#This Row],[Hour]:[Hour]]&gt;=N$2),1,0)</f>
        <v>0</v>
      </c>
      <c r="O15" s="304" cm="1">
        <f t="array" ref="O15">IF(AND(O$2&lt;&gt;0,TblTech[[#This Row],[Hour]:[Hour]]&gt;=O$2),1,0)</f>
        <v>0</v>
      </c>
      <c r="P15" s="304" cm="1">
        <f t="array" ref="P15">IF(AND(P$2&lt;&gt;0,TblTech[[#This Row],[Hour]:[Hour]]&gt;=P$2),1,0)</f>
        <v>0</v>
      </c>
      <c r="Q15" s="304" cm="1">
        <f t="array" ref="Q15">IF(AND(Q$2&lt;&gt;0,TblTech[[#This Row],[Hour]:[Hour]]&gt;=Q$2),1,0)</f>
        <v>0</v>
      </c>
      <c r="R15" s="304" cm="1">
        <f t="array" ref="R15">IF(AND(R$2&lt;&gt;0,TblTech[[#This Row],[Hour]:[Hour]]&gt;=R$2),1,0)</f>
        <v>0</v>
      </c>
      <c r="S15" s="304" cm="1">
        <f t="array" ref="S15">IF(AND(S$2&lt;&gt;0,TblTech[[#This Row],[Hour]:[Hour]]&gt;=S$2),1,0)</f>
        <v>0</v>
      </c>
      <c r="T15" s="304" cm="1">
        <f t="array" ref="T15">IF(AND(T$2&lt;&gt;0,TblTech[[#This Row],[Hour]:[Hour]]&gt;=T$2),1,0)</f>
        <v>0</v>
      </c>
      <c r="U15" s="304" cm="1">
        <f t="array" ref="U15">IF(AND(U$2&lt;&gt;0,TblTech[[#This Row],[Hour]:[Hour]]&gt;=U$2),1,0)</f>
        <v>0</v>
      </c>
      <c r="V15" s="304" cm="1">
        <f t="array" ref="V15">IF(AND(V$2&lt;&gt;0,TblTech[[#This Row],[Hour]:[Hour]]&gt;=V$2),1,0)</f>
        <v>0</v>
      </c>
      <c r="W15" s="304" cm="1">
        <f t="array" ref="W15">IF(AND(W$2&lt;&gt;0,TblTech[[#This Row],[Hour]:[Hour]]&gt;=W$2),1,0)</f>
        <v>0</v>
      </c>
      <c r="X15" s="304" cm="1">
        <f t="array" ref="X15">IF(AND(X$2&lt;&gt;0,TblTech[[#This Row],[Hour]:[Hour]]&gt;=X$2),1,0)</f>
        <v>0</v>
      </c>
      <c r="Y15" s="304" cm="1">
        <f t="array" ref="Y15">IF(AND(Y$2&lt;&gt;0,TblTech[[#This Row],[Hour]:[Hour]]&gt;=Y$2),1,0)</f>
        <v>0</v>
      </c>
      <c r="Z15" s="304" cm="1">
        <f t="array" ref="Z15">IF(AND(Z$2&lt;&gt;0,TblTech[[#This Row],[Hour]:[Hour]]&gt;=Z$2),1,0)</f>
        <v>0</v>
      </c>
      <c r="AA15" s="304" cm="1">
        <f t="array" ref="AA15">IF(AND(AA$2&lt;&gt;0,TblTech[[#This Row],[Hour]:[Hour]]&gt;=AA$2),1,0)</f>
        <v>0</v>
      </c>
      <c r="AB15" s="304" cm="1">
        <f t="array" ref="AB15">IF(AND(AB$2&lt;&gt;0,TblTech[[#This Row],[Hour]:[Hour]]&gt;=AB$2),1,0)</f>
        <v>0</v>
      </c>
      <c r="AC15" s="304" cm="1">
        <f t="array" ref="AC15">IF(AND(AC$2&lt;&gt;0,TblTech[[#This Row],[Hour]:[Hour]]&gt;=AC$2),1,0)</f>
        <v>0</v>
      </c>
      <c r="AD15" s="304" cm="1">
        <f t="array" ref="AD15">IF(AND(AD$2&lt;&gt;0,TblTech[[#This Row],[Hour]:[Hour]]&gt;=AD$2),1,0)</f>
        <v>0</v>
      </c>
      <c r="AE15" s="304" cm="1">
        <f t="array" ref="AE15">IF(AND(AE$2&lt;&gt;0,TblTech[[#This Row],[Hour]:[Hour]]&gt;=AE$2),1,0)</f>
        <v>0</v>
      </c>
      <c r="AF15" s="304" cm="1">
        <f t="array" ref="AF15">IF(AND(AF$2&lt;&gt;0,TblTech[[#This Row],[Hour]:[Hour]]&gt;=AF$2),1,0)</f>
        <v>0</v>
      </c>
      <c r="AG15" s="304" cm="1">
        <f t="array" ref="AG15">IF(AND(AG$2&lt;&gt;0,TblTech[[#This Row],[Hour]:[Hour]]&gt;=AG$2),1,0)</f>
        <v>0</v>
      </c>
      <c r="AH15" s="304" cm="1">
        <f t="array" ref="AH15">IF(AND(AH$2&lt;&gt;0,TblTech[[#This Row],[Hour]:[Hour]]&gt;=AH$2),1,0)</f>
        <v>0</v>
      </c>
      <c r="AI15" s="304" cm="1">
        <f t="array" ref="AI15">IF(AND(AI$2&lt;&gt;0,TblTech[[#This Row],[Hour]:[Hour]]&gt;=AI$2),1,0)</f>
        <v>0</v>
      </c>
      <c r="AJ15" s="304" cm="1">
        <f t="array" ref="AJ15">IF(AND(AJ$2&lt;&gt;0,TblTech[[#This Row],[Hour]:[Hour]]&gt;=AJ$2),1,0)</f>
        <v>0</v>
      </c>
      <c r="AK15" s="304" cm="1">
        <f t="array" ref="AK15">IF(AND(AK$2&lt;&gt;0,TblTech[[#This Row],[Hour]:[Hour]]&gt;=AK$2),1,0)</f>
        <v>0</v>
      </c>
      <c r="AL15" s="304" cm="1">
        <f t="array" ref="AL15">IF(AND(AL$2&lt;&gt;0,TblTech[[#This Row],[Hour]:[Hour]]&gt;=AL$2),1,0)</f>
        <v>0</v>
      </c>
      <c r="AM15" s="304" cm="1">
        <f t="array" ref="AM15">IF(AND(AM$2&lt;&gt;0,TblTech[[#This Row],[Hour]:[Hour]]&gt;=AM$2),1,0)</f>
        <v>0</v>
      </c>
      <c r="AN15" s="304" cm="1">
        <f t="array" ref="AN15">IF(AND(AN$2&lt;&gt;0,TblTech[[#This Row],[Hour]:[Hour]]&gt;=AN$2),1,0)</f>
        <v>0</v>
      </c>
      <c r="AO15" s="304" cm="1">
        <f t="array" ref="AO15">IF(AND(AO$2&lt;&gt;0,TblTech[[#This Row],[Hour]:[Hour]]&gt;=AO$2),1,0)</f>
        <v>0</v>
      </c>
      <c r="AP15" s="304" cm="1">
        <f t="array" ref="AP15">IF(AND(AP$2&lt;&gt;0,TblTech[[#This Row],[Hour]:[Hour]]&gt;=AP$2),1,0)</f>
        <v>0</v>
      </c>
      <c r="AQ15" s="304" cm="1">
        <f t="array" ref="AQ15">IF(AND(AQ$2&lt;&gt;0,TblTech[[#This Row],[Hour]:[Hour]]&gt;=AQ$2),1,0)</f>
        <v>0</v>
      </c>
      <c r="AR15" s="304" cm="1">
        <f t="array" ref="AR15">IF(AND(AR$2&lt;&gt;0,TblTech[[#This Row],[Hour]:[Hour]]&gt;=AR$2),1,0)</f>
        <v>0</v>
      </c>
      <c r="AS15" s="304" cm="1">
        <f t="array" ref="AS15">IF(AND(AS$2&lt;&gt;0,TblTech[[#This Row],[Hour]:[Hour]]&gt;=AS$2),1,0)</f>
        <v>0</v>
      </c>
      <c r="AT15" s="304" cm="1">
        <f t="array" ref="AT15">IF(AND(AT$2&lt;&gt;0,TblTech[[#This Row],[Hour]:[Hour]]&gt;=AT$2),1,0)</f>
        <v>0</v>
      </c>
      <c r="AU15" s="304" cm="1">
        <f t="array" ref="AU15">IF(AND(AU$2&lt;&gt;0,TblTech[[#This Row],[Hour]:[Hour]]&gt;=AU$2),1,0)</f>
        <v>0</v>
      </c>
      <c r="AV15" s="304" cm="1">
        <f t="array" ref="AV15">IF(AND(AV$2&lt;&gt;0,TblTech[[#This Row],[Hour]:[Hour]]&gt;=AV$2),1,0)</f>
        <v>0</v>
      </c>
      <c r="AW15" s="304" cm="1">
        <f t="array" ref="AW15">IF(AND(AW$2&lt;&gt;0,TblTech[[#This Row],[Hour]:[Hour]]&gt;=AW$2),1,0)</f>
        <v>0</v>
      </c>
      <c r="AX15" s="304" cm="1">
        <f t="array" ref="AX15">IF(AND(AX$2&lt;&gt;0,TblTech[[#This Row],[Hour]:[Hour]]&gt;=AX$2),1,0)</f>
        <v>0</v>
      </c>
      <c r="AY15" s="304" cm="1">
        <f t="array" ref="AY15">IF(AND(AY$2&lt;&gt;0,TblTech[[#This Row],[Hour]:[Hour]]&gt;=AY$2),1,0)</f>
        <v>0</v>
      </c>
      <c r="AZ15" s="304" cm="1">
        <f t="array" ref="AZ15">IF(AND(AZ$2&lt;&gt;0,TblTech[[#This Row],[Hour]:[Hour]]&gt;=AZ$2),1,0)</f>
        <v>0</v>
      </c>
      <c r="BA15" s="304" cm="1">
        <f t="array" ref="BA15">IF(AND(BA$2&lt;&gt;0,TblTech[[#This Row],[Hour]:[Hour]]&gt;=BA$2),1,0)</f>
        <v>0</v>
      </c>
      <c r="BB15" s="304" cm="1">
        <f t="array" ref="BB15">IF(AND(BB$2&lt;&gt;0,TblTech[[#This Row],[Hour]:[Hour]]&gt;=BB$2),1,0)</f>
        <v>0</v>
      </c>
      <c r="BC15" s="304" cm="1">
        <f t="array" ref="BC15">IF(AND(BC$2&lt;&gt;0,TblTech[[#This Row],[Hour]:[Hour]]&gt;=BC$2),1,0)</f>
        <v>0</v>
      </c>
      <c r="BD15" s="304" cm="1">
        <f t="array" ref="BD15">IF(AND(BD$2&lt;&gt;0,TblTech[[#This Row],[Hour]:[Hour]]&gt;=BD$2),1,0)</f>
        <v>0</v>
      </c>
      <c r="BE15" s="304" cm="1">
        <f t="array" ref="BE15">IF(AND(BE$2&lt;&gt;0,TblTech[[#This Row],[Hour]:[Hour]]&gt;=BE$2),1,0)</f>
        <v>0</v>
      </c>
      <c r="BF15" s="304" cm="1">
        <f t="array" ref="BF15">IF(AND(BF$2&lt;&gt;0,TblTech[[#This Row],[Hour]:[Hour]]&gt;=BF$2),1,0)</f>
        <v>0</v>
      </c>
      <c r="BG15" s="304" cm="1">
        <f t="array" ref="BG15">IF(AND(BG$2&lt;&gt;0,TblTech[[#This Row],[Hour]:[Hour]]&gt;=BG$2),1,0)</f>
        <v>0</v>
      </c>
      <c r="BH15" s="304" cm="1">
        <f t="array" ref="BH15">IF(AND(BH$2&lt;&gt;0,TblTech[[#This Row],[Hour]:[Hour]]&gt;=BH$2),1,0)</f>
        <v>0</v>
      </c>
      <c r="BI15" s="304" cm="1">
        <f t="array" ref="BI15">IF(AND(BI$2&lt;&gt;0,TblTech[[#This Row],[Hour]:[Hour]]&gt;=BI$2),1,0)</f>
        <v>0</v>
      </c>
      <c r="BJ15" s="304" cm="1">
        <f t="array" ref="BJ15">IF(AND(BJ$2&lt;&gt;0,TblTech[[#This Row],[Hour]:[Hour]]&gt;=BJ$2),1,0)</f>
        <v>0</v>
      </c>
      <c r="BK15" s="304" cm="1">
        <f t="array" ref="BK15">IF(AND(BK$2&lt;&gt;0,TblTech[[#This Row],[Hour]:[Hour]]&gt;=BK$2),1,0)</f>
        <v>0</v>
      </c>
      <c r="BL15" s="304" cm="1">
        <f t="array" ref="BL15">IF(AND(BL$2&lt;&gt;0,TblTech[[#This Row],[Hour]:[Hour]]&gt;=BL$2),1,0)</f>
        <v>0</v>
      </c>
      <c r="BM15" s="304" cm="1">
        <f t="array" ref="BM15">IF(AND(BM$2&lt;&gt;0,TblTech[[#This Row],[Hour]:[Hour]]&gt;=BM$2),1,0)</f>
        <v>0</v>
      </c>
      <c r="BN15" s="304" cm="1">
        <f t="array" ref="BN15">IF(AND(BN$2&lt;&gt;0,TblTech[[#This Row],[Hour]:[Hour]]&gt;=BN$2),1,0)</f>
        <v>0</v>
      </c>
      <c r="BO15" s="304" cm="1">
        <f t="array" ref="BO15">IF(AND(BO$2&lt;&gt;0,TblTech[[#This Row],[Hour]:[Hour]]&gt;=BO$2),1,0)</f>
        <v>0</v>
      </c>
      <c r="BP15" s="304" cm="1">
        <f t="array" ref="BP15">IF(AND(BP$2&lt;&gt;0,TblTech[[#This Row],[Hour]:[Hour]]&gt;=BP$2),1,0)</f>
        <v>0</v>
      </c>
      <c r="BQ15" s="304" cm="1">
        <f t="array" ref="BQ15">IF(AND(BQ$2&lt;&gt;0,TblTech[[#This Row],[Hour]:[Hour]]&gt;=BQ$2),1,0)</f>
        <v>0</v>
      </c>
      <c r="BR15" s="304" cm="1">
        <f t="array" ref="BR15">IF(AND(BR$2&lt;&gt;0,TblTech[[#This Row],[Hour]:[Hour]]&gt;=BR$2),1,0)</f>
        <v>0</v>
      </c>
      <c r="BS15" s="304" cm="1">
        <f t="array" ref="BS15">IF(AND(BS$2&lt;&gt;0,TblTech[[#This Row],[Hour]:[Hour]]&gt;=BS$2),1,0)</f>
        <v>0</v>
      </c>
      <c r="BT15" s="304" cm="1">
        <f t="array" ref="BT15">IF(AND(BT$2&lt;&gt;0,TblTech[[#This Row],[Hour]:[Hour]]&gt;=BT$2),1,0)</f>
        <v>0</v>
      </c>
      <c r="BU15" s="304" cm="1">
        <f t="array" ref="BU15">IF(AND(BU$2&lt;&gt;0,TblTech[[#This Row],[Hour]:[Hour]]&gt;=BU$2),1,0)</f>
        <v>0</v>
      </c>
      <c r="BV15" s="304" cm="1">
        <f t="array" ref="BV15">IF(AND(BV$2&lt;&gt;0,TblTech[[#This Row],[Hour]:[Hour]]&gt;=BV$2),1,0)</f>
        <v>0</v>
      </c>
      <c r="BW15" s="304" cm="1">
        <f t="array" ref="BW15">IF(AND(BW$2&lt;&gt;0,TblTech[[#This Row],[Hour]:[Hour]]&gt;=BW$2),1,0)</f>
        <v>0</v>
      </c>
      <c r="BX15" s="304" cm="1">
        <f t="array" ref="BX15">IF(AND(BX$2&lt;&gt;0,TblTech[[#This Row],[Hour]:[Hour]]&gt;=BX$2),1,0)</f>
        <v>0</v>
      </c>
      <c r="BY15" s="304" cm="1">
        <f t="array" ref="BY15">IF(AND(BY$2&lt;&gt;0,TblTech[[#This Row],[Hour]:[Hour]]&gt;=BY$2),1,0)</f>
        <v>0</v>
      </c>
      <c r="BZ15" s="304" cm="1">
        <f t="array" ref="BZ15">IF(AND(BZ$2&lt;&gt;0,TblTech[[#This Row],[Hour]:[Hour]]&gt;=BZ$2),1,0)</f>
        <v>0</v>
      </c>
      <c r="CA15" s="408">
        <f>IFERROR(INDEX($H$4:$H$79,MATCH(INDEX(TblTech[[#Headers],[1-1]:[11-1]],1,MATCH(TblTech[[#This Row],[Hour]],$M$2:$BZ$2,0)),$G$4:$G$79,0)),)</f>
        <v>0</v>
      </c>
    </row>
    <row r="16" spans="1:79" x14ac:dyDescent="0.2">
      <c r="A16" s="296">
        <f>TblRezone[[#This Row],[Hour]]</f>
        <v>13</v>
      </c>
      <c r="B16" s="297">
        <f ca="1">TblExplore[[#This Row],[Land-DB]]</f>
        <v>250</v>
      </c>
      <c r="C16" s="298">
        <f ca="1">TblProd[[#This Row],[Techpoints]]</f>
        <v>0</v>
      </c>
      <c r="D16" s="298">
        <f ca="1">TblProd[[#This Row],[Required]]</f>
        <v>3750</v>
      </c>
      <c r="E16" s="299"/>
      <c r="F16" s="300"/>
      <c r="G16" s="301" t="s">
        <v>563</v>
      </c>
      <c r="H16" s="302" t="s">
        <v>705</v>
      </c>
      <c r="I16" s="301" t="s">
        <v>766</v>
      </c>
      <c r="J16" s="297"/>
      <c r="K16" s="96">
        <f ca="1">IF(TblTech[[#This Row],[Sum of tech]]&lt;&gt;OFFSET(TblTech[[#This Row],[Sum of tech]],-1,0),1,0)</f>
        <v>0</v>
      </c>
      <c r="L16" s="303">
        <f>COUNTIF(TblTech[[#This Row],[1-1]:[11-1]],1)</f>
        <v>0</v>
      </c>
      <c r="M16" s="304" cm="1">
        <f t="array" ref="M16">IF(AND(M$2&lt;&gt;0,TblTech[[#This Row],[Hour]:[Hour]]&gt;=M$2),1,0)</f>
        <v>0</v>
      </c>
      <c r="N16" s="304" cm="1">
        <f t="array" ref="N16">IF(AND(N$2&lt;&gt;0,TblTech[[#This Row],[Hour]:[Hour]]&gt;=N$2),1,0)</f>
        <v>0</v>
      </c>
      <c r="O16" s="304" cm="1">
        <f t="array" ref="O16">IF(AND(O$2&lt;&gt;0,TblTech[[#This Row],[Hour]:[Hour]]&gt;=O$2),1,0)</f>
        <v>0</v>
      </c>
      <c r="P16" s="304" cm="1">
        <f t="array" ref="P16">IF(AND(P$2&lt;&gt;0,TblTech[[#This Row],[Hour]:[Hour]]&gt;=P$2),1,0)</f>
        <v>0</v>
      </c>
      <c r="Q16" s="304" cm="1">
        <f t="array" ref="Q16">IF(AND(Q$2&lt;&gt;0,TblTech[[#This Row],[Hour]:[Hour]]&gt;=Q$2),1,0)</f>
        <v>0</v>
      </c>
      <c r="R16" s="304" cm="1">
        <f t="array" ref="R16">IF(AND(R$2&lt;&gt;0,TblTech[[#This Row],[Hour]:[Hour]]&gt;=R$2),1,0)</f>
        <v>0</v>
      </c>
      <c r="S16" s="304" cm="1">
        <f t="array" ref="S16">IF(AND(S$2&lt;&gt;0,TblTech[[#This Row],[Hour]:[Hour]]&gt;=S$2),1,0)</f>
        <v>0</v>
      </c>
      <c r="T16" s="304" cm="1">
        <f t="array" ref="T16">IF(AND(T$2&lt;&gt;0,TblTech[[#This Row],[Hour]:[Hour]]&gt;=T$2),1,0)</f>
        <v>0</v>
      </c>
      <c r="U16" s="304" cm="1">
        <f t="array" ref="U16">IF(AND(U$2&lt;&gt;0,TblTech[[#This Row],[Hour]:[Hour]]&gt;=U$2),1,0)</f>
        <v>0</v>
      </c>
      <c r="V16" s="304" cm="1">
        <f t="array" ref="V16">IF(AND(V$2&lt;&gt;0,TblTech[[#This Row],[Hour]:[Hour]]&gt;=V$2),1,0)</f>
        <v>0</v>
      </c>
      <c r="W16" s="304" cm="1">
        <f t="array" ref="W16">IF(AND(W$2&lt;&gt;0,TblTech[[#This Row],[Hour]:[Hour]]&gt;=W$2),1,0)</f>
        <v>0</v>
      </c>
      <c r="X16" s="304" cm="1">
        <f t="array" ref="X16">IF(AND(X$2&lt;&gt;0,TblTech[[#This Row],[Hour]:[Hour]]&gt;=X$2),1,0)</f>
        <v>0</v>
      </c>
      <c r="Y16" s="304" cm="1">
        <f t="array" ref="Y16">IF(AND(Y$2&lt;&gt;0,TblTech[[#This Row],[Hour]:[Hour]]&gt;=Y$2),1,0)</f>
        <v>0</v>
      </c>
      <c r="Z16" s="304" cm="1">
        <f t="array" ref="Z16">IF(AND(Z$2&lt;&gt;0,TblTech[[#This Row],[Hour]:[Hour]]&gt;=Z$2),1,0)</f>
        <v>0</v>
      </c>
      <c r="AA16" s="304" cm="1">
        <f t="array" ref="AA16">IF(AND(AA$2&lt;&gt;0,TblTech[[#This Row],[Hour]:[Hour]]&gt;=AA$2),1,0)</f>
        <v>0</v>
      </c>
      <c r="AB16" s="304" cm="1">
        <f t="array" ref="AB16">IF(AND(AB$2&lt;&gt;0,TblTech[[#This Row],[Hour]:[Hour]]&gt;=AB$2),1,0)</f>
        <v>0</v>
      </c>
      <c r="AC16" s="304" cm="1">
        <f t="array" ref="AC16">IF(AND(AC$2&lt;&gt;0,TblTech[[#This Row],[Hour]:[Hour]]&gt;=AC$2),1,0)</f>
        <v>0</v>
      </c>
      <c r="AD16" s="304" cm="1">
        <f t="array" ref="AD16">IF(AND(AD$2&lt;&gt;0,TblTech[[#This Row],[Hour]:[Hour]]&gt;=AD$2),1,0)</f>
        <v>0</v>
      </c>
      <c r="AE16" s="304" cm="1">
        <f t="array" ref="AE16">IF(AND(AE$2&lt;&gt;0,TblTech[[#This Row],[Hour]:[Hour]]&gt;=AE$2),1,0)</f>
        <v>0</v>
      </c>
      <c r="AF16" s="304" cm="1">
        <f t="array" ref="AF16">IF(AND(AF$2&lt;&gt;0,TblTech[[#This Row],[Hour]:[Hour]]&gt;=AF$2),1,0)</f>
        <v>0</v>
      </c>
      <c r="AG16" s="304" cm="1">
        <f t="array" ref="AG16">IF(AND(AG$2&lt;&gt;0,TblTech[[#This Row],[Hour]:[Hour]]&gt;=AG$2),1,0)</f>
        <v>0</v>
      </c>
      <c r="AH16" s="304" cm="1">
        <f t="array" ref="AH16">IF(AND(AH$2&lt;&gt;0,TblTech[[#This Row],[Hour]:[Hour]]&gt;=AH$2),1,0)</f>
        <v>0</v>
      </c>
      <c r="AI16" s="304" cm="1">
        <f t="array" ref="AI16">IF(AND(AI$2&lt;&gt;0,TblTech[[#This Row],[Hour]:[Hour]]&gt;=AI$2),1,0)</f>
        <v>0</v>
      </c>
      <c r="AJ16" s="304" cm="1">
        <f t="array" ref="AJ16">IF(AND(AJ$2&lt;&gt;0,TblTech[[#This Row],[Hour]:[Hour]]&gt;=AJ$2),1,0)</f>
        <v>0</v>
      </c>
      <c r="AK16" s="304" cm="1">
        <f t="array" ref="AK16">IF(AND(AK$2&lt;&gt;0,TblTech[[#This Row],[Hour]:[Hour]]&gt;=AK$2),1,0)</f>
        <v>0</v>
      </c>
      <c r="AL16" s="304" cm="1">
        <f t="array" ref="AL16">IF(AND(AL$2&lt;&gt;0,TblTech[[#This Row],[Hour]:[Hour]]&gt;=AL$2),1,0)</f>
        <v>0</v>
      </c>
      <c r="AM16" s="304" cm="1">
        <f t="array" ref="AM16">IF(AND(AM$2&lt;&gt;0,TblTech[[#This Row],[Hour]:[Hour]]&gt;=AM$2),1,0)</f>
        <v>0</v>
      </c>
      <c r="AN16" s="304" cm="1">
        <f t="array" ref="AN16">IF(AND(AN$2&lt;&gt;0,TblTech[[#This Row],[Hour]:[Hour]]&gt;=AN$2),1,0)</f>
        <v>0</v>
      </c>
      <c r="AO16" s="304" cm="1">
        <f t="array" ref="AO16">IF(AND(AO$2&lt;&gt;0,TblTech[[#This Row],[Hour]:[Hour]]&gt;=AO$2),1,0)</f>
        <v>0</v>
      </c>
      <c r="AP16" s="304" cm="1">
        <f t="array" ref="AP16">IF(AND(AP$2&lt;&gt;0,TblTech[[#This Row],[Hour]:[Hour]]&gt;=AP$2),1,0)</f>
        <v>0</v>
      </c>
      <c r="AQ16" s="304" cm="1">
        <f t="array" ref="AQ16">IF(AND(AQ$2&lt;&gt;0,TblTech[[#This Row],[Hour]:[Hour]]&gt;=AQ$2),1,0)</f>
        <v>0</v>
      </c>
      <c r="AR16" s="304" cm="1">
        <f t="array" ref="AR16">IF(AND(AR$2&lt;&gt;0,TblTech[[#This Row],[Hour]:[Hour]]&gt;=AR$2),1,0)</f>
        <v>0</v>
      </c>
      <c r="AS16" s="304" cm="1">
        <f t="array" ref="AS16">IF(AND(AS$2&lt;&gt;0,TblTech[[#This Row],[Hour]:[Hour]]&gt;=AS$2),1,0)</f>
        <v>0</v>
      </c>
      <c r="AT16" s="304" cm="1">
        <f t="array" ref="AT16">IF(AND(AT$2&lt;&gt;0,TblTech[[#This Row],[Hour]:[Hour]]&gt;=AT$2),1,0)</f>
        <v>0</v>
      </c>
      <c r="AU16" s="304" cm="1">
        <f t="array" ref="AU16">IF(AND(AU$2&lt;&gt;0,TblTech[[#This Row],[Hour]:[Hour]]&gt;=AU$2),1,0)</f>
        <v>0</v>
      </c>
      <c r="AV16" s="304" cm="1">
        <f t="array" ref="AV16">IF(AND(AV$2&lt;&gt;0,TblTech[[#This Row],[Hour]:[Hour]]&gt;=AV$2),1,0)</f>
        <v>0</v>
      </c>
      <c r="AW16" s="304" cm="1">
        <f t="array" ref="AW16">IF(AND(AW$2&lt;&gt;0,TblTech[[#This Row],[Hour]:[Hour]]&gt;=AW$2),1,0)</f>
        <v>0</v>
      </c>
      <c r="AX16" s="304" cm="1">
        <f t="array" ref="AX16">IF(AND(AX$2&lt;&gt;0,TblTech[[#This Row],[Hour]:[Hour]]&gt;=AX$2),1,0)</f>
        <v>0</v>
      </c>
      <c r="AY16" s="304" cm="1">
        <f t="array" ref="AY16">IF(AND(AY$2&lt;&gt;0,TblTech[[#This Row],[Hour]:[Hour]]&gt;=AY$2),1,0)</f>
        <v>0</v>
      </c>
      <c r="AZ16" s="304" cm="1">
        <f t="array" ref="AZ16">IF(AND(AZ$2&lt;&gt;0,TblTech[[#This Row],[Hour]:[Hour]]&gt;=AZ$2),1,0)</f>
        <v>0</v>
      </c>
      <c r="BA16" s="304" cm="1">
        <f t="array" ref="BA16">IF(AND(BA$2&lt;&gt;0,TblTech[[#This Row],[Hour]:[Hour]]&gt;=BA$2),1,0)</f>
        <v>0</v>
      </c>
      <c r="BB16" s="304" cm="1">
        <f t="array" ref="BB16">IF(AND(BB$2&lt;&gt;0,TblTech[[#This Row],[Hour]:[Hour]]&gt;=BB$2),1,0)</f>
        <v>0</v>
      </c>
      <c r="BC16" s="304" cm="1">
        <f t="array" ref="BC16">IF(AND(BC$2&lt;&gt;0,TblTech[[#This Row],[Hour]:[Hour]]&gt;=BC$2),1,0)</f>
        <v>0</v>
      </c>
      <c r="BD16" s="304" cm="1">
        <f t="array" ref="BD16">IF(AND(BD$2&lt;&gt;0,TblTech[[#This Row],[Hour]:[Hour]]&gt;=BD$2),1,0)</f>
        <v>0</v>
      </c>
      <c r="BE16" s="304" cm="1">
        <f t="array" ref="BE16">IF(AND(BE$2&lt;&gt;0,TblTech[[#This Row],[Hour]:[Hour]]&gt;=BE$2),1,0)</f>
        <v>0</v>
      </c>
      <c r="BF16" s="304" cm="1">
        <f t="array" ref="BF16">IF(AND(BF$2&lt;&gt;0,TblTech[[#This Row],[Hour]:[Hour]]&gt;=BF$2),1,0)</f>
        <v>0</v>
      </c>
      <c r="BG16" s="304" cm="1">
        <f t="array" ref="BG16">IF(AND(BG$2&lt;&gt;0,TblTech[[#This Row],[Hour]:[Hour]]&gt;=BG$2),1,0)</f>
        <v>0</v>
      </c>
      <c r="BH16" s="304" cm="1">
        <f t="array" ref="BH16">IF(AND(BH$2&lt;&gt;0,TblTech[[#This Row],[Hour]:[Hour]]&gt;=BH$2),1,0)</f>
        <v>0</v>
      </c>
      <c r="BI16" s="304" cm="1">
        <f t="array" ref="BI16">IF(AND(BI$2&lt;&gt;0,TblTech[[#This Row],[Hour]:[Hour]]&gt;=BI$2),1,0)</f>
        <v>0</v>
      </c>
      <c r="BJ16" s="304" cm="1">
        <f t="array" ref="BJ16">IF(AND(BJ$2&lt;&gt;0,TblTech[[#This Row],[Hour]:[Hour]]&gt;=BJ$2),1,0)</f>
        <v>0</v>
      </c>
      <c r="BK16" s="304" cm="1">
        <f t="array" ref="BK16">IF(AND(BK$2&lt;&gt;0,TblTech[[#This Row],[Hour]:[Hour]]&gt;=BK$2),1,0)</f>
        <v>0</v>
      </c>
      <c r="BL16" s="304" cm="1">
        <f t="array" ref="BL16">IF(AND(BL$2&lt;&gt;0,TblTech[[#This Row],[Hour]:[Hour]]&gt;=BL$2),1,0)</f>
        <v>0</v>
      </c>
      <c r="BM16" s="304" cm="1">
        <f t="array" ref="BM16">IF(AND(BM$2&lt;&gt;0,TblTech[[#This Row],[Hour]:[Hour]]&gt;=BM$2),1,0)</f>
        <v>0</v>
      </c>
      <c r="BN16" s="304" cm="1">
        <f t="array" ref="BN16">IF(AND(BN$2&lt;&gt;0,TblTech[[#This Row],[Hour]:[Hour]]&gt;=BN$2),1,0)</f>
        <v>0</v>
      </c>
      <c r="BO16" s="304" cm="1">
        <f t="array" ref="BO16">IF(AND(BO$2&lt;&gt;0,TblTech[[#This Row],[Hour]:[Hour]]&gt;=BO$2),1,0)</f>
        <v>0</v>
      </c>
      <c r="BP16" s="304" cm="1">
        <f t="array" ref="BP16">IF(AND(BP$2&lt;&gt;0,TblTech[[#This Row],[Hour]:[Hour]]&gt;=BP$2),1,0)</f>
        <v>0</v>
      </c>
      <c r="BQ16" s="304" cm="1">
        <f t="array" ref="BQ16">IF(AND(BQ$2&lt;&gt;0,TblTech[[#This Row],[Hour]:[Hour]]&gt;=BQ$2),1,0)</f>
        <v>0</v>
      </c>
      <c r="BR16" s="304" cm="1">
        <f t="array" ref="BR16">IF(AND(BR$2&lt;&gt;0,TblTech[[#This Row],[Hour]:[Hour]]&gt;=BR$2),1,0)</f>
        <v>0</v>
      </c>
      <c r="BS16" s="304" cm="1">
        <f t="array" ref="BS16">IF(AND(BS$2&lt;&gt;0,TblTech[[#This Row],[Hour]:[Hour]]&gt;=BS$2),1,0)</f>
        <v>0</v>
      </c>
      <c r="BT16" s="304" cm="1">
        <f t="array" ref="BT16">IF(AND(BT$2&lt;&gt;0,TblTech[[#This Row],[Hour]:[Hour]]&gt;=BT$2),1,0)</f>
        <v>0</v>
      </c>
      <c r="BU16" s="304" cm="1">
        <f t="array" ref="BU16">IF(AND(BU$2&lt;&gt;0,TblTech[[#This Row],[Hour]:[Hour]]&gt;=BU$2),1,0)</f>
        <v>0</v>
      </c>
      <c r="BV16" s="304" cm="1">
        <f t="array" ref="BV16">IF(AND(BV$2&lt;&gt;0,TblTech[[#This Row],[Hour]:[Hour]]&gt;=BV$2),1,0)</f>
        <v>0</v>
      </c>
      <c r="BW16" s="304" cm="1">
        <f t="array" ref="BW16">IF(AND(BW$2&lt;&gt;0,TblTech[[#This Row],[Hour]:[Hour]]&gt;=BW$2),1,0)</f>
        <v>0</v>
      </c>
      <c r="BX16" s="304" cm="1">
        <f t="array" ref="BX16">IF(AND(BX$2&lt;&gt;0,TblTech[[#This Row],[Hour]:[Hour]]&gt;=BX$2),1,0)</f>
        <v>0</v>
      </c>
      <c r="BY16" s="304" cm="1">
        <f t="array" ref="BY16">IF(AND(BY$2&lt;&gt;0,TblTech[[#This Row],[Hour]:[Hour]]&gt;=BY$2),1,0)</f>
        <v>0</v>
      </c>
      <c r="BZ16" s="304" cm="1">
        <f t="array" ref="BZ16">IF(AND(BZ$2&lt;&gt;0,TblTech[[#This Row],[Hour]:[Hour]]&gt;=BZ$2),1,0)</f>
        <v>0</v>
      </c>
      <c r="CA16" s="408">
        <f>IFERROR(INDEX($H$4:$H$79,MATCH(INDEX(TblTech[[#Headers],[1-1]:[11-1]],1,MATCH(TblTech[[#This Row],[Hour]],$M$2:$BZ$2,0)),$G$4:$G$79,0)),)</f>
        <v>0</v>
      </c>
    </row>
    <row r="17" spans="1:79" x14ac:dyDescent="0.2">
      <c r="A17" s="296">
        <f>TblRezone[[#This Row],[Hour]]</f>
        <v>14</v>
      </c>
      <c r="B17" s="297">
        <f ca="1">TblExplore[[#This Row],[Land-DB]]</f>
        <v>250</v>
      </c>
      <c r="C17" s="298">
        <f ca="1">TblProd[[#This Row],[Techpoints]]</f>
        <v>0</v>
      </c>
      <c r="D17" s="298">
        <f ca="1">TblProd[[#This Row],[Required]]</f>
        <v>3750</v>
      </c>
      <c r="E17" s="299"/>
      <c r="F17" s="300"/>
      <c r="G17" s="301" t="s">
        <v>564</v>
      </c>
      <c r="H17" s="302" t="s">
        <v>706</v>
      </c>
      <c r="I17" s="301" t="s">
        <v>767</v>
      </c>
      <c r="J17" s="297"/>
      <c r="K17" s="96">
        <f ca="1">IF(TblTech[[#This Row],[Sum of tech]]&lt;&gt;OFFSET(TblTech[[#This Row],[Sum of tech]],-1,0),1,0)</f>
        <v>0</v>
      </c>
      <c r="L17" s="303">
        <f>COUNTIF(TblTech[[#This Row],[1-1]:[11-1]],1)</f>
        <v>0</v>
      </c>
      <c r="M17" s="304" cm="1">
        <f t="array" ref="M17">IF(AND(M$2&lt;&gt;0,TblTech[[#This Row],[Hour]:[Hour]]&gt;=M$2),1,0)</f>
        <v>0</v>
      </c>
      <c r="N17" s="304" cm="1">
        <f t="array" ref="N17">IF(AND(N$2&lt;&gt;0,TblTech[[#This Row],[Hour]:[Hour]]&gt;=N$2),1,0)</f>
        <v>0</v>
      </c>
      <c r="O17" s="304" cm="1">
        <f t="array" ref="O17">IF(AND(O$2&lt;&gt;0,TblTech[[#This Row],[Hour]:[Hour]]&gt;=O$2),1,0)</f>
        <v>0</v>
      </c>
      <c r="P17" s="304" cm="1">
        <f t="array" ref="P17">IF(AND(P$2&lt;&gt;0,TblTech[[#This Row],[Hour]:[Hour]]&gt;=P$2),1,0)</f>
        <v>0</v>
      </c>
      <c r="Q17" s="304" cm="1">
        <f t="array" ref="Q17">IF(AND(Q$2&lt;&gt;0,TblTech[[#This Row],[Hour]:[Hour]]&gt;=Q$2),1,0)</f>
        <v>0</v>
      </c>
      <c r="R17" s="304" cm="1">
        <f t="array" ref="R17">IF(AND(R$2&lt;&gt;0,TblTech[[#This Row],[Hour]:[Hour]]&gt;=R$2),1,0)</f>
        <v>0</v>
      </c>
      <c r="S17" s="304" cm="1">
        <f t="array" ref="S17">IF(AND(S$2&lt;&gt;0,TblTech[[#This Row],[Hour]:[Hour]]&gt;=S$2),1,0)</f>
        <v>0</v>
      </c>
      <c r="T17" s="304" cm="1">
        <f t="array" ref="T17">IF(AND(T$2&lt;&gt;0,TblTech[[#This Row],[Hour]:[Hour]]&gt;=T$2),1,0)</f>
        <v>0</v>
      </c>
      <c r="U17" s="304" cm="1">
        <f t="array" ref="U17">IF(AND(U$2&lt;&gt;0,TblTech[[#This Row],[Hour]:[Hour]]&gt;=U$2),1,0)</f>
        <v>0</v>
      </c>
      <c r="V17" s="304" cm="1">
        <f t="array" ref="V17">IF(AND(V$2&lt;&gt;0,TblTech[[#This Row],[Hour]:[Hour]]&gt;=V$2),1,0)</f>
        <v>0</v>
      </c>
      <c r="W17" s="304" cm="1">
        <f t="array" ref="W17">IF(AND(W$2&lt;&gt;0,TblTech[[#This Row],[Hour]:[Hour]]&gt;=W$2),1,0)</f>
        <v>0</v>
      </c>
      <c r="X17" s="304" cm="1">
        <f t="array" ref="X17">IF(AND(X$2&lt;&gt;0,TblTech[[#This Row],[Hour]:[Hour]]&gt;=X$2),1,0)</f>
        <v>0</v>
      </c>
      <c r="Y17" s="304" cm="1">
        <f t="array" ref="Y17">IF(AND(Y$2&lt;&gt;0,TblTech[[#This Row],[Hour]:[Hour]]&gt;=Y$2),1,0)</f>
        <v>0</v>
      </c>
      <c r="Z17" s="304" cm="1">
        <f t="array" ref="Z17">IF(AND(Z$2&lt;&gt;0,TblTech[[#This Row],[Hour]:[Hour]]&gt;=Z$2),1,0)</f>
        <v>0</v>
      </c>
      <c r="AA17" s="304" cm="1">
        <f t="array" ref="AA17">IF(AND(AA$2&lt;&gt;0,TblTech[[#This Row],[Hour]:[Hour]]&gt;=AA$2),1,0)</f>
        <v>0</v>
      </c>
      <c r="AB17" s="304" cm="1">
        <f t="array" ref="AB17">IF(AND(AB$2&lt;&gt;0,TblTech[[#This Row],[Hour]:[Hour]]&gt;=AB$2),1,0)</f>
        <v>0</v>
      </c>
      <c r="AC17" s="304" cm="1">
        <f t="array" ref="AC17">IF(AND(AC$2&lt;&gt;0,TblTech[[#This Row],[Hour]:[Hour]]&gt;=AC$2),1,0)</f>
        <v>0</v>
      </c>
      <c r="AD17" s="304" cm="1">
        <f t="array" ref="AD17">IF(AND(AD$2&lt;&gt;0,TblTech[[#This Row],[Hour]:[Hour]]&gt;=AD$2),1,0)</f>
        <v>0</v>
      </c>
      <c r="AE17" s="304" cm="1">
        <f t="array" ref="AE17">IF(AND(AE$2&lt;&gt;0,TblTech[[#This Row],[Hour]:[Hour]]&gt;=AE$2),1,0)</f>
        <v>0</v>
      </c>
      <c r="AF17" s="304" cm="1">
        <f t="array" ref="AF17">IF(AND(AF$2&lt;&gt;0,TblTech[[#This Row],[Hour]:[Hour]]&gt;=AF$2),1,0)</f>
        <v>0</v>
      </c>
      <c r="AG17" s="304" cm="1">
        <f t="array" ref="AG17">IF(AND(AG$2&lt;&gt;0,TblTech[[#This Row],[Hour]:[Hour]]&gt;=AG$2),1,0)</f>
        <v>0</v>
      </c>
      <c r="AH17" s="304" cm="1">
        <f t="array" ref="AH17">IF(AND(AH$2&lt;&gt;0,TblTech[[#This Row],[Hour]:[Hour]]&gt;=AH$2),1,0)</f>
        <v>0</v>
      </c>
      <c r="AI17" s="304" cm="1">
        <f t="array" ref="AI17">IF(AND(AI$2&lt;&gt;0,TblTech[[#This Row],[Hour]:[Hour]]&gt;=AI$2),1,0)</f>
        <v>0</v>
      </c>
      <c r="AJ17" s="304" cm="1">
        <f t="array" ref="AJ17">IF(AND(AJ$2&lt;&gt;0,TblTech[[#This Row],[Hour]:[Hour]]&gt;=AJ$2),1,0)</f>
        <v>0</v>
      </c>
      <c r="AK17" s="304" cm="1">
        <f t="array" ref="AK17">IF(AND(AK$2&lt;&gt;0,TblTech[[#This Row],[Hour]:[Hour]]&gt;=AK$2),1,0)</f>
        <v>0</v>
      </c>
      <c r="AL17" s="304" cm="1">
        <f t="array" ref="AL17">IF(AND(AL$2&lt;&gt;0,TblTech[[#This Row],[Hour]:[Hour]]&gt;=AL$2),1,0)</f>
        <v>0</v>
      </c>
      <c r="AM17" s="304" cm="1">
        <f t="array" ref="AM17">IF(AND(AM$2&lt;&gt;0,TblTech[[#This Row],[Hour]:[Hour]]&gt;=AM$2),1,0)</f>
        <v>0</v>
      </c>
      <c r="AN17" s="304" cm="1">
        <f t="array" ref="AN17">IF(AND(AN$2&lt;&gt;0,TblTech[[#This Row],[Hour]:[Hour]]&gt;=AN$2),1,0)</f>
        <v>0</v>
      </c>
      <c r="AO17" s="304" cm="1">
        <f t="array" ref="AO17">IF(AND(AO$2&lt;&gt;0,TblTech[[#This Row],[Hour]:[Hour]]&gt;=AO$2),1,0)</f>
        <v>0</v>
      </c>
      <c r="AP17" s="304" cm="1">
        <f t="array" ref="AP17">IF(AND(AP$2&lt;&gt;0,TblTech[[#This Row],[Hour]:[Hour]]&gt;=AP$2),1,0)</f>
        <v>0</v>
      </c>
      <c r="AQ17" s="304" cm="1">
        <f t="array" ref="AQ17">IF(AND(AQ$2&lt;&gt;0,TblTech[[#This Row],[Hour]:[Hour]]&gt;=AQ$2),1,0)</f>
        <v>0</v>
      </c>
      <c r="AR17" s="304" cm="1">
        <f t="array" ref="AR17">IF(AND(AR$2&lt;&gt;0,TblTech[[#This Row],[Hour]:[Hour]]&gt;=AR$2),1,0)</f>
        <v>0</v>
      </c>
      <c r="AS17" s="304" cm="1">
        <f t="array" ref="AS17">IF(AND(AS$2&lt;&gt;0,TblTech[[#This Row],[Hour]:[Hour]]&gt;=AS$2),1,0)</f>
        <v>0</v>
      </c>
      <c r="AT17" s="304" cm="1">
        <f t="array" ref="AT17">IF(AND(AT$2&lt;&gt;0,TblTech[[#This Row],[Hour]:[Hour]]&gt;=AT$2),1,0)</f>
        <v>0</v>
      </c>
      <c r="AU17" s="304" cm="1">
        <f t="array" ref="AU17">IF(AND(AU$2&lt;&gt;0,TblTech[[#This Row],[Hour]:[Hour]]&gt;=AU$2),1,0)</f>
        <v>0</v>
      </c>
      <c r="AV17" s="304" cm="1">
        <f t="array" ref="AV17">IF(AND(AV$2&lt;&gt;0,TblTech[[#This Row],[Hour]:[Hour]]&gt;=AV$2),1,0)</f>
        <v>0</v>
      </c>
      <c r="AW17" s="304" cm="1">
        <f t="array" ref="AW17">IF(AND(AW$2&lt;&gt;0,TblTech[[#This Row],[Hour]:[Hour]]&gt;=AW$2),1,0)</f>
        <v>0</v>
      </c>
      <c r="AX17" s="304" cm="1">
        <f t="array" ref="AX17">IF(AND(AX$2&lt;&gt;0,TblTech[[#This Row],[Hour]:[Hour]]&gt;=AX$2),1,0)</f>
        <v>0</v>
      </c>
      <c r="AY17" s="304" cm="1">
        <f t="array" ref="AY17">IF(AND(AY$2&lt;&gt;0,TblTech[[#This Row],[Hour]:[Hour]]&gt;=AY$2),1,0)</f>
        <v>0</v>
      </c>
      <c r="AZ17" s="304" cm="1">
        <f t="array" ref="AZ17">IF(AND(AZ$2&lt;&gt;0,TblTech[[#This Row],[Hour]:[Hour]]&gt;=AZ$2),1,0)</f>
        <v>0</v>
      </c>
      <c r="BA17" s="304" cm="1">
        <f t="array" ref="BA17">IF(AND(BA$2&lt;&gt;0,TblTech[[#This Row],[Hour]:[Hour]]&gt;=BA$2),1,0)</f>
        <v>0</v>
      </c>
      <c r="BB17" s="304" cm="1">
        <f t="array" ref="BB17">IF(AND(BB$2&lt;&gt;0,TblTech[[#This Row],[Hour]:[Hour]]&gt;=BB$2),1,0)</f>
        <v>0</v>
      </c>
      <c r="BC17" s="304" cm="1">
        <f t="array" ref="BC17">IF(AND(BC$2&lt;&gt;0,TblTech[[#This Row],[Hour]:[Hour]]&gt;=BC$2),1,0)</f>
        <v>0</v>
      </c>
      <c r="BD17" s="304" cm="1">
        <f t="array" ref="BD17">IF(AND(BD$2&lt;&gt;0,TblTech[[#This Row],[Hour]:[Hour]]&gt;=BD$2),1,0)</f>
        <v>0</v>
      </c>
      <c r="BE17" s="304" cm="1">
        <f t="array" ref="BE17">IF(AND(BE$2&lt;&gt;0,TblTech[[#This Row],[Hour]:[Hour]]&gt;=BE$2),1,0)</f>
        <v>0</v>
      </c>
      <c r="BF17" s="304" cm="1">
        <f t="array" ref="BF17">IF(AND(BF$2&lt;&gt;0,TblTech[[#This Row],[Hour]:[Hour]]&gt;=BF$2),1,0)</f>
        <v>0</v>
      </c>
      <c r="BG17" s="304" cm="1">
        <f t="array" ref="BG17">IF(AND(BG$2&lt;&gt;0,TblTech[[#This Row],[Hour]:[Hour]]&gt;=BG$2),1,0)</f>
        <v>0</v>
      </c>
      <c r="BH17" s="304" cm="1">
        <f t="array" ref="BH17">IF(AND(BH$2&lt;&gt;0,TblTech[[#This Row],[Hour]:[Hour]]&gt;=BH$2),1,0)</f>
        <v>0</v>
      </c>
      <c r="BI17" s="304" cm="1">
        <f t="array" ref="BI17">IF(AND(BI$2&lt;&gt;0,TblTech[[#This Row],[Hour]:[Hour]]&gt;=BI$2),1,0)</f>
        <v>0</v>
      </c>
      <c r="BJ17" s="304" cm="1">
        <f t="array" ref="BJ17">IF(AND(BJ$2&lt;&gt;0,TblTech[[#This Row],[Hour]:[Hour]]&gt;=BJ$2),1,0)</f>
        <v>0</v>
      </c>
      <c r="BK17" s="304" cm="1">
        <f t="array" ref="BK17">IF(AND(BK$2&lt;&gt;0,TblTech[[#This Row],[Hour]:[Hour]]&gt;=BK$2),1,0)</f>
        <v>0</v>
      </c>
      <c r="BL17" s="304" cm="1">
        <f t="array" ref="BL17">IF(AND(BL$2&lt;&gt;0,TblTech[[#This Row],[Hour]:[Hour]]&gt;=BL$2),1,0)</f>
        <v>0</v>
      </c>
      <c r="BM17" s="304" cm="1">
        <f t="array" ref="BM17">IF(AND(BM$2&lt;&gt;0,TblTech[[#This Row],[Hour]:[Hour]]&gt;=BM$2),1,0)</f>
        <v>0</v>
      </c>
      <c r="BN17" s="304" cm="1">
        <f t="array" ref="BN17">IF(AND(BN$2&lt;&gt;0,TblTech[[#This Row],[Hour]:[Hour]]&gt;=BN$2),1,0)</f>
        <v>0</v>
      </c>
      <c r="BO17" s="304" cm="1">
        <f t="array" ref="BO17">IF(AND(BO$2&lt;&gt;0,TblTech[[#This Row],[Hour]:[Hour]]&gt;=BO$2),1,0)</f>
        <v>0</v>
      </c>
      <c r="BP17" s="304" cm="1">
        <f t="array" ref="BP17">IF(AND(BP$2&lt;&gt;0,TblTech[[#This Row],[Hour]:[Hour]]&gt;=BP$2),1,0)</f>
        <v>0</v>
      </c>
      <c r="BQ17" s="304" cm="1">
        <f t="array" ref="BQ17">IF(AND(BQ$2&lt;&gt;0,TblTech[[#This Row],[Hour]:[Hour]]&gt;=BQ$2),1,0)</f>
        <v>0</v>
      </c>
      <c r="BR17" s="304" cm="1">
        <f t="array" ref="BR17">IF(AND(BR$2&lt;&gt;0,TblTech[[#This Row],[Hour]:[Hour]]&gt;=BR$2),1,0)</f>
        <v>0</v>
      </c>
      <c r="BS17" s="304" cm="1">
        <f t="array" ref="BS17">IF(AND(BS$2&lt;&gt;0,TblTech[[#This Row],[Hour]:[Hour]]&gt;=BS$2),1,0)</f>
        <v>0</v>
      </c>
      <c r="BT17" s="304" cm="1">
        <f t="array" ref="BT17">IF(AND(BT$2&lt;&gt;0,TblTech[[#This Row],[Hour]:[Hour]]&gt;=BT$2),1,0)</f>
        <v>0</v>
      </c>
      <c r="BU17" s="304" cm="1">
        <f t="array" ref="BU17">IF(AND(BU$2&lt;&gt;0,TblTech[[#This Row],[Hour]:[Hour]]&gt;=BU$2),1,0)</f>
        <v>0</v>
      </c>
      <c r="BV17" s="304" cm="1">
        <f t="array" ref="BV17">IF(AND(BV$2&lt;&gt;0,TblTech[[#This Row],[Hour]:[Hour]]&gt;=BV$2),1,0)</f>
        <v>0</v>
      </c>
      <c r="BW17" s="304" cm="1">
        <f t="array" ref="BW17">IF(AND(BW$2&lt;&gt;0,TblTech[[#This Row],[Hour]:[Hour]]&gt;=BW$2),1,0)</f>
        <v>0</v>
      </c>
      <c r="BX17" s="304" cm="1">
        <f t="array" ref="BX17">IF(AND(BX$2&lt;&gt;0,TblTech[[#This Row],[Hour]:[Hour]]&gt;=BX$2),1,0)</f>
        <v>0</v>
      </c>
      <c r="BY17" s="304" cm="1">
        <f t="array" ref="BY17">IF(AND(BY$2&lt;&gt;0,TblTech[[#This Row],[Hour]:[Hour]]&gt;=BY$2),1,0)</f>
        <v>0</v>
      </c>
      <c r="BZ17" s="304" cm="1">
        <f t="array" ref="BZ17">IF(AND(BZ$2&lt;&gt;0,TblTech[[#This Row],[Hour]:[Hour]]&gt;=BZ$2),1,0)</f>
        <v>0</v>
      </c>
      <c r="CA17" s="408">
        <f>IFERROR(INDEX($H$4:$H$79,MATCH(INDEX(TblTech[[#Headers],[1-1]:[11-1]],1,MATCH(TblTech[[#This Row],[Hour]],$M$2:$BZ$2,0)),$G$4:$G$79,0)),)</f>
        <v>0</v>
      </c>
    </row>
    <row r="18" spans="1:79" x14ac:dyDescent="0.2">
      <c r="A18" s="296">
        <f>TblRezone[[#This Row],[Hour]]</f>
        <v>15</v>
      </c>
      <c r="B18" s="297">
        <f ca="1">TblExplore[[#This Row],[Land-DB]]</f>
        <v>250</v>
      </c>
      <c r="C18" s="298">
        <f ca="1">TblProd[[#This Row],[Techpoints]]</f>
        <v>0</v>
      </c>
      <c r="D18" s="298">
        <f ca="1">TblProd[[#This Row],[Required]]</f>
        <v>3750</v>
      </c>
      <c r="E18" s="299"/>
      <c r="F18" s="300"/>
      <c r="G18" s="301" t="s">
        <v>565</v>
      </c>
      <c r="H18" s="302" t="s">
        <v>707</v>
      </c>
      <c r="I18" s="301" t="s">
        <v>566</v>
      </c>
      <c r="J18" s="297"/>
      <c r="K18" s="96">
        <f ca="1">IF(TblTech[[#This Row],[Sum of tech]]&lt;&gt;OFFSET(TblTech[[#This Row],[Sum of tech]],-1,0),1,0)</f>
        <v>0</v>
      </c>
      <c r="L18" s="303">
        <f>COUNTIF(TblTech[[#This Row],[1-1]:[11-1]],1)</f>
        <v>0</v>
      </c>
      <c r="M18" s="304" cm="1">
        <f t="array" ref="M18">IF(AND(M$2&lt;&gt;0,TblTech[[#This Row],[Hour]:[Hour]]&gt;=M$2),1,0)</f>
        <v>0</v>
      </c>
      <c r="N18" s="304" cm="1">
        <f t="array" ref="N18">IF(AND(N$2&lt;&gt;0,TblTech[[#This Row],[Hour]:[Hour]]&gt;=N$2),1,0)</f>
        <v>0</v>
      </c>
      <c r="O18" s="304" cm="1">
        <f t="array" ref="O18">IF(AND(O$2&lt;&gt;0,TblTech[[#This Row],[Hour]:[Hour]]&gt;=O$2),1,0)</f>
        <v>0</v>
      </c>
      <c r="P18" s="304" cm="1">
        <f t="array" ref="P18">IF(AND(P$2&lt;&gt;0,TblTech[[#This Row],[Hour]:[Hour]]&gt;=P$2),1,0)</f>
        <v>0</v>
      </c>
      <c r="Q18" s="304" cm="1">
        <f t="array" ref="Q18">IF(AND(Q$2&lt;&gt;0,TblTech[[#This Row],[Hour]:[Hour]]&gt;=Q$2),1,0)</f>
        <v>0</v>
      </c>
      <c r="R18" s="304" cm="1">
        <f t="array" ref="R18">IF(AND(R$2&lt;&gt;0,TblTech[[#This Row],[Hour]:[Hour]]&gt;=R$2),1,0)</f>
        <v>0</v>
      </c>
      <c r="S18" s="304" cm="1">
        <f t="array" ref="S18">IF(AND(S$2&lt;&gt;0,TblTech[[#This Row],[Hour]:[Hour]]&gt;=S$2),1,0)</f>
        <v>0</v>
      </c>
      <c r="T18" s="304" cm="1">
        <f t="array" ref="T18">IF(AND(T$2&lt;&gt;0,TblTech[[#This Row],[Hour]:[Hour]]&gt;=T$2),1,0)</f>
        <v>0</v>
      </c>
      <c r="U18" s="304" cm="1">
        <f t="array" ref="U18">IF(AND(U$2&lt;&gt;0,TblTech[[#This Row],[Hour]:[Hour]]&gt;=U$2),1,0)</f>
        <v>0</v>
      </c>
      <c r="V18" s="304" cm="1">
        <f t="array" ref="V18">IF(AND(V$2&lt;&gt;0,TblTech[[#This Row],[Hour]:[Hour]]&gt;=V$2),1,0)</f>
        <v>0</v>
      </c>
      <c r="W18" s="304" cm="1">
        <f t="array" ref="W18">IF(AND(W$2&lt;&gt;0,TblTech[[#This Row],[Hour]:[Hour]]&gt;=W$2),1,0)</f>
        <v>0</v>
      </c>
      <c r="X18" s="304" cm="1">
        <f t="array" ref="X18">IF(AND(X$2&lt;&gt;0,TblTech[[#This Row],[Hour]:[Hour]]&gt;=X$2),1,0)</f>
        <v>0</v>
      </c>
      <c r="Y18" s="304" cm="1">
        <f t="array" ref="Y18">IF(AND(Y$2&lt;&gt;0,TblTech[[#This Row],[Hour]:[Hour]]&gt;=Y$2),1,0)</f>
        <v>0</v>
      </c>
      <c r="Z18" s="304" cm="1">
        <f t="array" ref="Z18">IF(AND(Z$2&lt;&gt;0,TblTech[[#This Row],[Hour]:[Hour]]&gt;=Z$2),1,0)</f>
        <v>0</v>
      </c>
      <c r="AA18" s="304" cm="1">
        <f t="array" ref="AA18">IF(AND(AA$2&lt;&gt;0,TblTech[[#This Row],[Hour]:[Hour]]&gt;=AA$2),1,0)</f>
        <v>0</v>
      </c>
      <c r="AB18" s="304" cm="1">
        <f t="array" ref="AB18">IF(AND(AB$2&lt;&gt;0,TblTech[[#This Row],[Hour]:[Hour]]&gt;=AB$2),1,0)</f>
        <v>0</v>
      </c>
      <c r="AC18" s="304" cm="1">
        <f t="array" ref="AC18">IF(AND(AC$2&lt;&gt;0,TblTech[[#This Row],[Hour]:[Hour]]&gt;=AC$2),1,0)</f>
        <v>0</v>
      </c>
      <c r="AD18" s="304" cm="1">
        <f t="array" ref="AD18">IF(AND(AD$2&lt;&gt;0,TblTech[[#This Row],[Hour]:[Hour]]&gt;=AD$2),1,0)</f>
        <v>0</v>
      </c>
      <c r="AE18" s="304" cm="1">
        <f t="array" ref="AE18">IF(AND(AE$2&lt;&gt;0,TblTech[[#This Row],[Hour]:[Hour]]&gt;=AE$2),1,0)</f>
        <v>0</v>
      </c>
      <c r="AF18" s="304" cm="1">
        <f t="array" ref="AF18">IF(AND(AF$2&lt;&gt;0,TblTech[[#This Row],[Hour]:[Hour]]&gt;=AF$2),1,0)</f>
        <v>0</v>
      </c>
      <c r="AG18" s="304" cm="1">
        <f t="array" ref="AG18">IF(AND(AG$2&lt;&gt;0,TblTech[[#This Row],[Hour]:[Hour]]&gt;=AG$2),1,0)</f>
        <v>0</v>
      </c>
      <c r="AH18" s="304" cm="1">
        <f t="array" ref="AH18">IF(AND(AH$2&lt;&gt;0,TblTech[[#This Row],[Hour]:[Hour]]&gt;=AH$2),1,0)</f>
        <v>0</v>
      </c>
      <c r="AI18" s="304" cm="1">
        <f t="array" ref="AI18">IF(AND(AI$2&lt;&gt;0,TblTech[[#This Row],[Hour]:[Hour]]&gt;=AI$2),1,0)</f>
        <v>0</v>
      </c>
      <c r="AJ18" s="304" cm="1">
        <f t="array" ref="AJ18">IF(AND(AJ$2&lt;&gt;0,TblTech[[#This Row],[Hour]:[Hour]]&gt;=AJ$2),1,0)</f>
        <v>0</v>
      </c>
      <c r="AK18" s="304" cm="1">
        <f t="array" ref="AK18">IF(AND(AK$2&lt;&gt;0,TblTech[[#This Row],[Hour]:[Hour]]&gt;=AK$2),1,0)</f>
        <v>0</v>
      </c>
      <c r="AL18" s="304" cm="1">
        <f t="array" ref="AL18">IF(AND(AL$2&lt;&gt;0,TblTech[[#This Row],[Hour]:[Hour]]&gt;=AL$2),1,0)</f>
        <v>0</v>
      </c>
      <c r="AM18" s="304" cm="1">
        <f t="array" ref="AM18">IF(AND(AM$2&lt;&gt;0,TblTech[[#This Row],[Hour]:[Hour]]&gt;=AM$2),1,0)</f>
        <v>0</v>
      </c>
      <c r="AN18" s="304" cm="1">
        <f t="array" ref="AN18">IF(AND(AN$2&lt;&gt;0,TblTech[[#This Row],[Hour]:[Hour]]&gt;=AN$2),1,0)</f>
        <v>0</v>
      </c>
      <c r="AO18" s="304" cm="1">
        <f t="array" ref="AO18">IF(AND(AO$2&lt;&gt;0,TblTech[[#This Row],[Hour]:[Hour]]&gt;=AO$2),1,0)</f>
        <v>0</v>
      </c>
      <c r="AP18" s="304" cm="1">
        <f t="array" ref="AP18">IF(AND(AP$2&lt;&gt;0,TblTech[[#This Row],[Hour]:[Hour]]&gt;=AP$2),1,0)</f>
        <v>0</v>
      </c>
      <c r="AQ18" s="304" cm="1">
        <f t="array" ref="AQ18">IF(AND(AQ$2&lt;&gt;0,TblTech[[#This Row],[Hour]:[Hour]]&gt;=AQ$2),1,0)</f>
        <v>0</v>
      </c>
      <c r="AR18" s="304" cm="1">
        <f t="array" ref="AR18">IF(AND(AR$2&lt;&gt;0,TblTech[[#This Row],[Hour]:[Hour]]&gt;=AR$2),1,0)</f>
        <v>0</v>
      </c>
      <c r="AS18" s="304" cm="1">
        <f t="array" ref="AS18">IF(AND(AS$2&lt;&gt;0,TblTech[[#This Row],[Hour]:[Hour]]&gt;=AS$2),1,0)</f>
        <v>0</v>
      </c>
      <c r="AT18" s="304" cm="1">
        <f t="array" ref="AT18">IF(AND(AT$2&lt;&gt;0,TblTech[[#This Row],[Hour]:[Hour]]&gt;=AT$2),1,0)</f>
        <v>0</v>
      </c>
      <c r="AU18" s="304" cm="1">
        <f t="array" ref="AU18">IF(AND(AU$2&lt;&gt;0,TblTech[[#This Row],[Hour]:[Hour]]&gt;=AU$2),1,0)</f>
        <v>0</v>
      </c>
      <c r="AV18" s="304" cm="1">
        <f t="array" ref="AV18">IF(AND(AV$2&lt;&gt;0,TblTech[[#This Row],[Hour]:[Hour]]&gt;=AV$2),1,0)</f>
        <v>0</v>
      </c>
      <c r="AW18" s="304" cm="1">
        <f t="array" ref="AW18">IF(AND(AW$2&lt;&gt;0,TblTech[[#This Row],[Hour]:[Hour]]&gt;=AW$2),1,0)</f>
        <v>0</v>
      </c>
      <c r="AX18" s="304" cm="1">
        <f t="array" ref="AX18">IF(AND(AX$2&lt;&gt;0,TblTech[[#This Row],[Hour]:[Hour]]&gt;=AX$2),1,0)</f>
        <v>0</v>
      </c>
      <c r="AY18" s="304" cm="1">
        <f t="array" ref="AY18">IF(AND(AY$2&lt;&gt;0,TblTech[[#This Row],[Hour]:[Hour]]&gt;=AY$2),1,0)</f>
        <v>0</v>
      </c>
      <c r="AZ18" s="304" cm="1">
        <f t="array" ref="AZ18">IF(AND(AZ$2&lt;&gt;0,TblTech[[#This Row],[Hour]:[Hour]]&gt;=AZ$2),1,0)</f>
        <v>0</v>
      </c>
      <c r="BA18" s="304" cm="1">
        <f t="array" ref="BA18">IF(AND(BA$2&lt;&gt;0,TblTech[[#This Row],[Hour]:[Hour]]&gt;=BA$2),1,0)</f>
        <v>0</v>
      </c>
      <c r="BB18" s="304" cm="1">
        <f t="array" ref="BB18">IF(AND(BB$2&lt;&gt;0,TblTech[[#This Row],[Hour]:[Hour]]&gt;=BB$2),1,0)</f>
        <v>0</v>
      </c>
      <c r="BC18" s="304" cm="1">
        <f t="array" ref="BC18">IF(AND(BC$2&lt;&gt;0,TblTech[[#This Row],[Hour]:[Hour]]&gt;=BC$2),1,0)</f>
        <v>0</v>
      </c>
      <c r="BD18" s="304" cm="1">
        <f t="array" ref="BD18">IF(AND(BD$2&lt;&gt;0,TblTech[[#This Row],[Hour]:[Hour]]&gt;=BD$2),1,0)</f>
        <v>0</v>
      </c>
      <c r="BE18" s="304" cm="1">
        <f t="array" ref="BE18">IF(AND(BE$2&lt;&gt;0,TblTech[[#This Row],[Hour]:[Hour]]&gt;=BE$2),1,0)</f>
        <v>0</v>
      </c>
      <c r="BF18" s="304" cm="1">
        <f t="array" ref="BF18">IF(AND(BF$2&lt;&gt;0,TblTech[[#This Row],[Hour]:[Hour]]&gt;=BF$2),1,0)</f>
        <v>0</v>
      </c>
      <c r="BG18" s="304" cm="1">
        <f t="array" ref="BG18">IF(AND(BG$2&lt;&gt;0,TblTech[[#This Row],[Hour]:[Hour]]&gt;=BG$2),1,0)</f>
        <v>0</v>
      </c>
      <c r="BH18" s="304" cm="1">
        <f t="array" ref="BH18">IF(AND(BH$2&lt;&gt;0,TblTech[[#This Row],[Hour]:[Hour]]&gt;=BH$2),1,0)</f>
        <v>0</v>
      </c>
      <c r="BI18" s="304" cm="1">
        <f t="array" ref="BI18">IF(AND(BI$2&lt;&gt;0,TblTech[[#This Row],[Hour]:[Hour]]&gt;=BI$2),1,0)</f>
        <v>0</v>
      </c>
      <c r="BJ18" s="304" cm="1">
        <f t="array" ref="BJ18">IF(AND(BJ$2&lt;&gt;0,TblTech[[#This Row],[Hour]:[Hour]]&gt;=BJ$2),1,0)</f>
        <v>0</v>
      </c>
      <c r="BK18" s="304" cm="1">
        <f t="array" ref="BK18">IF(AND(BK$2&lt;&gt;0,TblTech[[#This Row],[Hour]:[Hour]]&gt;=BK$2),1,0)</f>
        <v>0</v>
      </c>
      <c r="BL18" s="304" cm="1">
        <f t="array" ref="BL18">IF(AND(BL$2&lt;&gt;0,TblTech[[#This Row],[Hour]:[Hour]]&gt;=BL$2),1,0)</f>
        <v>0</v>
      </c>
      <c r="BM18" s="304" cm="1">
        <f t="array" ref="BM18">IF(AND(BM$2&lt;&gt;0,TblTech[[#This Row],[Hour]:[Hour]]&gt;=BM$2),1,0)</f>
        <v>0</v>
      </c>
      <c r="BN18" s="304" cm="1">
        <f t="array" ref="BN18">IF(AND(BN$2&lt;&gt;0,TblTech[[#This Row],[Hour]:[Hour]]&gt;=BN$2),1,0)</f>
        <v>0</v>
      </c>
      <c r="BO18" s="304" cm="1">
        <f t="array" ref="BO18">IF(AND(BO$2&lt;&gt;0,TblTech[[#This Row],[Hour]:[Hour]]&gt;=BO$2),1,0)</f>
        <v>0</v>
      </c>
      <c r="BP18" s="304" cm="1">
        <f t="array" ref="BP18">IF(AND(BP$2&lt;&gt;0,TblTech[[#This Row],[Hour]:[Hour]]&gt;=BP$2),1,0)</f>
        <v>0</v>
      </c>
      <c r="BQ18" s="304" cm="1">
        <f t="array" ref="BQ18">IF(AND(BQ$2&lt;&gt;0,TblTech[[#This Row],[Hour]:[Hour]]&gt;=BQ$2),1,0)</f>
        <v>0</v>
      </c>
      <c r="BR18" s="304" cm="1">
        <f t="array" ref="BR18">IF(AND(BR$2&lt;&gt;0,TblTech[[#This Row],[Hour]:[Hour]]&gt;=BR$2),1,0)</f>
        <v>0</v>
      </c>
      <c r="BS18" s="304" cm="1">
        <f t="array" ref="BS18">IF(AND(BS$2&lt;&gt;0,TblTech[[#This Row],[Hour]:[Hour]]&gt;=BS$2),1,0)</f>
        <v>0</v>
      </c>
      <c r="BT18" s="304" cm="1">
        <f t="array" ref="BT18">IF(AND(BT$2&lt;&gt;0,TblTech[[#This Row],[Hour]:[Hour]]&gt;=BT$2),1,0)</f>
        <v>0</v>
      </c>
      <c r="BU18" s="304" cm="1">
        <f t="array" ref="BU18">IF(AND(BU$2&lt;&gt;0,TblTech[[#This Row],[Hour]:[Hour]]&gt;=BU$2),1,0)</f>
        <v>0</v>
      </c>
      <c r="BV18" s="304" cm="1">
        <f t="array" ref="BV18">IF(AND(BV$2&lt;&gt;0,TblTech[[#This Row],[Hour]:[Hour]]&gt;=BV$2),1,0)</f>
        <v>0</v>
      </c>
      <c r="BW18" s="304" cm="1">
        <f t="array" ref="BW18">IF(AND(BW$2&lt;&gt;0,TblTech[[#This Row],[Hour]:[Hour]]&gt;=BW$2),1,0)</f>
        <v>0</v>
      </c>
      <c r="BX18" s="304" cm="1">
        <f t="array" ref="BX18">IF(AND(BX$2&lt;&gt;0,TblTech[[#This Row],[Hour]:[Hour]]&gt;=BX$2),1,0)</f>
        <v>0</v>
      </c>
      <c r="BY18" s="304" cm="1">
        <f t="array" ref="BY18">IF(AND(BY$2&lt;&gt;0,TblTech[[#This Row],[Hour]:[Hour]]&gt;=BY$2),1,0)</f>
        <v>0</v>
      </c>
      <c r="BZ18" s="304" cm="1">
        <f t="array" ref="BZ18">IF(AND(BZ$2&lt;&gt;0,TblTech[[#This Row],[Hour]:[Hour]]&gt;=BZ$2),1,0)</f>
        <v>0</v>
      </c>
      <c r="CA18" s="408">
        <f>IFERROR(INDEX($H$4:$H$79,MATCH(INDEX(TblTech[[#Headers],[1-1]:[11-1]],1,MATCH(TblTech[[#This Row],[Hour]],$M$2:$BZ$2,0)),$G$4:$G$79,0)),)</f>
        <v>0</v>
      </c>
    </row>
    <row r="19" spans="1:79" x14ac:dyDescent="0.2">
      <c r="A19" s="296">
        <f>TblRezone[[#This Row],[Hour]]</f>
        <v>16</v>
      </c>
      <c r="B19" s="297">
        <f ca="1">TblExplore[[#This Row],[Land-DB]]</f>
        <v>250</v>
      </c>
      <c r="C19" s="298">
        <f ca="1">TblProd[[#This Row],[Techpoints]]</f>
        <v>0</v>
      </c>
      <c r="D19" s="298">
        <f ca="1">TblProd[[#This Row],[Required]]</f>
        <v>3750</v>
      </c>
      <c r="E19" s="299"/>
      <c r="F19" s="300"/>
      <c r="G19" s="301" t="s">
        <v>567</v>
      </c>
      <c r="H19" s="302" t="s">
        <v>708</v>
      </c>
      <c r="I19" s="301" t="s">
        <v>568</v>
      </c>
      <c r="J19" s="297"/>
      <c r="K19" s="96">
        <f ca="1">IF(TblTech[[#This Row],[Sum of tech]]&lt;&gt;OFFSET(TblTech[[#This Row],[Sum of tech]],-1,0),1,0)</f>
        <v>0</v>
      </c>
      <c r="L19" s="303">
        <f>COUNTIF(TblTech[[#This Row],[1-1]:[11-1]],1)</f>
        <v>0</v>
      </c>
      <c r="M19" s="304" cm="1">
        <f t="array" ref="M19">IF(AND(M$2&lt;&gt;0,TblTech[[#This Row],[Hour]:[Hour]]&gt;=M$2),1,0)</f>
        <v>0</v>
      </c>
      <c r="N19" s="304" cm="1">
        <f t="array" ref="N19">IF(AND(N$2&lt;&gt;0,TblTech[[#This Row],[Hour]:[Hour]]&gt;=N$2),1,0)</f>
        <v>0</v>
      </c>
      <c r="O19" s="304" cm="1">
        <f t="array" ref="O19">IF(AND(O$2&lt;&gt;0,TblTech[[#This Row],[Hour]:[Hour]]&gt;=O$2),1,0)</f>
        <v>0</v>
      </c>
      <c r="P19" s="304" cm="1">
        <f t="array" ref="P19">IF(AND(P$2&lt;&gt;0,TblTech[[#This Row],[Hour]:[Hour]]&gt;=P$2),1,0)</f>
        <v>0</v>
      </c>
      <c r="Q19" s="304" cm="1">
        <f t="array" ref="Q19">IF(AND(Q$2&lt;&gt;0,TblTech[[#This Row],[Hour]:[Hour]]&gt;=Q$2),1,0)</f>
        <v>0</v>
      </c>
      <c r="R19" s="304" cm="1">
        <f t="array" ref="R19">IF(AND(R$2&lt;&gt;0,TblTech[[#This Row],[Hour]:[Hour]]&gt;=R$2),1,0)</f>
        <v>0</v>
      </c>
      <c r="S19" s="304" cm="1">
        <f t="array" ref="S19">IF(AND(S$2&lt;&gt;0,TblTech[[#This Row],[Hour]:[Hour]]&gt;=S$2),1,0)</f>
        <v>0</v>
      </c>
      <c r="T19" s="304" cm="1">
        <f t="array" ref="T19">IF(AND(T$2&lt;&gt;0,TblTech[[#This Row],[Hour]:[Hour]]&gt;=T$2),1,0)</f>
        <v>0</v>
      </c>
      <c r="U19" s="304" cm="1">
        <f t="array" ref="U19">IF(AND(U$2&lt;&gt;0,TblTech[[#This Row],[Hour]:[Hour]]&gt;=U$2),1,0)</f>
        <v>0</v>
      </c>
      <c r="V19" s="304" cm="1">
        <f t="array" ref="V19">IF(AND(V$2&lt;&gt;0,TblTech[[#This Row],[Hour]:[Hour]]&gt;=V$2),1,0)</f>
        <v>0</v>
      </c>
      <c r="W19" s="304" cm="1">
        <f t="array" ref="W19">IF(AND(W$2&lt;&gt;0,TblTech[[#This Row],[Hour]:[Hour]]&gt;=W$2),1,0)</f>
        <v>0</v>
      </c>
      <c r="X19" s="304" cm="1">
        <f t="array" ref="X19">IF(AND(X$2&lt;&gt;0,TblTech[[#This Row],[Hour]:[Hour]]&gt;=X$2),1,0)</f>
        <v>0</v>
      </c>
      <c r="Y19" s="304" cm="1">
        <f t="array" ref="Y19">IF(AND(Y$2&lt;&gt;0,TblTech[[#This Row],[Hour]:[Hour]]&gt;=Y$2),1,0)</f>
        <v>0</v>
      </c>
      <c r="Z19" s="304" cm="1">
        <f t="array" ref="Z19">IF(AND(Z$2&lt;&gt;0,TblTech[[#This Row],[Hour]:[Hour]]&gt;=Z$2),1,0)</f>
        <v>0</v>
      </c>
      <c r="AA19" s="304" cm="1">
        <f t="array" ref="AA19">IF(AND(AA$2&lt;&gt;0,TblTech[[#This Row],[Hour]:[Hour]]&gt;=AA$2),1,0)</f>
        <v>0</v>
      </c>
      <c r="AB19" s="304" cm="1">
        <f t="array" ref="AB19">IF(AND(AB$2&lt;&gt;0,TblTech[[#This Row],[Hour]:[Hour]]&gt;=AB$2),1,0)</f>
        <v>0</v>
      </c>
      <c r="AC19" s="304" cm="1">
        <f t="array" ref="AC19">IF(AND(AC$2&lt;&gt;0,TblTech[[#This Row],[Hour]:[Hour]]&gt;=AC$2),1,0)</f>
        <v>0</v>
      </c>
      <c r="AD19" s="304" cm="1">
        <f t="array" ref="AD19">IF(AND(AD$2&lt;&gt;0,TblTech[[#This Row],[Hour]:[Hour]]&gt;=AD$2),1,0)</f>
        <v>0</v>
      </c>
      <c r="AE19" s="304" cm="1">
        <f t="array" ref="AE19">IF(AND(AE$2&lt;&gt;0,TblTech[[#This Row],[Hour]:[Hour]]&gt;=AE$2),1,0)</f>
        <v>0</v>
      </c>
      <c r="AF19" s="304" cm="1">
        <f t="array" ref="AF19">IF(AND(AF$2&lt;&gt;0,TblTech[[#This Row],[Hour]:[Hour]]&gt;=AF$2),1,0)</f>
        <v>0</v>
      </c>
      <c r="AG19" s="304" cm="1">
        <f t="array" ref="AG19">IF(AND(AG$2&lt;&gt;0,TblTech[[#This Row],[Hour]:[Hour]]&gt;=AG$2),1,0)</f>
        <v>0</v>
      </c>
      <c r="AH19" s="304" cm="1">
        <f t="array" ref="AH19">IF(AND(AH$2&lt;&gt;0,TblTech[[#This Row],[Hour]:[Hour]]&gt;=AH$2),1,0)</f>
        <v>0</v>
      </c>
      <c r="AI19" s="304" cm="1">
        <f t="array" ref="AI19">IF(AND(AI$2&lt;&gt;0,TblTech[[#This Row],[Hour]:[Hour]]&gt;=AI$2),1,0)</f>
        <v>0</v>
      </c>
      <c r="AJ19" s="304" cm="1">
        <f t="array" ref="AJ19">IF(AND(AJ$2&lt;&gt;0,TblTech[[#This Row],[Hour]:[Hour]]&gt;=AJ$2),1,0)</f>
        <v>0</v>
      </c>
      <c r="AK19" s="304" cm="1">
        <f t="array" ref="AK19">IF(AND(AK$2&lt;&gt;0,TblTech[[#This Row],[Hour]:[Hour]]&gt;=AK$2),1,0)</f>
        <v>0</v>
      </c>
      <c r="AL19" s="304" cm="1">
        <f t="array" ref="AL19">IF(AND(AL$2&lt;&gt;0,TblTech[[#This Row],[Hour]:[Hour]]&gt;=AL$2),1,0)</f>
        <v>0</v>
      </c>
      <c r="AM19" s="304" cm="1">
        <f t="array" ref="AM19">IF(AND(AM$2&lt;&gt;0,TblTech[[#This Row],[Hour]:[Hour]]&gt;=AM$2),1,0)</f>
        <v>0</v>
      </c>
      <c r="AN19" s="304" cm="1">
        <f t="array" ref="AN19">IF(AND(AN$2&lt;&gt;0,TblTech[[#This Row],[Hour]:[Hour]]&gt;=AN$2),1,0)</f>
        <v>0</v>
      </c>
      <c r="AO19" s="304" cm="1">
        <f t="array" ref="AO19">IF(AND(AO$2&lt;&gt;0,TblTech[[#This Row],[Hour]:[Hour]]&gt;=AO$2),1,0)</f>
        <v>0</v>
      </c>
      <c r="AP19" s="304" cm="1">
        <f t="array" ref="AP19">IF(AND(AP$2&lt;&gt;0,TblTech[[#This Row],[Hour]:[Hour]]&gt;=AP$2),1,0)</f>
        <v>0</v>
      </c>
      <c r="AQ19" s="304" cm="1">
        <f t="array" ref="AQ19">IF(AND(AQ$2&lt;&gt;0,TblTech[[#This Row],[Hour]:[Hour]]&gt;=AQ$2),1,0)</f>
        <v>0</v>
      </c>
      <c r="AR19" s="304" cm="1">
        <f t="array" ref="AR19">IF(AND(AR$2&lt;&gt;0,TblTech[[#This Row],[Hour]:[Hour]]&gt;=AR$2),1,0)</f>
        <v>0</v>
      </c>
      <c r="AS19" s="304" cm="1">
        <f t="array" ref="AS19">IF(AND(AS$2&lt;&gt;0,TblTech[[#This Row],[Hour]:[Hour]]&gt;=AS$2),1,0)</f>
        <v>0</v>
      </c>
      <c r="AT19" s="304" cm="1">
        <f t="array" ref="AT19">IF(AND(AT$2&lt;&gt;0,TblTech[[#This Row],[Hour]:[Hour]]&gt;=AT$2),1,0)</f>
        <v>0</v>
      </c>
      <c r="AU19" s="304" cm="1">
        <f t="array" ref="AU19">IF(AND(AU$2&lt;&gt;0,TblTech[[#This Row],[Hour]:[Hour]]&gt;=AU$2),1,0)</f>
        <v>0</v>
      </c>
      <c r="AV19" s="304" cm="1">
        <f t="array" ref="AV19">IF(AND(AV$2&lt;&gt;0,TblTech[[#This Row],[Hour]:[Hour]]&gt;=AV$2),1,0)</f>
        <v>0</v>
      </c>
      <c r="AW19" s="304" cm="1">
        <f t="array" ref="AW19">IF(AND(AW$2&lt;&gt;0,TblTech[[#This Row],[Hour]:[Hour]]&gt;=AW$2),1,0)</f>
        <v>0</v>
      </c>
      <c r="AX19" s="304" cm="1">
        <f t="array" ref="AX19">IF(AND(AX$2&lt;&gt;0,TblTech[[#This Row],[Hour]:[Hour]]&gt;=AX$2),1,0)</f>
        <v>0</v>
      </c>
      <c r="AY19" s="304" cm="1">
        <f t="array" ref="AY19">IF(AND(AY$2&lt;&gt;0,TblTech[[#This Row],[Hour]:[Hour]]&gt;=AY$2),1,0)</f>
        <v>0</v>
      </c>
      <c r="AZ19" s="304" cm="1">
        <f t="array" ref="AZ19">IF(AND(AZ$2&lt;&gt;0,TblTech[[#This Row],[Hour]:[Hour]]&gt;=AZ$2),1,0)</f>
        <v>0</v>
      </c>
      <c r="BA19" s="304" cm="1">
        <f t="array" ref="BA19">IF(AND(BA$2&lt;&gt;0,TblTech[[#This Row],[Hour]:[Hour]]&gt;=BA$2),1,0)</f>
        <v>0</v>
      </c>
      <c r="BB19" s="304" cm="1">
        <f t="array" ref="BB19">IF(AND(BB$2&lt;&gt;0,TblTech[[#This Row],[Hour]:[Hour]]&gt;=BB$2),1,0)</f>
        <v>0</v>
      </c>
      <c r="BC19" s="304" cm="1">
        <f t="array" ref="BC19">IF(AND(BC$2&lt;&gt;0,TblTech[[#This Row],[Hour]:[Hour]]&gt;=BC$2),1,0)</f>
        <v>0</v>
      </c>
      <c r="BD19" s="304" cm="1">
        <f t="array" ref="BD19">IF(AND(BD$2&lt;&gt;0,TblTech[[#This Row],[Hour]:[Hour]]&gt;=BD$2),1,0)</f>
        <v>0</v>
      </c>
      <c r="BE19" s="304" cm="1">
        <f t="array" ref="BE19">IF(AND(BE$2&lt;&gt;0,TblTech[[#This Row],[Hour]:[Hour]]&gt;=BE$2),1,0)</f>
        <v>0</v>
      </c>
      <c r="BF19" s="304" cm="1">
        <f t="array" ref="BF19">IF(AND(BF$2&lt;&gt;0,TblTech[[#This Row],[Hour]:[Hour]]&gt;=BF$2),1,0)</f>
        <v>0</v>
      </c>
      <c r="BG19" s="304" cm="1">
        <f t="array" ref="BG19">IF(AND(BG$2&lt;&gt;0,TblTech[[#This Row],[Hour]:[Hour]]&gt;=BG$2),1,0)</f>
        <v>0</v>
      </c>
      <c r="BH19" s="304" cm="1">
        <f t="array" ref="BH19">IF(AND(BH$2&lt;&gt;0,TblTech[[#This Row],[Hour]:[Hour]]&gt;=BH$2),1,0)</f>
        <v>0</v>
      </c>
      <c r="BI19" s="304" cm="1">
        <f t="array" ref="BI19">IF(AND(BI$2&lt;&gt;0,TblTech[[#This Row],[Hour]:[Hour]]&gt;=BI$2),1,0)</f>
        <v>0</v>
      </c>
      <c r="BJ19" s="304" cm="1">
        <f t="array" ref="BJ19">IF(AND(BJ$2&lt;&gt;0,TblTech[[#This Row],[Hour]:[Hour]]&gt;=BJ$2),1,0)</f>
        <v>0</v>
      </c>
      <c r="BK19" s="304" cm="1">
        <f t="array" ref="BK19">IF(AND(BK$2&lt;&gt;0,TblTech[[#This Row],[Hour]:[Hour]]&gt;=BK$2),1,0)</f>
        <v>0</v>
      </c>
      <c r="BL19" s="304" cm="1">
        <f t="array" ref="BL19">IF(AND(BL$2&lt;&gt;0,TblTech[[#This Row],[Hour]:[Hour]]&gt;=BL$2),1,0)</f>
        <v>0</v>
      </c>
      <c r="BM19" s="304" cm="1">
        <f t="array" ref="BM19">IF(AND(BM$2&lt;&gt;0,TblTech[[#This Row],[Hour]:[Hour]]&gt;=BM$2),1,0)</f>
        <v>0</v>
      </c>
      <c r="BN19" s="304" cm="1">
        <f t="array" ref="BN19">IF(AND(BN$2&lt;&gt;0,TblTech[[#This Row],[Hour]:[Hour]]&gt;=BN$2),1,0)</f>
        <v>0</v>
      </c>
      <c r="BO19" s="304" cm="1">
        <f t="array" ref="BO19">IF(AND(BO$2&lt;&gt;0,TblTech[[#This Row],[Hour]:[Hour]]&gt;=BO$2),1,0)</f>
        <v>0</v>
      </c>
      <c r="BP19" s="304" cm="1">
        <f t="array" ref="BP19">IF(AND(BP$2&lt;&gt;0,TblTech[[#This Row],[Hour]:[Hour]]&gt;=BP$2),1,0)</f>
        <v>0</v>
      </c>
      <c r="BQ19" s="304" cm="1">
        <f t="array" ref="BQ19">IF(AND(BQ$2&lt;&gt;0,TblTech[[#This Row],[Hour]:[Hour]]&gt;=BQ$2),1,0)</f>
        <v>0</v>
      </c>
      <c r="BR19" s="304" cm="1">
        <f t="array" ref="BR19">IF(AND(BR$2&lt;&gt;0,TblTech[[#This Row],[Hour]:[Hour]]&gt;=BR$2),1,0)</f>
        <v>0</v>
      </c>
      <c r="BS19" s="304" cm="1">
        <f t="array" ref="BS19">IF(AND(BS$2&lt;&gt;0,TblTech[[#This Row],[Hour]:[Hour]]&gt;=BS$2),1,0)</f>
        <v>0</v>
      </c>
      <c r="BT19" s="304" cm="1">
        <f t="array" ref="BT19">IF(AND(BT$2&lt;&gt;0,TblTech[[#This Row],[Hour]:[Hour]]&gt;=BT$2),1,0)</f>
        <v>0</v>
      </c>
      <c r="BU19" s="304" cm="1">
        <f t="array" ref="BU19">IF(AND(BU$2&lt;&gt;0,TblTech[[#This Row],[Hour]:[Hour]]&gt;=BU$2),1,0)</f>
        <v>0</v>
      </c>
      <c r="BV19" s="304" cm="1">
        <f t="array" ref="BV19">IF(AND(BV$2&lt;&gt;0,TblTech[[#This Row],[Hour]:[Hour]]&gt;=BV$2),1,0)</f>
        <v>0</v>
      </c>
      <c r="BW19" s="304" cm="1">
        <f t="array" ref="BW19">IF(AND(BW$2&lt;&gt;0,TblTech[[#This Row],[Hour]:[Hour]]&gt;=BW$2),1,0)</f>
        <v>0</v>
      </c>
      <c r="BX19" s="304" cm="1">
        <f t="array" ref="BX19">IF(AND(BX$2&lt;&gt;0,TblTech[[#This Row],[Hour]:[Hour]]&gt;=BX$2),1,0)</f>
        <v>0</v>
      </c>
      <c r="BY19" s="304" cm="1">
        <f t="array" ref="BY19">IF(AND(BY$2&lt;&gt;0,TblTech[[#This Row],[Hour]:[Hour]]&gt;=BY$2),1,0)</f>
        <v>0</v>
      </c>
      <c r="BZ19" s="304" cm="1">
        <f t="array" ref="BZ19">IF(AND(BZ$2&lt;&gt;0,TblTech[[#This Row],[Hour]:[Hour]]&gt;=BZ$2),1,0)</f>
        <v>0</v>
      </c>
      <c r="CA19" s="408">
        <f>IFERROR(INDEX($H$4:$H$79,MATCH(INDEX(TblTech[[#Headers],[1-1]:[11-1]],1,MATCH(TblTech[[#This Row],[Hour]],$M$2:$BZ$2,0)),$G$4:$G$79,0)),)</f>
        <v>0</v>
      </c>
    </row>
    <row r="20" spans="1:79" x14ac:dyDescent="0.2">
      <c r="A20" s="296">
        <f>TblRezone[[#This Row],[Hour]]</f>
        <v>17</v>
      </c>
      <c r="B20" s="297">
        <f ca="1">TblExplore[[#This Row],[Land-DB]]</f>
        <v>250</v>
      </c>
      <c r="C20" s="298">
        <f ca="1">TblProd[[#This Row],[Techpoints]]</f>
        <v>0</v>
      </c>
      <c r="D20" s="298">
        <f ca="1">TblProd[[#This Row],[Required]]</f>
        <v>3750</v>
      </c>
      <c r="E20" s="299"/>
      <c r="F20" s="300"/>
      <c r="G20" s="301" t="s">
        <v>569</v>
      </c>
      <c r="H20" s="302" t="s">
        <v>709</v>
      </c>
      <c r="I20" s="301" t="s">
        <v>1077</v>
      </c>
      <c r="J20" s="297"/>
      <c r="K20" s="96">
        <f ca="1">IF(TblTech[[#This Row],[Sum of tech]]&lt;&gt;OFFSET(TblTech[[#This Row],[Sum of tech]],-1,0),1,0)</f>
        <v>0</v>
      </c>
      <c r="L20" s="303">
        <f>COUNTIF(TblTech[[#This Row],[1-1]:[11-1]],1)</f>
        <v>0</v>
      </c>
      <c r="M20" s="304" cm="1">
        <f t="array" ref="M20">IF(AND(M$2&lt;&gt;0,TblTech[[#This Row],[Hour]:[Hour]]&gt;=M$2),1,0)</f>
        <v>0</v>
      </c>
      <c r="N20" s="304" cm="1">
        <f t="array" ref="N20">IF(AND(N$2&lt;&gt;0,TblTech[[#This Row],[Hour]:[Hour]]&gt;=N$2),1,0)</f>
        <v>0</v>
      </c>
      <c r="O20" s="304" cm="1">
        <f t="array" ref="O20">IF(AND(O$2&lt;&gt;0,TblTech[[#This Row],[Hour]:[Hour]]&gt;=O$2),1,0)</f>
        <v>0</v>
      </c>
      <c r="P20" s="304" cm="1">
        <f t="array" ref="P20">IF(AND(P$2&lt;&gt;0,TblTech[[#This Row],[Hour]:[Hour]]&gt;=P$2),1,0)</f>
        <v>0</v>
      </c>
      <c r="Q20" s="304" cm="1">
        <f t="array" ref="Q20">IF(AND(Q$2&lt;&gt;0,TblTech[[#This Row],[Hour]:[Hour]]&gt;=Q$2),1,0)</f>
        <v>0</v>
      </c>
      <c r="R20" s="304" cm="1">
        <f t="array" ref="R20">IF(AND(R$2&lt;&gt;0,TblTech[[#This Row],[Hour]:[Hour]]&gt;=R$2),1,0)</f>
        <v>0</v>
      </c>
      <c r="S20" s="304" cm="1">
        <f t="array" ref="S20">IF(AND(S$2&lt;&gt;0,TblTech[[#This Row],[Hour]:[Hour]]&gt;=S$2),1,0)</f>
        <v>0</v>
      </c>
      <c r="T20" s="304" cm="1">
        <f t="array" ref="T20">IF(AND(T$2&lt;&gt;0,TblTech[[#This Row],[Hour]:[Hour]]&gt;=T$2),1,0)</f>
        <v>0</v>
      </c>
      <c r="U20" s="304" cm="1">
        <f t="array" ref="U20">IF(AND(U$2&lt;&gt;0,TblTech[[#This Row],[Hour]:[Hour]]&gt;=U$2),1,0)</f>
        <v>0</v>
      </c>
      <c r="V20" s="304" cm="1">
        <f t="array" ref="V20">IF(AND(V$2&lt;&gt;0,TblTech[[#This Row],[Hour]:[Hour]]&gt;=V$2),1,0)</f>
        <v>0</v>
      </c>
      <c r="W20" s="304" cm="1">
        <f t="array" ref="W20">IF(AND(W$2&lt;&gt;0,TblTech[[#This Row],[Hour]:[Hour]]&gt;=W$2),1,0)</f>
        <v>0</v>
      </c>
      <c r="X20" s="304" cm="1">
        <f t="array" ref="X20">IF(AND(X$2&lt;&gt;0,TblTech[[#This Row],[Hour]:[Hour]]&gt;=X$2),1,0)</f>
        <v>0</v>
      </c>
      <c r="Y20" s="304" cm="1">
        <f t="array" ref="Y20">IF(AND(Y$2&lt;&gt;0,TblTech[[#This Row],[Hour]:[Hour]]&gt;=Y$2),1,0)</f>
        <v>0</v>
      </c>
      <c r="Z20" s="304" cm="1">
        <f t="array" ref="Z20">IF(AND(Z$2&lt;&gt;0,TblTech[[#This Row],[Hour]:[Hour]]&gt;=Z$2),1,0)</f>
        <v>0</v>
      </c>
      <c r="AA20" s="304" cm="1">
        <f t="array" ref="AA20">IF(AND(AA$2&lt;&gt;0,TblTech[[#This Row],[Hour]:[Hour]]&gt;=AA$2),1,0)</f>
        <v>0</v>
      </c>
      <c r="AB20" s="304" cm="1">
        <f t="array" ref="AB20">IF(AND(AB$2&lt;&gt;0,TblTech[[#This Row],[Hour]:[Hour]]&gt;=AB$2),1,0)</f>
        <v>0</v>
      </c>
      <c r="AC20" s="304" cm="1">
        <f t="array" ref="AC20">IF(AND(AC$2&lt;&gt;0,TblTech[[#This Row],[Hour]:[Hour]]&gt;=AC$2),1,0)</f>
        <v>0</v>
      </c>
      <c r="AD20" s="304" cm="1">
        <f t="array" ref="AD20">IF(AND(AD$2&lt;&gt;0,TblTech[[#This Row],[Hour]:[Hour]]&gt;=AD$2),1,0)</f>
        <v>0</v>
      </c>
      <c r="AE20" s="304" cm="1">
        <f t="array" ref="AE20">IF(AND(AE$2&lt;&gt;0,TblTech[[#This Row],[Hour]:[Hour]]&gt;=AE$2),1,0)</f>
        <v>0</v>
      </c>
      <c r="AF20" s="304" cm="1">
        <f t="array" ref="AF20">IF(AND(AF$2&lt;&gt;0,TblTech[[#This Row],[Hour]:[Hour]]&gt;=AF$2),1,0)</f>
        <v>0</v>
      </c>
      <c r="AG20" s="304" cm="1">
        <f t="array" ref="AG20">IF(AND(AG$2&lt;&gt;0,TblTech[[#This Row],[Hour]:[Hour]]&gt;=AG$2),1,0)</f>
        <v>0</v>
      </c>
      <c r="AH20" s="304" cm="1">
        <f t="array" ref="AH20">IF(AND(AH$2&lt;&gt;0,TblTech[[#This Row],[Hour]:[Hour]]&gt;=AH$2),1,0)</f>
        <v>0</v>
      </c>
      <c r="AI20" s="304" cm="1">
        <f t="array" ref="AI20">IF(AND(AI$2&lt;&gt;0,TblTech[[#This Row],[Hour]:[Hour]]&gt;=AI$2),1,0)</f>
        <v>0</v>
      </c>
      <c r="AJ20" s="304" cm="1">
        <f t="array" ref="AJ20">IF(AND(AJ$2&lt;&gt;0,TblTech[[#This Row],[Hour]:[Hour]]&gt;=AJ$2),1,0)</f>
        <v>0</v>
      </c>
      <c r="AK20" s="304" cm="1">
        <f t="array" ref="AK20">IF(AND(AK$2&lt;&gt;0,TblTech[[#This Row],[Hour]:[Hour]]&gt;=AK$2),1,0)</f>
        <v>0</v>
      </c>
      <c r="AL20" s="304" cm="1">
        <f t="array" ref="AL20">IF(AND(AL$2&lt;&gt;0,TblTech[[#This Row],[Hour]:[Hour]]&gt;=AL$2),1,0)</f>
        <v>0</v>
      </c>
      <c r="AM20" s="304" cm="1">
        <f t="array" ref="AM20">IF(AND(AM$2&lt;&gt;0,TblTech[[#This Row],[Hour]:[Hour]]&gt;=AM$2),1,0)</f>
        <v>0</v>
      </c>
      <c r="AN20" s="304" cm="1">
        <f t="array" ref="AN20">IF(AND(AN$2&lt;&gt;0,TblTech[[#This Row],[Hour]:[Hour]]&gt;=AN$2),1,0)</f>
        <v>0</v>
      </c>
      <c r="AO20" s="304" cm="1">
        <f t="array" ref="AO20">IF(AND(AO$2&lt;&gt;0,TblTech[[#This Row],[Hour]:[Hour]]&gt;=AO$2),1,0)</f>
        <v>0</v>
      </c>
      <c r="AP20" s="304" cm="1">
        <f t="array" ref="AP20">IF(AND(AP$2&lt;&gt;0,TblTech[[#This Row],[Hour]:[Hour]]&gt;=AP$2),1,0)</f>
        <v>0</v>
      </c>
      <c r="AQ20" s="304" cm="1">
        <f t="array" ref="AQ20">IF(AND(AQ$2&lt;&gt;0,TblTech[[#This Row],[Hour]:[Hour]]&gt;=AQ$2),1,0)</f>
        <v>0</v>
      </c>
      <c r="AR20" s="304" cm="1">
        <f t="array" ref="AR20">IF(AND(AR$2&lt;&gt;0,TblTech[[#This Row],[Hour]:[Hour]]&gt;=AR$2),1,0)</f>
        <v>0</v>
      </c>
      <c r="AS20" s="304" cm="1">
        <f t="array" ref="AS20">IF(AND(AS$2&lt;&gt;0,TblTech[[#This Row],[Hour]:[Hour]]&gt;=AS$2),1,0)</f>
        <v>0</v>
      </c>
      <c r="AT20" s="304" cm="1">
        <f t="array" ref="AT20">IF(AND(AT$2&lt;&gt;0,TblTech[[#This Row],[Hour]:[Hour]]&gt;=AT$2),1,0)</f>
        <v>0</v>
      </c>
      <c r="AU20" s="304" cm="1">
        <f t="array" ref="AU20">IF(AND(AU$2&lt;&gt;0,TblTech[[#This Row],[Hour]:[Hour]]&gt;=AU$2),1,0)</f>
        <v>0</v>
      </c>
      <c r="AV20" s="304" cm="1">
        <f t="array" ref="AV20">IF(AND(AV$2&lt;&gt;0,TblTech[[#This Row],[Hour]:[Hour]]&gt;=AV$2),1,0)</f>
        <v>0</v>
      </c>
      <c r="AW20" s="304" cm="1">
        <f t="array" ref="AW20">IF(AND(AW$2&lt;&gt;0,TblTech[[#This Row],[Hour]:[Hour]]&gt;=AW$2),1,0)</f>
        <v>0</v>
      </c>
      <c r="AX20" s="304" cm="1">
        <f t="array" ref="AX20">IF(AND(AX$2&lt;&gt;0,TblTech[[#This Row],[Hour]:[Hour]]&gt;=AX$2),1,0)</f>
        <v>0</v>
      </c>
      <c r="AY20" s="304" cm="1">
        <f t="array" ref="AY20">IF(AND(AY$2&lt;&gt;0,TblTech[[#This Row],[Hour]:[Hour]]&gt;=AY$2),1,0)</f>
        <v>0</v>
      </c>
      <c r="AZ20" s="304" cm="1">
        <f t="array" ref="AZ20">IF(AND(AZ$2&lt;&gt;0,TblTech[[#This Row],[Hour]:[Hour]]&gt;=AZ$2),1,0)</f>
        <v>0</v>
      </c>
      <c r="BA20" s="304" cm="1">
        <f t="array" ref="BA20">IF(AND(BA$2&lt;&gt;0,TblTech[[#This Row],[Hour]:[Hour]]&gt;=BA$2),1,0)</f>
        <v>0</v>
      </c>
      <c r="BB20" s="304" cm="1">
        <f t="array" ref="BB20">IF(AND(BB$2&lt;&gt;0,TblTech[[#This Row],[Hour]:[Hour]]&gt;=BB$2),1,0)</f>
        <v>0</v>
      </c>
      <c r="BC20" s="304" cm="1">
        <f t="array" ref="BC20">IF(AND(BC$2&lt;&gt;0,TblTech[[#This Row],[Hour]:[Hour]]&gt;=BC$2),1,0)</f>
        <v>0</v>
      </c>
      <c r="BD20" s="304" cm="1">
        <f t="array" ref="BD20">IF(AND(BD$2&lt;&gt;0,TblTech[[#This Row],[Hour]:[Hour]]&gt;=BD$2),1,0)</f>
        <v>0</v>
      </c>
      <c r="BE20" s="304" cm="1">
        <f t="array" ref="BE20">IF(AND(BE$2&lt;&gt;0,TblTech[[#This Row],[Hour]:[Hour]]&gt;=BE$2),1,0)</f>
        <v>0</v>
      </c>
      <c r="BF20" s="304" cm="1">
        <f t="array" ref="BF20">IF(AND(BF$2&lt;&gt;0,TblTech[[#This Row],[Hour]:[Hour]]&gt;=BF$2),1,0)</f>
        <v>0</v>
      </c>
      <c r="BG20" s="304" cm="1">
        <f t="array" ref="BG20">IF(AND(BG$2&lt;&gt;0,TblTech[[#This Row],[Hour]:[Hour]]&gt;=BG$2),1,0)</f>
        <v>0</v>
      </c>
      <c r="BH20" s="304" cm="1">
        <f t="array" ref="BH20">IF(AND(BH$2&lt;&gt;0,TblTech[[#This Row],[Hour]:[Hour]]&gt;=BH$2),1,0)</f>
        <v>0</v>
      </c>
      <c r="BI20" s="304" cm="1">
        <f t="array" ref="BI20">IF(AND(BI$2&lt;&gt;0,TblTech[[#This Row],[Hour]:[Hour]]&gt;=BI$2),1,0)</f>
        <v>0</v>
      </c>
      <c r="BJ20" s="304" cm="1">
        <f t="array" ref="BJ20">IF(AND(BJ$2&lt;&gt;0,TblTech[[#This Row],[Hour]:[Hour]]&gt;=BJ$2),1,0)</f>
        <v>0</v>
      </c>
      <c r="BK20" s="304" cm="1">
        <f t="array" ref="BK20">IF(AND(BK$2&lt;&gt;0,TblTech[[#This Row],[Hour]:[Hour]]&gt;=BK$2),1,0)</f>
        <v>0</v>
      </c>
      <c r="BL20" s="304" cm="1">
        <f t="array" ref="BL20">IF(AND(BL$2&lt;&gt;0,TblTech[[#This Row],[Hour]:[Hour]]&gt;=BL$2),1,0)</f>
        <v>0</v>
      </c>
      <c r="BM20" s="304" cm="1">
        <f t="array" ref="BM20">IF(AND(BM$2&lt;&gt;0,TblTech[[#This Row],[Hour]:[Hour]]&gt;=BM$2),1,0)</f>
        <v>0</v>
      </c>
      <c r="BN20" s="304" cm="1">
        <f t="array" ref="BN20">IF(AND(BN$2&lt;&gt;0,TblTech[[#This Row],[Hour]:[Hour]]&gt;=BN$2),1,0)</f>
        <v>0</v>
      </c>
      <c r="BO20" s="304" cm="1">
        <f t="array" ref="BO20">IF(AND(BO$2&lt;&gt;0,TblTech[[#This Row],[Hour]:[Hour]]&gt;=BO$2),1,0)</f>
        <v>0</v>
      </c>
      <c r="BP20" s="304" cm="1">
        <f t="array" ref="BP20">IF(AND(BP$2&lt;&gt;0,TblTech[[#This Row],[Hour]:[Hour]]&gt;=BP$2),1,0)</f>
        <v>0</v>
      </c>
      <c r="BQ20" s="304" cm="1">
        <f t="array" ref="BQ20">IF(AND(BQ$2&lt;&gt;0,TblTech[[#This Row],[Hour]:[Hour]]&gt;=BQ$2),1,0)</f>
        <v>0</v>
      </c>
      <c r="BR20" s="304" cm="1">
        <f t="array" ref="BR20">IF(AND(BR$2&lt;&gt;0,TblTech[[#This Row],[Hour]:[Hour]]&gt;=BR$2),1,0)</f>
        <v>0</v>
      </c>
      <c r="BS20" s="304" cm="1">
        <f t="array" ref="BS20">IF(AND(BS$2&lt;&gt;0,TblTech[[#This Row],[Hour]:[Hour]]&gt;=BS$2),1,0)</f>
        <v>0</v>
      </c>
      <c r="BT20" s="304" cm="1">
        <f t="array" ref="BT20">IF(AND(BT$2&lt;&gt;0,TblTech[[#This Row],[Hour]:[Hour]]&gt;=BT$2),1,0)</f>
        <v>0</v>
      </c>
      <c r="BU20" s="304" cm="1">
        <f t="array" ref="BU20">IF(AND(BU$2&lt;&gt;0,TblTech[[#This Row],[Hour]:[Hour]]&gt;=BU$2),1,0)</f>
        <v>0</v>
      </c>
      <c r="BV20" s="304" cm="1">
        <f t="array" ref="BV20">IF(AND(BV$2&lt;&gt;0,TblTech[[#This Row],[Hour]:[Hour]]&gt;=BV$2),1,0)</f>
        <v>0</v>
      </c>
      <c r="BW20" s="304" cm="1">
        <f t="array" ref="BW20">IF(AND(BW$2&lt;&gt;0,TblTech[[#This Row],[Hour]:[Hour]]&gt;=BW$2),1,0)</f>
        <v>0</v>
      </c>
      <c r="BX20" s="304" cm="1">
        <f t="array" ref="BX20">IF(AND(BX$2&lt;&gt;0,TblTech[[#This Row],[Hour]:[Hour]]&gt;=BX$2),1,0)</f>
        <v>0</v>
      </c>
      <c r="BY20" s="304" cm="1">
        <f t="array" ref="BY20">IF(AND(BY$2&lt;&gt;0,TblTech[[#This Row],[Hour]:[Hour]]&gt;=BY$2),1,0)</f>
        <v>0</v>
      </c>
      <c r="BZ20" s="304" cm="1">
        <f t="array" ref="BZ20">IF(AND(BZ$2&lt;&gt;0,TblTech[[#This Row],[Hour]:[Hour]]&gt;=BZ$2),1,0)</f>
        <v>0</v>
      </c>
      <c r="CA20" s="408">
        <f>IFERROR(INDEX($H$4:$H$79,MATCH(INDEX(TblTech[[#Headers],[1-1]:[11-1]],1,MATCH(TblTech[[#This Row],[Hour]],$M$2:$BZ$2,0)),$G$4:$G$79,0)),)</f>
        <v>0</v>
      </c>
    </row>
    <row r="21" spans="1:79" x14ac:dyDescent="0.2">
      <c r="A21" s="296">
        <f>TblRezone[[#This Row],[Hour]]</f>
        <v>18</v>
      </c>
      <c r="B21" s="297">
        <f ca="1">TblExplore[[#This Row],[Land-DB]]</f>
        <v>250</v>
      </c>
      <c r="C21" s="298">
        <f ca="1">TblProd[[#This Row],[Techpoints]]</f>
        <v>0</v>
      </c>
      <c r="D21" s="298">
        <f ca="1">TblProd[[#This Row],[Required]]</f>
        <v>3750</v>
      </c>
      <c r="E21" s="299"/>
      <c r="F21" s="300"/>
      <c r="G21" s="301" t="s">
        <v>570</v>
      </c>
      <c r="H21" s="302" t="s">
        <v>701</v>
      </c>
      <c r="I21" s="301" t="s">
        <v>756</v>
      </c>
      <c r="J21" s="297"/>
      <c r="K21" s="96">
        <f ca="1">IF(TblTech[[#This Row],[Sum of tech]]&lt;&gt;OFFSET(TblTech[[#This Row],[Sum of tech]],-1,0),1,0)</f>
        <v>0</v>
      </c>
      <c r="L21" s="303">
        <f>COUNTIF(TblTech[[#This Row],[1-1]:[11-1]],1)</f>
        <v>0</v>
      </c>
      <c r="M21" s="304" cm="1">
        <f t="array" ref="M21">IF(AND(M$2&lt;&gt;0,TblTech[[#This Row],[Hour]:[Hour]]&gt;=M$2),1,0)</f>
        <v>0</v>
      </c>
      <c r="N21" s="304" cm="1">
        <f t="array" ref="N21">IF(AND(N$2&lt;&gt;0,TblTech[[#This Row],[Hour]:[Hour]]&gt;=N$2),1,0)</f>
        <v>0</v>
      </c>
      <c r="O21" s="304" cm="1">
        <f t="array" ref="O21">IF(AND(O$2&lt;&gt;0,TblTech[[#This Row],[Hour]:[Hour]]&gt;=O$2),1,0)</f>
        <v>0</v>
      </c>
      <c r="P21" s="304" cm="1">
        <f t="array" ref="P21">IF(AND(P$2&lt;&gt;0,TblTech[[#This Row],[Hour]:[Hour]]&gt;=P$2),1,0)</f>
        <v>0</v>
      </c>
      <c r="Q21" s="304" cm="1">
        <f t="array" ref="Q21">IF(AND(Q$2&lt;&gt;0,TblTech[[#This Row],[Hour]:[Hour]]&gt;=Q$2),1,0)</f>
        <v>0</v>
      </c>
      <c r="R21" s="304" cm="1">
        <f t="array" ref="R21">IF(AND(R$2&lt;&gt;0,TblTech[[#This Row],[Hour]:[Hour]]&gt;=R$2),1,0)</f>
        <v>0</v>
      </c>
      <c r="S21" s="304" cm="1">
        <f t="array" ref="S21">IF(AND(S$2&lt;&gt;0,TblTech[[#This Row],[Hour]:[Hour]]&gt;=S$2),1,0)</f>
        <v>0</v>
      </c>
      <c r="T21" s="304" cm="1">
        <f t="array" ref="T21">IF(AND(T$2&lt;&gt;0,TblTech[[#This Row],[Hour]:[Hour]]&gt;=T$2),1,0)</f>
        <v>0</v>
      </c>
      <c r="U21" s="304" cm="1">
        <f t="array" ref="U21">IF(AND(U$2&lt;&gt;0,TblTech[[#This Row],[Hour]:[Hour]]&gt;=U$2),1,0)</f>
        <v>0</v>
      </c>
      <c r="V21" s="304" cm="1">
        <f t="array" ref="V21">IF(AND(V$2&lt;&gt;0,TblTech[[#This Row],[Hour]:[Hour]]&gt;=V$2),1,0)</f>
        <v>0</v>
      </c>
      <c r="W21" s="304" cm="1">
        <f t="array" ref="W21">IF(AND(W$2&lt;&gt;0,TblTech[[#This Row],[Hour]:[Hour]]&gt;=W$2),1,0)</f>
        <v>0</v>
      </c>
      <c r="X21" s="304" cm="1">
        <f t="array" ref="X21">IF(AND(X$2&lt;&gt;0,TblTech[[#This Row],[Hour]:[Hour]]&gt;=X$2),1,0)</f>
        <v>0</v>
      </c>
      <c r="Y21" s="304" cm="1">
        <f t="array" ref="Y21">IF(AND(Y$2&lt;&gt;0,TblTech[[#This Row],[Hour]:[Hour]]&gt;=Y$2),1,0)</f>
        <v>0</v>
      </c>
      <c r="Z21" s="304" cm="1">
        <f t="array" ref="Z21">IF(AND(Z$2&lt;&gt;0,TblTech[[#This Row],[Hour]:[Hour]]&gt;=Z$2),1,0)</f>
        <v>0</v>
      </c>
      <c r="AA21" s="304" cm="1">
        <f t="array" ref="AA21">IF(AND(AA$2&lt;&gt;0,TblTech[[#This Row],[Hour]:[Hour]]&gt;=AA$2),1,0)</f>
        <v>0</v>
      </c>
      <c r="AB21" s="304" cm="1">
        <f t="array" ref="AB21">IF(AND(AB$2&lt;&gt;0,TblTech[[#This Row],[Hour]:[Hour]]&gt;=AB$2),1,0)</f>
        <v>0</v>
      </c>
      <c r="AC21" s="304" cm="1">
        <f t="array" ref="AC21">IF(AND(AC$2&lt;&gt;0,TblTech[[#This Row],[Hour]:[Hour]]&gt;=AC$2),1,0)</f>
        <v>0</v>
      </c>
      <c r="AD21" s="304" cm="1">
        <f t="array" ref="AD21">IF(AND(AD$2&lt;&gt;0,TblTech[[#This Row],[Hour]:[Hour]]&gt;=AD$2),1,0)</f>
        <v>0</v>
      </c>
      <c r="AE21" s="304" cm="1">
        <f t="array" ref="AE21">IF(AND(AE$2&lt;&gt;0,TblTech[[#This Row],[Hour]:[Hour]]&gt;=AE$2),1,0)</f>
        <v>0</v>
      </c>
      <c r="AF21" s="304" cm="1">
        <f t="array" ref="AF21">IF(AND(AF$2&lt;&gt;0,TblTech[[#This Row],[Hour]:[Hour]]&gt;=AF$2),1,0)</f>
        <v>0</v>
      </c>
      <c r="AG21" s="304" cm="1">
        <f t="array" ref="AG21">IF(AND(AG$2&lt;&gt;0,TblTech[[#This Row],[Hour]:[Hour]]&gt;=AG$2),1,0)</f>
        <v>0</v>
      </c>
      <c r="AH21" s="304" cm="1">
        <f t="array" ref="AH21">IF(AND(AH$2&lt;&gt;0,TblTech[[#This Row],[Hour]:[Hour]]&gt;=AH$2),1,0)</f>
        <v>0</v>
      </c>
      <c r="AI21" s="304" cm="1">
        <f t="array" ref="AI21">IF(AND(AI$2&lt;&gt;0,TblTech[[#This Row],[Hour]:[Hour]]&gt;=AI$2),1,0)</f>
        <v>0</v>
      </c>
      <c r="AJ21" s="304" cm="1">
        <f t="array" ref="AJ21">IF(AND(AJ$2&lt;&gt;0,TblTech[[#This Row],[Hour]:[Hour]]&gt;=AJ$2),1,0)</f>
        <v>0</v>
      </c>
      <c r="AK21" s="304" cm="1">
        <f t="array" ref="AK21">IF(AND(AK$2&lt;&gt;0,TblTech[[#This Row],[Hour]:[Hour]]&gt;=AK$2),1,0)</f>
        <v>0</v>
      </c>
      <c r="AL21" s="304" cm="1">
        <f t="array" ref="AL21">IF(AND(AL$2&lt;&gt;0,TblTech[[#This Row],[Hour]:[Hour]]&gt;=AL$2),1,0)</f>
        <v>0</v>
      </c>
      <c r="AM21" s="304" cm="1">
        <f t="array" ref="AM21">IF(AND(AM$2&lt;&gt;0,TblTech[[#This Row],[Hour]:[Hour]]&gt;=AM$2),1,0)</f>
        <v>0</v>
      </c>
      <c r="AN21" s="304" cm="1">
        <f t="array" ref="AN21">IF(AND(AN$2&lt;&gt;0,TblTech[[#This Row],[Hour]:[Hour]]&gt;=AN$2),1,0)</f>
        <v>0</v>
      </c>
      <c r="AO21" s="304" cm="1">
        <f t="array" ref="AO21">IF(AND(AO$2&lt;&gt;0,TblTech[[#This Row],[Hour]:[Hour]]&gt;=AO$2),1,0)</f>
        <v>0</v>
      </c>
      <c r="AP21" s="304" cm="1">
        <f t="array" ref="AP21">IF(AND(AP$2&lt;&gt;0,TblTech[[#This Row],[Hour]:[Hour]]&gt;=AP$2),1,0)</f>
        <v>0</v>
      </c>
      <c r="AQ21" s="304" cm="1">
        <f t="array" ref="AQ21">IF(AND(AQ$2&lt;&gt;0,TblTech[[#This Row],[Hour]:[Hour]]&gt;=AQ$2),1,0)</f>
        <v>0</v>
      </c>
      <c r="AR21" s="304" cm="1">
        <f t="array" ref="AR21">IF(AND(AR$2&lt;&gt;0,TblTech[[#This Row],[Hour]:[Hour]]&gt;=AR$2),1,0)</f>
        <v>0</v>
      </c>
      <c r="AS21" s="304" cm="1">
        <f t="array" ref="AS21">IF(AND(AS$2&lt;&gt;0,TblTech[[#This Row],[Hour]:[Hour]]&gt;=AS$2),1,0)</f>
        <v>0</v>
      </c>
      <c r="AT21" s="304" cm="1">
        <f t="array" ref="AT21">IF(AND(AT$2&lt;&gt;0,TblTech[[#This Row],[Hour]:[Hour]]&gt;=AT$2),1,0)</f>
        <v>0</v>
      </c>
      <c r="AU21" s="304" cm="1">
        <f t="array" ref="AU21">IF(AND(AU$2&lt;&gt;0,TblTech[[#This Row],[Hour]:[Hour]]&gt;=AU$2),1,0)</f>
        <v>0</v>
      </c>
      <c r="AV21" s="304" cm="1">
        <f t="array" ref="AV21">IF(AND(AV$2&lt;&gt;0,TblTech[[#This Row],[Hour]:[Hour]]&gt;=AV$2),1,0)</f>
        <v>0</v>
      </c>
      <c r="AW21" s="304" cm="1">
        <f t="array" ref="AW21">IF(AND(AW$2&lt;&gt;0,TblTech[[#This Row],[Hour]:[Hour]]&gt;=AW$2),1,0)</f>
        <v>0</v>
      </c>
      <c r="AX21" s="304" cm="1">
        <f t="array" ref="AX21">IF(AND(AX$2&lt;&gt;0,TblTech[[#This Row],[Hour]:[Hour]]&gt;=AX$2),1,0)</f>
        <v>0</v>
      </c>
      <c r="AY21" s="304" cm="1">
        <f t="array" ref="AY21">IF(AND(AY$2&lt;&gt;0,TblTech[[#This Row],[Hour]:[Hour]]&gt;=AY$2),1,0)</f>
        <v>0</v>
      </c>
      <c r="AZ21" s="304" cm="1">
        <f t="array" ref="AZ21">IF(AND(AZ$2&lt;&gt;0,TblTech[[#This Row],[Hour]:[Hour]]&gt;=AZ$2),1,0)</f>
        <v>0</v>
      </c>
      <c r="BA21" s="304" cm="1">
        <f t="array" ref="BA21">IF(AND(BA$2&lt;&gt;0,TblTech[[#This Row],[Hour]:[Hour]]&gt;=BA$2),1,0)</f>
        <v>0</v>
      </c>
      <c r="BB21" s="304" cm="1">
        <f t="array" ref="BB21">IF(AND(BB$2&lt;&gt;0,TblTech[[#This Row],[Hour]:[Hour]]&gt;=BB$2),1,0)</f>
        <v>0</v>
      </c>
      <c r="BC21" s="304" cm="1">
        <f t="array" ref="BC21">IF(AND(BC$2&lt;&gt;0,TblTech[[#This Row],[Hour]:[Hour]]&gt;=BC$2),1,0)</f>
        <v>0</v>
      </c>
      <c r="BD21" s="304" cm="1">
        <f t="array" ref="BD21">IF(AND(BD$2&lt;&gt;0,TblTech[[#This Row],[Hour]:[Hour]]&gt;=BD$2),1,0)</f>
        <v>0</v>
      </c>
      <c r="BE21" s="304" cm="1">
        <f t="array" ref="BE21">IF(AND(BE$2&lt;&gt;0,TblTech[[#This Row],[Hour]:[Hour]]&gt;=BE$2),1,0)</f>
        <v>0</v>
      </c>
      <c r="BF21" s="304" cm="1">
        <f t="array" ref="BF21">IF(AND(BF$2&lt;&gt;0,TblTech[[#This Row],[Hour]:[Hour]]&gt;=BF$2),1,0)</f>
        <v>0</v>
      </c>
      <c r="BG21" s="304" cm="1">
        <f t="array" ref="BG21">IF(AND(BG$2&lt;&gt;0,TblTech[[#This Row],[Hour]:[Hour]]&gt;=BG$2),1,0)</f>
        <v>0</v>
      </c>
      <c r="BH21" s="304" cm="1">
        <f t="array" ref="BH21">IF(AND(BH$2&lt;&gt;0,TblTech[[#This Row],[Hour]:[Hour]]&gt;=BH$2),1,0)</f>
        <v>0</v>
      </c>
      <c r="BI21" s="304" cm="1">
        <f t="array" ref="BI21">IF(AND(BI$2&lt;&gt;0,TblTech[[#This Row],[Hour]:[Hour]]&gt;=BI$2),1,0)</f>
        <v>0</v>
      </c>
      <c r="BJ21" s="304" cm="1">
        <f t="array" ref="BJ21">IF(AND(BJ$2&lt;&gt;0,TblTech[[#This Row],[Hour]:[Hour]]&gt;=BJ$2),1,0)</f>
        <v>0</v>
      </c>
      <c r="BK21" s="304" cm="1">
        <f t="array" ref="BK21">IF(AND(BK$2&lt;&gt;0,TblTech[[#This Row],[Hour]:[Hour]]&gt;=BK$2),1,0)</f>
        <v>0</v>
      </c>
      <c r="BL21" s="304" cm="1">
        <f t="array" ref="BL21">IF(AND(BL$2&lt;&gt;0,TblTech[[#This Row],[Hour]:[Hour]]&gt;=BL$2),1,0)</f>
        <v>0</v>
      </c>
      <c r="BM21" s="304" cm="1">
        <f t="array" ref="BM21">IF(AND(BM$2&lt;&gt;0,TblTech[[#This Row],[Hour]:[Hour]]&gt;=BM$2),1,0)</f>
        <v>0</v>
      </c>
      <c r="BN21" s="304" cm="1">
        <f t="array" ref="BN21">IF(AND(BN$2&lt;&gt;0,TblTech[[#This Row],[Hour]:[Hour]]&gt;=BN$2),1,0)</f>
        <v>0</v>
      </c>
      <c r="BO21" s="304" cm="1">
        <f t="array" ref="BO21">IF(AND(BO$2&lt;&gt;0,TblTech[[#This Row],[Hour]:[Hour]]&gt;=BO$2),1,0)</f>
        <v>0</v>
      </c>
      <c r="BP21" s="304" cm="1">
        <f t="array" ref="BP21">IF(AND(BP$2&lt;&gt;0,TblTech[[#This Row],[Hour]:[Hour]]&gt;=BP$2),1,0)</f>
        <v>0</v>
      </c>
      <c r="BQ21" s="304" cm="1">
        <f t="array" ref="BQ21">IF(AND(BQ$2&lt;&gt;0,TblTech[[#This Row],[Hour]:[Hour]]&gt;=BQ$2),1,0)</f>
        <v>0</v>
      </c>
      <c r="BR21" s="304" cm="1">
        <f t="array" ref="BR21">IF(AND(BR$2&lt;&gt;0,TblTech[[#This Row],[Hour]:[Hour]]&gt;=BR$2),1,0)</f>
        <v>0</v>
      </c>
      <c r="BS21" s="304" cm="1">
        <f t="array" ref="BS21">IF(AND(BS$2&lt;&gt;0,TblTech[[#This Row],[Hour]:[Hour]]&gt;=BS$2),1,0)</f>
        <v>0</v>
      </c>
      <c r="BT21" s="304" cm="1">
        <f t="array" ref="BT21">IF(AND(BT$2&lt;&gt;0,TblTech[[#This Row],[Hour]:[Hour]]&gt;=BT$2),1,0)</f>
        <v>0</v>
      </c>
      <c r="BU21" s="304" cm="1">
        <f t="array" ref="BU21">IF(AND(BU$2&lt;&gt;0,TblTech[[#This Row],[Hour]:[Hour]]&gt;=BU$2),1,0)</f>
        <v>0</v>
      </c>
      <c r="BV21" s="304" cm="1">
        <f t="array" ref="BV21">IF(AND(BV$2&lt;&gt;0,TblTech[[#This Row],[Hour]:[Hour]]&gt;=BV$2),1,0)</f>
        <v>0</v>
      </c>
      <c r="BW21" s="304" cm="1">
        <f t="array" ref="BW21">IF(AND(BW$2&lt;&gt;0,TblTech[[#This Row],[Hour]:[Hour]]&gt;=BW$2),1,0)</f>
        <v>0</v>
      </c>
      <c r="BX21" s="304" cm="1">
        <f t="array" ref="BX21">IF(AND(BX$2&lt;&gt;0,TblTech[[#This Row],[Hour]:[Hour]]&gt;=BX$2),1,0)</f>
        <v>0</v>
      </c>
      <c r="BY21" s="304" cm="1">
        <f t="array" ref="BY21">IF(AND(BY$2&lt;&gt;0,TblTech[[#This Row],[Hour]:[Hour]]&gt;=BY$2),1,0)</f>
        <v>0</v>
      </c>
      <c r="BZ21" s="304" cm="1">
        <f t="array" ref="BZ21">IF(AND(BZ$2&lt;&gt;0,TblTech[[#This Row],[Hour]:[Hour]]&gt;=BZ$2),1,0)</f>
        <v>0</v>
      </c>
      <c r="CA21" s="408">
        <f>IFERROR(INDEX($H$4:$H$79,MATCH(INDEX(TblTech[[#Headers],[1-1]:[11-1]],1,MATCH(TblTech[[#This Row],[Hour]],$M$2:$BZ$2,0)),$G$4:$G$79,0)),)</f>
        <v>0</v>
      </c>
    </row>
    <row r="22" spans="1:79" x14ac:dyDescent="0.2">
      <c r="A22" s="296">
        <f>TblRezone[[#This Row],[Hour]]</f>
        <v>19</v>
      </c>
      <c r="B22" s="297">
        <f ca="1">TblExplore[[#This Row],[Land-DB]]</f>
        <v>250</v>
      </c>
      <c r="C22" s="298">
        <f ca="1">TblProd[[#This Row],[Techpoints]]</f>
        <v>0</v>
      </c>
      <c r="D22" s="298">
        <f ca="1">TblProd[[#This Row],[Required]]</f>
        <v>3750</v>
      </c>
      <c r="E22" s="299"/>
      <c r="F22" s="300"/>
      <c r="G22" s="301" t="s">
        <v>572</v>
      </c>
      <c r="H22" s="302" t="s">
        <v>728</v>
      </c>
      <c r="I22" s="301" t="s">
        <v>1078</v>
      </c>
      <c r="J22" s="297"/>
      <c r="K22" s="96">
        <f ca="1">IF(TblTech[[#This Row],[Sum of tech]]&lt;&gt;OFFSET(TblTech[[#This Row],[Sum of tech]],-1,0),1,0)</f>
        <v>0</v>
      </c>
      <c r="L22" s="303">
        <f>COUNTIF(TblTech[[#This Row],[1-1]:[11-1]],1)</f>
        <v>0</v>
      </c>
      <c r="M22" s="304" cm="1">
        <f t="array" ref="M22">IF(AND(M$2&lt;&gt;0,TblTech[[#This Row],[Hour]:[Hour]]&gt;=M$2),1,0)</f>
        <v>0</v>
      </c>
      <c r="N22" s="304" cm="1">
        <f t="array" ref="N22">IF(AND(N$2&lt;&gt;0,TblTech[[#This Row],[Hour]:[Hour]]&gt;=N$2),1,0)</f>
        <v>0</v>
      </c>
      <c r="O22" s="304" cm="1">
        <f t="array" ref="O22">IF(AND(O$2&lt;&gt;0,TblTech[[#This Row],[Hour]:[Hour]]&gt;=O$2),1,0)</f>
        <v>0</v>
      </c>
      <c r="P22" s="304" cm="1">
        <f t="array" ref="P22">IF(AND(P$2&lt;&gt;0,TblTech[[#This Row],[Hour]:[Hour]]&gt;=P$2),1,0)</f>
        <v>0</v>
      </c>
      <c r="Q22" s="304" cm="1">
        <f t="array" ref="Q22">IF(AND(Q$2&lt;&gt;0,TblTech[[#This Row],[Hour]:[Hour]]&gt;=Q$2),1,0)</f>
        <v>0</v>
      </c>
      <c r="R22" s="304" cm="1">
        <f t="array" ref="R22">IF(AND(R$2&lt;&gt;0,TblTech[[#This Row],[Hour]:[Hour]]&gt;=R$2),1,0)</f>
        <v>0</v>
      </c>
      <c r="S22" s="304" cm="1">
        <f t="array" ref="S22">IF(AND(S$2&lt;&gt;0,TblTech[[#This Row],[Hour]:[Hour]]&gt;=S$2),1,0)</f>
        <v>0</v>
      </c>
      <c r="T22" s="304" cm="1">
        <f t="array" ref="T22">IF(AND(T$2&lt;&gt;0,TblTech[[#This Row],[Hour]:[Hour]]&gt;=T$2),1,0)</f>
        <v>0</v>
      </c>
      <c r="U22" s="304" cm="1">
        <f t="array" ref="U22">IF(AND(U$2&lt;&gt;0,TblTech[[#This Row],[Hour]:[Hour]]&gt;=U$2),1,0)</f>
        <v>0</v>
      </c>
      <c r="V22" s="304" cm="1">
        <f t="array" ref="V22">IF(AND(V$2&lt;&gt;0,TblTech[[#This Row],[Hour]:[Hour]]&gt;=V$2),1,0)</f>
        <v>0</v>
      </c>
      <c r="W22" s="304" cm="1">
        <f t="array" ref="W22">IF(AND(W$2&lt;&gt;0,TblTech[[#This Row],[Hour]:[Hour]]&gt;=W$2),1,0)</f>
        <v>0</v>
      </c>
      <c r="X22" s="304" cm="1">
        <f t="array" ref="X22">IF(AND(X$2&lt;&gt;0,TblTech[[#This Row],[Hour]:[Hour]]&gt;=X$2),1,0)</f>
        <v>0</v>
      </c>
      <c r="Y22" s="304" cm="1">
        <f t="array" ref="Y22">IF(AND(Y$2&lt;&gt;0,TblTech[[#This Row],[Hour]:[Hour]]&gt;=Y$2),1,0)</f>
        <v>0</v>
      </c>
      <c r="Z22" s="304" cm="1">
        <f t="array" ref="Z22">IF(AND(Z$2&lt;&gt;0,TblTech[[#This Row],[Hour]:[Hour]]&gt;=Z$2),1,0)</f>
        <v>0</v>
      </c>
      <c r="AA22" s="304" cm="1">
        <f t="array" ref="AA22">IF(AND(AA$2&lt;&gt;0,TblTech[[#This Row],[Hour]:[Hour]]&gt;=AA$2),1,0)</f>
        <v>0</v>
      </c>
      <c r="AB22" s="304" cm="1">
        <f t="array" ref="AB22">IF(AND(AB$2&lt;&gt;0,TblTech[[#This Row],[Hour]:[Hour]]&gt;=AB$2),1,0)</f>
        <v>0</v>
      </c>
      <c r="AC22" s="304" cm="1">
        <f t="array" ref="AC22">IF(AND(AC$2&lt;&gt;0,TblTech[[#This Row],[Hour]:[Hour]]&gt;=AC$2),1,0)</f>
        <v>0</v>
      </c>
      <c r="AD22" s="304" cm="1">
        <f t="array" ref="AD22">IF(AND(AD$2&lt;&gt;0,TblTech[[#This Row],[Hour]:[Hour]]&gt;=AD$2),1,0)</f>
        <v>0</v>
      </c>
      <c r="AE22" s="304" cm="1">
        <f t="array" ref="AE22">IF(AND(AE$2&lt;&gt;0,TblTech[[#This Row],[Hour]:[Hour]]&gt;=AE$2),1,0)</f>
        <v>0</v>
      </c>
      <c r="AF22" s="304" cm="1">
        <f t="array" ref="AF22">IF(AND(AF$2&lt;&gt;0,TblTech[[#This Row],[Hour]:[Hour]]&gt;=AF$2),1,0)</f>
        <v>0</v>
      </c>
      <c r="AG22" s="304" cm="1">
        <f t="array" ref="AG22">IF(AND(AG$2&lt;&gt;0,TblTech[[#This Row],[Hour]:[Hour]]&gt;=AG$2),1,0)</f>
        <v>0</v>
      </c>
      <c r="AH22" s="304" cm="1">
        <f t="array" ref="AH22">IF(AND(AH$2&lt;&gt;0,TblTech[[#This Row],[Hour]:[Hour]]&gt;=AH$2),1,0)</f>
        <v>0</v>
      </c>
      <c r="AI22" s="304" cm="1">
        <f t="array" ref="AI22">IF(AND(AI$2&lt;&gt;0,TblTech[[#This Row],[Hour]:[Hour]]&gt;=AI$2),1,0)</f>
        <v>0</v>
      </c>
      <c r="AJ22" s="304" cm="1">
        <f t="array" ref="AJ22">IF(AND(AJ$2&lt;&gt;0,TblTech[[#This Row],[Hour]:[Hour]]&gt;=AJ$2),1,0)</f>
        <v>0</v>
      </c>
      <c r="AK22" s="304" cm="1">
        <f t="array" ref="AK22">IF(AND(AK$2&lt;&gt;0,TblTech[[#This Row],[Hour]:[Hour]]&gt;=AK$2),1,0)</f>
        <v>0</v>
      </c>
      <c r="AL22" s="304" cm="1">
        <f t="array" ref="AL22">IF(AND(AL$2&lt;&gt;0,TblTech[[#This Row],[Hour]:[Hour]]&gt;=AL$2),1,0)</f>
        <v>0</v>
      </c>
      <c r="AM22" s="304" cm="1">
        <f t="array" ref="AM22">IF(AND(AM$2&lt;&gt;0,TblTech[[#This Row],[Hour]:[Hour]]&gt;=AM$2),1,0)</f>
        <v>0</v>
      </c>
      <c r="AN22" s="304" cm="1">
        <f t="array" ref="AN22">IF(AND(AN$2&lt;&gt;0,TblTech[[#This Row],[Hour]:[Hour]]&gt;=AN$2),1,0)</f>
        <v>0</v>
      </c>
      <c r="AO22" s="304" cm="1">
        <f t="array" ref="AO22">IF(AND(AO$2&lt;&gt;0,TblTech[[#This Row],[Hour]:[Hour]]&gt;=AO$2),1,0)</f>
        <v>0</v>
      </c>
      <c r="AP22" s="304" cm="1">
        <f t="array" ref="AP22">IF(AND(AP$2&lt;&gt;0,TblTech[[#This Row],[Hour]:[Hour]]&gt;=AP$2),1,0)</f>
        <v>0</v>
      </c>
      <c r="AQ22" s="304" cm="1">
        <f t="array" ref="AQ22">IF(AND(AQ$2&lt;&gt;0,TblTech[[#This Row],[Hour]:[Hour]]&gt;=AQ$2),1,0)</f>
        <v>0</v>
      </c>
      <c r="AR22" s="304" cm="1">
        <f t="array" ref="AR22">IF(AND(AR$2&lt;&gt;0,TblTech[[#This Row],[Hour]:[Hour]]&gt;=AR$2),1,0)</f>
        <v>0</v>
      </c>
      <c r="AS22" s="304" cm="1">
        <f t="array" ref="AS22">IF(AND(AS$2&lt;&gt;0,TblTech[[#This Row],[Hour]:[Hour]]&gt;=AS$2),1,0)</f>
        <v>0</v>
      </c>
      <c r="AT22" s="304" cm="1">
        <f t="array" ref="AT22">IF(AND(AT$2&lt;&gt;0,TblTech[[#This Row],[Hour]:[Hour]]&gt;=AT$2),1,0)</f>
        <v>0</v>
      </c>
      <c r="AU22" s="304" cm="1">
        <f t="array" ref="AU22">IF(AND(AU$2&lt;&gt;0,TblTech[[#This Row],[Hour]:[Hour]]&gt;=AU$2),1,0)</f>
        <v>0</v>
      </c>
      <c r="AV22" s="304" cm="1">
        <f t="array" ref="AV22">IF(AND(AV$2&lt;&gt;0,TblTech[[#This Row],[Hour]:[Hour]]&gt;=AV$2),1,0)</f>
        <v>0</v>
      </c>
      <c r="AW22" s="304" cm="1">
        <f t="array" ref="AW22">IF(AND(AW$2&lt;&gt;0,TblTech[[#This Row],[Hour]:[Hour]]&gt;=AW$2),1,0)</f>
        <v>0</v>
      </c>
      <c r="AX22" s="304" cm="1">
        <f t="array" ref="AX22">IF(AND(AX$2&lt;&gt;0,TblTech[[#This Row],[Hour]:[Hour]]&gt;=AX$2),1,0)</f>
        <v>0</v>
      </c>
      <c r="AY22" s="304" cm="1">
        <f t="array" ref="AY22">IF(AND(AY$2&lt;&gt;0,TblTech[[#This Row],[Hour]:[Hour]]&gt;=AY$2),1,0)</f>
        <v>0</v>
      </c>
      <c r="AZ22" s="304" cm="1">
        <f t="array" ref="AZ22">IF(AND(AZ$2&lt;&gt;0,TblTech[[#This Row],[Hour]:[Hour]]&gt;=AZ$2),1,0)</f>
        <v>0</v>
      </c>
      <c r="BA22" s="304" cm="1">
        <f t="array" ref="BA22">IF(AND(BA$2&lt;&gt;0,TblTech[[#This Row],[Hour]:[Hour]]&gt;=BA$2),1,0)</f>
        <v>0</v>
      </c>
      <c r="BB22" s="304" cm="1">
        <f t="array" ref="BB22">IF(AND(BB$2&lt;&gt;0,TblTech[[#This Row],[Hour]:[Hour]]&gt;=BB$2),1,0)</f>
        <v>0</v>
      </c>
      <c r="BC22" s="304" cm="1">
        <f t="array" ref="BC22">IF(AND(BC$2&lt;&gt;0,TblTech[[#This Row],[Hour]:[Hour]]&gt;=BC$2),1,0)</f>
        <v>0</v>
      </c>
      <c r="BD22" s="304" cm="1">
        <f t="array" ref="BD22">IF(AND(BD$2&lt;&gt;0,TblTech[[#This Row],[Hour]:[Hour]]&gt;=BD$2),1,0)</f>
        <v>0</v>
      </c>
      <c r="BE22" s="304" cm="1">
        <f t="array" ref="BE22">IF(AND(BE$2&lt;&gt;0,TblTech[[#This Row],[Hour]:[Hour]]&gt;=BE$2),1,0)</f>
        <v>0</v>
      </c>
      <c r="BF22" s="304" cm="1">
        <f t="array" ref="BF22">IF(AND(BF$2&lt;&gt;0,TblTech[[#This Row],[Hour]:[Hour]]&gt;=BF$2),1,0)</f>
        <v>0</v>
      </c>
      <c r="BG22" s="304" cm="1">
        <f t="array" ref="BG22">IF(AND(BG$2&lt;&gt;0,TblTech[[#This Row],[Hour]:[Hour]]&gt;=BG$2),1,0)</f>
        <v>0</v>
      </c>
      <c r="BH22" s="304" cm="1">
        <f t="array" ref="BH22">IF(AND(BH$2&lt;&gt;0,TblTech[[#This Row],[Hour]:[Hour]]&gt;=BH$2),1,0)</f>
        <v>0</v>
      </c>
      <c r="BI22" s="304" cm="1">
        <f t="array" ref="BI22">IF(AND(BI$2&lt;&gt;0,TblTech[[#This Row],[Hour]:[Hour]]&gt;=BI$2),1,0)</f>
        <v>0</v>
      </c>
      <c r="BJ22" s="304" cm="1">
        <f t="array" ref="BJ22">IF(AND(BJ$2&lt;&gt;0,TblTech[[#This Row],[Hour]:[Hour]]&gt;=BJ$2),1,0)</f>
        <v>0</v>
      </c>
      <c r="BK22" s="304" cm="1">
        <f t="array" ref="BK22">IF(AND(BK$2&lt;&gt;0,TblTech[[#This Row],[Hour]:[Hour]]&gt;=BK$2),1,0)</f>
        <v>0</v>
      </c>
      <c r="BL22" s="304" cm="1">
        <f t="array" ref="BL22">IF(AND(BL$2&lt;&gt;0,TblTech[[#This Row],[Hour]:[Hour]]&gt;=BL$2),1,0)</f>
        <v>0</v>
      </c>
      <c r="BM22" s="304" cm="1">
        <f t="array" ref="BM22">IF(AND(BM$2&lt;&gt;0,TblTech[[#This Row],[Hour]:[Hour]]&gt;=BM$2),1,0)</f>
        <v>0</v>
      </c>
      <c r="BN22" s="304" cm="1">
        <f t="array" ref="BN22">IF(AND(BN$2&lt;&gt;0,TblTech[[#This Row],[Hour]:[Hour]]&gt;=BN$2),1,0)</f>
        <v>0</v>
      </c>
      <c r="BO22" s="304" cm="1">
        <f t="array" ref="BO22">IF(AND(BO$2&lt;&gt;0,TblTech[[#This Row],[Hour]:[Hour]]&gt;=BO$2),1,0)</f>
        <v>0</v>
      </c>
      <c r="BP22" s="304" cm="1">
        <f t="array" ref="BP22">IF(AND(BP$2&lt;&gt;0,TblTech[[#This Row],[Hour]:[Hour]]&gt;=BP$2),1,0)</f>
        <v>0</v>
      </c>
      <c r="BQ22" s="304" cm="1">
        <f t="array" ref="BQ22">IF(AND(BQ$2&lt;&gt;0,TblTech[[#This Row],[Hour]:[Hour]]&gt;=BQ$2),1,0)</f>
        <v>0</v>
      </c>
      <c r="BR22" s="304" cm="1">
        <f t="array" ref="BR22">IF(AND(BR$2&lt;&gt;0,TblTech[[#This Row],[Hour]:[Hour]]&gt;=BR$2),1,0)</f>
        <v>0</v>
      </c>
      <c r="BS22" s="304" cm="1">
        <f t="array" ref="BS22">IF(AND(BS$2&lt;&gt;0,TblTech[[#This Row],[Hour]:[Hour]]&gt;=BS$2),1,0)</f>
        <v>0</v>
      </c>
      <c r="BT22" s="304" cm="1">
        <f t="array" ref="BT22">IF(AND(BT$2&lt;&gt;0,TblTech[[#This Row],[Hour]:[Hour]]&gt;=BT$2),1,0)</f>
        <v>0</v>
      </c>
      <c r="BU22" s="304" cm="1">
        <f t="array" ref="BU22">IF(AND(BU$2&lt;&gt;0,TblTech[[#This Row],[Hour]:[Hour]]&gt;=BU$2),1,0)</f>
        <v>0</v>
      </c>
      <c r="BV22" s="304" cm="1">
        <f t="array" ref="BV22">IF(AND(BV$2&lt;&gt;0,TblTech[[#This Row],[Hour]:[Hour]]&gt;=BV$2),1,0)</f>
        <v>0</v>
      </c>
      <c r="BW22" s="304" cm="1">
        <f t="array" ref="BW22">IF(AND(BW$2&lt;&gt;0,TblTech[[#This Row],[Hour]:[Hour]]&gt;=BW$2),1,0)</f>
        <v>0</v>
      </c>
      <c r="BX22" s="304" cm="1">
        <f t="array" ref="BX22">IF(AND(BX$2&lt;&gt;0,TblTech[[#This Row],[Hour]:[Hour]]&gt;=BX$2),1,0)</f>
        <v>0</v>
      </c>
      <c r="BY22" s="304" cm="1">
        <f t="array" ref="BY22">IF(AND(BY$2&lt;&gt;0,TblTech[[#This Row],[Hour]:[Hour]]&gt;=BY$2),1,0)</f>
        <v>0</v>
      </c>
      <c r="BZ22" s="304" cm="1">
        <f t="array" ref="BZ22">IF(AND(BZ$2&lt;&gt;0,TblTech[[#This Row],[Hour]:[Hour]]&gt;=BZ$2),1,0)</f>
        <v>0</v>
      </c>
      <c r="CA22" s="408">
        <f>IFERROR(INDEX($H$4:$H$79,MATCH(INDEX(TblTech[[#Headers],[1-1]:[11-1]],1,MATCH(TblTech[[#This Row],[Hour]],$M$2:$BZ$2,0)),$G$4:$G$79,0)),)</f>
        <v>0</v>
      </c>
    </row>
    <row r="23" spans="1:79" x14ac:dyDescent="0.2">
      <c r="A23" s="296">
        <f>TblRezone[[#This Row],[Hour]]</f>
        <v>20</v>
      </c>
      <c r="B23" s="297">
        <f ca="1">TblExplore[[#This Row],[Land-DB]]</f>
        <v>250</v>
      </c>
      <c r="C23" s="298">
        <f ca="1">TblProd[[#This Row],[Techpoints]]</f>
        <v>0</v>
      </c>
      <c r="D23" s="298">
        <f ca="1">TblProd[[#This Row],[Required]]</f>
        <v>3750</v>
      </c>
      <c r="E23" s="299"/>
      <c r="F23" s="300"/>
      <c r="G23" s="301" t="s">
        <v>574</v>
      </c>
      <c r="H23" s="302" t="s">
        <v>712</v>
      </c>
      <c r="I23" s="301" t="s">
        <v>757</v>
      </c>
      <c r="J23" s="297"/>
      <c r="K23" s="96">
        <f ca="1">IF(TblTech[[#This Row],[Sum of tech]]&lt;&gt;OFFSET(TblTech[[#This Row],[Sum of tech]],-1,0),1,0)</f>
        <v>0</v>
      </c>
      <c r="L23" s="303">
        <f>COUNTIF(TblTech[[#This Row],[1-1]:[11-1]],1)</f>
        <v>0</v>
      </c>
      <c r="M23" s="304" cm="1">
        <f t="array" ref="M23">IF(AND(M$2&lt;&gt;0,TblTech[[#This Row],[Hour]:[Hour]]&gt;=M$2),1,0)</f>
        <v>0</v>
      </c>
      <c r="N23" s="304" cm="1">
        <f t="array" ref="N23">IF(AND(N$2&lt;&gt;0,TblTech[[#This Row],[Hour]:[Hour]]&gt;=N$2),1,0)</f>
        <v>0</v>
      </c>
      <c r="O23" s="304" cm="1">
        <f t="array" ref="O23">IF(AND(O$2&lt;&gt;0,TblTech[[#This Row],[Hour]:[Hour]]&gt;=O$2),1,0)</f>
        <v>0</v>
      </c>
      <c r="P23" s="304" cm="1">
        <f t="array" ref="P23">IF(AND(P$2&lt;&gt;0,TblTech[[#This Row],[Hour]:[Hour]]&gt;=P$2),1,0)</f>
        <v>0</v>
      </c>
      <c r="Q23" s="304" cm="1">
        <f t="array" ref="Q23">IF(AND(Q$2&lt;&gt;0,TblTech[[#This Row],[Hour]:[Hour]]&gt;=Q$2),1,0)</f>
        <v>0</v>
      </c>
      <c r="R23" s="304" cm="1">
        <f t="array" ref="R23">IF(AND(R$2&lt;&gt;0,TblTech[[#This Row],[Hour]:[Hour]]&gt;=R$2),1,0)</f>
        <v>0</v>
      </c>
      <c r="S23" s="304" cm="1">
        <f t="array" ref="S23">IF(AND(S$2&lt;&gt;0,TblTech[[#This Row],[Hour]:[Hour]]&gt;=S$2),1,0)</f>
        <v>0</v>
      </c>
      <c r="T23" s="304" cm="1">
        <f t="array" ref="T23">IF(AND(T$2&lt;&gt;0,TblTech[[#This Row],[Hour]:[Hour]]&gt;=T$2),1,0)</f>
        <v>0</v>
      </c>
      <c r="U23" s="304" cm="1">
        <f t="array" ref="U23">IF(AND(U$2&lt;&gt;0,TblTech[[#This Row],[Hour]:[Hour]]&gt;=U$2),1,0)</f>
        <v>0</v>
      </c>
      <c r="V23" s="304" cm="1">
        <f t="array" ref="V23">IF(AND(V$2&lt;&gt;0,TblTech[[#This Row],[Hour]:[Hour]]&gt;=V$2),1,0)</f>
        <v>0</v>
      </c>
      <c r="W23" s="304" cm="1">
        <f t="array" ref="W23">IF(AND(W$2&lt;&gt;0,TblTech[[#This Row],[Hour]:[Hour]]&gt;=W$2),1,0)</f>
        <v>0</v>
      </c>
      <c r="X23" s="304" cm="1">
        <f t="array" ref="X23">IF(AND(X$2&lt;&gt;0,TblTech[[#This Row],[Hour]:[Hour]]&gt;=X$2),1,0)</f>
        <v>0</v>
      </c>
      <c r="Y23" s="304" cm="1">
        <f t="array" ref="Y23">IF(AND(Y$2&lt;&gt;0,TblTech[[#This Row],[Hour]:[Hour]]&gt;=Y$2),1,0)</f>
        <v>0</v>
      </c>
      <c r="Z23" s="304" cm="1">
        <f t="array" ref="Z23">IF(AND(Z$2&lt;&gt;0,TblTech[[#This Row],[Hour]:[Hour]]&gt;=Z$2),1,0)</f>
        <v>0</v>
      </c>
      <c r="AA23" s="304" cm="1">
        <f t="array" ref="AA23">IF(AND(AA$2&lt;&gt;0,TblTech[[#This Row],[Hour]:[Hour]]&gt;=AA$2),1,0)</f>
        <v>0</v>
      </c>
      <c r="AB23" s="304" cm="1">
        <f t="array" ref="AB23">IF(AND(AB$2&lt;&gt;0,TblTech[[#This Row],[Hour]:[Hour]]&gt;=AB$2),1,0)</f>
        <v>0</v>
      </c>
      <c r="AC23" s="304" cm="1">
        <f t="array" ref="AC23">IF(AND(AC$2&lt;&gt;0,TblTech[[#This Row],[Hour]:[Hour]]&gt;=AC$2),1,0)</f>
        <v>0</v>
      </c>
      <c r="AD23" s="304" cm="1">
        <f t="array" ref="AD23">IF(AND(AD$2&lt;&gt;0,TblTech[[#This Row],[Hour]:[Hour]]&gt;=AD$2),1,0)</f>
        <v>0</v>
      </c>
      <c r="AE23" s="304" cm="1">
        <f t="array" ref="AE23">IF(AND(AE$2&lt;&gt;0,TblTech[[#This Row],[Hour]:[Hour]]&gt;=AE$2),1,0)</f>
        <v>0</v>
      </c>
      <c r="AF23" s="304" cm="1">
        <f t="array" ref="AF23">IF(AND(AF$2&lt;&gt;0,TblTech[[#This Row],[Hour]:[Hour]]&gt;=AF$2),1,0)</f>
        <v>0</v>
      </c>
      <c r="AG23" s="304" cm="1">
        <f t="array" ref="AG23">IF(AND(AG$2&lt;&gt;0,TblTech[[#This Row],[Hour]:[Hour]]&gt;=AG$2),1,0)</f>
        <v>0</v>
      </c>
      <c r="AH23" s="304" cm="1">
        <f t="array" ref="AH23">IF(AND(AH$2&lt;&gt;0,TblTech[[#This Row],[Hour]:[Hour]]&gt;=AH$2),1,0)</f>
        <v>0</v>
      </c>
      <c r="AI23" s="304" cm="1">
        <f t="array" ref="AI23">IF(AND(AI$2&lt;&gt;0,TblTech[[#This Row],[Hour]:[Hour]]&gt;=AI$2),1,0)</f>
        <v>0</v>
      </c>
      <c r="AJ23" s="304" cm="1">
        <f t="array" ref="AJ23">IF(AND(AJ$2&lt;&gt;0,TblTech[[#This Row],[Hour]:[Hour]]&gt;=AJ$2),1,0)</f>
        <v>0</v>
      </c>
      <c r="AK23" s="304" cm="1">
        <f t="array" ref="AK23">IF(AND(AK$2&lt;&gt;0,TblTech[[#This Row],[Hour]:[Hour]]&gt;=AK$2),1,0)</f>
        <v>0</v>
      </c>
      <c r="AL23" s="304" cm="1">
        <f t="array" ref="AL23">IF(AND(AL$2&lt;&gt;0,TblTech[[#This Row],[Hour]:[Hour]]&gt;=AL$2),1,0)</f>
        <v>0</v>
      </c>
      <c r="AM23" s="304" cm="1">
        <f t="array" ref="AM23">IF(AND(AM$2&lt;&gt;0,TblTech[[#This Row],[Hour]:[Hour]]&gt;=AM$2),1,0)</f>
        <v>0</v>
      </c>
      <c r="AN23" s="304" cm="1">
        <f t="array" ref="AN23">IF(AND(AN$2&lt;&gt;0,TblTech[[#This Row],[Hour]:[Hour]]&gt;=AN$2),1,0)</f>
        <v>0</v>
      </c>
      <c r="AO23" s="304" cm="1">
        <f t="array" ref="AO23">IF(AND(AO$2&lt;&gt;0,TblTech[[#This Row],[Hour]:[Hour]]&gt;=AO$2),1,0)</f>
        <v>0</v>
      </c>
      <c r="AP23" s="304" cm="1">
        <f t="array" ref="AP23">IF(AND(AP$2&lt;&gt;0,TblTech[[#This Row],[Hour]:[Hour]]&gt;=AP$2),1,0)</f>
        <v>0</v>
      </c>
      <c r="AQ23" s="304" cm="1">
        <f t="array" ref="AQ23">IF(AND(AQ$2&lt;&gt;0,TblTech[[#This Row],[Hour]:[Hour]]&gt;=AQ$2),1,0)</f>
        <v>0</v>
      </c>
      <c r="AR23" s="304" cm="1">
        <f t="array" ref="AR23">IF(AND(AR$2&lt;&gt;0,TblTech[[#This Row],[Hour]:[Hour]]&gt;=AR$2),1,0)</f>
        <v>0</v>
      </c>
      <c r="AS23" s="304" cm="1">
        <f t="array" ref="AS23">IF(AND(AS$2&lt;&gt;0,TblTech[[#This Row],[Hour]:[Hour]]&gt;=AS$2),1,0)</f>
        <v>0</v>
      </c>
      <c r="AT23" s="304" cm="1">
        <f t="array" ref="AT23">IF(AND(AT$2&lt;&gt;0,TblTech[[#This Row],[Hour]:[Hour]]&gt;=AT$2),1,0)</f>
        <v>0</v>
      </c>
      <c r="AU23" s="304" cm="1">
        <f t="array" ref="AU23">IF(AND(AU$2&lt;&gt;0,TblTech[[#This Row],[Hour]:[Hour]]&gt;=AU$2),1,0)</f>
        <v>0</v>
      </c>
      <c r="AV23" s="304" cm="1">
        <f t="array" ref="AV23">IF(AND(AV$2&lt;&gt;0,TblTech[[#This Row],[Hour]:[Hour]]&gt;=AV$2),1,0)</f>
        <v>0</v>
      </c>
      <c r="AW23" s="304" cm="1">
        <f t="array" ref="AW23">IF(AND(AW$2&lt;&gt;0,TblTech[[#This Row],[Hour]:[Hour]]&gt;=AW$2),1,0)</f>
        <v>0</v>
      </c>
      <c r="AX23" s="304" cm="1">
        <f t="array" ref="AX23">IF(AND(AX$2&lt;&gt;0,TblTech[[#This Row],[Hour]:[Hour]]&gt;=AX$2),1,0)</f>
        <v>0</v>
      </c>
      <c r="AY23" s="304" cm="1">
        <f t="array" ref="AY23">IF(AND(AY$2&lt;&gt;0,TblTech[[#This Row],[Hour]:[Hour]]&gt;=AY$2),1,0)</f>
        <v>0</v>
      </c>
      <c r="AZ23" s="304" cm="1">
        <f t="array" ref="AZ23">IF(AND(AZ$2&lt;&gt;0,TblTech[[#This Row],[Hour]:[Hour]]&gt;=AZ$2),1,0)</f>
        <v>0</v>
      </c>
      <c r="BA23" s="304" cm="1">
        <f t="array" ref="BA23">IF(AND(BA$2&lt;&gt;0,TblTech[[#This Row],[Hour]:[Hour]]&gt;=BA$2),1,0)</f>
        <v>0</v>
      </c>
      <c r="BB23" s="304" cm="1">
        <f t="array" ref="BB23">IF(AND(BB$2&lt;&gt;0,TblTech[[#This Row],[Hour]:[Hour]]&gt;=BB$2),1,0)</f>
        <v>0</v>
      </c>
      <c r="BC23" s="304" cm="1">
        <f t="array" ref="BC23">IF(AND(BC$2&lt;&gt;0,TblTech[[#This Row],[Hour]:[Hour]]&gt;=BC$2),1,0)</f>
        <v>0</v>
      </c>
      <c r="BD23" s="304" cm="1">
        <f t="array" ref="BD23">IF(AND(BD$2&lt;&gt;0,TblTech[[#This Row],[Hour]:[Hour]]&gt;=BD$2),1,0)</f>
        <v>0</v>
      </c>
      <c r="BE23" s="304" cm="1">
        <f t="array" ref="BE23">IF(AND(BE$2&lt;&gt;0,TblTech[[#This Row],[Hour]:[Hour]]&gt;=BE$2),1,0)</f>
        <v>0</v>
      </c>
      <c r="BF23" s="304" cm="1">
        <f t="array" ref="BF23">IF(AND(BF$2&lt;&gt;0,TblTech[[#This Row],[Hour]:[Hour]]&gt;=BF$2),1,0)</f>
        <v>0</v>
      </c>
      <c r="BG23" s="304" cm="1">
        <f t="array" ref="BG23">IF(AND(BG$2&lt;&gt;0,TblTech[[#This Row],[Hour]:[Hour]]&gt;=BG$2),1,0)</f>
        <v>0</v>
      </c>
      <c r="BH23" s="304" cm="1">
        <f t="array" ref="BH23">IF(AND(BH$2&lt;&gt;0,TblTech[[#This Row],[Hour]:[Hour]]&gt;=BH$2),1,0)</f>
        <v>0</v>
      </c>
      <c r="BI23" s="304" cm="1">
        <f t="array" ref="BI23">IF(AND(BI$2&lt;&gt;0,TblTech[[#This Row],[Hour]:[Hour]]&gt;=BI$2),1,0)</f>
        <v>0</v>
      </c>
      <c r="BJ23" s="304" cm="1">
        <f t="array" ref="BJ23">IF(AND(BJ$2&lt;&gt;0,TblTech[[#This Row],[Hour]:[Hour]]&gt;=BJ$2),1,0)</f>
        <v>0</v>
      </c>
      <c r="BK23" s="304" cm="1">
        <f t="array" ref="BK23">IF(AND(BK$2&lt;&gt;0,TblTech[[#This Row],[Hour]:[Hour]]&gt;=BK$2),1,0)</f>
        <v>0</v>
      </c>
      <c r="BL23" s="304" cm="1">
        <f t="array" ref="BL23">IF(AND(BL$2&lt;&gt;0,TblTech[[#This Row],[Hour]:[Hour]]&gt;=BL$2),1,0)</f>
        <v>0</v>
      </c>
      <c r="BM23" s="304" cm="1">
        <f t="array" ref="BM23">IF(AND(BM$2&lt;&gt;0,TblTech[[#This Row],[Hour]:[Hour]]&gt;=BM$2),1,0)</f>
        <v>0</v>
      </c>
      <c r="BN23" s="304" cm="1">
        <f t="array" ref="BN23">IF(AND(BN$2&lt;&gt;0,TblTech[[#This Row],[Hour]:[Hour]]&gt;=BN$2),1,0)</f>
        <v>0</v>
      </c>
      <c r="BO23" s="304" cm="1">
        <f t="array" ref="BO23">IF(AND(BO$2&lt;&gt;0,TblTech[[#This Row],[Hour]:[Hour]]&gt;=BO$2),1,0)</f>
        <v>0</v>
      </c>
      <c r="BP23" s="304" cm="1">
        <f t="array" ref="BP23">IF(AND(BP$2&lt;&gt;0,TblTech[[#This Row],[Hour]:[Hour]]&gt;=BP$2),1,0)</f>
        <v>0</v>
      </c>
      <c r="BQ23" s="304" cm="1">
        <f t="array" ref="BQ23">IF(AND(BQ$2&lt;&gt;0,TblTech[[#This Row],[Hour]:[Hour]]&gt;=BQ$2),1,0)</f>
        <v>0</v>
      </c>
      <c r="BR23" s="304" cm="1">
        <f t="array" ref="BR23">IF(AND(BR$2&lt;&gt;0,TblTech[[#This Row],[Hour]:[Hour]]&gt;=BR$2),1,0)</f>
        <v>0</v>
      </c>
      <c r="BS23" s="304" cm="1">
        <f t="array" ref="BS23">IF(AND(BS$2&lt;&gt;0,TblTech[[#This Row],[Hour]:[Hour]]&gt;=BS$2),1,0)</f>
        <v>0</v>
      </c>
      <c r="BT23" s="304" cm="1">
        <f t="array" ref="BT23">IF(AND(BT$2&lt;&gt;0,TblTech[[#This Row],[Hour]:[Hour]]&gt;=BT$2),1,0)</f>
        <v>0</v>
      </c>
      <c r="BU23" s="304" cm="1">
        <f t="array" ref="BU23">IF(AND(BU$2&lt;&gt;0,TblTech[[#This Row],[Hour]:[Hour]]&gt;=BU$2),1,0)</f>
        <v>0</v>
      </c>
      <c r="BV23" s="304" cm="1">
        <f t="array" ref="BV23">IF(AND(BV$2&lt;&gt;0,TblTech[[#This Row],[Hour]:[Hour]]&gt;=BV$2),1,0)</f>
        <v>0</v>
      </c>
      <c r="BW23" s="304" cm="1">
        <f t="array" ref="BW23">IF(AND(BW$2&lt;&gt;0,TblTech[[#This Row],[Hour]:[Hour]]&gt;=BW$2),1,0)</f>
        <v>0</v>
      </c>
      <c r="BX23" s="304" cm="1">
        <f t="array" ref="BX23">IF(AND(BX$2&lt;&gt;0,TblTech[[#This Row],[Hour]:[Hour]]&gt;=BX$2),1,0)</f>
        <v>0</v>
      </c>
      <c r="BY23" s="304" cm="1">
        <f t="array" ref="BY23">IF(AND(BY$2&lt;&gt;0,TblTech[[#This Row],[Hour]:[Hour]]&gt;=BY$2),1,0)</f>
        <v>0</v>
      </c>
      <c r="BZ23" s="304" cm="1">
        <f t="array" ref="BZ23">IF(AND(BZ$2&lt;&gt;0,TblTech[[#This Row],[Hour]:[Hour]]&gt;=BZ$2),1,0)</f>
        <v>0</v>
      </c>
      <c r="CA23" s="408">
        <f>IFERROR(INDEX($H$4:$H$79,MATCH(INDEX(TblTech[[#Headers],[1-1]:[11-1]],1,MATCH(TblTech[[#This Row],[Hour]],$M$2:$BZ$2,0)),$G$4:$G$79,0)),)</f>
        <v>0</v>
      </c>
    </row>
    <row r="24" spans="1:79" x14ac:dyDescent="0.2">
      <c r="A24" s="296">
        <f>TblRezone[[#This Row],[Hour]]</f>
        <v>21</v>
      </c>
      <c r="B24" s="297">
        <f ca="1">TblExplore[[#This Row],[Land-DB]]</f>
        <v>250</v>
      </c>
      <c r="C24" s="298">
        <f ca="1">TblProd[[#This Row],[Techpoints]]</f>
        <v>0</v>
      </c>
      <c r="D24" s="298">
        <f ca="1">TblProd[[#This Row],[Required]]</f>
        <v>3750</v>
      </c>
      <c r="E24" s="299"/>
      <c r="F24" s="300"/>
      <c r="G24" s="301" t="s">
        <v>575</v>
      </c>
      <c r="H24" s="302" t="s">
        <v>713</v>
      </c>
      <c r="I24" s="301" t="s">
        <v>758</v>
      </c>
      <c r="J24" s="297"/>
      <c r="K24" s="96">
        <f ca="1">IF(TblTech[[#This Row],[Sum of tech]]&lt;&gt;OFFSET(TblTech[[#This Row],[Sum of tech]],-1,0),1,0)</f>
        <v>0</v>
      </c>
      <c r="L24" s="303">
        <f>COUNTIF(TblTech[[#This Row],[1-1]:[11-1]],1)</f>
        <v>0</v>
      </c>
      <c r="M24" s="304" cm="1">
        <f t="array" ref="M24">IF(AND(M$2&lt;&gt;0,TblTech[[#This Row],[Hour]:[Hour]]&gt;=M$2),1,0)</f>
        <v>0</v>
      </c>
      <c r="N24" s="304" cm="1">
        <f t="array" ref="N24">IF(AND(N$2&lt;&gt;0,TblTech[[#This Row],[Hour]:[Hour]]&gt;=N$2),1,0)</f>
        <v>0</v>
      </c>
      <c r="O24" s="304" cm="1">
        <f t="array" ref="O24">IF(AND(O$2&lt;&gt;0,TblTech[[#This Row],[Hour]:[Hour]]&gt;=O$2),1,0)</f>
        <v>0</v>
      </c>
      <c r="P24" s="304" cm="1">
        <f t="array" ref="P24">IF(AND(P$2&lt;&gt;0,TblTech[[#This Row],[Hour]:[Hour]]&gt;=P$2),1,0)</f>
        <v>0</v>
      </c>
      <c r="Q24" s="304" cm="1">
        <f t="array" ref="Q24">IF(AND(Q$2&lt;&gt;0,TblTech[[#This Row],[Hour]:[Hour]]&gt;=Q$2),1,0)</f>
        <v>0</v>
      </c>
      <c r="R24" s="304" cm="1">
        <f t="array" ref="R24">IF(AND(R$2&lt;&gt;0,TblTech[[#This Row],[Hour]:[Hour]]&gt;=R$2),1,0)</f>
        <v>0</v>
      </c>
      <c r="S24" s="304" cm="1">
        <f t="array" ref="S24">IF(AND(S$2&lt;&gt;0,TblTech[[#This Row],[Hour]:[Hour]]&gt;=S$2),1,0)</f>
        <v>0</v>
      </c>
      <c r="T24" s="304" cm="1">
        <f t="array" ref="T24">IF(AND(T$2&lt;&gt;0,TblTech[[#This Row],[Hour]:[Hour]]&gt;=T$2),1,0)</f>
        <v>0</v>
      </c>
      <c r="U24" s="304" cm="1">
        <f t="array" ref="U24">IF(AND(U$2&lt;&gt;0,TblTech[[#This Row],[Hour]:[Hour]]&gt;=U$2),1,0)</f>
        <v>0</v>
      </c>
      <c r="V24" s="304" cm="1">
        <f t="array" ref="V24">IF(AND(V$2&lt;&gt;0,TblTech[[#This Row],[Hour]:[Hour]]&gt;=V$2),1,0)</f>
        <v>0</v>
      </c>
      <c r="W24" s="304" cm="1">
        <f t="array" ref="W24">IF(AND(W$2&lt;&gt;0,TblTech[[#This Row],[Hour]:[Hour]]&gt;=W$2),1,0)</f>
        <v>0</v>
      </c>
      <c r="X24" s="304" cm="1">
        <f t="array" ref="X24">IF(AND(X$2&lt;&gt;0,TblTech[[#This Row],[Hour]:[Hour]]&gt;=X$2),1,0)</f>
        <v>0</v>
      </c>
      <c r="Y24" s="304" cm="1">
        <f t="array" ref="Y24">IF(AND(Y$2&lt;&gt;0,TblTech[[#This Row],[Hour]:[Hour]]&gt;=Y$2),1,0)</f>
        <v>0</v>
      </c>
      <c r="Z24" s="304" cm="1">
        <f t="array" ref="Z24">IF(AND(Z$2&lt;&gt;0,TblTech[[#This Row],[Hour]:[Hour]]&gt;=Z$2),1,0)</f>
        <v>0</v>
      </c>
      <c r="AA24" s="304" cm="1">
        <f t="array" ref="AA24">IF(AND(AA$2&lt;&gt;0,TblTech[[#This Row],[Hour]:[Hour]]&gt;=AA$2),1,0)</f>
        <v>0</v>
      </c>
      <c r="AB24" s="304" cm="1">
        <f t="array" ref="AB24">IF(AND(AB$2&lt;&gt;0,TblTech[[#This Row],[Hour]:[Hour]]&gt;=AB$2),1,0)</f>
        <v>0</v>
      </c>
      <c r="AC24" s="304" cm="1">
        <f t="array" ref="AC24">IF(AND(AC$2&lt;&gt;0,TblTech[[#This Row],[Hour]:[Hour]]&gt;=AC$2),1,0)</f>
        <v>0</v>
      </c>
      <c r="AD24" s="304" cm="1">
        <f t="array" ref="AD24">IF(AND(AD$2&lt;&gt;0,TblTech[[#This Row],[Hour]:[Hour]]&gt;=AD$2),1,0)</f>
        <v>0</v>
      </c>
      <c r="AE24" s="304" cm="1">
        <f t="array" ref="AE24">IF(AND(AE$2&lt;&gt;0,TblTech[[#This Row],[Hour]:[Hour]]&gt;=AE$2),1,0)</f>
        <v>0</v>
      </c>
      <c r="AF24" s="304" cm="1">
        <f t="array" ref="AF24">IF(AND(AF$2&lt;&gt;0,TblTech[[#This Row],[Hour]:[Hour]]&gt;=AF$2),1,0)</f>
        <v>0</v>
      </c>
      <c r="AG24" s="304" cm="1">
        <f t="array" ref="AG24">IF(AND(AG$2&lt;&gt;0,TblTech[[#This Row],[Hour]:[Hour]]&gt;=AG$2),1,0)</f>
        <v>0</v>
      </c>
      <c r="AH24" s="304" cm="1">
        <f t="array" ref="AH24">IF(AND(AH$2&lt;&gt;0,TblTech[[#This Row],[Hour]:[Hour]]&gt;=AH$2),1,0)</f>
        <v>0</v>
      </c>
      <c r="AI24" s="304" cm="1">
        <f t="array" ref="AI24">IF(AND(AI$2&lt;&gt;0,TblTech[[#This Row],[Hour]:[Hour]]&gt;=AI$2),1,0)</f>
        <v>0</v>
      </c>
      <c r="AJ24" s="304" cm="1">
        <f t="array" ref="AJ24">IF(AND(AJ$2&lt;&gt;0,TblTech[[#This Row],[Hour]:[Hour]]&gt;=AJ$2),1,0)</f>
        <v>0</v>
      </c>
      <c r="AK24" s="304" cm="1">
        <f t="array" ref="AK24">IF(AND(AK$2&lt;&gt;0,TblTech[[#This Row],[Hour]:[Hour]]&gt;=AK$2),1,0)</f>
        <v>0</v>
      </c>
      <c r="AL24" s="304" cm="1">
        <f t="array" ref="AL24">IF(AND(AL$2&lt;&gt;0,TblTech[[#This Row],[Hour]:[Hour]]&gt;=AL$2),1,0)</f>
        <v>0</v>
      </c>
      <c r="AM24" s="304" cm="1">
        <f t="array" ref="AM24">IF(AND(AM$2&lt;&gt;0,TblTech[[#This Row],[Hour]:[Hour]]&gt;=AM$2),1,0)</f>
        <v>0</v>
      </c>
      <c r="AN24" s="304" cm="1">
        <f t="array" ref="AN24">IF(AND(AN$2&lt;&gt;0,TblTech[[#This Row],[Hour]:[Hour]]&gt;=AN$2),1,0)</f>
        <v>0</v>
      </c>
      <c r="AO24" s="304" cm="1">
        <f t="array" ref="AO24">IF(AND(AO$2&lt;&gt;0,TblTech[[#This Row],[Hour]:[Hour]]&gt;=AO$2),1,0)</f>
        <v>0</v>
      </c>
      <c r="AP24" s="304" cm="1">
        <f t="array" ref="AP24">IF(AND(AP$2&lt;&gt;0,TblTech[[#This Row],[Hour]:[Hour]]&gt;=AP$2),1,0)</f>
        <v>0</v>
      </c>
      <c r="AQ24" s="304" cm="1">
        <f t="array" ref="AQ24">IF(AND(AQ$2&lt;&gt;0,TblTech[[#This Row],[Hour]:[Hour]]&gt;=AQ$2),1,0)</f>
        <v>0</v>
      </c>
      <c r="AR24" s="304" cm="1">
        <f t="array" ref="AR24">IF(AND(AR$2&lt;&gt;0,TblTech[[#This Row],[Hour]:[Hour]]&gt;=AR$2),1,0)</f>
        <v>0</v>
      </c>
      <c r="AS24" s="304" cm="1">
        <f t="array" ref="AS24">IF(AND(AS$2&lt;&gt;0,TblTech[[#This Row],[Hour]:[Hour]]&gt;=AS$2),1,0)</f>
        <v>0</v>
      </c>
      <c r="AT24" s="304" cm="1">
        <f t="array" ref="AT24">IF(AND(AT$2&lt;&gt;0,TblTech[[#This Row],[Hour]:[Hour]]&gt;=AT$2),1,0)</f>
        <v>0</v>
      </c>
      <c r="AU24" s="304" cm="1">
        <f t="array" ref="AU24">IF(AND(AU$2&lt;&gt;0,TblTech[[#This Row],[Hour]:[Hour]]&gt;=AU$2),1,0)</f>
        <v>0</v>
      </c>
      <c r="AV24" s="304" cm="1">
        <f t="array" ref="AV24">IF(AND(AV$2&lt;&gt;0,TblTech[[#This Row],[Hour]:[Hour]]&gt;=AV$2),1,0)</f>
        <v>0</v>
      </c>
      <c r="AW24" s="304" cm="1">
        <f t="array" ref="AW24">IF(AND(AW$2&lt;&gt;0,TblTech[[#This Row],[Hour]:[Hour]]&gt;=AW$2),1,0)</f>
        <v>0</v>
      </c>
      <c r="AX24" s="304" cm="1">
        <f t="array" ref="AX24">IF(AND(AX$2&lt;&gt;0,TblTech[[#This Row],[Hour]:[Hour]]&gt;=AX$2),1,0)</f>
        <v>0</v>
      </c>
      <c r="AY24" s="304" cm="1">
        <f t="array" ref="AY24">IF(AND(AY$2&lt;&gt;0,TblTech[[#This Row],[Hour]:[Hour]]&gt;=AY$2),1,0)</f>
        <v>0</v>
      </c>
      <c r="AZ24" s="304" cm="1">
        <f t="array" ref="AZ24">IF(AND(AZ$2&lt;&gt;0,TblTech[[#This Row],[Hour]:[Hour]]&gt;=AZ$2),1,0)</f>
        <v>0</v>
      </c>
      <c r="BA24" s="304" cm="1">
        <f t="array" ref="BA24">IF(AND(BA$2&lt;&gt;0,TblTech[[#This Row],[Hour]:[Hour]]&gt;=BA$2),1,0)</f>
        <v>0</v>
      </c>
      <c r="BB24" s="304" cm="1">
        <f t="array" ref="BB24">IF(AND(BB$2&lt;&gt;0,TblTech[[#This Row],[Hour]:[Hour]]&gt;=BB$2),1,0)</f>
        <v>0</v>
      </c>
      <c r="BC24" s="304" cm="1">
        <f t="array" ref="BC24">IF(AND(BC$2&lt;&gt;0,TblTech[[#This Row],[Hour]:[Hour]]&gt;=BC$2),1,0)</f>
        <v>0</v>
      </c>
      <c r="BD24" s="304" cm="1">
        <f t="array" ref="BD24">IF(AND(BD$2&lt;&gt;0,TblTech[[#This Row],[Hour]:[Hour]]&gt;=BD$2),1,0)</f>
        <v>0</v>
      </c>
      <c r="BE24" s="304" cm="1">
        <f t="array" ref="BE24">IF(AND(BE$2&lt;&gt;0,TblTech[[#This Row],[Hour]:[Hour]]&gt;=BE$2),1,0)</f>
        <v>0</v>
      </c>
      <c r="BF24" s="304" cm="1">
        <f t="array" ref="BF24">IF(AND(BF$2&lt;&gt;0,TblTech[[#This Row],[Hour]:[Hour]]&gt;=BF$2),1,0)</f>
        <v>0</v>
      </c>
      <c r="BG24" s="304" cm="1">
        <f t="array" ref="BG24">IF(AND(BG$2&lt;&gt;0,TblTech[[#This Row],[Hour]:[Hour]]&gt;=BG$2),1,0)</f>
        <v>0</v>
      </c>
      <c r="BH24" s="304" cm="1">
        <f t="array" ref="BH24">IF(AND(BH$2&lt;&gt;0,TblTech[[#This Row],[Hour]:[Hour]]&gt;=BH$2),1,0)</f>
        <v>0</v>
      </c>
      <c r="BI24" s="304" cm="1">
        <f t="array" ref="BI24">IF(AND(BI$2&lt;&gt;0,TblTech[[#This Row],[Hour]:[Hour]]&gt;=BI$2),1,0)</f>
        <v>0</v>
      </c>
      <c r="BJ24" s="304" cm="1">
        <f t="array" ref="BJ24">IF(AND(BJ$2&lt;&gt;0,TblTech[[#This Row],[Hour]:[Hour]]&gt;=BJ$2),1,0)</f>
        <v>0</v>
      </c>
      <c r="BK24" s="304" cm="1">
        <f t="array" ref="BK24">IF(AND(BK$2&lt;&gt;0,TblTech[[#This Row],[Hour]:[Hour]]&gt;=BK$2),1,0)</f>
        <v>0</v>
      </c>
      <c r="BL24" s="304" cm="1">
        <f t="array" ref="BL24">IF(AND(BL$2&lt;&gt;0,TblTech[[#This Row],[Hour]:[Hour]]&gt;=BL$2),1,0)</f>
        <v>0</v>
      </c>
      <c r="BM24" s="304" cm="1">
        <f t="array" ref="BM24">IF(AND(BM$2&lt;&gt;0,TblTech[[#This Row],[Hour]:[Hour]]&gt;=BM$2),1,0)</f>
        <v>0</v>
      </c>
      <c r="BN24" s="304" cm="1">
        <f t="array" ref="BN24">IF(AND(BN$2&lt;&gt;0,TblTech[[#This Row],[Hour]:[Hour]]&gt;=BN$2),1,0)</f>
        <v>0</v>
      </c>
      <c r="BO24" s="304" cm="1">
        <f t="array" ref="BO24">IF(AND(BO$2&lt;&gt;0,TblTech[[#This Row],[Hour]:[Hour]]&gt;=BO$2),1,0)</f>
        <v>0</v>
      </c>
      <c r="BP24" s="304" cm="1">
        <f t="array" ref="BP24">IF(AND(BP$2&lt;&gt;0,TblTech[[#This Row],[Hour]:[Hour]]&gt;=BP$2),1,0)</f>
        <v>0</v>
      </c>
      <c r="BQ24" s="304" cm="1">
        <f t="array" ref="BQ24">IF(AND(BQ$2&lt;&gt;0,TblTech[[#This Row],[Hour]:[Hour]]&gt;=BQ$2),1,0)</f>
        <v>0</v>
      </c>
      <c r="BR24" s="304" cm="1">
        <f t="array" ref="BR24">IF(AND(BR$2&lt;&gt;0,TblTech[[#This Row],[Hour]:[Hour]]&gt;=BR$2),1,0)</f>
        <v>0</v>
      </c>
      <c r="BS24" s="304" cm="1">
        <f t="array" ref="BS24">IF(AND(BS$2&lt;&gt;0,TblTech[[#This Row],[Hour]:[Hour]]&gt;=BS$2),1,0)</f>
        <v>0</v>
      </c>
      <c r="BT24" s="304" cm="1">
        <f t="array" ref="BT24">IF(AND(BT$2&lt;&gt;0,TblTech[[#This Row],[Hour]:[Hour]]&gt;=BT$2),1,0)</f>
        <v>0</v>
      </c>
      <c r="BU24" s="304" cm="1">
        <f t="array" ref="BU24">IF(AND(BU$2&lt;&gt;0,TblTech[[#This Row],[Hour]:[Hour]]&gt;=BU$2),1,0)</f>
        <v>0</v>
      </c>
      <c r="BV24" s="304" cm="1">
        <f t="array" ref="BV24">IF(AND(BV$2&lt;&gt;0,TblTech[[#This Row],[Hour]:[Hour]]&gt;=BV$2),1,0)</f>
        <v>0</v>
      </c>
      <c r="BW24" s="304" cm="1">
        <f t="array" ref="BW24">IF(AND(BW$2&lt;&gt;0,TblTech[[#This Row],[Hour]:[Hour]]&gt;=BW$2),1,0)</f>
        <v>0</v>
      </c>
      <c r="BX24" s="304" cm="1">
        <f t="array" ref="BX24">IF(AND(BX$2&lt;&gt;0,TblTech[[#This Row],[Hour]:[Hour]]&gt;=BX$2),1,0)</f>
        <v>0</v>
      </c>
      <c r="BY24" s="304" cm="1">
        <f t="array" ref="BY24">IF(AND(BY$2&lt;&gt;0,TblTech[[#This Row],[Hour]:[Hour]]&gt;=BY$2),1,0)</f>
        <v>0</v>
      </c>
      <c r="BZ24" s="304" cm="1">
        <f t="array" ref="BZ24">IF(AND(BZ$2&lt;&gt;0,TblTech[[#This Row],[Hour]:[Hour]]&gt;=BZ$2),1,0)</f>
        <v>0</v>
      </c>
      <c r="CA24" s="408">
        <f>IFERROR(INDEX($H$4:$H$79,MATCH(INDEX(TblTech[[#Headers],[1-1]:[11-1]],1,MATCH(TblTech[[#This Row],[Hour]],$M$2:$BZ$2,0)),$G$4:$G$79,0)),)</f>
        <v>0</v>
      </c>
    </row>
    <row r="25" spans="1:79" x14ac:dyDescent="0.2">
      <c r="A25" s="296">
        <f>TblRezone[[#This Row],[Hour]]</f>
        <v>22</v>
      </c>
      <c r="B25" s="297">
        <f ca="1">TblExplore[[#This Row],[Land-DB]]</f>
        <v>250</v>
      </c>
      <c r="C25" s="298">
        <f ca="1">TblProd[[#This Row],[Techpoints]]</f>
        <v>0</v>
      </c>
      <c r="D25" s="298">
        <f ca="1">TblProd[[#This Row],[Required]]</f>
        <v>3750</v>
      </c>
      <c r="E25" s="299"/>
      <c r="F25" s="300"/>
      <c r="G25" s="301" t="s">
        <v>576</v>
      </c>
      <c r="H25" s="302" t="s">
        <v>714</v>
      </c>
      <c r="I25" s="301" t="s">
        <v>577</v>
      </c>
      <c r="J25" s="297"/>
      <c r="K25" s="96">
        <f ca="1">IF(TblTech[[#This Row],[Sum of tech]]&lt;&gt;OFFSET(TblTech[[#This Row],[Sum of tech]],-1,0),1,0)</f>
        <v>0</v>
      </c>
      <c r="L25" s="303">
        <f>COUNTIF(TblTech[[#This Row],[1-1]:[11-1]],1)</f>
        <v>0</v>
      </c>
      <c r="M25" s="304" cm="1">
        <f t="array" ref="M25">IF(AND(M$2&lt;&gt;0,TblTech[[#This Row],[Hour]:[Hour]]&gt;=M$2),1,0)</f>
        <v>0</v>
      </c>
      <c r="N25" s="304" cm="1">
        <f t="array" ref="N25">IF(AND(N$2&lt;&gt;0,TblTech[[#This Row],[Hour]:[Hour]]&gt;=N$2),1,0)</f>
        <v>0</v>
      </c>
      <c r="O25" s="304" cm="1">
        <f t="array" ref="O25">IF(AND(O$2&lt;&gt;0,TblTech[[#This Row],[Hour]:[Hour]]&gt;=O$2),1,0)</f>
        <v>0</v>
      </c>
      <c r="P25" s="304" cm="1">
        <f t="array" ref="P25">IF(AND(P$2&lt;&gt;0,TblTech[[#This Row],[Hour]:[Hour]]&gt;=P$2),1,0)</f>
        <v>0</v>
      </c>
      <c r="Q25" s="304" cm="1">
        <f t="array" ref="Q25">IF(AND(Q$2&lt;&gt;0,TblTech[[#This Row],[Hour]:[Hour]]&gt;=Q$2),1,0)</f>
        <v>0</v>
      </c>
      <c r="R25" s="304" cm="1">
        <f t="array" ref="R25">IF(AND(R$2&lt;&gt;0,TblTech[[#This Row],[Hour]:[Hour]]&gt;=R$2),1,0)</f>
        <v>0</v>
      </c>
      <c r="S25" s="304" cm="1">
        <f t="array" ref="S25">IF(AND(S$2&lt;&gt;0,TblTech[[#This Row],[Hour]:[Hour]]&gt;=S$2),1,0)</f>
        <v>0</v>
      </c>
      <c r="T25" s="304" cm="1">
        <f t="array" ref="T25">IF(AND(T$2&lt;&gt;0,TblTech[[#This Row],[Hour]:[Hour]]&gt;=T$2),1,0)</f>
        <v>0</v>
      </c>
      <c r="U25" s="304" cm="1">
        <f t="array" ref="U25">IF(AND(U$2&lt;&gt;0,TblTech[[#This Row],[Hour]:[Hour]]&gt;=U$2),1,0)</f>
        <v>0</v>
      </c>
      <c r="V25" s="304" cm="1">
        <f t="array" ref="V25">IF(AND(V$2&lt;&gt;0,TblTech[[#This Row],[Hour]:[Hour]]&gt;=V$2),1,0)</f>
        <v>0</v>
      </c>
      <c r="W25" s="304" cm="1">
        <f t="array" ref="W25">IF(AND(W$2&lt;&gt;0,TblTech[[#This Row],[Hour]:[Hour]]&gt;=W$2),1,0)</f>
        <v>0</v>
      </c>
      <c r="X25" s="304" cm="1">
        <f t="array" ref="X25">IF(AND(X$2&lt;&gt;0,TblTech[[#This Row],[Hour]:[Hour]]&gt;=X$2),1,0)</f>
        <v>0</v>
      </c>
      <c r="Y25" s="304" cm="1">
        <f t="array" ref="Y25">IF(AND(Y$2&lt;&gt;0,TblTech[[#This Row],[Hour]:[Hour]]&gt;=Y$2),1,0)</f>
        <v>0</v>
      </c>
      <c r="Z25" s="304" cm="1">
        <f t="array" ref="Z25">IF(AND(Z$2&lt;&gt;0,TblTech[[#This Row],[Hour]:[Hour]]&gt;=Z$2),1,0)</f>
        <v>0</v>
      </c>
      <c r="AA25" s="304" cm="1">
        <f t="array" ref="AA25">IF(AND(AA$2&lt;&gt;0,TblTech[[#This Row],[Hour]:[Hour]]&gt;=AA$2),1,0)</f>
        <v>0</v>
      </c>
      <c r="AB25" s="304" cm="1">
        <f t="array" ref="AB25">IF(AND(AB$2&lt;&gt;0,TblTech[[#This Row],[Hour]:[Hour]]&gt;=AB$2),1,0)</f>
        <v>0</v>
      </c>
      <c r="AC25" s="304" cm="1">
        <f t="array" ref="AC25">IF(AND(AC$2&lt;&gt;0,TblTech[[#This Row],[Hour]:[Hour]]&gt;=AC$2),1,0)</f>
        <v>0</v>
      </c>
      <c r="AD25" s="304" cm="1">
        <f t="array" ref="AD25">IF(AND(AD$2&lt;&gt;0,TblTech[[#This Row],[Hour]:[Hour]]&gt;=AD$2),1,0)</f>
        <v>0</v>
      </c>
      <c r="AE25" s="304" cm="1">
        <f t="array" ref="AE25">IF(AND(AE$2&lt;&gt;0,TblTech[[#This Row],[Hour]:[Hour]]&gt;=AE$2),1,0)</f>
        <v>0</v>
      </c>
      <c r="AF25" s="304" cm="1">
        <f t="array" ref="AF25">IF(AND(AF$2&lt;&gt;0,TblTech[[#This Row],[Hour]:[Hour]]&gt;=AF$2),1,0)</f>
        <v>0</v>
      </c>
      <c r="AG25" s="304" cm="1">
        <f t="array" ref="AG25">IF(AND(AG$2&lt;&gt;0,TblTech[[#This Row],[Hour]:[Hour]]&gt;=AG$2),1,0)</f>
        <v>0</v>
      </c>
      <c r="AH25" s="304" cm="1">
        <f t="array" ref="AH25">IF(AND(AH$2&lt;&gt;0,TblTech[[#This Row],[Hour]:[Hour]]&gt;=AH$2),1,0)</f>
        <v>0</v>
      </c>
      <c r="AI25" s="304" cm="1">
        <f t="array" ref="AI25">IF(AND(AI$2&lt;&gt;0,TblTech[[#This Row],[Hour]:[Hour]]&gt;=AI$2),1,0)</f>
        <v>0</v>
      </c>
      <c r="AJ25" s="304" cm="1">
        <f t="array" ref="AJ25">IF(AND(AJ$2&lt;&gt;0,TblTech[[#This Row],[Hour]:[Hour]]&gt;=AJ$2),1,0)</f>
        <v>0</v>
      </c>
      <c r="AK25" s="304" cm="1">
        <f t="array" ref="AK25">IF(AND(AK$2&lt;&gt;0,TblTech[[#This Row],[Hour]:[Hour]]&gt;=AK$2),1,0)</f>
        <v>0</v>
      </c>
      <c r="AL25" s="304" cm="1">
        <f t="array" ref="AL25">IF(AND(AL$2&lt;&gt;0,TblTech[[#This Row],[Hour]:[Hour]]&gt;=AL$2),1,0)</f>
        <v>0</v>
      </c>
      <c r="AM25" s="304" cm="1">
        <f t="array" ref="AM25">IF(AND(AM$2&lt;&gt;0,TblTech[[#This Row],[Hour]:[Hour]]&gt;=AM$2),1,0)</f>
        <v>0</v>
      </c>
      <c r="AN25" s="304" cm="1">
        <f t="array" ref="AN25">IF(AND(AN$2&lt;&gt;0,TblTech[[#This Row],[Hour]:[Hour]]&gt;=AN$2),1,0)</f>
        <v>0</v>
      </c>
      <c r="AO25" s="304" cm="1">
        <f t="array" ref="AO25">IF(AND(AO$2&lt;&gt;0,TblTech[[#This Row],[Hour]:[Hour]]&gt;=AO$2),1,0)</f>
        <v>0</v>
      </c>
      <c r="AP25" s="304" cm="1">
        <f t="array" ref="AP25">IF(AND(AP$2&lt;&gt;0,TblTech[[#This Row],[Hour]:[Hour]]&gt;=AP$2),1,0)</f>
        <v>0</v>
      </c>
      <c r="AQ25" s="304" cm="1">
        <f t="array" ref="AQ25">IF(AND(AQ$2&lt;&gt;0,TblTech[[#This Row],[Hour]:[Hour]]&gt;=AQ$2),1,0)</f>
        <v>0</v>
      </c>
      <c r="AR25" s="304" cm="1">
        <f t="array" ref="AR25">IF(AND(AR$2&lt;&gt;0,TblTech[[#This Row],[Hour]:[Hour]]&gt;=AR$2),1,0)</f>
        <v>0</v>
      </c>
      <c r="AS25" s="304" cm="1">
        <f t="array" ref="AS25">IF(AND(AS$2&lt;&gt;0,TblTech[[#This Row],[Hour]:[Hour]]&gt;=AS$2),1,0)</f>
        <v>0</v>
      </c>
      <c r="AT25" s="304" cm="1">
        <f t="array" ref="AT25">IF(AND(AT$2&lt;&gt;0,TblTech[[#This Row],[Hour]:[Hour]]&gt;=AT$2),1,0)</f>
        <v>0</v>
      </c>
      <c r="AU25" s="304" cm="1">
        <f t="array" ref="AU25">IF(AND(AU$2&lt;&gt;0,TblTech[[#This Row],[Hour]:[Hour]]&gt;=AU$2),1,0)</f>
        <v>0</v>
      </c>
      <c r="AV25" s="304" cm="1">
        <f t="array" ref="AV25">IF(AND(AV$2&lt;&gt;0,TblTech[[#This Row],[Hour]:[Hour]]&gt;=AV$2),1,0)</f>
        <v>0</v>
      </c>
      <c r="AW25" s="304" cm="1">
        <f t="array" ref="AW25">IF(AND(AW$2&lt;&gt;0,TblTech[[#This Row],[Hour]:[Hour]]&gt;=AW$2),1,0)</f>
        <v>0</v>
      </c>
      <c r="AX25" s="304" cm="1">
        <f t="array" ref="AX25">IF(AND(AX$2&lt;&gt;0,TblTech[[#This Row],[Hour]:[Hour]]&gt;=AX$2),1,0)</f>
        <v>0</v>
      </c>
      <c r="AY25" s="304" cm="1">
        <f t="array" ref="AY25">IF(AND(AY$2&lt;&gt;0,TblTech[[#This Row],[Hour]:[Hour]]&gt;=AY$2),1,0)</f>
        <v>0</v>
      </c>
      <c r="AZ25" s="304" cm="1">
        <f t="array" ref="AZ25">IF(AND(AZ$2&lt;&gt;0,TblTech[[#This Row],[Hour]:[Hour]]&gt;=AZ$2),1,0)</f>
        <v>0</v>
      </c>
      <c r="BA25" s="304" cm="1">
        <f t="array" ref="BA25">IF(AND(BA$2&lt;&gt;0,TblTech[[#This Row],[Hour]:[Hour]]&gt;=BA$2),1,0)</f>
        <v>0</v>
      </c>
      <c r="BB25" s="304" cm="1">
        <f t="array" ref="BB25">IF(AND(BB$2&lt;&gt;0,TblTech[[#This Row],[Hour]:[Hour]]&gt;=BB$2),1,0)</f>
        <v>0</v>
      </c>
      <c r="BC25" s="304" cm="1">
        <f t="array" ref="BC25">IF(AND(BC$2&lt;&gt;0,TblTech[[#This Row],[Hour]:[Hour]]&gt;=BC$2),1,0)</f>
        <v>0</v>
      </c>
      <c r="BD25" s="304" cm="1">
        <f t="array" ref="BD25">IF(AND(BD$2&lt;&gt;0,TblTech[[#This Row],[Hour]:[Hour]]&gt;=BD$2),1,0)</f>
        <v>0</v>
      </c>
      <c r="BE25" s="304" cm="1">
        <f t="array" ref="BE25">IF(AND(BE$2&lt;&gt;0,TblTech[[#This Row],[Hour]:[Hour]]&gt;=BE$2),1,0)</f>
        <v>0</v>
      </c>
      <c r="BF25" s="304" cm="1">
        <f t="array" ref="BF25">IF(AND(BF$2&lt;&gt;0,TblTech[[#This Row],[Hour]:[Hour]]&gt;=BF$2),1,0)</f>
        <v>0</v>
      </c>
      <c r="BG25" s="304" cm="1">
        <f t="array" ref="BG25">IF(AND(BG$2&lt;&gt;0,TblTech[[#This Row],[Hour]:[Hour]]&gt;=BG$2),1,0)</f>
        <v>0</v>
      </c>
      <c r="BH25" s="304" cm="1">
        <f t="array" ref="BH25">IF(AND(BH$2&lt;&gt;0,TblTech[[#This Row],[Hour]:[Hour]]&gt;=BH$2),1,0)</f>
        <v>0</v>
      </c>
      <c r="BI25" s="304" cm="1">
        <f t="array" ref="BI25">IF(AND(BI$2&lt;&gt;0,TblTech[[#This Row],[Hour]:[Hour]]&gt;=BI$2),1,0)</f>
        <v>0</v>
      </c>
      <c r="BJ25" s="304" cm="1">
        <f t="array" ref="BJ25">IF(AND(BJ$2&lt;&gt;0,TblTech[[#This Row],[Hour]:[Hour]]&gt;=BJ$2),1,0)</f>
        <v>0</v>
      </c>
      <c r="BK25" s="304" cm="1">
        <f t="array" ref="BK25">IF(AND(BK$2&lt;&gt;0,TblTech[[#This Row],[Hour]:[Hour]]&gt;=BK$2),1,0)</f>
        <v>0</v>
      </c>
      <c r="BL25" s="304" cm="1">
        <f t="array" ref="BL25">IF(AND(BL$2&lt;&gt;0,TblTech[[#This Row],[Hour]:[Hour]]&gt;=BL$2),1,0)</f>
        <v>0</v>
      </c>
      <c r="BM25" s="304" cm="1">
        <f t="array" ref="BM25">IF(AND(BM$2&lt;&gt;0,TblTech[[#This Row],[Hour]:[Hour]]&gt;=BM$2),1,0)</f>
        <v>0</v>
      </c>
      <c r="BN25" s="304" cm="1">
        <f t="array" ref="BN25">IF(AND(BN$2&lt;&gt;0,TblTech[[#This Row],[Hour]:[Hour]]&gt;=BN$2),1,0)</f>
        <v>0</v>
      </c>
      <c r="BO25" s="304" cm="1">
        <f t="array" ref="BO25">IF(AND(BO$2&lt;&gt;0,TblTech[[#This Row],[Hour]:[Hour]]&gt;=BO$2),1,0)</f>
        <v>0</v>
      </c>
      <c r="BP25" s="304" cm="1">
        <f t="array" ref="BP25">IF(AND(BP$2&lt;&gt;0,TblTech[[#This Row],[Hour]:[Hour]]&gt;=BP$2),1,0)</f>
        <v>0</v>
      </c>
      <c r="BQ25" s="304" cm="1">
        <f t="array" ref="BQ25">IF(AND(BQ$2&lt;&gt;0,TblTech[[#This Row],[Hour]:[Hour]]&gt;=BQ$2),1,0)</f>
        <v>0</v>
      </c>
      <c r="BR25" s="304" cm="1">
        <f t="array" ref="BR25">IF(AND(BR$2&lt;&gt;0,TblTech[[#This Row],[Hour]:[Hour]]&gt;=BR$2),1,0)</f>
        <v>0</v>
      </c>
      <c r="BS25" s="304" cm="1">
        <f t="array" ref="BS25">IF(AND(BS$2&lt;&gt;0,TblTech[[#This Row],[Hour]:[Hour]]&gt;=BS$2),1,0)</f>
        <v>0</v>
      </c>
      <c r="BT25" s="304" cm="1">
        <f t="array" ref="BT25">IF(AND(BT$2&lt;&gt;0,TblTech[[#This Row],[Hour]:[Hour]]&gt;=BT$2),1,0)</f>
        <v>0</v>
      </c>
      <c r="BU25" s="304" cm="1">
        <f t="array" ref="BU25">IF(AND(BU$2&lt;&gt;0,TblTech[[#This Row],[Hour]:[Hour]]&gt;=BU$2),1,0)</f>
        <v>0</v>
      </c>
      <c r="BV25" s="304" cm="1">
        <f t="array" ref="BV25">IF(AND(BV$2&lt;&gt;0,TblTech[[#This Row],[Hour]:[Hour]]&gt;=BV$2),1,0)</f>
        <v>0</v>
      </c>
      <c r="BW25" s="304" cm="1">
        <f t="array" ref="BW25">IF(AND(BW$2&lt;&gt;0,TblTech[[#This Row],[Hour]:[Hour]]&gt;=BW$2),1,0)</f>
        <v>0</v>
      </c>
      <c r="BX25" s="304" cm="1">
        <f t="array" ref="BX25">IF(AND(BX$2&lt;&gt;0,TblTech[[#This Row],[Hour]:[Hour]]&gt;=BX$2),1,0)</f>
        <v>0</v>
      </c>
      <c r="BY25" s="304" cm="1">
        <f t="array" ref="BY25">IF(AND(BY$2&lt;&gt;0,TblTech[[#This Row],[Hour]:[Hour]]&gt;=BY$2),1,0)</f>
        <v>0</v>
      </c>
      <c r="BZ25" s="304" cm="1">
        <f t="array" ref="BZ25">IF(AND(BZ$2&lt;&gt;0,TblTech[[#This Row],[Hour]:[Hour]]&gt;=BZ$2),1,0)</f>
        <v>0</v>
      </c>
      <c r="CA25" s="408">
        <f>IFERROR(INDEX($H$4:$H$79,MATCH(INDEX(TblTech[[#Headers],[1-1]:[11-1]],1,MATCH(TblTech[[#This Row],[Hour]],$M$2:$BZ$2,0)),$G$4:$G$79,0)),)</f>
        <v>0</v>
      </c>
    </row>
    <row r="26" spans="1:79" x14ac:dyDescent="0.2">
      <c r="A26" s="296">
        <f>TblRezone[[#This Row],[Hour]]</f>
        <v>23</v>
      </c>
      <c r="B26" s="297">
        <f ca="1">TblExplore[[#This Row],[Land-DB]]</f>
        <v>250</v>
      </c>
      <c r="C26" s="298">
        <f ca="1">TblProd[[#This Row],[Techpoints]]</f>
        <v>0</v>
      </c>
      <c r="D26" s="298">
        <f ca="1">TblProd[[#This Row],[Required]]</f>
        <v>3750</v>
      </c>
      <c r="E26" s="299"/>
      <c r="F26" s="300"/>
      <c r="G26" s="301"/>
      <c r="H26" s="302"/>
      <c r="I26" s="301"/>
      <c r="J26" s="297"/>
      <c r="K26" s="96">
        <f ca="1">IF(TblTech[[#This Row],[Sum of tech]]&lt;&gt;OFFSET(TblTech[[#This Row],[Sum of tech]],-1,0),1,0)</f>
        <v>0</v>
      </c>
      <c r="L26" s="303">
        <f>COUNTIF(TblTech[[#This Row],[1-1]:[11-1]],1)</f>
        <v>0</v>
      </c>
      <c r="M26" s="304" cm="1">
        <f t="array" ref="M26">IF(AND(M$2&lt;&gt;0,TblTech[[#This Row],[Hour]:[Hour]]&gt;=M$2),1,0)</f>
        <v>0</v>
      </c>
      <c r="N26" s="304" cm="1">
        <f t="array" ref="N26">IF(AND(N$2&lt;&gt;0,TblTech[[#This Row],[Hour]:[Hour]]&gt;=N$2),1,0)</f>
        <v>0</v>
      </c>
      <c r="O26" s="304" cm="1">
        <f t="array" ref="O26">IF(AND(O$2&lt;&gt;0,TblTech[[#This Row],[Hour]:[Hour]]&gt;=O$2),1,0)</f>
        <v>0</v>
      </c>
      <c r="P26" s="304" cm="1">
        <f t="array" ref="P26">IF(AND(P$2&lt;&gt;0,TblTech[[#This Row],[Hour]:[Hour]]&gt;=P$2),1,0)</f>
        <v>0</v>
      </c>
      <c r="Q26" s="304" cm="1">
        <f t="array" ref="Q26">IF(AND(Q$2&lt;&gt;0,TblTech[[#This Row],[Hour]:[Hour]]&gt;=Q$2),1,0)</f>
        <v>0</v>
      </c>
      <c r="R26" s="304" cm="1">
        <f t="array" ref="R26">IF(AND(R$2&lt;&gt;0,TblTech[[#This Row],[Hour]:[Hour]]&gt;=R$2),1,0)</f>
        <v>0</v>
      </c>
      <c r="S26" s="304" cm="1">
        <f t="array" ref="S26">IF(AND(S$2&lt;&gt;0,TblTech[[#This Row],[Hour]:[Hour]]&gt;=S$2),1,0)</f>
        <v>0</v>
      </c>
      <c r="T26" s="304" cm="1">
        <f t="array" ref="T26">IF(AND(T$2&lt;&gt;0,TblTech[[#This Row],[Hour]:[Hour]]&gt;=T$2),1,0)</f>
        <v>0</v>
      </c>
      <c r="U26" s="304" cm="1">
        <f t="array" ref="U26">IF(AND(U$2&lt;&gt;0,TblTech[[#This Row],[Hour]:[Hour]]&gt;=U$2),1,0)</f>
        <v>0</v>
      </c>
      <c r="V26" s="304" cm="1">
        <f t="array" ref="V26">IF(AND(V$2&lt;&gt;0,TblTech[[#This Row],[Hour]:[Hour]]&gt;=V$2),1,0)</f>
        <v>0</v>
      </c>
      <c r="W26" s="304" cm="1">
        <f t="array" ref="W26">IF(AND(W$2&lt;&gt;0,TblTech[[#This Row],[Hour]:[Hour]]&gt;=W$2),1,0)</f>
        <v>0</v>
      </c>
      <c r="X26" s="304" cm="1">
        <f t="array" ref="X26">IF(AND(X$2&lt;&gt;0,TblTech[[#This Row],[Hour]:[Hour]]&gt;=X$2),1,0)</f>
        <v>0</v>
      </c>
      <c r="Y26" s="304" cm="1">
        <f t="array" ref="Y26">IF(AND(Y$2&lt;&gt;0,TblTech[[#This Row],[Hour]:[Hour]]&gt;=Y$2),1,0)</f>
        <v>0</v>
      </c>
      <c r="Z26" s="304" cm="1">
        <f t="array" ref="Z26">IF(AND(Z$2&lt;&gt;0,TblTech[[#This Row],[Hour]:[Hour]]&gt;=Z$2),1,0)</f>
        <v>0</v>
      </c>
      <c r="AA26" s="304" cm="1">
        <f t="array" ref="AA26">IF(AND(AA$2&lt;&gt;0,TblTech[[#This Row],[Hour]:[Hour]]&gt;=AA$2),1,0)</f>
        <v>0</v>
      </c>
      <c r="AB26" s="304" cm="1">
        <f t="array" ref="AB26">IF(AND(AB$2&lt;&gt;0,TblTech[[#This Row],[Hour]:[Hour]]&gt;=AB$2),1,0)</f>
        <v>0</v>
      </c>
      <c r="AC26" s="304" cm="1">
        <f t="array" ref="AC26">IF(AND(AC$2&lt;&gt;0,TblTech[[#This Row],[Hour]:[Hour]]&gt;=AC$2),1,0)</f>
        <v>0</v>
      </c>
      <c r="AD26" s="304" cm="1">
        <f t="array" ref="AD26">IF(AND(AD$2&lt;&gt;0,TblTech[[#This Row],[Hour]:[Hour]]&gt;=AD$2),1,0)</f>
        <v>0</v>
      </c>
      <c r="AE26" s="304" cm="1">
        <f t="array" ref="AE26">IF(AND(AE$2&lt;&gt;0,TblTech[[#This Row],[Hour]:[Hour]]&gt;=AE$2),1,0)</f>
        <v>0</v>
      </c>
      <c r="AF26" s="304" cm="1">
        <f t="array" ref="AF26">IF(AND(AF$2&lt;&gt;0,TblTech[[#This Row],[Hour]:[Hour]]&gt;=AF$2),1,0)</f>
        <v>0</v>
      </c>
      <c r="AG26" s="304" cm="1">
        <f t="array" ref="AG26">IF(AND(AG$2&lt;&gt;0,TblTech[[#This Row],[Hour]:[Hour]]&gt;=AG$2),1,0)</f>
        <v>0</v>
      </c>
      <c r="AH26" s="304" cm="1">
        <f t="array" ref="AH26">IF(AND(AH$2&lt;&gt;0,TblTech[[#This Row],[Hour]:[Hour]]&gt;=AH$2),1,0)</f>
        <v>0</v>
      </c>
      <c r="AI26" s="304" cm="1">
        <f t="array" ref="AI26">IF(AND(AI$2&lt;&gt;0,TblTech[[#This Row],[Hour]:[Hour]]&gt;=AI$2),1,0)</f>
        <v>0</v>
      </c>
      <c r="AJ26" s="304" cm="1">
        <f t="array" ref="AJ26">IF(AND(AJ$2&lt;&gt;0,TblTech[[#This Row],[Hour]:[Hour]]&gt;=AJ$2),1,0)</f>
        <v>0</v>
      </c>
      <c r="AK26" s="304" cm="1">
        <f t="array" ref="AK26">IF(AND(AK$2&lt;&gt;0,TblTech[[#This Row],[Hour]:[Hour]]&gt;=AK$2),1,0)</f>
        <v>0</v>
      </c>
      <c r="AL26" s="304" cm="1">
        <f t="array" ref="AL26">IF(AND(AL$2&lt;&gt;0,TblTech[[#This Row],[Hour]:[Hour]]&gt;=AL$2),1,0)</f>
        <v>0</v>
      </c>
      <c r="AM26" s="304" cm="1">
        <f t="array" ref="AM26">IF(AND(AM$2&lt;&gt;0,TblTech[[#This Row],[Hour]:[Hour]]&gt;=AM$2),1,0)</f>
        <v>0</v>
      </c>
      <c r="AN26" s="304" cm="1">
        <f t="array" ref="AN26">IF(AND(AN$2&lt;&gt;0,TblTech[[#This Row],[Hour]:[Hour]]&gt;=AN$2),1,0)</f>
        <v>0</v>
      </c>
      <c r="AO26" s="304" cm="1">
        <f t="array" ref="AO26">IF(AND(AO$2&lt;&gt;0,TblTech[[#This Row],[Hour]:[Hour]]&gt;=AO$2),1,0)</f>
        <v>0</v>
      </c>
      <c r="AP26" s="304" cm="1">
        <f t="array" ref="AP26">IF(AND(AP$2&lt;&gt;0,TblTech[[#This Row],[Hour]:[Hour]]&gt;=AP$2),1,0)</f>
        <v>0</v>
      </c>
      <c r="AQ26" s="304" cm="1">
        <f t="array" ref="AQ26">IF(AND(AQ$2&lt;&gt;0,TblTech[[#This Row],[Hour]:[Hour]]&gt;=AQ$2),1,0)</f>
        <v>0</v>
      </c>
      <c r="AR26" s="304" cm="1">
        <f t="array" ref="AR26">IF(AND(AR$2&lt;&gt;0,TblTech[[#This Row],[Hour]:[Hour]]&gt;=AR$2),1,0)</f>
        <v>0</v>
      </c>
      <c r="AS26" s="304" cm="1">
        <f t="array" ref="AS26">IF(AND(AS$2&lt;&gt;0,TblTech[[#This Row],[Hour]:[Hour]]&gt;=AS$2),1,0)</f>
        <v>0</v>
      </c>
      <c r="AT26" s="304" cm="1">
        <f t="array" ref="AT26">IF(AND(AT$2&lt;&gt;0,TblTech[[#This Row],[Hour]:[Hour]]&gt;=AT$2),1,0)</f>
        <v>0</v>
      </c>
      <c r="AU26" s="304" cm="1">
        <f t="array" ref="AU26">IF(AND(AU$2&lt;&gt;0,TblTech[[#This Row],[Hour]:[Hour]]&gt;=AU$2),1,0)</f>
        <v>0</v>
      </c>
      <c r="AV26" s="304" cm="1">
        <f t="array" ref="AV26">IF(AND(AV$2&lt;&gt;0,TblTech[[#This Row],[Hour]:[Hour]]&gt;=AV$2),1,0)</f>
        <v>0</v>
      </c>
      <c r="AW26" s="304" cm="1">
        <f t="array" ref="AW26">IF(AND(AW$2&lt;&gt;0,TblTech[[#This Row],[Hour]:[Hour]]&gt;=AW$2),1,0)</f>
        <v>0</v>
      </c>
      <c r="AX26" s="304" cm="1">
        <f t="array" ref="AX26">IF(AND(AX$2&lt;&gt;0,TblTech[[#This Row],[Hour]:[Hour]]&gt;=AX$2),1,0)</f>
        <v>0</v>
      </c>
      <c r="AY26" s="304" cm="1">
        <f t="array" ref="AY26">IF(AND(AY$2&lt;&gt;0,TblTech[[#This Row],[Hour]:[Hour]]&gt;=AY$2),1,0)</f>
        <v>0</v>
      </c>
      <c r="AZ26" s="304" cm="1">
        <f t="array" ref="AZ26">IF(AND(AZ$2&lt;&gt;0,TblTech[[#This Row],[Hour]:[Hour]]&gt;=AZ$2),1,0)</f>
        <v>0</v>
      </c>
      <c r="BA26" s="304" cm="1">
        <f t="array" ref="BA26">IF(AND(BA$2&lt;&gt;0,TblTech[[#This Row],[Hour]:[Hour]]&gt;=BA$2),1,0)</f>
        <v>0</v>
      </c>
      <c r="BB26" s="304" cm="1">
        <f t="array" ref="BB26">IF(AND(BB$2&lt;&gt;0,TblTech[[#This Row],[Hour]:[Hour]]&gt;=BB$2),1,0)</f>
        <v>0</v>
      </c>
      <c r="BC26" s="304" cm="1">
        <f t="array" ref="BC26">IF(AND(BC$2&lt;&gt;0,TblTech[[#This Row],[Hour]:[Hour]]&gt;=BC$2),1,0)</f>
        <v>0</v>
      </c>
      <c r="BD26" s="304" cm="1">
        <f t="array" ref="BD26">IF(AND(BD$2&lt;&gt;0,TblTech[[#This Row],[Hour]:[Hour]]&gt;=BD$2),1,0)</f>
        <v>0</v>
      </c>
      <c r="BE26" s="304" cm="1">
        <f t="array" ref="BE26">IF(AND(BE$2&lt;&gt;0,TblTech[[#This Row],[Hour]:[Hour]]&gt;=BE$2),1,0)</f>
        <v>0</v>
      </c>
      <c r="BF26" s="304" cm="1">
        <f t="array" ref="BF26">IF(AND(BF$2&lt;&gt;0,TblTech[[#This Row],[Hour]:[Hour]]&gt;=BF$2),1,0)</f>
        <v>0</v>
      </c>
      <c r="BG26" s="304" cm="1">
        <f t="array" ref="BG26">IF(AND(BG$2&lt;&gt;0,TblTech[[#This Row],[Hour]:[Hour]]&gt;=BG$2),1,0)</f>
        <v>0</v>
      </c>
      <c r="BH26" s="304" cm="1">
        <f t="array" ref="BH26">IF(AND(BH$2&lt;&gt;0,TblTech[[#This Row],[Hour]:[Hour]]&gt;=BH$2),1,0)</f>
        <v>0</v>
      </c>
      <c r="BI26" s="304" cm="1">
        <f t="array" ref="BI26">IF(AND(BI$2&lt;&gt;0,TblTech[[#This Row],[Hour]:[Hour]]&gt;=BI$2),1,0)</f>
        <v>0</v>
      </c>
      <c r="BJ26" s="304" cm="1">
        <f t="array" ref="BJ26">IF(AND(BJ$2&lt;&gt;0,TblTech[[#This Row],[Hour]:[Hour]]&gt;=BJ$2),1,0)</f>
        <v>0</v>
      </c>
      <c r="BK26" s="304" cm="1">
        <f t="array" ref="BK26">IF(AND(BK$2&lt;&gt;0,TblTech[[#This Row],[Hour]:[Hour]]&gt;=BK$2),1,0)</f>
        <v>0</v>
      </c>
      <c r="BL26" s="304" cm="1">
        <f t="array" ref="BL26">IF(AND(BL$2&lt;&gt;0,TblTech[[#This Row],[Hour]:[Hour]]&gt;=BL$2),1,0)</f>
        <v>0</v>
      </c>
      <c r="BM26" s="304" cm="1">
        <f t="array" ref="BM26">IF(AND(BM$2&lt;&gt;0,TblTech[[#This Row],[Hour]:[Hour]]&gt;=BM$2),1,0)</f>
        <v>0</v>
      </c>
      <c r="BN26" s="304" cm="1">
        <f t="array" ref="BN26">IF(AND(BN$2&lt;&gt;0,TblTech[[#This Row],[Hour]:[Hour]]&gt;=BN$2),1,0)</f>
        <v>0</v>
      </c>
      <c r="BO26" s="304" cm="1">
        <f t="array" ref="BO26">IF(AND(BO$2&lt;&gt;0,TblTech[[#This Row],[Hour]:[Hour]]&gt;=BO$2),1,0)</f>
        <v>0</v>
      </c>
      <c r="BP26" s="304" cm="1">
        <f t="array" ref="BP26">IF(AND(BP$2&lt;&gt;0,TblTech[[#This Row],[Hour]:[Hour]]&gt;=BP$2),1,0)</f>
        <v>0</v>
      </c>
      <c r="BQ26" s="304" cm="1">
        <f t="array" ref="BQ26">IF(AND(BQ$2&lt;&gt;0,TblTech[[#This Row],[Hour]:[Hour]]&gt;=BQ$2),1,0)</f>
        <v>0</v>
      </c>
      <c r="BR26" s="304" cm="1">
        <f t="array" ref="BR26">IF(AND(BR$2&lt;&gt;0,TblTech[[#This Row],[Hour]:[Hour]]&gt;=BR$2),1,0)</f>
        <v>0</v>
      </c>
      <c r="BS26" s="304" cm="1">
        <f t="array" ref="BS26">IF(AND(BS$2&lt;&gt;0,TblTech[[#This Row],[Hour]:[Hour]]&gt;=BS$2),1,0)</f>
        <v>0</v>
      </c>
      <c r="BT26" s="304" cm="1">
        <f t="array" ref="BT26">IF(AND(BT$2&lt;&gt;0,TblTech[[#This Row],[Hour]:[Hour]]&gt;=BT$2),1,0)</f>
        <v>0</v>
      </c>
      <c r="BU26" s="304" cm="1">
        <f t="array" ref="BU26">IF(AND(BU$2&lt;&gt;0,TblTech[[#This Row],[Hour]:[Hour]]&gt;=BU$2),1,0)</f>
        <v>0</v>
      </c>
      <c r="BV26" s="304" cm="1">
        <f t="array" ref="BV26">IF(AND(BV$2&lt;&gt;0,TblTech[[#This Row],[Hour]:[Hour]]&gt;=BV$2),1,0)</f>
        <v>0</v>
      </c>
      <c r="BW26" s="304" cm="1">
        <f t="array" ref="BW26">IF(AND(BW$2&lt;&gt;0,TblTech[[#This Row],[Hour]:[Hour]]&gt;=BW$2),1,0)</f>
        <v>0</v>
      </c>
      <c r="BX26" s="304" cm="1">
        <f t="array" ref="BX26">IF(AND(BX$2&lt;&gt;0,TblTech[[#This Row],[Hour]:[Hour]]&gt;=BX$2),1,0)</f>
        <v>0</v>
      </c>
      <c r="BY26" s="304" cm="1">
        <f t="array" ref="BY26">IF(AND(BY$2&lt;&gt;0,TblTech[[#This Row],[Hour]:[Hour]]&gt;=BY$2),1,0)</f>
        <v>0</v>
      </c>
      <c r="BZ26" s="304" cm="1">
        <f t="array" ref="BZ26">IF(AND(BZ$2&lt;&gt;0,TblTech[[#This Row],[Hour]:[Hour]]&gt;=BZ$2),1,0)</f>
        <v>0</v>
      </c>
      <c r="CA26" s="408">
        <f>IFERROR(INDEX($H$4:$H$79,MATCH(INDEX(TblTech[[#Headers],[1-1]:[11-1]],1,MATCH(TblTech[[#This Row],[Hour]],$M$2:$BZ$2,0)),$G$4:$G$79,0)),)</f>
        <v>0</v>
      </c>
    </row>
    <row r="27" spans="1:79" x14ac:dyDescent="0.2">
      <c r="A27" s="296">
        <f>TblRezone[[#This Row],[Hour]]</f>
        <v>24</v>
      </c>
      <c r="B27" s="297">
        <f ca="1">TblExplore[[#This Row],[Land-DB]]</f>
        <v>250</v>
      </c>
      <c r="C27" s="298">
        <f ca="1">TblProd[[#This Row],[Techpoints]]</f>
        <v>0</v>
      </c>
      <c r="D27" s="298">
        <f ca="1">TblProd[[#This Row],[Required]]</f>
        <v>3750</v>
      </c>
      <c r="E27" s="299"/>
      <c r="F27" s="300"/>
      <c r="G27" s="301" t="s">
        <v>578</v>
      </c>
      <c r="H27" s="302" t="s">
        <v>715</v>
      </c>
      <c r="I27" s="301" t="s">
        <v>579</v>
      </c>
      <c r="J27" s="297"/>
      <c r="K27" s="96">
        <f ca="1">IF(TblTech[[#This Row],[Sum of tech]]&lt;&gt;OFFSET(TblTech[[#This Row],[Sum of tech]],-1,0),1,0)</f>
        <v>0</v>
      </c>
      <c r="L27" s="303">
        <f>COUNTIF(TblTech[[#This Row],[1-1]:[11-1]],1)</f>
        <v>0</v>
      </c>
      <c r="M27" s="304" cm="1">
        <f t="array" ref="M27">IF(AND(M$2&lt;&gt;0,TblTech[[#This Row],[Hour]:[Hour]]&gt;=M$2),1,0)</f>
        <v>0</v>
      </c>
      <c r="N27" s="304" cm="1">
        <f t="array" ref="N27">IF(AND(N$2&lt;&gt;0,TblTech[[#This Row],[Hour]:[Hour]]&gt;=N$2),1,0)</f>
        <v>0</v>
      </c>
      <c r="O27" s="304" cm="1">
        <f t="array" ref="O27">IF(AND(O$2&lt;&gt;0,TblTech[[#This Row],[Hour]:[Hour]]&gt;=O$2),1,0)</f>
        <v>0</v>
      </c>
      <c r="P27" s="304" cm="1">
        <f t="array" ref="P27">IF(AND(P$2&lt;&gt;0,TblTech[[#This Row],[Hour]:[Hour]]&gt;=P$2),1,0)</f>
        <v>0</v>
      </c>
      <c r="Q27" s="304" cm="1">
        <f t="array" ref="Q27">IF(AND(Q$2&lt;&gt;0,TblTech[[#This Row],[Hour]:[Hour]]&gt;=Q$2),1,0)</f>
        <v>0</v>
      </c>
      <c r="R27" s="304" cm="1">
        <f t="array" ref="R27">IF(AND(R$2&lt;&gt;0,TblTech[[#This Row],[Hour]:[Hour]]&gt;=R$2),1,0)</f>
        <v>0</v>
      </c>
      <c r="S27" s="304" cm="1">
        <f t="array" ref="S27">IF(AND(S$2&lt;&gt;0,TblTech[[#This Row],[Hour]:[Hour]]&gt;=S$2),1,0)</f>
        <v>0</v>
      </c>
      <c r="T27" s="304" cm="1">
        <f t="array" ref="T27">IF(AND(T$2&lt;&gt;0,TblTech[[#This Row],[Hour]:[Hour]]&gt;=T$2),1,0)</f>
        <v>0</v>
      </c>
      <c r="U27" s="304" cm="1">
        <f t="array" ref="U27">IF(AND(U$2&lt;&gt;0,TblTech[[#This Row],[Hour]:[Hour]]&gt;=U$2),1,0)</f>
        <v>0</v>
      </c>
      <c r="V27" s="304" cm="1">
        <f t="array" ref="V27">IF(AND(V$2&lt;&gt;0,TblTech[[#This Row],[Hour]:[Hour]]&gt;=V$2),1,0)</f>
        <v>0</v>
      </c>
      <c r="W27" s="304" cm="1">
        <f t="array" ref="W27">IF(AND(W$2&lt;&gt;0,TblTech[[#This Row],[Hour]:[Hour]]&gt;=W$2),1,0)</f>
        <v>0</v>
      </c>
      <c r="X27" s="304" cm="1">
        <f t="array" ref="X27">IF(AND(X$2&lt;&gt;0,TblTech[[#This Row],[Hour]:[Hour]]&gt;=X$2),1,0)</f>
        <v>0</v>
      </c>
      <c r="Y27" s="304" cm="1">
        <f t="array" ref="Y27">IF(AND(Y$2&lt;&gt;0,TblTech[[#This Row],[Hour]:[Hour]]&gt;=Y$2),1,0)</f>
        <v>0</v>
      </c>
      <c r="Z27" s="304" cm="1">
        <f t="array" ref="Z27">IF(AND(Z$2&lt;&gt;0,TblTech[[#This Row],[Hour]:[Hour]]&gt;=Z$2),1,0)</f>
        <v>0</v>
      </c>
      <c r="AA27" s="304" cm="1">
        <f t="array" ref="AA27">IF(AND(AA$2&lt;&gt;0,TblTech[[#This Row],[Hour]:[Hour]]&gt;=AA$2),1,0)</f>
        <v>0</v>
      </c>
      <c r="AB27" s="304" cm="1">
        <f t="array" ref="AB27">IF(AND(AB$2&lt;&gt;0,TblTech[[#This Row],[Hour]:[Hour]]&gt;=AB$2),1,0)</f>
        <v>0</v>
      </c>
      <c r="AC27" s="304" cm="1">
        <f t="array" ref="AC27">IF(AND(AC$2&lt;&gt;0,TblTech[[#This Row],[Hour]:[Hour]]&gt;=AC$2),1,0)</f>
        <v>0</v>
      </c>
      <c r="AD27" s="304" cm="1">
        <f t="array" ref="AD27">IF(AND(AD$2&lt;&gt;0,TblTech[[#This Row],[Hour]:[Hour]]&gt;=AD$2),1,0)</f>
        <v>0</v>
      </c>
      <c r="AE27" s="304" cm="1">
        <f t="array" ref="AE27">IF(AND(AE$2&lt;&gt;0,TblTech[[#This Row],[Hour]:[Hour]]&gt;=AE$2),1,0)</f>
        <v>0</v>
      </c>
      <c r="AF27" s="304" cm="1">
        <f t="array" ref="AF27">IF(AND(AF$2&lt;&gt;0,TblTech[[#This Row],[Hour]:[Hour]]&gt;=AF$2),1,0)</f>
        <v>0</v>
      </c>
      <c r="AG27" s="304" cm="1">
        <f t="array" ref="AG27">IF(AND(AG$2&lt;&gt;0,TblTech[[#This Row],[Hour]:[Hour]]&gt;=AG$2),1,0)</f>
        <v>0</v>
      </c>
      <c r="AH27" s="304" cm="1">
        <f t="array" ref="AH27">IF(AND(AH$2&lt;&gt;0,TblTech[[#This Row],[Hour]:[Hour]]&gt;=AH$2),1,0)</f>
        <v>0</v>
      </c>
      <c r="AI27" s="304" cm="1">
        <f t="array" ref="AI27">IF(AND(AI$2&lt;&gt;0,TblTech[[#This Row],[Hour]:[Hour]]&gt;=AI$2),1,0)</f>
        <v>0</v>
      </c>
      <c r="AJ27" s="304" cm="1">
        <f t="array" ref="AJ27">IF(AND(AJ$2&lt;&gt;0,TblTech[[#This Row],[Hour]:[Hour]]&gt;=AJ$2),1,0)</f>
        <v>0</v>
      </c>
      <c r="AK27" s="304" cm="1">
        <f t="array" ref="AK27">IF(AND(AK$2&lt;&gt;0,TblTech[[#This Row],[Hour]:[Hour]]&gt;=AK$2),1,0)</f>
        <v>0</v>
      </c>
      <c r="AL27" s="304" cm="1">
        <f t="array" ref="AL27">IF(AND(AL$2&lt;&gt;0,TblTech[[#This Row],[Hour]:[Hour]]&gt;=AL$2),1,0)</f>
        <v>0</v>
      </c>
      <c r="AM27" s="304" cm="1">
        <f t="array" ref="AM27">IF(AND(AM$2&lt;&gt;0,TblTech[[#This Row],[Hour]:[Hour]]&gt;=AM$2),1,0)</f>
        <v>0</v>
      </c>
      <c r="AN27" s="304" cm="1">
        <f t="array" ref="AN27">IF(AND(AN$2&lt;&gt;0,TblTech[[#This Row],[Hour]:[Hour]]&gt;=AN$2),1,0)</f>
        <v>0</v>
      </c>
      <c r="AO27" s="304" cm="1">
        <f t="array" ref="AO27">IF(AND(AO$2&lt;&gt;0,TblTech[[#This Row],[Hour]:[Hour]]&gt;=AO$2),1,0)</f>
        <v>0</v>
      </c>
      <c r="AP27" s="304" cm="1">
        <f t="array" ref="AP27">IF(AND(AP$2&lt;&gt;0,TblTech[[#This Row],[Hour]:[Hour]]&gt;=AP$2),1,0)</f>
        <v>0</v>
      </c>
      <c r="AQ27" s="304" cm="1">
        <f t="array" ref="AQ27">IF(AND(AQ$2&lt;&gt;0,TblTech[[#This Row],[Hour]:[Hour]]&gt;=AQ$2),1,0)</f>
        <v>0</v>
      </c>
      <c r="AR27" s="304" cm="1">
        <f t="array" ref="AR27">IF(AND(AR$2&lt;&gt;0,TblTech[[#This Row],[Hour]:[Hour]]&gt;=AR$2),1,0)</f>
        <v>0</v>
      </c>
      <c r="AS27" s="304" cm="1">
        <f t="array" ref="AS27">IF(AND(AS$2&lt;&gt;0,TblTech[[#This Row],[Hour]:[Hour]]&gt;=AS$2),1,0)</f>
        <v>0</v>
      </c>
      <c r="AT27" s="304" cm="1">
        <f t="array" ref="AT27">IF(AND(AT$2&lt;&gt;0,TblTech[[#This Row],[Hour]:[Hour]]&gt;=AT$2),1,0)</f>
        <v>0</v>
      </c>
      <c r="AU27" s="304" cm="1">
        <f t="array" ref="AU27">IF(AND(AU$2&lt;&gt;0,TblTech[[#This Row],[Hour]:[Hour]]&gt;=AU$2),1,0)</f>
        <v>0</v>
      </c>
      <c r="AV27" s="304" cm="1">
        <f t="array" ref="AV27">IF(AND(AV$2&lt;&gt;0,TblTech[[#This Row],[Hour]:[Hour]]&gt;=AV$2),1,0)</f>
        <v>0</v>
      </c>
      <c r="AW27" s="304" cm="1">
        <f t="array" ref="AW27">IF(AND(AW$2&lt;&gt;0,TblTech[[#This Row],[Hour]:[Hour]]&gt;=AW$2),1,0)</f>
        <v>0</v>
      </c>
      <c r="AX27" s="304" cm="1">
        <f t="array" ref="AX27">IF(AND(AX$2&lt;&gt;0,TblTech[[#This Row],[Hour]:[Hour]]&gt;=AX$2),1,0)</f>
        <v>0</v>
      </c>
      <c r="AY27" s="304" cm="1">
        <f t="array" ref="AY27">IF(AND(AY$2&lt;&gt;0,TblTech[[#This Row],[Hour]:[Hour]]&gt;=AY$2),1,0)</f>
        <v>0</v>
      </c>
      <c r="AZ27" s="304" cm="1">
        <f t="array" ref="AZ27">IF(AND(AZ$2&lt;&gt;0,TblTech[[#This Row],[Hour]:[Hour]]&gt;=AZ$2),1,0)</f>
        <v>0</v>
      </c>
      <c r="BA27" s="304" cm="1">
        <f t="array" ref="BA27">IF(AND(BA$2&lt;&gt;0,TblTech[[#This Row],[Hour]:[Hour]]&gt;=BA$2),1,0)</f>
        <v>0</v>
      </c>
      <c r="BB27" s="304" cm="1">
        <f t="array" ref="BB27">IF(AND(BB$2&lt;&gt;0,TblTech[[#This Row],[Hour]:[Hour]]&gt;=BB$2),1,0)</f>
        <v>0</v>
      </c>
      <c r="BC27" s="304" cm="1">
        <f t="array" ref="BC27">IF(AND(BC$2&lt;&gt;0,TblTech[[#This Row],[Hour]:[Hour]]&gt;=BC$2),1,0)</f>
        <v>0</v>
      </c>
      <c r="BD27" s="304" cm="1">
        <f t="array" ref="BD27">IF(AND(BD$2&lt;&gt;0,TblTech[[#This Row],[Hour]:[Hour]]&gt;=BD$2),1,0)</f>
        <v>0</v>
      </c>
      <c r="BE27" s="304" cm="1">
        <f t="array" ref="BE27">IF(AND(BE$2&lt;&gt;0,TblTech[[#This Row],[Hour]:[Hour]]&gt;=BE$2),1,0)</f>
        <v>0</v>
      </c>
      <c r="BF27" s="304" cm="1">
        <f t="array" ref="BF27">IF(AND(BF$2&lt;&gt;0,TblTech[[#This Row],[Hour]:[Hour]]&gt;=BF$2),1,0)</f>
        <v>0</v>
      </c>
      <c r="BG27" s="304" cm="1">
        <f t="array" ref="BG27">IF(AND(BG$2&lt;&gt;0,TblTech[[#This Row],[Hour]:[Hour]]&gt;=BG$2),1,0)</f>
        <v>0</v>
      </c>
      <c r="BH27" s="304" cm="1">
        <f t="array" ref="BH27">IF(AND(BH$2&lt;&gt;0,TblTech[[#This Row],[Hour]:[Hour]]&gt;=BH$2),1,0)</f>
        <v>0</v>
      </c>
      <c r="BI27" s="304" cm="1">
        <f t="array" ref="BI27">IF(AND(BI$2&lt;&gt;0,TblTech[[#This Row],[Hour]:[Hour]]&gt;=BI$2),1,0)</f>
        <v>0</v>
      </c>
      <c r="BJ27" s="304" cm="1">
        <f t="array" ref="BJ27">IF(AND(BJ$2&lt;&gt;0,TblTech[[#This Row],[Hour]:[Hour]]&gt;=BJ$2),1,0)</f>
        <v>0</v>
      </c>
      <c r="BK27" s="304" cm="1">
        <f t="array" ref="BK27">IF(AND(BK$2&lt;&gt;0,TblTech[[#This Row],[Hour]:[Hour]]&gt;=BK$2),1,0)</f>
        <v>0</v>
      </c>
      <c r="BL27" s="304" cm="1">
        <f t="array" ref="BL27">IF(AND(BL$2&lt;&gt;0,TblTech[[#This Row],[Hour]:[Hour]]&gt;=BL$2),1,0)</f>
        <v>0</v>
      </c>
      <c r="BM27" s="304" cm="1">
        <f t="array" ref="BM27">IF(AND(BM$2&lt;&gt;0,TblTech[[#This Row],[Hour]:[Hour]]&gt;=BM$2),1,0)</f>
        <v>0</v>
      </c>
      <c r="BN27" s="304" cm="1">
        <f t="array" ref="BN27">IF(AND(BN$2&lt;&gt;0,TblTech[[#This Row],[Hour]:[Hour]]&gt;=BN$2),1,0)</f>
        <v>0</v>
      </c>
      <c r="BO27" s="304" cm="1">
        <f t="array" ref="BO27">IF(AND(BO$2&lt;&gt;0,TblTech[[#This Row],[Hour]:[Hour]]&gt;=BO$2),1,0)</f>
        <v>0</v>
      </c>
      <c r="BP27" s="304" cm="1">
        <f t="array" ref="BP27">IF(AND(BP$2&lt;&gt;0,TblTech[[#This Row],[Hour]:[Hour]]&gt;=BP$2),1,0)</f>
        <v>0</v>
      </c>
      <c r="BQ27" s="304" cm="1">
        <f t="array" ref="BQ27">IF(AND(BQ$2&lt;&gt;0,TblTech[[#This Row],[Hour]:[Hour]]&gt;=BQ$2),1,0)</f>
        <v>0</v>
      </c>
      <c r="BR27" s="304" cm="1">
        <f t="array" ref="BR27">IF(AND(BR$2&lt;&gt;0,TblTech[[#This Row],[Hour]:[Hour]]&gt;=BR$2),1,0)</f>
        <v>0</v>
      </c>
      <c r="BS27" s="304" cm="1">
        <f t="array" ref="BS27">IF(AND(BS$2&lt;&gt;0,TblTech[[#This Row],[Hour]:[Hour]]&gt;=BS$2),1,0)</f>
        <v>0</v>
      </c>
      <c r="BT27" s="304" cm="1">
        <f t="array" ref="BT27">IF(AND(BT$2&lt;&gt;0,TblTech[[#This Row],[Hour]:[Hour]]&gt;=BT$2),1,0)</f>
        <v>0</v>
      </c>
      <c r="BU27" s="304" cm="1">
        <f t="array" ref="BU27">IF(AND(BU$2&lt;&gt;0,TblTech[[#This Row],[Hour]:[Hour]]&gt;=BU$2),1,0)</f>
        <v>0</v>
      </c>
      <c r="BV27" s="304" cm="1">
        <f t="array" ref="BV27">IF(AND(BV$2&lt;&gt;0,TblTech[[#This Row],[Hour]:[Hour]]&gt;=BV$2),1,0)</f>
        <v>0</v>
      </c>
      <c r="BW27" s="304" cm="1">
        <f t="array" ref="BW27">IF(AND(BW$2&lt;&gt;0,TblTech[[#This Row],[Hour]:[Hour]]&gt;=BW$2),1,0)</f>
        <v>0</v>
      </c>
      <c r="BX27" s="304" cm="1">
        <f t="array" ref="BX27">IF(AND(BX$2&lt;&gt;0,TblTech[[#This Row],[Hour]:[Hour]]&gt;=BX$2),1,0)</f>
        <v>0</v>
      </c>
      <c r="BY27" s="304" cm="1">
        <f t="array" ref="BY27">IF(AND(BY$2&lt;&gt;0,TblTech[[#This Row],[Hour]:[Hour]]&gt;=BY$2),1,0)</f>
        <v>0</v>
      </c>
      <c r="BZ27" s="304" cm="1">
        <f t="array" ref="BZ27">IF(AND(BZ$2&lt;&gt;0,TblTech[[#This Row],[Hour]:[Hour]]&gt;=BZ$2),1,0)</f>
        <v>0</v>
      </c>
      <c r="CA27" s="408">
        <f>IFERROR(INDEX($H$4:$H$79,MATCH(INDEX(TblTech[[#Headers],[1-1]:[11-1]],1,MATCH(TblTech[[#This Row],[Hour]],$M$2:$BZ$2,0)),$G$4:$G$79,0)),)</f>
        <v>0</v>
      </c>
    </row>
    <row r="28" spans="1:79" x14ac:dyDescent="0.2">
      <c r="A28" s="296">
        <f>TblRezone[[#This Row],[Hour]]</f>
        <v>25</v>
      </c>
      <c r="B28" s="297">
        <f ca="1">TblExplore[[#This Row],[Land-DB]]</f>
        <v>250</v>
      </c>
      <c r="C28" s="298">
        <f ca="1">TblProd[[#This Row],[Techpoints]]</f>
        <v>0</v>
      </c>
      <c r="D28" s="298">
        <f ca="1">TblProd[[#This Row],[Required]]</f>
        <v>3750</v>
      </c>
      <c r="E28" s="299"/>
      <c r="F28" s="300"/>
      <c r="G28" s="301" t="s">
        <v>580</v>
      </c>
      <c r="H28" s="302" t="s">
        <v>716</v>
      </c>
      <c r="I28" s="301" t="s">
        <v>581</v>
      </c>
      <c r="J28" s="297"/>
      <c r="K28" s="96">
        <f ca="1">IF(TblTech[[#This Row],[Sum of tech]]&lt;&gt;OFFSET(TblTech[[#This Row],[Sum of tech]],-1,0),1,0)</f>
        <v>0</v>
      </c>
      <c r="L28" s="303">
        <f>COUNTIF(TblTech[[#This Row],[1-1]:[11-1]],1)</f>
        <v>0</v>
      </c>
      <c r="M28" s="304" cm="1">
        <f t="array" ref="M28">IF(AND(M$2&lt;&gt;0,TblTech[[#This Row],[Hour]:[Hour]]&gt;=M$2),1,0)</f>
        <v>0</v>
      </c>
      <c r="N28" s="304" cm="1">
        <f t="array" ref="N28">IF(AND(N$2&lt;&gt;0,TblTech[[#This Row],[Hour]:[Hour]]&gt;=N$2),1,0)</f>
        <v>0</v>
      </c>
      <c r="O28" s="304" cm="1">
        <f t="array" ref="O28">IF(AND(O$2&lt;&gt;0,TblTech[[#This Row],[Hour]:[Hour]]&gt;=O$2),1,0)</f>
        <v>0</v>
      </c>
      <c r="P28" s="304" cm="1">
        <f t="array" ref="P28">IF(AND(P$2&lt;&gt;0,TblTech[[#This Row],[Hour]:[Hour]]&gt;=P$2),1,0)</f>
        <v>0</v>
      </c>
      <c r="Q28" s="304" cm="1">
        <f t="array" ref="Q28">IF(AND(Q$2&lt;&gt;0,TblTech[[#This Row],[Hour]:[Hour]]&gt;=Q$2),1,0)</f>
        <v>0</v>
      </c>
      <c r="R28" s="304" cm="1">
        <f t="array" ref="R28">IF(AND(R$2&lt;&gt;0,TblTech[[#This Row],[Hour]:[Hour]]&gt;=R$2),1,0)</f>
        <v>0</v>
      </c>
      <c r="S28" s="304" cm="1">
        <f t="array" ref="S28">IF(AND(S$2&lt;&gt;0,TblTech[[#This Row],[Hour]:[Hour]]&gt;=S$2),1,0)</f>
        <v>0</v>
      </c>
      <c r="T28" s="304" cm="1">
        <f t="array" ref="T28">IF(AND(T$2&lt;&gt;0,TblTech[[#This Row],[Hour]:[Hour]]&gt;=T$2),1,0)</f>
        <v>0</v>
      </c>
      <c r="U28" s="304" cm="1">
        <f t="array" ref="U28">IF(AND(U$2&lt;&gt;0,TblTech[[#This Row],[Hour]:[Hour]]&gt;=U$2),1,0)</f>
        <v>0</v>
      </c>
      <c r="V28" s="304" cm="1">
        <f t="array" ref="V28">IF(AND(V$2&lt;&gt;0,TblTech[[#This Row],[Hour]:[Hour]]&gt;=V$2),1,0)</f>
        <v>0</v>
      </c>
      <c r="W28" s="304" cm="1">
        <f t="array" ref="W28">IF(AND(W$2&lt;&gt;0,TblTech[[#This Row],[Hour]:[Hour]]&gt;=W$2),1,0)</f>
        <v>0</v>
      </c>
      <c r="X28" s="304" cm="1">
        <f t="array" ref="X28">IF(AND(X$2&lt;&gt;0,TblTech[[#This Row],[Hour]:[Hour]]&gt;=X$2),1,0)</f>
        <v>0</v>
      </c>
      <c r="Y28" s="304" cm="1">
        <f t="array" ref="Y28">IF(AND(Y$2&lt;&gt;0,TblTech[[#This Row],[Hour]:[Hour]]&gt;=Y$2),1,0)</f>
        <v>0</v>
      </c>
      <c r="Z28" s="304" cm="1">
        <f t="array" ref="Z28">IF(AND(Z$2&lt;&gt;0,TblTech[[#This Row],[Hour]:[Hour]]&gt;=Z$2),1,0)</f>
        <v>0</v>
      </c>
      <c r="AA28" s="304" cm="1">
        <f t="array" ref="AA28">IF(AND(AA$2&lt;&gt;0,TblTech[[#This Row],[Hour]:[Hour]]&gt;=AA$2),1,0)</f>
        <v>0</v>
      </c>
      <c r="AB28" s="304" cm="1">
        <f t="array" ref="AB28">IF(AND(AB$2&lt;&gt;0,TblTech[[#This Row],[Hour]:[Hour]]&gt;=AB$2),1,0)</f>
        <v>0</v>
      </c>
      <c r="AC28" s="304" cm="1">
        <f t="array" ref="AC28">IF(AND(AC$2&lt;&gt;0,TblTech[[#This Row],[Hour]:[Hour]]&gt;=AC$2),1,0)</f>
        <v>0</v>
      </c>
      <c r="AD28" s="304" cm="1">
        <f t="array" ref="AD28">IF(AND(AD$2&lt;&gt;0,TblTech[[#This Row],[Hour]:[Hour]]&gt;=AD$2),1,0)</f>
        <v>0</v>
      </c>
      <c r="AE28" s="304" cm="1">
        <f t="array" ref="AE28">IF(AND(AE$2&lt;&gt;0,TblTech[[#This Row],[Hour]:[Hour]]&gt;=AE$2),1,0)</f>
        <v>0</v>
      </c>
      <c r="AF28" s="304" cm="1">
        <f t="array" ref="AF28">IF(AND(AF$2&lt;&gt;0,TblTech[[#This Row],[Hour]:[Hour]]&gt;=AF$2),1,0)</f>
        <v>0</v>
      </c>
      <c r="AG28" s="304" cm="1">
        <f t="array" ref="AG28">IF(AND(AG$2&lt;&gt;0,TblTech[[#This Row],[Hour]:[Hour]]&gt;=AG$2),1,0)</f>
        <v>0</v>
      </c>
      <c r="AH28" s="304" cm="1">
        <f t="array" ref="AH28">IF(AND(AH$2&lt;&gt;0,TblTech[[#This Row],[Hour]:[Hour]]&gt;=AH$2),1,0)</f>
        <v>0</v>
      </c>
      <c r="AI28" s="304" cm="1">
        <f t="array" ref="AI28">IF(AND(AI$2&lt;&gt;0,TblTech[[#This Row],[Hour]:[Hour]]&gt;=AI$2),1,0)</f>
        <v>0</v>
      </c>
      <c r="AJ28" s="304" cm="1">
        <f t="array" ref="AJ28">IF(AND(AJ$2&lt;&gt;0,TblTech[[#This Row],[Hour]:[Hour]]&gt;=AJ$2),1,0)</f>
        <v>0</v>
      </c>
      <c r="AK28" s="304" cm="1">
        <f t="array" ref="AK28">IF(AND(AK$2&lt;&gt;0,TblTech[[#This Row],[Hour]:[Hour]]&gt;=AK$2),1,0)</f>
        <v>0</v>
      </c>
      <c r="AL28" s="304" cm="1">
        <f t="array" ref="AL28">IF(AND(AL$2&lt;&gt;0,TblTech[[#This Row],[Hour]:[Hour]]&gt;=AL$2),1,0)</f>
        <v>0</v>
      </c>
      <c r="AM28" s="304" cm="1">
        <f t="array" ref="AM28">IF(AND(AM$2&lt;&gt;0,TblTech[[#This Row],[Hour]:[Hour]]&gt;=AM$2),1,0)</f>
        <v>0</v>
      </c>
      <c r="AN28" s="304" cm="1">
        <f t="array" ref="AN28">IF(AND(AN$2&lt;&gt;0,TblTech[[#This Row],[Hour]:[Hour]]&gt;=AN$2),1,0)</f>
        <v>0</v>
      </c>
      <c r="AO28" s="304" cm="1">
        <f t="array" ref="AO28">IF(AND(AO$2&lt;&gt;0,TblTech[[#This Row],[Hour]:[Hour]]&gt;=AO$2),1,0)</f>
        <v>0</v>
      </c>
      <c r="AP28" s="304" cm="1">
        <f t="array" ref="AP28">IF(AND(AP$2&lt;&gt;0,TblTech[[#This Row],[Hour]:[Hour]]&gt;=AP$2),1,0)</f>
        <v>0</v>
      </c>
      <c r="AQ28" s="304" cm="1">
        <f t="array" ref="AQ28">IF(AND(AQ$2&lt;&gt;0,TblTech[[#This Row],[Hour]:[Hour]]&gt;=AQ$2),1,0)</f>
        <v>0</v>
      </c>
      <c r="AR28" s="304" cm="1">
        <f t="array" ref="AR28">IF(AND(AR$2&lt;&gt;0,TblTech[[#This Row],[Hour]:[Hour]]&gt;=AR$2),1,0)</f>
        <v>0</v>
      </c>
      <c r="AS28" s="304" cm="1">
        <f t="array" ref="AS28">IF(AND(AS$2&lt;&gt;0,TblTech[[#This Row],[Hour]:[Hour]]&gt;=AS$2),1,0)</f>
        <v>0</v>
      </c>
      <c r="AT28" s="304" cm="1">
        <f t="array" ref="AT28">IF(AND(AT$2&lt;&gt;0,TblTech[[#This Row],[Hour]:[Hour]]&gt;=AT$2),1,0)</f>
        <v>0</v>
      </c>
      <c r="AU28" s="304" cm="1">
        <f t="array" ref="AU28">IF(AND(AU$2&lt;&gt;0,TblTech[[#This Row],[Hour]:[Hour]]&gt;=AU$2),1,0)</f>
        <v>0</v>
      </c>
      <c r="AV28" s="304" cm="1">
        <f t="array" ref="AV28">IF(AND(AV$2&lt;&gt;0,TblTech[[#This Row],[Hour]:[Hour]]&gt;=AV$2),1,0)</f>
        <v>0</v>
      </c>
      <c r="AW28" s="304" cm="1">
        <f t="array" ref="AW28">IF(AND(AW$2&lt;&gt;0,TblTech[[#This Row],[Hour]:[Hour]]&gt;=AW$2),1,0)</f>
        <v>0</v>
      </c>
      <c r="AX28" s="304" cm="1">
        <f t="array" ref="AX28">IF(AND(AX$2&lt;&gt;0,TblTech[[#This Row],[Hour]:[Hour]]&gt;=AX$2),1,0)</f>
        <v>0</v>
      </c>
      <c r="AY28" s="304" cm="1">
        <f t="array" ref="AY28">IF(AND(AY$2&lt;&gt;0,TblTech[[#This Row],[Hour]:[Hour]]&gt;=AY$2),1,0)</f>
        <v>0</v>
      </c>
      <c r="AZ28" s="304" cm="1">
        <f t="array" ref="AZ28">IF(AND(AZ$2&lt;&gt;0,TblTech[[#This Row],[Hour]:[Hour]]&gt;=AZ$2),1,0)</f>
        <v>0</v>
      </c>
      <c r="BA28" s="304" cm="1">
        <f t="array" ref="BA28">IF(AND(BA$2&lt;&gt;0,TblTech[[#This Row],[Hour]:[Hour]]&gt;=BA$2),1,0)</f>
        <v>0</v>
      </c>
      <c r="BB28" s="304" cm="1">
        <f t="array" ref="BB28">IF(AND(BB$2&lt;&gt;0,TblTech[[#This Row],[Hour]:[Hour]]&gt;=BB$2),1,0)</f>
        <v>0</v>
      </c>
      <c r="BC28" s="304" cm="1">
        <f t="array" ref="BC28">IF(AND(BC$2&lt;&gt;0,TblTech[[#This Row],[Hour]:[Hour]]&gt;=BC$2),1,0)</f>
        <v>0</v>
      </c>
      <c r="BD28" s="304" cm="1">
        <f t="array" ref="BD28">IF(AND(BD$2&lt;&gt;0,TblTech[[#This Row],[Hour]:[Hour]]&gt;=BD$2),1,0)</f>
        <v>0</v>
      </c>
      <c r="BE28" s="304" cm="1">
        <f t="array" ref="BE28">IF(AND(BE$2&lt;&gt;0,TblTech[[#This Row],[Hour]:[Hour]]&gt;=BE$2),1,0)</f>
        <v>0</v>
      </c>
      <c r="BF28" s="304" cm="1">
        <f t="array" ref="BF28">IF(AND(BF$2&lt;&gt;0,TblTech[[#This Row],[Hour]:[Hour]]&gt;=BF$2),1,0)</f>
        <v>0</v>
      </c>
      <c r="BG28" s="304" cm="1">
        <f t="array" ref="BG28">IF(AND(BG$2&lt;&gt;0,TblTech[[#This Row],[Hour]:[Hour]]&gt;=BG$2),1,0)</f>
        <v>0</v>
      </c>
      <c r="BH28" s="304" cm="1">
        <f t="array" ref="BH28">IF(AND(BH$2&lt;&gt;0,TblTech[[#This Row],[Hour]:[Hour]]&gt;=BH$2),1,0)</f>
        <v>0</v>
      </c>
      <c r="BI28" s="304" cm="1">
        <f t="array" ref="BI28">IF(AND(BI$2&lt;&gt;0,TblTech[[#This Row],[Hour]:[Hour]]&gt;=BI$2),1,0)</f>
        <v>0</v>
      </c>
      <c r="BJ28" s="304" cm="1">
        <f t="array" ref="BJ28">IF(AND(BJ$2&lt;&gt;0,TblTech[[#This Row],[Hour]:[Hour]]&gt;=BJ$2),1,0)</f>
        <v>0</v>
      </c>
      <c r="BK28" s="304" cm="1">
        <f t="array" ref="BK28">IF(AND(BK$2&lt;&gt;0,TblTech[[#This Row],[Hour]:[Hour]]&gt;=BK$2),1,0)</f>
        <v>0</v>
      </c>
      <c r="BL28" s="304" cm="1">
        <f t="array" ref="BL28">IF(AND(BL$2&lt;&gt;0,TblTech[[#This Row],[Hour]:[Hour]]&gt;=BL$2),1,0)</f>
        <v>0</v>
      </c>
      <c r="BM28" s="304" cm="1">
        <f t="array" ref="BM28">IF(AND(BM$2&lt;&gt;0,TblTech[[#This Row],[Hour]:[Hour]]&gt;=BM$2),1,0)</f>
        <v>0</v>
      </c>
      <c r="BN28" s="304" cm="1">
        <f t="array" ref="BN28">IF(AND(BN$2&lt;&gt;0,TblTech[[#This Row],[Hour]:[Hour]]&gt;=BN$2),1,0)</f>
        <v>0</v>
      </c>
      <c r="BO28" s="304" cm="1">
        <f t="array" ref="BO28">IF(AND(BO$2&lt;&gt;0,TblTech[[#This Row],[Hour]:[Hour]]&gt;=BO$2),1,0)</f>
        <v>0</v>
      </c>
      <c r="BP28" s="304" cm="1">
        <f t="array" ref="BP28">IF(AND(BP$2&lt;&gt;0,TblTech[[#This Row],[Hour]:[Hour]]&gt;=BP$2),1,0)</f>
        <v>0</v>
      </c>
      <c r="BQ28" s="304" cm="1">
        <f t="array" ref="BQ28">IF(AND(BQ$2&lt;&gt;0,TblTech[[#This Row],[Hour]:[Hour]]&gt;=BQ$2),1,0)</f>
        <v>0</v>
      </c>
      <c r="BR28" s="304" cm="1">
        <f t="array" ref="BR28">IF(AND(BR$2&lt;&gt;0,TblTech[[#This Row],[Hour]:[Hour]]&gt;=BR$2),1,0)</f>
        <v>0</v>
      </c>
      <c r="BS28" s="304" cm="1">
        <f t="array" ref="BS28">IF(AND(BS$2&lt;&gt;0,TblTech[[#This Row],[Hour]:[Hour]]&gt;=BS$2),1,0)</f>
        <v>0</v>
      </c>
      <c r="BT28" s="304" cm="1">
        <f t="array" ref="BT28">IF(AND(BT$2&lt;&gt;0,TblTech[[#This Row],[Hour]:[Hour]]&gt;=BT$2),1,0)</f>
        <v>0</v>
      </c>
      <c r="BU28" s="304" cm="1">
        <f t="array" ref="BU28">IF(AND(BU$2&lt;&gt;0,TblTech[[#This Row],[Hour]:[Hour]]&gt;=BU$2),1,0)</f>
        <v>0</v>
      </c>
      <c r="BV28" s="304" cm="1">
        <f t="array" ref="BV28">IF(AND(BV$2&lt;&gt;0,TblTech[[#This Row],[Hour]:[Hour]]&gt;=BV$2),1,0)</f>
        <v>0</v>
      </c>
      <c r="BW28" s="304" cm="1">
        <f t="array" ref="BW28">IF(AND(BW$2&lt;&gt;0,TblTech[[#This Row],[Hour]:[Hour]]&gt;=BW$2),1,0)</f>
        <v>0</v>
      </c>
      <c r="BX28" s="304" cm="1">
        <f t="array" ref="BX28">IF(AND(BX$2&lt;&gt;0,TblTech[[#This Row],[Hour]:[Hour]]&gt;=BX$2),1,0)</f>
        <v>0</v>
      </c>
      <c r="BY28" s="304" cm="1">
        <f t="array" ref="BY28">IF(AND(BY$2&lt;&gt;0,TblTech[[#This Row],[Hour]:[Hour]]&gt;=BY$2),1,0)</f>
        <v>0</v>
      </c>
      <c r="BZ28" s="304" cm="1">
        <f t="array" ref="BZ28">IF(AND(BZ$2&lt;&gt;0,TblTech[[#This Row],[Hour]:[Hour]]&gt;=BZ$2),1,0)</f>
        <v>0</v>
      </c>
      <c r="CA28" s="408">
        <f>IFERROR(INDEX($H$4:$H$79,MATCH(INDEX(TblTech[[#Headers],[1-1]:[11-1]],1,MATCH(TblTech[[#This Row],[Hour]],$M$2:$BZ$2,0)),$G$4:$G$79,0)),)</f>
        <v>0</v>
      </c>
    </row>
    <row r="29" spans="1:79" x14ac:dyDescent="0.2">
      <c r="A29" s="296">
        <f>TblRezone[[#This Row],[Hour]]</f>
        <v>26</v>
      </c>
      <c r="B29" s="297">
        <f ca="1">TblExplore[[#This Row],[Land-DB]]</f>
        <v>250</v>
      </c>
      <c r="C29" s="298">
        <f ca="1">TblProd[[#This Row],[Techpoints]]</f>
        <v>0</v>
      </c>
      <c r="D29" s="298">
        <f ca="1">TblProd[[#This Row],[Required]]</f>
        <v>3750</v>
      </c>
      <c r="E29" s="299"/>
      <c r="F29" s="300"/>
      <c r="G29" s="301" t="s">
        <v>582</v>
      </c>
      <c r="H29" s="302" t="s">
        <v>717</v>
      </c>
      <c r="I29" s="301" t="s">
        <v>768</v>
      </c>
      <c r="J29" s="297"/>
      <c r="K29" s="96">
        <f ca="1">IF(TblTech[[#This Row],[Sum of tech]]&lt;&gt;OFFSET(TblTech[[#This Row],[Sum of tech]],-1,0),1,0)</f>
        <v>0</v>
      </c>
      <c r="L29" s="303">
        <f>COUNTIF(TblTech[[#This Row],[1-1]:[11-1]],1)</f>
        <v>0</v>
      </c>
      <c r="M29" s="304" cm="1">
        <f t="array" ref="M29">IF(AND(M$2&lt;&gt;0,TblTech[[#This Row],[Hour]:[Hour]]&gt;=M$2),1,0)</f>
        <v>0</v>
      </c>
      <c r="N29" s="304" cm="1">
        <f t="array" ref="N29">IF(AND(N$2&lt;&gt;0,TblTech[[#This Row],[Hour]:[Hour]]&gt;=N$2),1,0)</f>
        <v>0</v>
      </c>
      <c r="O29" s="304" cm="1">
        <f t="array" ref="O29">IF(AND(O$2&lt;&gt;0,TblTech[[#This Row],[Hour]:[Hour]]&gt;=O$2),1,0)</f>
        <v>0</v>
      </c>
      <c r="P29" s="304" cm="1">
        <f t="array" ref="P29">IF(AND(P$2&lt;&gt;0,TblTech[[#This Row],[Hour]:[Hour]]&gt;=P$2),1,0)</f>
        <v>0</v>
      </c>
      <c r="Q29" s="304" cm="1">
        <f t="array" ref="Q29">IF(AND(Q$2&lt;&gt;0,TblTech[[#This Row],[Hour]:[Hour]]&gt;=Q$2),1,0)</f>
        <v>0</v>
      </c>
      <c r="R29" s="304" cm="1">
        <f t="array" ref="R29">IF(AND(R$2&lt;&gt;0,TblTech[[#This Row],[Hour]:[Hour]]&gt;=R$2),1,0)</f>
        <v>0</v>
      </c>
      <c r="S29" s="304" cm="1">
        <f t="array" ref="S29">IF(AND(S$2&lt;&gt;0,TblTech[[#This Row],[Hour]:[Hour]]&gt;=S$2),1,0)</f>
        <v>0</v>
      </c>
      <c r="T29" s="304" cm="1">
        <f t="array" ref="T29">IF(AND(T$2&lt;&gt;0,TblTech[[#This Row],[Hour]:[Hour]]&gt;=T$2),1,0)</f>
        <v>0</v>
      </c>
      <c r="U29" s="304" cm="1">
        <f t="array" ref="U29">IF(AND(U$2&lt;&gt;0,TblTech[[#This Row],[Hour]:[Hour]]&gt;=U$2),1,0)</f>
        <v>0</v>
      </c>
      <c r="V29" s="304" cm="1">
        <f t="array" ref="V29">IF(AND(V$2&lt;&gt;0,TblTech[[#This Row],[Hour]:[Hour]]&gt;=V$2),1,0)</f>
        <v>0</v>
      </c>
      <c r="W29" s="304" cm="1">
        <f t="array" ref="W29">IF(AND(W$2&lt;&gt;0,TblTech[[#This Row],[Hour]:[Hour]]&gt;=W$2),1,0)</f>
        <v>0</v>
      </c>
      <c r="X29" s="304" cm="1">
        <f t="array" ref="X29">IF(AND(X$2&lt;&gt;0,TblTech[[#This Row],[Hour]:[Hour]]&gt;=X$2),1,0)</f>
        <v>0</v>
      </c>
      <c r="Y29" s="304" cm="1">
        <f t="array" ref="Y29">IF(AND(Y$2&lt;&gt;0,TblTech[[#This Row],[Hour]:[Hour]]&gt;=Y$2),1,0)</f>
        <v>0</v>
      </c>
      <c r="Z29" s="304" cm="1">
        <f t="array" ref="Z29">IF(AND(Z$2&lt;&gt;0,TblTech[[#This Row],[Hour]:[Hour]]&gt;=Z$2),1,0)</f>
        <v>0</v>
      </c>
      <c r="AA29" s="304" cm="1">
        <f t="array" ref="AA29">IF(AND(AA$2&lt;&gt;0,TblTech[[#This Row],[Hour]:[Hour]]&gt;=AA$2),1,0)</f>
        <v>0</v>
      </c>
      <c r="AB29" s="304" cm="1">
        <f t="array" ref="AB29">IF(AND(AB$2&lt;&gt;0,TblTech[[#This Row],[Hour]:[Hour]]&gt;=AB$2),1,0)</f>
        <v>0</v>
      </c>
      <c r="AC29" s="304" cm="1">
        <f t="array" ref="AC29">IF(AND(AC$2&lt;&gt;0,TblTech[[#This Row],[Hour]:[Hour]]&gt;=AC$2),1,0)</f>
        <v>0</v>
      </c>
      <c r="AD29" s="304" cm="1">
        <f t="array" ref="AD29">IF(AND(AD$2&lt;&gt;0,TblTech[[#This Row],[Hour]:[Hour]]&gt;=AD$2),1,0)</f>
        <v>0</v>
      </c>
      <c r="AE29" s="304" cm="1">
        <f t="array" ref="AE29">IF(AND(AE$2&lt;&gt;0,TblTech[[#This Row],[Hour]:[Hour]]&gt;=AE$2),1,0)</f>
        <v>0</v>
      </c>
      <c r="AF29" s="304" cm="1">
        <f t="array" ref="AF29">IF(AND(AF$2&lt;&gt;0,TblTech[[#This Row],[Hour]:[Hour]]&gt;=AF$2),1,0)</f>
        <v>0</v>
      </c>
      <c r="AG29" s="304" cm="1">
        <f t="array" ref="AG29">IF(AND(AG$2&lt;&gt;0,TblTech[[#This Row],[Hour]:[Hour]]&gt;=AG$2),1,0)</f>
        <v>0</v>
      </c>
      <c r="AH29" s="304" cm="1">
        <f t="array" ref="AH29">IF(AND(AH$2&lt;&gt;0,TblTech[[#This Row],[Hour]:[Hour]]&gt;=AH$2),1,0)</f>
        <v>0</v>
      </c>
      <c r="AI29" s="304" cm="1">
        <f t="array" ref="AI29">IF(AND(AI$2&lt;&gt;0,TblTech[[#This Row],[Hour]:[Hour]]&gt;=AI$2),1,0)</f>
        <v>0</v>
      </c>
      <c r="AJ29" s="304" cm="1">
        <f t="array" ref="AJ29">IF(AND(AJ$2&lt;&gt;0,TblTech[[#This Row],[Hour]:[Hour]]&gt;=AJ$2),1,0)</f>
        <v>0</v>
      </c>
      <c r="AK29" s="304" cm="1">
        <f t="array" ref="AK29">IF(AND(AK$2&lt;&gt;0,TblTech[[#This Row],[Hour]:[Hour]]&gt;=AK$2),1,0)</f>
        <v>0</v>
      </c>
      <c r="AL29" s="304" cm="1">
        <f t="array" ref="AL29">IF(AND(AL$2&lt;&gt;0,TblTech[[#This Row],[Hour]:[Hour]]&gt;=AL$2),1,0)</f>
        <v>0</v>
      </c>
      <c r="AM29" s="304" cm="1">
        <f t="array" ref="AM29">IF(AND(AM$2&lt;&gt;0,TblTech[[#This Row],[Hour]:[Hour]]&gt;=AM$2),1,0)</f>
        <v>0</v>
      </c>
      <c r="AN29" s="304" cm="1">
        <f t="array" ref="AN29">IF(AND(AN$2&lt;&gt;0,TblTech[[#This Row],[Hour]:[Hour]]&gt;=AN$2),1,0)</f>
        <v>0</v>
      </c>
      <c r="AO29" s="304" cm="1">
        <f t="array" ref="AO29">IF(AND(AO$2&lt;&gt;0,TblTech[[#This Row],[Hour]:[Hour]]&gt;=AO$2),1,0)</f>
        <v>0</v>
      </c>
      <c r="AP29" s="304" cm="1">
        <f t="array" ref="AP29">IF(AND(AP$2&lt;&gt;0,TblTech[[#This Row],[Hour]:[Hour]]&gt;=AP$2),1,0)</f>
        <v>0</v>
      </c>
      <c r="AQ29" s="304" cm="1">
        <f t="array" ref="AQ29">IF(AND(AQ$2&lt;&gt;0,TblTech[[#This Row],[Hour]:[Hour]]&gt;=AQ$2),1,0)</f>
        <v>0</v>
      </c>
      <c r="AR29" s="304" cm="1">
        <f t="array" ref="AR29">IF(AND(AR$2&lt;&gt;0,TblTech[[#This Row],[Hour]:[Hour]]&gt;=AR$2),1,0)</f>
        <v>0</v>
      </c>
      <c r="AS29" s="304" cm="1">
        <f t="array" ref="AS29">IF(AND(AS$2&lt;&gt;0,TblTech[[#This Row],[Hour]:[Hour]]&gt;=AS$2),1,0)</f>
        <v>0</v>
      </c>
      <c r="AT29" s="304" cm="1">
        <f t="array" ref="AT29">IF(AND(AT$2&lt;&gt;0,TblTech[[#This Row],[Hour]:[Hour]]&gt;=AT$2),1,0)</f>
        <v>0</v>
      </c>
      <c r="AU29" s="304" cm="1">
        <f t="array" ref="AU29">IF(AND(AU$2&lt;&gt;0,TblTech[[#This Row],[Hour]:[Hour]]&gt;=AU$2),1,0)</f>
        <v>0</v>
      </c>
      <c r="AV29" s="304" cm="1">
        <f t="array" ref="AV29">IF(AND(AV$2&lt;&gt;0,TblTech[[#This Row],[Hour]:[Hour]]&gt;=AV$2),1,0)</f>
        <v>0</v>
      </c>
      <c r="AW29" s="304" cm="1">
        <f t="array" ref="AW29">IF(AND(AW$2&lt;&gt;0,TblTech[[#This Row],[Hour]:[Hour]]&gt;=AW$2),1,0)</f>
        <v>0</v>
      </c>
      <c r="AX29" s="304" cm="1">
        <f t="array" ref="AX29">IF(AND(AX$2&lt;&gt;0,TblTech[[#This Row],[Hour]:[Hour]]&gt;=AX$2),1,0)</f>
        <v>0</v>
      </c>
      <c r="AY29" s="304" cm="1">
        <f t="array" ref="AY29">IF(AND(AY$2&lt;&gt;0,TblTech[[#This Row],[Hour]:[Hour]]&gt;=AY$2),1,0)</f>
        <v>0</v>
      </c>
      <c r="AZ29" s="304" cm="1">
        <f t="array" ref="AZ29">IF(AND(AZ$2&lt;&gt;0,TblTech[[#This Row],[Hour]:[Hour]]&gt;=AZ$2),1,0)</f>
        <v>0</v>
      </c>
      <c r="BA29" s="304" cm="1">
        <f t="array" ref="BA29">IF(AND(BA$2&lt;&gt;0,TblTech[[#This Row],[Hour]:[Hour]]&gt;=BA$2),1,0)</f>
        <v>0</v>
      </c>
      <c r="BB29" s="304" cm="1">
        <f t="array" ref="BB29">IF(AND(BB$2&lt;&gt;0,TblTech[[#This Row],[Hour]:[Hour]]&gt;=BB$2),1,0)</f>
        <v>0</v>
      </c>
      <c r="BC29" s="304" cm="1">
        <f t="array" ref="BC29">IF(AND(BC$2&lt;&gt;0,TblTech[[#This Row],[Hour]:[Hour]]&gt;=BC$2),1,0)</f>
        <v>0</v>
      </c>
      <c r="BD29" s="304" cm="1">
        <f t="array" ref="BD29">IF(AND(BD$2&lt;&gt;0,TblTech[[#This Row],[Hour]:[Hour]]&gt;=BD$2),1,0)</f>
        <v>0</v>
      </c>
      <c r="BE29" s="304" cm="1">
        <f t="array" ref="BE29">IF(AND(BE$2&lt;&gt;0,TblTech[[#This Row],[Hour]:[Hour]]&gt;=BE$2),1,0)</f>
        <v>0</v>
      </c>
      <c r="BF29" s="304" cm="1">
        <f t="array" ref="BF29">IF(AND(BF$2&lt;&gt;0,TblTech[[#This Row],[Hour]:[Hour]]&gt;=BF$2),1,0)</f>
        <v>0</v>
      </c>
      <c r="BG29" s="304" cm="1">
        <f t="array" ref="BG29">IF(AND(BG$2&lt;&gt;0,TblTech[[#This Row],[Hour]:[Hour]]&gt;=BG$2),1,0)</f>
        <v>0</v>
      </c>
      <c r="BH29" s="304" cm="1">
        <f t="array" ref="BH29">IF(AND(BH$2&lt;&gt;0,TblTech[[#This Row],[Hour]:[Hour]]&gt;=BH$2),1,0)</f>
        <v>0</v>
      </c>
      <c r="BI29" s="304" cm="1">
        <f t="array" ref="BI29">IF(AND(BI$2&lt;&gt;0,TblTech[[#This Row],[Hour]:[Hour]]&gt;=BI$2),1,0)</f>
        <v>0</v>
      </c>
      <c r="BJ29" s="304" cm="1">
        <f t="array" ref="BJ29">IF(AND(BJ$2&lt;&gt;0,TblTech[[#This Row],[Hour]:[Hour]]&gt;=BJ$2),1,0)</f>
        <v>0</v>
      </c>
      <c r="BK29" s="304" cm="1">
        <f t="array" ref="BK29">IF(AND(BK$2&lt;&gt;0,TblTech[[#This Row],[Hour]:[Hour]]&gt;=BK$2),1,0)</f>
        <v>0</v>
      </c>
      <c r="BL29" s="304" cm="1">
        <f t="array" ref="BL29">IF(AND(BL$2&lt;&gt;0,TblTech[[#This Row],[Hour]:[Hour]]&gt;=BL$2),1,0)</f>
        <v>0</v>
      </c>
      <c r="BM29" s="304" cm="1">
        <f t="array" ref="BM29">IF(AND(BM$2&lt;&gt;0,TblTech[[#This Row],[Hour]:[Hour]]&gt;=BM$2),1,0)</f>
        <v>0</v>
      </c>
      <c r="BN29" s="304" cm="1">
        <f t="array" ref="BN29">IF(AND(BN$2&lt;&gt;0,TblTech[[#This Row],[Hour]:[Hour]]&gt;=BN$2),1,0)</f>
        <v>0</v>
      </c>
      <c r="BO29" s="304" cm="1">
        <f t="array" ref="BO29">IF(AND(BO$2&lt;&gt;0,TblTech[[#This Row],[Hour]:[Hour]]&gt;=BO$2),1,0)</f>
        <v>0</v>
      </c>
      <c r="BP29" s="304" cm="1">
        <f t="array" ref="BP29">IF(AND(BP$2&lt;&gt;0,TblTech[[#This Row],[Hour]:[Hour]]&gt;=BP$2),1,0)</f>
        <v>0</v>
      </c>
      <c r="BQ29" s="304" cm="1">
        <f t="array" ref="BQ29">IF(AND(BQ$2&lt;&gt;0,TblTech[[#This Row],[Hour]:[Hour]]&gt;=BQ$2),1,0)</f>
        <v>0</v>
      </c>
      <c r="BR29" s="304" cm="1">
        <f t="array" ref="BR29">IF(AND(BR$2&lt;&gt;0,TblTech[[#This Row],[Hour]:[Hour]]&gt;=BR$2),1,0)</f>
        <v>0</v>
      </c>
      <c r="BS29" s="304" cm="1">
        <f t="array" ref="BS29">IF(AND(BS$2&lt;&gt;0,TblTech[[#This Row],[Hour]:[Hour]]&gt;=BS$2),1,0)</f>
        <v>0</v>
      </c>
      <c r="BT29" s="304" cm="1">
        <f t="array" ref="BT29">IF(AND(BT$2&lt;&gt;0,TblTech[[#This Row],[Hour]:[Hour]]&gt;=BT$2),1,0)</f>
        <v>0</v>
      </c>
      <c r="BU29" s="304" cm="1">
        <f t="array" ref="BU29">IF(AND(BU$2&lt;&gt;0,TblTech[[#This Row],[Hour]:[Hour]]&gt;=BU$2),1,0)</f>
        <v>0</v>
      </c>
      <c r="BV29" s="304" cm="1">
        <f t="array" ref="BV29">IF(AND(BV$2&lt;&gt;0,TblTech[[#This Row],[Hour]:[Hour]]&gt;=BV$2),1,0)</f>
        <v>0</v>
      </c>
      <c r="BW29" s="304" cm="1">
        <f t="array" ref="BW29">IF(AND(BW$2&lt;&gt;0,TblTech[[#This Row],[Hour]:[Hour]]&gt;=BW$2),1,0)</f>
        <v>0</v>
      </c>
      <c r="BX29" s="304" cm="1">
        <f t="array" ref="BX29">IF(AND(BX$2&lt;&gt;0,TblTech[[#This Row],[Hour]:[Hour]]&gt;=BX$2),1,0)</f>
        <v>0</v>
      </c>
      <c r="BY29" s="304" cm="1">
        <f t="array" ref="BY29">IF(AND(BY$2&lt;&gt;0,TblTech[[#This Row],[Hour]:[Hour]]&gt;=BY$2),1,0)</f>
        <v>0</v>
      </c>
      <c r="BZ29" s="304" cm="1">
        <f t="array" ref="BZ29">IF(AND(BZ$2&lt;&gt;0,TblTech[[#This Row],[Hour]:[Hour]]&gt;=BZ$2),1,0)</f>
        <v>0</v>
      </c>
      <c r="CA29" s="408">
        <f>IFERROR(INDEX($H$4:$H$79,MATCH(INDEX(TblTech[[#Headers],[1-1]:[11-1]],1,MATCH(TblTech[[#This Row],[Hour]],$M$2:$BZ$2,0)),$G$4:$G$79,0)),)</f>
        <v>0</v>
      </c>
    </row>
    <row r="30" spans="1:79" x14ac:dyDescent="0.2">
      <c r="A30" s="296">
        <f>TblRezone[[#This Row],[Hour]]</f>
        <v>27</v>
      </c>
      <c r="B30" s="297">
        <f ca="1">TblExplore[[#This Row],[Land-DB]]</f>
        <v>250</v>
      </c>
      <c r="C30" s="298">
        <f ca="1">TblProd[[#This Row],[Techpoints]]</f>
        <v>0</v>
      </c>
      <c r="D30" s="298">
        <f ca="1">TblProd[[#This Row],[Required]]</f>
        <v>3750</v>
      </c>
      <c r="E30" s="299"/>
      <c r="F30" s="300"/>
      <c r="G30" s="301" t="s">
        <v>583</v>
      </c>
      <c r="H30" s="302" t="s">
        <v>718</v>
      </c>
      <c r="I30" s="301" t="s">
        <v>584</v>
      </c>
      <c r="J30" s="297"/>
      <c r="K30" s="96">
        <f ca="1">IF(TblTech[[#This Row],[Sum of tech]]&lt;&gt;OFFSET(TblTech[[#This Row],[Sum of tech]],-1,0),1,0)</f>
        <v>0</v>
      </c>
      <c r="L30" s="303">
        <f>COUNTIF(TblTech[[#This Row],[1-1]:[11-1]],1)</f>
        <v>0</v>
      </c>
      <c r="M30" s="304" cm="1">
        <f t="array" ref="M30">IF(AND(M$2&lt;&gt;0,TblTech[[#This Row],[Hour]:[Hour]]&gt;=M$2),1,0)</f>
        <v>0</v>
      </c>
      <c r="N30" s="304" cm="1">
        <f t="array" ref="N30">IF(AND(N$2&lt;&gt;0,TblTech[[#This Row],[Hour]:[Hour]]&gt;=N$2),1,0)</f>
        <v>0</v>
      </c>
      <c r="O30" s="304" cm="1">
        <f t="array" ref="O30">IF(AND(O$2&lt;&gt;0,TblTech[[#This Row],[Hour]:[Hour]]&gt;=O$2),1,0)</f>
        <v>0</v>
      </c>
      <c r="P30" s="304" cm="1">
        <f t="array" ref="P30">IF(AND(P$2&lt;&gt;0,TblTech[[#This Row],[Hour]:[Hour]]&gt;=P$2),1,0)</f>
        <v>0</v>
      </c>
      <c r="Q30" s="304" cm="1">
        <f t="array" ref="Q30">IF(AND(Q$2&lt;&gt;0,TblTech[[#This Row],[Hour]:[Hour]]&gt;=Q$2),1,0)</f>
        <v>0</v>
      </c>
      <c r="R30" s="304" cm="1">
        <f t="array" ref="R30">IF(AND(R$2&lt;&gt;0,TblTech[[#This Row],[Hour]:[Hour]]&gt;=R$2),1,0)</f>
        <v>0</v>
      </c>
      <c r="S30" s="304" cm="1">
        <f t="array" ref="S30">IF(AND(S$2&lt;&gt;0,TblTech[[#This Row],[Hour]:[Hour]]&gt;=S$2),1,0)</f>
        <v>0</v>
      </c>
      <c r="T30" s="304" cm="1">
        <f t="array" ref="T30">IF(AND(T$2&lt;&gt;0,TblTech[[#This Row],[Hour]:[Hour]]&gt;=T$2),1,0)</f>
        <v>0</v>
      </c>
      <c r="U30" s="304" cm="1">
        <f t="array" ref="U30">IF(AND(U$2&lt;&gt;0,TblTech[[#This Row],[Hour]:[Hour]]&gt;=U$2),1,0)</f>
        <v>0</v>
      </c>
      <c r="V30" s="304" cm="1">
        <f t="array" ref="V30">IF(AND(V$2&lt;&gt;0,TblTech[[#This Row],[Hour]:[Hour]]&gt;=V$2),1,0)</f>
        <v>0</v>
      </c>
      <c r="W30" s="304" cm="1">
        <f t="array" ref="W30">IF(AND(W$2&lt;&gt;0,TblTech[[#This Row],[Hour]:[Hour]]&gt;=W$2),1,0)</f>
        <v>0</v>
      </c>
      <c r="X30" s="304" cm="1">
        <f t="array" ref="X30">IF(AND(X$2&lt;&gt;0,TblTech[[#This Row],[Hour]:[Hour]]&gt;=X$2),1,0)</f>
        <v>0</v>
      </c>
      <c r="Y30" s="304" cm="1">
        <f t="array" ref="Y30">IF(AND(Y$2&lt;&gt;0,TblTech[[#This Row],[Hour]:[Hour]]&gt;=Y$2),1,0)</f>
        <v>0</v>
      </c>
      <c r="Z30" s="304" cm="1">
        <f t="array" ref="Z30">IF(AND(Z$2&lt;&gt;0,TblTech[[#This Row],[Hour]:[Hour]]&gt;=Z$2),1,0)</f>
        <v>0</v>
      </c>
      <c r="AA30" s="304" cm="1">
        <f t="array" ref="AA30">IF(AND(AA$2&lt;&gt;0,TblTech[[#This Row],[Hour]:[Hour]]&gt;=AA$2),1,0)</f>
        <v>0</v>
      </c>
      <c r="AB30" s="304" cm="1">
        <f t="array" ref="AB30">IF(AND(AB$2&lt;&gt;0,TblTech[[#This Row],[Hour]:[Hour]]&gt;=AB$2),1,0)</f>
        <v>0</v>
      </c>
      <c r="AC30" s="304" cm="1">
        <f t="array" ref="AC30">IF(AND(AC$2&lt;&gt;0,TblTech[[#This Row],[Hour]:[Hour]]&gt;=AC$2),1,0)</f>
        <v>0</v>
      </c>
      <c r="AD30" s="304" cm="1">
        <f t="array" ref="AD30">IF(AND(AD$2&lt;&gt;0,TblTech[[#This Row],[Hour]:[Hour]]&gt;=AD$2),1,0)</f>
        <v>0</v>
      </c>
      <c r="AE30" s="304" cm="1">
        <f t="array" ref="AE30">IF(AND(AE$2&lt;&gt;0,TblTech[[#This Row],[Hour]:[Hour]]&gt;=AE$2),1,0)</f>
        <v>0</v>
      </c>
      <c r="AF30" s="304" cm="1">
        <f t="array" ref="AF30">IF(AND(AF$2&lt;&gt;0,TblTech[[#This Row],[Hour]:[Hour]]&gt;=AF$2),1,0)</f>
        <v>0</v>
      </c>
      <c r="AG30" s="304" cm="1">
        <f t="array" ref="AG30">IF(AND(AG$2&lt;&gt;0,TblTech[[#This Row],[Hour]:[Hour]]&gt;=AG$2),1,0)</f>
        <v>0</v>
      </c>
      <c r="AH30" s="304" cm="1">
        <f t="array" ref="AH30">IF(AND(AH$2&lt;&gt;0,TblTech[[#This Row],[Hour]:[Hour]]&gt;=AH$2),1,0)</f>
        <v>0</v>
      </c>
      <c r="AI30" s="304" cm="1">
        <f t="array" ref="AI30">IF(AND(AI$2&lt;&gt;0,TblTech[[#This Row],[Hour]:[Hour]]&gt;=AI$2),1,0)</f>
        <v>0</v>
      </c>
      <c r="AJ30" s="304" cm="1">
        <f t="array" ref="AJ30">IF(AND(AJ$2&lt;&gt;0,TblTech[[#This Row],[Hour]:[Hour]]&gt;=AJ$2),1,0)</f>
        <v>0</v>
      </c>
      <c r="AK30" s="304" cm="1">
        <f t="array" ref="AK30">IF(AND(AK$2&lt;&gt;0,TblTech[[#This Row],[Hour]:[Hour]]&gt;=AK$2),1,0)</f>
        <v>0</v>
      </c>
      <c r="AL30" s="304" cm="1">
        <f t="array" ref="AL30">IF(AND(AL$2&lt;&gt;0,TblTech[[#This Row],[Hour]:[Hour]]&gt;=AL$2),1,0)</f>
        <v>0</v>
      </c>
      <c r="AM30" s="304" cm="1">
        <f t="array" ref="AM30">IF(AND(AM$2&lt;&gt;0,TblTech[[#This Row],[Hour]:[Hour]]&gt;=AM$2),1,0)</f>
        <v>0</v>
      </c>
      <c r="AN30" s="304" cm="1">
        <f t="array" ref="AN30">IF(AND(AN$2&lt;&gt;0,TblTech[[#This Row],[Hour]:[Hour]]&gt;=AN$2),1,0)</f>
        <v>0</v>
      </c>
      <c r="AO30" s="304" cm="1">
        <f t="array" ref="AO30">IF(AND(AO$2&lt;&gt;0,TblTech[[#This Row],[Hour]:[Hour]]&gt;=AO$2),1,0)</f>
        <v>0</v>
      </c>
      <c r="AP30" s="304" cm="1">
        <f t="array" ref="AP30">IF(AND(AP$2&lt;&gt;0,TblTech[[#This Row],[Hour]:[Hour]]&gt;=AP$2),1,0)</f>
        <v>0</v>
      </c>
      <c r="AQ30" s="304" cm="1">
        <f t="array" ref="AQ30">IF(AND(AQ$2&lt;&gt;0,TblTech[[#This Row],[Hour]:[Hour]]&gt;=AQ$2),1,0)</f>
        <v>0</v>
      </c>
      <c r="AR30" s="304" cm="1">
        <f t="array" ref="AR30">IF(AND(AR$2&lt;&gt;0,TblTech[[#This Row],[Hour]:[Hour]]&gt;=AR$2),1,0)</f>
        <v>0</v>
      </c>
      <c r="AS30" s="304" cm="1">
        <f t="array" ref="AS30">IF(AND(AS$2&lt;&gt;0,TblTech[[#This Row],[Hour]:[Hour]]&gt;=AS$2),1,0)</f>
        <v>0</v>
      </c>
      <c r="AT30" s="304" cm="1">
        <f t="array" ref="AT30">IF(AND(AT$2&lt;&gt;0,TblTech[[#This Row],[Hour]:[Hour]]&gt;=AT$2),1,0)</f>
        <v>0</v>
      </c>
      <c r="AU30" s="304" cm="1">
        <f t="array" ref="AU30">IF(AND(AU$2&lt;&gt;0,TblTech[[#This Row],[Hour]:[Hour]]&gt;=AU$2),1,0)</f>
        <v>0</v>
      </c>
      <c r="AV30" s="304" cm="1">
        <f t="array" ref="AV30">IF(AND(AV$2&lt;&gt;0,TblTech[[#This Row],[Hour]:[Hour]]&gt;=AV$2),1,0)</f>
        <v>0</v>
      </c>
      <c r="AW30" s="304" cm="1">
        <f t="array" ref="AW30">IF(AND(AW$2&lt;&gt;0,TblTech[[#This Row],[Hour]:[Hour]]&gt;=AW$2),1,0)</f>
        <v>0</v>
      </c>
      <c r="AX30" s="304" cm="1">
        <f t="array" ref="AX30">IF(AND(AX$2&lt;&gt;0,TblTech[[#This Row],[Hour]:[Hour]]&gt;=AX$2),1,0)</f>
        <v>0</v>
      </c>
      <c r="AY30" s="304" cm="1">
        <f t="array" ref="AY30">IF(AND(AY$2&lt;&gt;0,TblTech[[#This Row],[Hour]:[Hour]]&gt;=AY$2),1,0)</f>
        <v>0</v>
      </c>
      <c r="AZ30" s="304" cm="1">
        <f t="array" ref="AZ30">IF(AND(AZ$2&lt;&gt;0,TblTech[[#This Row],[Hour]:[Hour]]&gt;=AZ$2),1,0)</f>
        <v>0</v>
      </c>
      <c r="BA30" s="304" cm="1">
        <f t="array" ref="BA30">IF(AND(BA$2&lt;&gt;0,TblTech[[#This Row],[Hour]:[Hour]]&gt;=BA$2),1,0)</f>
        <v>0</v>
      </c>
      <c r="BB30" s="304" cm="1">
        <f t="array" ref="BB30">IF(AND(BB$2&lt;&gt;0,TblTech[[#This Row],[Hour]:[Hour]]&gt;=BB$2),1,0)</f>
        <v>0</v>
      </c>
      <c r="BC30" s="304" cm="1">
        <f t="array" ref="BC30">IF(AND(BC$2&lt;&gt;0,TblTech[[#This Row],[Hour]:[Hour]]&gt;=BC$2),1,0)</f>
        <v>0</v>
      </c>
      <c r="BD30" s="304" cm="1">
        <f t="array" ref="BD30">IF(AND(BD$2&lt;&gt;0,TblTech[[#This Row],[Hour]:[Hour]]&gt;=BD$2),1,0)</f>
        <v>0</v>
      </c>
      <c r="BE30" s="304" cm="1">
        <f t="array" ref="BE30">IF(AND(BE$2&lt;&gt;0,TblTech[[#This Row],[Hour]:[Hour]]&gt;=BE$2),1,0)</f>
        <v>0</v>
      </c>
      <c r="BF30" s="304" cm="1">
        <f t="array" ref="BF30">IF(AND(BF$2&lt;&gt;0,TblTech[[#This Row],[Hour]:[Hour]]&gt;=BF$2),1,0)</f>
        <v>0</v>
      </c>
      <c r="BG30" s="304" cm="1">
        <f t="array" ref="BG30">IF(AND(BG$2&lt;&gt;0,TblTech[[#This Row],[Hour]:[Hour]]&gt;=BG$2),1,0)</f>
        <v>0</v>
      </c>
      <c r="BH30" s="304" cm="1">
        <f t="array" ref="BH30">IF(AND(BH$2&lt;&gt;0,TblTech[[#This Row],[Hour]:[Hour]]&gt;=BH$2),1,0)</f>
        <v>0</v>
      </c>
      <c r="BI30" s="304" cm="1">
        <f t="array" ref="BI30">IF(AND(BI$2&lt;&gt;0,TblTech[[#This Row],[Hour]:[Hour]]&gt;=BI$2),1,0)</f>
        <v>0</v>
      </c>
      <c r="BJ30" s="304" cm="1">
        <f t="array" ref="BJ30">IF(AND(BJ$2&lt;&gt;0,TblTech[[#This Row],[Hour]:[Hour]]&gt;=BJ$2),1,0)</f>
        <v>0</v>
      </c>
      <c r="BK30" s="304" cm="1">
        <f t="array" ref="BK30">IF(AND(BK$2&lt;&gt;0,TblTech[[#This Row],[Hour]:[Hour]]&gt;=BK$2),1,0)</f>
        <v>0</v>
      </c>
      <c r="BL30" s="304" cm="1">
        <f t="array" ref="BL30">IF(AND(BL$2&lt;&gt;0,TblTech[[#This Row],[Hour]:[Hour]]&gt;=BL$2),1,0)</f>
        <v>0</v>
      </c>
      <c r="BM30" s="304" cm="1">
        <f t="array" ref="BM30">IF(AND(BM$2&lt;&gt;0,TblTech[[#This Row],[Hour]:[Hour]]&gt;=BM$2),1,0)</f>
        <v>0</v>
      </c>
      <c r="BN30" s="304" cm="1">
        <f t="array" ref="BN30">IF(AND(BN$2&lt;&gt;0,TblTech[[#This Row],[Hour]:[Hour]]&gt;=BN$2),1,0)</f>
        <v>0</v>
      </c>
      <c r="BO30" s="304" cm="1">
        <f t="array" ref="BO30">IF(AND(BO$2&lt;&gt;0,TblTech[[#This Row],[Hour]:[Hour]]&gt;=BO$2),1,0)</f>
        <v>0</v>
      </c>
      <c r="BP30" s="304" cm="1">
        <f t="array" ref="BP30">IF(AND(BP$2&lt;&gt;0,TblTech[[#This Row],[Hour]:[Hour]]&gt;=BP$2),1,0)</f>
        <v>0</v>
      </c>
      <c r="BQ30" s="304" cm="1">
        <f t="array" ref="BQ30">IF(AND(BQ$2&lt;&gt;0,TblTech[[#This Row],[Hour]:[Hour]]&gt;=BQ$2),1,0)</f>
        <v>0</v>
      </c>
      <c r="BR30" s="304" cm="1">
        <f t="array" ref="BR30">IF(AND(BR$2&lt;&gt;0,TblTech[[#This Row],[Hour]:[Hour]]&gt;=BR$2),1,0)</f>
        <v>0</v>
      </c>
      <c r="BS30" s="304" cm="1">
        <f t="array" ref="BS30">IF(AND(BS$2&lt;&gt;0,TblTech[[#This Row],[Hour]:[Hour]]&gt;=BS$2),1,0)</f>
        <v>0</v>
      </c>
      <c r="BT30" s="304" cm="1">
        <f t="array" ref="BT30">IF(AND(BT$2&lt;&gt;0,TblTech[[#This Row],[Hour]:[Hour]]&gt;=BT$2),1,0)</f>
        <v>0</v>
      </c>
      <c r="BU30" s="304" cm="1">
        <f t="array" ref="BU30">IF(AND(BU$2&lt;&gt;0,TblTech[[#This Row],[Hour]:[Hour]]&gt;=BU$2),1,0)</f>
        <v>0</v>
      </c>
      <c r="BV30" s="304" cm="1">
        <f t="array" ref="BV30">IF(AND(BV$2&lt;&gt;0,TblTech[[#This Row],[Hour]:[Hour]]&gt;=BV$2),1,0)</f>
        <v>0</v>
      </c>
      <c r="BW30" s="304" cm="1">
        <f t="array" ref="BW30">IF(AND(BW$2&lt;&gt;0,TblTech[[#This Row],[Hour]:[Hour]]&gt;=BW$2),1,0)</f>
        <v>0</v>
      </c>
      <c r="BX30" s="304" cm="1">
        <f t="array" ref="BX30">IF(AND(BX$2&lt;&gt;0,TblTech[[#This Row],[Hour]:[Hour]]&gt;=BX$2),1,0)</f>
        <v>0</v>
      </c>
      <c r="BY30" s="304" cm="1">
        <f t="array" ref="BY30">IF(AND(BY$2&lt;&gt;0,TblTech[[#This Row],[Hour]:[Hour]]&gt;=BY$2),1,0)</f>
        <v>0</v>
      </c>
      <c r="BZ30" s="304" cm="1">
        <f t="array" ref="BZ30">IF(AND(BZ$2&lt;&gt;0,TblTech[[#This Row],[Hour]:[Hour]]&gt;=BZ$2),1,0)</f>
        <v>0</v>
      </c>
      <c r="CA30" s="408">
        <f>IFERROR(INDEX($H$4:$H$79,MATCH(INDEX(TblTech[[#Headers],[1-1]:[11-1]],1,MATCH(TblTech[[#This Row],[Hour]],$M$2:$BZ$2,0)),$G$4:$G$79,0)),)</f>
        <v>0</v>
      </c>
    </row>
    <row r="31" spans="1:79" x14ac:dyDescent="0.2">
      <c r="A31" s="296">
        <f>TblRezone[[#This Row],[Hour]]</f>
        <v>28</v>
      </c>
      <c r="B31" s="297">
        <f ca="1">TblExplore[[#This Row],[Land-DB]]</f>
        <v>250</v>
      </c>
      <c r="C31" s="298">
        <f ca="1">TblProd[[#This Row],[Techpoints]]</f>
        <v>0</v>
      </c>
      <c r="D31" s="298">
        <f ca="1">TblProd[[#This Row],[Required]]</f>
        <v>3750</v>
      </c>
      <c r="E31" s="299"/>
      <c r="F31" s="300"/>
      <c r="G31" s="301" t="s">
        <v>585</v>
      </c>
      <c r="H31" s="302" t="s">
        <v>700</v>
      </c>
      <c r="I31" s="301" t="s">
        <v>1079</v>
      </c>
      <c r="J31" s="297"/>
      <c r="K31" s="96">
        <f ca="1">IF(TblTech[[#This Row],[Sum of tech]]&lt;&gt;OFFSET(TblTech[[#This Row],[Sum of tech]],-1,0),1,0)</f>
        <v>0</v>
      </c>
      <c r="L31" s="303">
        <f>COUNTIF(TblTech[[#This Row],[1-1]:[11-1]],1)</f>
        <v>0</v>
      </c>
      <c r="M31" s="304" cm="1">
        <f t="array" ref="M31">IF(AND(M$2&lt;&gt;0,TblTech[[#This Row],[Hour]:[Hour]]&gt;=M$2),1,0)</f>
        <v>0</v>
      </c>
      <c r="N31" s="304" cm="1">
        <f t="array" ref="N31">IF(AND(N$2&lt;&gt;0,TblTech[[#This Row],[Hour]:[Hour]]&gt;=N$2),1,0)</f>
        <v>0</v>
      </c>
      <c r="O31" s="304" cm="1">
        <f t="array" ref="O31">IF(AND(O$2&lt;&gt;0,TblTech[[#This Row],[Hour]:[Hour]]&gt;=O$2),1,0)</f>
        <v>0</v>
      </c>
      <c r="P31" s="304" cm="1">
        <f t="array" ref="P31">IF(AND(P$2&lt;&gt;0,TblTech[[#This Row],[Hour]:[Hour]]&gt;=P$2),1,0)</f>
        <v>0</v>
      </c>
      <c r="Q31" s="304" cm="1">
        <f t="array" ref="Q31">IF(AND(Q$2&lt;&gt;0,TblTech[[#This Row],[Hour]:[Hour]]&gt;=Q$2),1,0)</f>
        <v>0</v>
      </c>
      <c r="R31" s="304" cm="1">
        <f t="array" ref="R31">IF(AND(R$2&lt;&gt;0,TblTech[[#This Row],[Hour]:[Hour]]&gt;=R$2),1,0)</f>
        <v>0</v>
      </c>
      <c r="S31" s="304" cm="1">
        <f t="array" ref="S31">IF(AND(S$2&lt;&gt;0,TblTech[[#This Row],[Hour]:[Hour]]&gt;=S$2),1,0)</f>
        <v>0</v>
      </c>
      <c r="T31" s="304" cm="1">
        <f t="array" ref="T31">IF(AND(T$2&lt;&gt;0,TblTech[[#This Row],[Hour]:[Hour]]&gt;=T$2),1,0)</f>
        <v>0</v>
      </c>
      <c r="U31" s="304" cm="1">
        <f t="array" ref="U31">IF(AND(U$2&lt;&gt;0,TblTech[[#This Row],[Hour]:[Hour]]&gt;=U$2),1,0)</f>
        <v>0</v>
      </c>
      <c r="V31" s="304" cm="1">
        <f t="array" ref="V31">IF(AND(V$2&lt;&gt;0,TblTech[[#This Row],[Hour]:[Hour]]&gt;=V$2),1,0)</f>
        <v>0</v>
      </c>
      <c r="W31" s="304" cm="1">
        <f t="array" ref="W31">IF(AND(W$2&lt;&gt;0,TblTech[[#This Row],[Hour]:[Hour]]&gt;=W$2),1,0)</f>
        <v>0</v>
      </c>
      <c r="X31" s="304" cm="1">
        <f t="array" ref="X31">IF(AND(X$2&lt;&gt;0,TblTech[[#This Row],[Hour]:[Hour]]&gt;=X$2),1,0)</f>
        <v>0</v>
      </c>
      <c r="Y31" s="304" cm="1">
        <f t="array" ref="Y31">IF(AND(Y$2&lt;&gt;0,TblTech[[#This Row],[Hour]:[Hour]]&gt;=Y$2),1,0)</f>
        <v>0</v>
      </c>
      <c r="Z31" s="304" cm="1">
        <f t="array" ref="Z31">IF(AND(Z$2&lt;&gt;0,TblTech[[#This Row],[Hour]:[Hour]]&gt;=Z$2),1,0)</f>
        <v>0</v>
      </c>
      <c r="AA31" s="304" cm="1">
        <f t="array" ref="AA31">IF(AND(AA$2&lt;&gt;0,TblTech[[#This Row],[Hour]:[Hour]]&gt;=AA$2),1,0)</f>
        <v>0</v>
      </c>
      <c r="AB31" s="304" cm="1">
        <f t="array" ref="AB31">IF(AND(AB$2&lt;&gt;0,TblTech[[#This Row],[Hour]:[Hour]]&gt;=AB$2),1,0)</f>
        <v>0</v>
      </c>
      <c r="AC31" s="304" cm="1">
        <f t="array" ref="AC31">IF(AND(AC$2&lt;&gt;0,TblTech[[#This Row],[Hour]:[Hour]]&gt;=AC$2),1,0)</f>
        <v>0</v>
      </c>
      <c r="AD31" s="304" cm="1">
        <f t="array" ref="AD31">IF(AND(AD$2&lt;&gt;0,TblTech[[#This Row],[Hour]:[Hour]]&gt;=AD$2),1,0)</f>
        <v>0</v>
      </c>
      <c r="AE31" s="304" cm="1">
        <f t="array" ref="AE31">IF(AND(AE$2&lt;&gt;0,TblTech[[#This Row],[Hour]:[Hour]]&gt;=AE$2),1,0)</f>
        <v>0</v>
      </c>
      <c r="AF31" s="304" cm="1">
        <f t="array" ref="AF31">IF(AND(AF$2&lt;&gt;0,TblTech[[#This Row],[Hour]:[Hour]]&gt;=AF$2),1,0)</f>
        <v>0</v>
      </c>
      <c r="AG31" s="304" cm="1">
        <f t="array" ref="AG31">IF(AND(AG$2&lt;&gt;0,TblTech[[#This Row],[Hour]:[Hour]]&gt;=AG$2),1,0)</f>
        <v>0</v>
      </c>
      <c r="AH31" s="304" cm="1">
        <f t="array" ref="AH31">IF(AND(AH$2&lt;&gt;0,TblTech[[#This Row],[Hour]:[Hour]]&gt;=AH$2),1,0)</f>
        <v>0</v>
      </c>
      <c r="AI31" s="304" cm="1">
        <f t="array" ref="AI31">IF(AND(AI$2&lt;&gt;0,TblTech[[#This Row],[Hour]:[Hour]]&gt;=AI$2),1,0)</f>
        <v>0</v>
      </c>
      <c r="AJ31" s="304" cm="1">
        <f t="array" ref="AJ31">IF(AND(AJ$2&lt;&gt;0,TblTech[[#This Row],[Hour]:[Hour]]&gt;=AJ$2),1,0)</f>
        <v>0</v>
      </c>
      <c r="AK31" s="304" cm="1">
        <f t="array" ref="AK31">IF(AND(AK$2&lt;&gt;0,TblTech[[#This Row],[Hour]:[Hour]]&gt;=AK$2),1,0)</f>
        <v>0</v>
      </c>
      <c r="AL31" s="304" cm="1">
        <f t="array" ref="AL31">IF(AND(AL$2&lt;&gt;0,TblTech[[#This Row],[Hour]:[Hour]]&gt;=AL$2),1,0)</f>
        <v>0</v>
      </c>
      <c r="AM31" s="304" cm="1">
        <f t="array" ref="AM31">IF(AND(AM$2&lt;&gt;0,TblTech[[#This Row],[Hour]:[Hour]]&gt;=AM$2),1,0)</f>
        <v>0</v>
      </c>
      <c r="AN31" s="304" cm="1">
        <f t="array" ref="AN31">IF(AND(AN$2&lt;&gt;0,TblTech[[#This Row],[Hour]:[Hour]]&gt;=AN$2),1,0)</f>
        <v>0</v>
      </c>
      <c r="AO31" s="304" cm="1">
        <f t="array" ref="AO31">IF(AND(AO$2&lt;&gt;0,TblTech[[#This Row],[Hour]:[Hour]]&gt;=AO$2),1,0)</f>
        <v>0</v>
      </c>
      <c r="AP31" s="304" cm="1">
        <f t="array" ref="AP31">IF(AND(AP$2&lt;&gt;0,TblTech[[#This Row],[Hour]:[Hour]]&gt;=AP$2),1,0)</f>
        <v>0</v>
      </c>
      <c r="AQ31" s="304" cm="1">
        <f t="array" ref="AQ31">IF(AND(AQ$2&lt;&gt;0,TblTech[[#This Row],[Hour]:[Hour]]&gt;=AQ$2),1,0)</f>
        <v>0</v>
      </c>
      <c r="AR31" s="304" cm="1">
        <f t="array" ref="AR31">IF(AND(AR$2&lt;&gt;0,TblTech[[#This Row],[Hour]:[Hour]]&gt;=AR$2),1,0)</f>
        <v>0</v>
      </c>
      <c r="AS31" s="304" cm="1">
        <f t="array" ref="AS31">IF(AND(AS$2&lt;&gt;0,TblTech[[#This Row],[Hour]:[Hour]]&gt;=AS$2),1,0)</f>
        <v>0</v>
      </c>
      <c r="AT31" s="304" cm="1">
        <f t="array" ref="AT31">IF(AND(AT$2&lt;&gt;0,TblTech[[#This Row],[Hour]:[Hour]]&gt;=AT$2),1,0)</f>
        <v>0</v>
      </c>
      <c r="AU31" s="304" cm="1">
        <f t="array" ref="AU31">IF(AND(AU$2&lt;&gt;0,TblTech[[#This Row],[Hour]:[Hour]]&gt;=AU$2),1,0)</f>
        <v>0</v>
      </c>
      <c r="AV31" s="304" cm="1">
        <f t="array" ref="AV31">IF(AND(AV$2&lt;&gt;0,TblTech[[#This Row],[Hour]:[Hour]]&gt;=AV$2),1,0)</f>
        <v>0</v>
      </c>
      <c r="AW31" s="304" cm="1">
        <f t="array" ref="AW31">IF(AND(AW$2&lt;&gt;0,TblTech[[#This Row],[Hour]:[Hour]]&gt;=AW$2),1,0)</f>
        <v>0</v>
      </c>
      <c r="AX31" s="304" cm="1">
        <f t="array" ref="AX31">IF(AND(AX$2&lt;&gt;0,TblTech[[#This Row],[Hour]:[Hour]]&gt;=AX$2),1,0)</f>
        <v>0</v>
      </c>
      <c r="AY31" s="304" cm="1">
        <f t="array" ref="AY31">IF(AND(AY$2&lt;&gt;0,TblTech[[#This Row],[Hour]:[Hour]]&gt;=AY$2),1,0)</f>
        <v>0</v>
      </c>
      <c r="AZ31" s="304" cm="1">
        <f t="array" ref="AZ31">IF(AND(AZ$2&lt;&gt;0,TblTech[[#This Row],[Hour]:[Hour]]&gt;=AZ$2),1,0)</f>
        <v>0</v>
      </c>
      <c r="BA31" s="304" cm="1">
        <f t="array" ref="BA31">IF(AND(BA$2&lt;&gt;0,TblTech[[#This Row],[Hour]:[Hour]]&gt;=BA$2),1,0)</f>
        <v>0</v>
      </c>
      <c r="BB31" s="304" cm="1">
        <f t="array" ref="BB31">IF(AND(BB$2&lt;&gt;0,TblTech[[#This Row],[Hour]:[Hour]]&gt;=BB$2),1,0)</f>
        <v>0</v>
      </c>
      <c r="BC31" s="304" cm="1">
        <f t="array" ref="BC31">IF(AND(BC$2&lt;&gt;0,TblTech[[#This Row],[Hour]:[Hour]]&gt;=BC$2),1,0)</f>
        <v>0</v>
      </c>
      <c r="BD31" s="304" cm="1">
        <f t="array" ref="BD31">IF(AND(BD$2&lt;&gt;0,TblTech[[#This Row],[Hour]:[Hour]]&gt;=BD$2),1,0)</f>
        <v>0</v>
      </c>
      <c r="BE31" s="304" cm="1">
        <f t="array" ref="BE31">IF(AND(BE$2&lt;&gt;0,TblTech[[#This Row],[Hour]:[Hour]]&gt;=BE$2),1,0)</f>
        <v>0</v>
      </c>
      <c r="BF31" s="304" cm="1">
        <f t="array" ref="BF31">IF(AND(BF$2&lt;&gt;0,TblTech[[#This Row],[Hour]:[Hour]]&gt;=BF$2),1,0)</f>
        <v>0</v>
      </c>
      <c r="BG31" s="304" cm="1">
        <f t="array" ref="BG31">IF(AND(BG$2&lt;&gt;0,TblTech[[#This Row],[Hour]:[Hour]]&gt;=BG$2),1,0)</f>
        <v>0</v>
      </c>
      <c r="BH31" s="304" cm="1">
        <f t="array" ref="BH31">IF(AND(BH$2&lt;&gt;0,TblTech[[#This Row],[Hour]:[Hour]]&gt;=BH$2),1,0)</f>
        <v>0</v>
      </c>
      <c r="BI31" s="304" cm="1">
        <f t="array" ref="BI31">IF(AND(BI$2&lt;&gt;0,TblTech[[#This Row],[Hour]:[Hour]]&gt;=BI$2),1,0)</f>
        <v>0</v>
      </c>
      <c r="BJ31" s="304" cm="1">
        <f t="array" ref="BJ31">IF(AND(BJ$2&lt;&gt;0,TblTech[[#This Row],[Hour]:[Hour]]&gt;=BJ$2),1,0)</f>
        <v>0</v>
      </c>
      <c r="BK31" s="304" cm="1">
        <f t="array" ref="BK31">IF(AND(BK$2&lt;&gt;0,TblTech[[#This Row],[Hour]:[Hour]]&gt;=BK$2),1,0)</f>
        <v>0</v>
      </c>
      <c r="BL31" s="304" cm="1">
        <f t="array" ref="BL31">IF(AND(BL$2&lt;&gt;0,TblTech[[#This Row],[Hour]:[Hour]]&gt;=BL$2),1,0)</f>
        <v>0</v>
      </c>
      <c r="BM31" s="304" cm="1">
        <f t="array" ref="BM31">IF(AND(BM$2&lt;&gt;0,TblTech[[#This Row],[Hour]:[Hour]]&gt;=BM$2),1,0)</f>
        <v>0</v>
      </c>
      <c r="BN31" s="304" cm="1">
        <f t="array" ref="BN31">IF(AND(BN$2&lt;&gt;0,TblTech[[#This Row],[Hour]:[Hour]]&gt;=BN$2),1,0)</f>
        <v>0</v>
      </c>
      <c r="BO31" s="304" cm="1">
        <f t="array" ref="BO31">IF(AND(BO$2&lt;&gt;0,TblTech[[#This Row],[Hour]:[Hour]]&gt;=BO$2),1,0)</f>
        <v>0</v>
      </c>
      <c r="BP31" s="304" cm="1">
        <f t="array" ref="BP31">IF(AND(BP$2&lt;&gt;0,TblTech[[#This Row],[Hour]:[Hour]]&gt;=BP$2),1,0)</f>
        <v>0</v>
      </c>
      <c r="BQ31" s="304" cm="1">
        <f t="array" ref="BQ31">IF(AND(BQ$2&lt;&gt;0,TblTech[[#This Row],[Hour]:[Hour]]&gt;=BQ$2),1,0)</f>
        <v>0</v>
      </c>
      <c r="BR31" s="304" cm="1">
        <f t="array" ref="BR31">IF(AND(BR$2&lt;&gt;0,TblTech[[#This Row],[Hour]:[Hour]]&gt;=BR$2),1,0)</f>
        <v>0</v>
      </c>
      <c r="BS31" s="304" cm="1">
        <f t="array" ref="BS31">IF(AND(BS$2&lt;&gt;0,TblTech[[#This Row],[Hour]:[Hour]]&gt;=BS$2),1,0)</f>
        <v>0</v>
      </c>
      <c r="BT31" s="304" cm="1">
        <f t="array" ref="BT31">IF(AND(BT$2&lt;&gt;0,TblTech[[#This Row],[Hour]:[Hour]]&gt;=BT$2),1,0)</f>
        <v>0</v>
      </c>
      <c r="BU31" s="304" cm="1">
        <f t="array" ref="BU31">IF(AND(BU$2&lt;&gt;0,TblTech[[#This Row],[Hour]:[Hour]]&gt;=BU$2),1,0)</f>
        <v>0</v>
      </c>
      <c r="BV31" s="304" cm="1">
        <f t="array" ref="BV31">IF(AND(BV$2&lt;&gt;0,TblTech[[#This Row],[Hour]:[Hour]]&gt;=BV$2),1,0)</f>
        <v>0</v>
      </c>
      <c r="BW31" s="304" cm="1">
        <f t="array" ref="BW31">IF(AND(BW$2&lt;&gt;0,TblTech[[#This Row],[Hour]:[Hour]]&gt;=BW$2),1,0)</f>
        <v>0</v>
      </c>
      <c r="BX31" s="304" cm="1">
        <f t="array" ref="BX31">IF(AND(BX$2&lt;&gt;0,TblTech[[#This Row],[Hour]:[Hour]]&gt;=BX$2),1,0)</f>
        <v>0</v>
      </c>
      <c r="BY31" s="304" cm="1">
        <f t="array" ref="BY31">IF(AND(BY$2&lt;&gt;0,TblTech[[#This Row],[Hour]:[Hour]]&gt;=BY$2),1,0)</f>
        <v>0</v>
      </c>
      <c r="BZ31" s="304" cm="1">
        <f t="array" ref="BZ31">IF(AND(BZ$2&lt;&gt;0,TblTech[[#This Row],[Hour]:[Hour]]&gt;=BZ$2),1,0)</f>
        <v>0</v>
      </c>
      <c r="CA31" s="408">
        <f>IFERROR(INDEX($H$4:$H$79,MATCH(INDEX(TblTech[[#Headers],[1-1]:[11-1]],1,MATCH(TblTech[[#This Row],[Hour]],$M$2:$BZ$2,0)),$G$4:$G$79,0)),)</f>
        <v>0</v>
      </c>
    </row>
    <row r="32" spans="1:79" x14ac:dyDescent="0.2">
      <c r="A32" s="296">
        <f>TblRezone[[#This Row],[Hour]]</f>
        <v>29</v>
      </c>
      <c r="B32" s="297">
        <f ca="1">TblExplore[[#This Row],[Land-DB]]</f>
        <v>250</v>
      </c>
      <c r="C32" s="298">
        <f ca="1">TblProd[[#This Row],[Techpoints]]</f>
        <v>0</v>
      </c>
      <c r="D32" s="298">
        <f ca="1">TblProd[[#This Row],[Required]]</f>
        <v>3750</v>
      </c>
      <c r="E32" s="299"/>
      <c r="F32" s="300"/>
      <c r="G32" s="301" t="s">
        <v>586</v>
      </c>
      <c r="H32" s="302" t="s">
        <v>711</v>
      </c>
      <c r="I32" s="301" t="s">
        <v>573</v>
      </c>
      <c r="J32" s="297"/>
      <c r="K32" s="96">
        <f ca="1">IF(TblTech[[#This Row],[Sum of tech]]&lt;&gt;OFFSET(TblTech[[#This Row],[Sum of tech]],-1,0),1,0)</f>
        <v>0</v>
      </c>
      <c r="L32" s="303">
        <f>COUNTIF(TblTech[[#This Row],[1-1]:[11-1]],1)</f>
        <v>0</v>
      </c>
      <c r="M32" s="304" cm="1">
        <f t="array" ref="M32">IF(AND(M$2&lt;&gt;0,TblTech[[#This Row],[Hour]:[Hour]]&gt;=M$2),1,0)</f>
        <v>0</v>
      </c>
      <c r="N32" s="304" cm="1">
        <f t="array" ref="N32">IF(AND(N$2&lt;&gt;0,TblTech[[#This Row],[Hour]:[Hour]]&gt;=N$2),1,0)</f>
        <v>0</v>
      </c>
      <c r="O32" s="304" cm="1">
        <f t="array" ref="O32">IF(AND(O$2&lt;&gt;0,TblTech[[#This Row],[Hour]:[Hour]]&gt;=O$2),1,0)</f>
        <v>0</v>
      </c>
      <c r="P32" s="304" cm="1">
        <f t="array" ref="P32">IF(AND(P$2&lt;&gt;0,TblTech[[#This Row],[Hour]:[Hour]]&gt;=P$2),1,0)</f>
        <v>0</v>
      </c>
      <c r="Q32" s="304" cm="1">
        <f t="array" ref="Q32">IF(AND(Q$2&lt;&gt;0,TblTech[[#This Row],[Hour]:[Hour]]&gt;=Q$2),1,0)</f>
        <v>0</v>
      </c>
      <c r="R32" s="304" cm="1">
        <f t="array" ref="R32">IF(AND(R$2&lt;&gt;0,TblTech[[#This Row],[Hour]:[Hour]]&gt;=R$2),1,0)</f>
        <v>0</v>
      </c>
      <c r="S32" s="304" cm="1">
        <f t="array" ref="S32">IF(AND(S$2&lt;&gt;0,TblTech[[#This Row],[Hour]:[Hour]]&gt;=S$2),1,0)</f>
        <v>0</v>
      </c>
      <c r="T32" s="304" cm="1">
        <f t="array" ref="T32">IF(AND(T$2&lt;&gt;0,TblTech[[#This Row],[Hour]:[Hour]]&gt;=T$2),1,0)</f>
        <v>0</v>
      </c>
      <c r="U32" s="304" cm="1">
        <f t="array" ref="U32">IF(AND(U$2&lt;&gt;0,TblTech[[#This Row],[Hour]:[Hour]]&gt;=U$2),1,0)</f>
        <v>0</v>
      </c>
      <c r="V32" s="304" cm="1">
        <f t="array" ref="V32">IF(AND(V$2&lt;&gt;0,TblTech[[#This Row],[Hour]:[Hour]]&gt;=V$2),1,0)</f>
        <v>0</v>
      </c>
      <c r="W32" s="304" cm="1">
        <f t="array" ref="W32">IF(AND(W$2&lt;&gt;0,TblTech[[#This Row],[Hour]:[Hour]]&gt;=W$2),1,0)</f>
        <v>0</v>
      </c>
      <c r="X32" s="304" cm="1">
        <f t="array" ref="X32">IF(AND(X$2&lt;&gt;0,TblTech[[#This Row],[Hour]:[Hour]]&gt;=X$2),1,0)</f>
        <v>0</v>
      </c>
      <c r="Y32" s="304" cm="1">
        <f t="array" ref="Y32">IF(AND(Y$2&lt;&gt;0,TblTech[[#This Row],[Hour]:[Hour]]&gt;=Y$2),1,0)</f>
        <v>0</v>
      </c>
      <c r="Z32" s="304" cm="1">
        <f t="array" ref="Z32">IF(AND(Z$2&lt;&gt;0,TblTech[[#This Row],[Hour]:[Hour]]&gt;=Z$2),1,0)</f>
        <v>0</v>
      </c>
      <c r="AA32" s="304" cm="1">
        <f t="array" ref="AA32">IF(AND(AA$2&lt;&gt;0,TblTech[[#This Row],[Hour]:[Hour]]&gt;=AA$2),1,0)</f>
        <v>0</v>
      </c>
      <c r="AB32" s="304" cm="1">
        <f t="array" ref="AB32">IF(AND(AB$2&lt;&gt;0,TblTech[[#This Row],[Hour]:[Hour]]&gt;=AB$2),1,0)</f>
        <v>0</v>
      </c>
      <c r="AC32" s="304" cm="1">
        <f t="array" ref="AC32">IF(AND(AC$2&lt;&gt;0,TblTech[[#This Row],[Hour]:[Hour]]&gt;=AC$2),1,0)</f>
        <v>0</v>
      </c>
      <c r="AD32" s="304" cm="1">
        <f t="array" ref="AD32">IF(AND(AD$2&lt;&gt;0,TblTech[[#This Row],[Hour]:[Hour]]&gt;=AD$2),1,0)</f>
        <v>0</v>
      </c>
      <c r="AE32" s="304" cm="1">
        <f t="array" ref="AE32">IF(AND(AE$2&lt;&gt;0,TblTech[[#This Row],[Hour]:[Hour]]&gt;=AE$2),1,0)</f>
        <v>0</v>
      </c>
      <c r="AF32" s="304" cm="1">
        <f t="array" ref="AF32">IF(AND(AF$2&lt;&gt;0,TblTech[[#This Row],[Hour]:[Hour]]&gt;=AF$2),1,0)</f>
        <v>0</v>
      </c>
      <c r="AG32" s="304" cm="1">
        <f t="array" ref="AG32">IF(AND(AG$2&lt;&gt;0,TblTech[[#This Row],[Hour]:[Hour]]&gt;=AG$2),1,0)</f>
        <v>0</v>
      </c>
      <c r="AH32" s="304" cm="1">
        <f t="array" ref="AH32">IF(AND(AH$2&lt;&gt;0,TblTech[[#This Row],[Hour]:[Hour]]&gt;=AH$2),1,0)</f>
        <v>0</v>
      </c>
      <c r="AI32" s="304" cm="1">
        <f t="array" ref="AI32">IF(AND(AI$2&lt;&gt;0,TblTech[[#This Row],[Hour]:[Hour]]&gt;=AI$2),1,0)</f>
        <v>0</v>
      </c>
      <c r="AJ32" s="304" cm="1">
        <f t="array" ref="AJ32">IF(AND(AJ$2&lt;&gt;0,TblTech[[#This Row],[Hour]:[Hour]]&gt;=AJ$2),1,0)</f>
        <v>0</v>
      </c>
      <c r="AK32" s="304" cm="1">
        <f t="array" ref="AK32">IF(AND(AK$2&lt;&gt;0,TblTech[[#This Row],[Hour]:[Hour]]&gt;=AK$2),1,0)</f>
        <v>0</v>
      </c>
      <c r="AL32" s="304" cm="1">
        <f t="array" ref="AL32">IF(AND(AL$2&lt;&gt;0,TblTech[[#This Row],[Hour]:[Hour]]&gt;=AL$2),1,0)</f>
        <v>0</v>
      </c>
      <c r="AM32" s="304" cm="1">
        <f t="array" ref="AM32">IF(AND(AM$2&lt;&gt;0,TblTech[[#This Row],[Hour]:[Hour]]&gt;=AM$2),1,0)</f>
        <v>0</v>
      </c>
      <c r="AN32" s="304" cm="1">
        <f t="array" ref="AN32">IF(AND(AN$2&lt;&gt;0,TblTech[[#This Row],[Hour]:[Hour]]&gt;=AN$2),1,0)</f>
        <v>0</v>
      </c>
      <c r="AO32" s="304" cm="1">
        <f t="array" ref="AO32">IF(AND(AO$2&lt;&gt;0,TblTech[[#This Row],[Hour]:[Hour]]&gt;=AO$2),1,0)</f>
        <v>0</v>
      </c>
      <c r="AP32" s="304" cm="1">
        <f t="array" ref="AP32">IF(AND(AP$2&lt;&gt;0,TblTech[[#This Row],[Hour]:[Hour]]&gt;=AP$2),1,0)</f>
        <v>0</v>
      </c>
      <c r="AQ32" s="304" cm="1">
        <f t="array" ref="AQ32">IF(AND(AQ$2&lt;&gt;0,TblTech[[#This Row],[Hour]:[Hour]]&gt;=AQ$2),1,0)</f>
        <v>0</v>
      </c>
      <c r="AR32" s="304" cm="1">
        <f t="array" ref="AR32">IF(AND(AR$2&lt;&gt;0,TblTech[[#This Row],[Hour]:[Hour]]&gt;=AR$2),1,0)</f>
        <v>0</v>
      </c>
      <c r="AS32" s="304" cm="1">
        <f t="array" ref="AS32">IF(AND(AS$2&lt;&gt;0,TblTech[[#This Row],[Hour]:[Hour]]&gt;=AS$2),1,0)</f>
        <v>0</v>
      </c>
      <c r="AT32" s="304" cm="1">
        <f t="array" ref="AT32">IF(AND(AT$2&lt;&gt;0,TblTech[[#This Row],[Hour]:[Hour]]&gt;=AT$2),1,0)</f>
        <v>0</v>
      </c>
      <c r="AU32" s="304" cm="1">
        <f t="array" ref="AU32">IF(AND(AU$2&lt;&gt;0,TblTech[[#This Row],[Hour]:[Hour]]&gt;=AU$2),1,0)</f>
        <v>0</v>
      </c>
      <c r="AV32" s="304" cm="1">
        <f t="array" ref="AV32">IF(AND(AV$2&lt;&gt;0,TblTech[[#This Row],[Hour]:[Hour]]&gt;=AV$2),1,0)</f>
        <v>0</v>
      </c>
      <c r="AW32" s="304" cm="1">
        <f t="array" ref="AW32">IF(AND(AW$2&lt;&gt;0,TblTech[[#This Row],[Hour]:[Hour]]&gt;=AW$2),1,0)</f>
        <v>0</v>
      </c>
      <c r="AX32" s="304" cm="1">
        <f t="array" ref="AX32">IF(AND(AX$2&lt;&gt;0,TblTech[[#This Row],[Hour]:[Hour]]&gt;=AX$2),1,0)</f>
        <v>0</v>
      </c>
      <c r="AY32" s="304" cm="1">
        <f t="array" ref="AY32">IF(AND(AY$2&lt;&gt;0,TblTech[[#This Row],[Hour]:[Hour]]&gt;=AY$2),1,0)</f>
        <v>0</v>
      </c>
      <c r="AZ32" s="304" cm="1">
        <f t="array" ref="AZ32">IF(AND(AZ$2&lt;&gt;0,TblTech[[#This Row],[Hour]:[Hour]]&gt;=AZ$2),1,0)</f>
        <v>0</v>
      </c>
      <c r="BA32" s="304" cm="1">
        <f t="array" ref="BA32">IF(AND(BA$2&lt;&gt;0,TblTech[[#This Row],[Hour]:[Hour]]&gt;=BA$2),1,0)</f>
        <v>0</v>
      </c>
      <c r="BB32" s="304" cm="1">
        <f t="array" ref="BB32">IF(AND(BB$2&lt;&gt;0,TblTech[[#This Row],[Hour]:[Hour]]&gt;=BB$2),1,0)</f>
        <v>0</v>
      </c>
      <c r="BC32" s="304" cm="1">
        <f t="array" ref="BC32">IF(AND(BC$2&lt;&gt;0,TblTech[[#This Row],[Hour]:[Hour]]&gt;=BC$2),1,0)</f>
        <v>0</v>
      </c>
      <c r="BD32" s="304" cm="1">
        <f t="array" ref="BD32">IF(AND(BD$2&lt;&gt;0,TblTech[[#This Row],[Hour]:[Hour]]&gt;=BD$2),1,0)</f>
        <v>0</v>
      </c>
      <c r="BE32" s="304" cm="1">
        <f t="array" ref="BE32">IF(AND(BE$2&lt;&gt;0,TblTech[[#This Row],[Hour]:[Hour]]&gt;=BE$2),1,0)</f>
        <v>0</v>
      </c>
      <c r="BF32" s="304" cm="1">
        <f t="array" ref="BF32">IF(AND(BF$2&lt;&gt;0,TblTech[[#This Row],[Hour]:[Hour]]&gt;=BF$2),1,0)</f>
        <v>0</v>
      </c>
      <c r="BG32" s="304" cm="1">
        <f t="array" ref="BG32">IF(AND(BG$2&lt;&gt;0,TblTech[[#This Row],[Hour]:[Hour]]&gt;=BG$2),1,0)</f>
        <v>0</v>
      </c>
      <c r="BH32" s="304" cm="1">
        <f t="array" ref="BH32">IF(AND(BH$2&lt;&gt;0,TblTech[[#This Row],[Hour]:[Hour]]&gt;=BH$2),1,0)</f>
        <v>0</v>
      </c>
      <c r="BI32" s="304" cm="1">
        <f t="array" ref="BI32">IF(AND(BI$2&lt;&gt;0,TblTech[[#This Row],[Hour]:[Hour]]&gt;=BI$2),1,0)</f>
        <v>0</v>
      </c>
      <c r="BJ32" s="304" cm="1">
        <f t="array" ref="BJ32">IF(AND(BJ$2&lt;&gt;0,TblTech[[#This Row],[Hour]:[Hour]]&gt;=BJ$2),1,0)</f>
        <v>0</v>
      </c>
      <c r="BK32" s="304" cm="1">
        <f t="array" ref="BK32">IF(AND(BK$2&lt;&gt;0,TblTech[[#This Row],[Hour]:[Hour]]&gt;=BK$2),1,0)</f>
        <v>0</v>
      </c>
      <c r="BL32" s="304" cm="1">
        <f t="array" ref="BL32">IF(AND(BL$2&lt;&gt;0,TblTech[[#This Row],[Hour]:[Hour]]&gt;=BL$2),1,0)</f>
        <v>0</v>
      </c>
      <c r="BM32" s="304" cm="1">
        <f t="array" ref="BM32">IF(AND(BM$2&lt;&gt;0,TblTech[[#This Row],[Hour]:[Hour]]&gt;=BM$2),1,0)</f>
        <v>0</v>
      </c>
      <c r="BN32" s="304" cm="1">
        <f t="array" ref="BN32">IF(AND(BN$2&lt;&gt;0,TblTech[[#This Row],[Hour]:[Hour]]&gt;=BN$2),1,0)</f>
        <v>0</v>
      </c>
      <c r="BO32" s="304" cm="1">
        <f t="array" ref="BO32">IF(AND(BO$2&lt;&gt;0,TblTech[[#This Row],[Hour]:[Hour]]&gt;=BO$2),1,0)</f>
        <v>0</v>
      </c>
      <c r="BP32" s="304" cm="1">
        <f t="array" ref="BP32">IF(AND(BP$2&lt;&gt;0,TblTech[[#This Row],[Hour]:[Hour]]&gt;=BP$2),1,0)</f>
        <v>0</v>
      </c>
      <c r="BQ32" s="304" cm="1">
        <f t="array" ref="BQ32">IF(AND(BQ$2&lt;&gt;0,TblTech[[#This Row],[Hour]:[Hour]]&gt;=BQ$2),1,0)</f>
        <v>0</v>
      </c>
      <c r="BR32" s="304" cm="1">
        <f t="array" ref="BR32">IF(AND(BR$2&lt;&gt;0,TblTech[[#This Row],[Hour]:[Hour]]&gt;=BR$2),1,0)</f>
        <v>0</v>
      </c>
      <c r="BS32" s="304" cm="1">
        <f t="array" ref="BS32">IF(AND(BS$2&lt;&gt;0,TblTech[[#This Row],[Hour]:[Hour]]&gt;=BS$2),1,0)</f>
        <v>0</v>
      </c>
      <c r="BT32" s="304" cm="1">
        <f t="array" ref="BT32">IF(AND(BT$2&lt;&gt;0,TblTech[[#This Row],[Hour]:[Hour]]&gt;=BT$2),1,0)</f>
        <v>0</v>
      </c>
      <c r="BU32" s="304" cm="1">
        <f t="array" ref="BU32">IF(AND(BU$2&lt;&gt;0,TblTech[[#This Row],[Hour]:[Hour]]&gt;=BU$2),1,0)</f>
        <v>0</v>
      </c>
      <c r="BV32" s="304" cm="1">
        <f t="array" ref="BV32">IF(AND(BV$2&lt;&gt;0,TblTech[[#This Row],[Hour]:[Hour]]&gt;=BV$2),1,0)</f>
        <v>0</v>
      </c>
      <c r="BW32" s="304" cm="1">
        <f t="array" ref="BW32">IF(AND(BW$2&lt;&gt;0,TblTech[[#This Row],[Hour]:[Hour]]&gt;=BW$2),1,0)</f>
        <v>0</v>
      </c>
      <c r="BX32" s="304" cm="1">
        <f t="array" ref="BX32">IF(AND(BX$2&lt;&gt;0,TblTech[[#This Row],[Hour]:[Hour]]&gt;=BX$2),1,0)</f>
        <v>0</v>
      </c>
      <c r="BY32" s="304" cm="1">
        <f t="array" ref="BY32">IF(AND(BY$2&lt;&gt;0,TblTech[[#This Row],[Hour]:[Hour]]&gt;=BY$2),1,0)</f>
        <v>0</v>
      </c>
      <c r="BZ32" s="304" cm="1">
        <f t="array" ref="BZ32">IF(AND(BZ$2&lt;&gt;0,TblTech[[#This Row],[Hour]:[Hour]]&gt;=BZ$2),1,0)</f>
        <v>0</v>
      </c>
      <c r="CA32" s="408">
        <f>IFERROR(INDEX($H$4:$H$79,MATCH(INDEX(TblTech[[#Headers],[1-1]:[11-1]],1,MATCH(TblTech[[#This Row],[Hour]],$M$2:$BZ$2,0)),$G$4:$G$79,0)),)</f>
        <v>0</v>
      </c>
    </row>
    <row r="33" spans="1:79" x14ac:dyDescent="0.2">
      <c r="A33" s="296">
        <f>TblRezone[[#This Row],[Hour]]</f>
        <v>30</v>
      </c>
      <c r="B33" s="297">
        <f ca="1">TblExplore[[#This Row],[Land-DB]]</f>
        <v>250</v>
      </c>
      <c r="C33" s="298">
        <f ca="1">TblProd[[#This Row],[Techpoints]]</f>
        <v>0</v>
      </c>
      <c r="D33" s="298">
        <f ca="1">TblProd[[#This Row],[Required]]</f>
        <v>3750</v>
      </c>
      <c r="E33" s="299"/>
      <c r="F33" s="300"/>
      <c r="G33" s="301" t="s">
        <v>587</v>
      </c>
      <c r="H33" s="302" t="s">
        <v>719</v>
      </c>
      <c r="I33" s="301" t="s">
        <v>759</v>
      </c>
      <c r="J33" s="297"/>
      <c r="K33" s="96">
        <f ca="1">IF(TblTech[[#This Row],[Sum of tech]]&lt;&gt;OFFSET(TblTech[[#This Row],[Sum of tech]],-1,0),1,0)</f>
        <v>0</v>
      </c>
      <c r="L33" s="303">
        <f>COUNTIF(TblTech[[#This Row],[1-1]:[11-1]],1)</f>
        <v>0</v>
      </c>
      <c r="M33" s="304" cm="1">
        <f t="array" ref="M33">IF(AND(M$2&lt;&gt;0,TblTech[[#This Row],[Hour]:[Hour]]&gt;=M$2),1,0)</f>
        <v>0</v>
      </c>
      <c r="N33" s="304" cm="1">
        <f t="array" ref="N33">IF(AND(N$2&lt;&gt;0,TblTech[[#This Row],[Hour]:[Hour]]&gt;=N$2),1,0)</f>
        <v>0</v>
      </c>
      <c r="O33" s="304" cm="1">
        <f t="array" ref="O33">IF(AND(O$2&lt;&gt;0,TblTech[[#This Row],[Hour]:[Hour]]&gt;=O$2),1,0)</f>
        <v>0</v>
      </c>
      <c r="P33" s="304" cm="1">
        <f t="array" ref="P33">IF(AND(P$2&lt;&gt;0,TblTech[[#This Row],[Hour]:[Hour]]&gt;=P$2),1,0)</f>
        <v>0</v>
      </c>
      <c r="Q33" s="304" cm="1">
        <f t="array" ref="Q33">IF(AND(Q$2&lt;&gt;0,TblTech[[#This Row],[Hour]:[Hour]]&gt;=Q$2),1,0)</f>
        <v>0</v>
      </c>
      <c r="R33" s="304" cm="1">
        <f t="array" ref="R33">IF(AND(R$2&lt;&gt;0,TblTech[[#This Row],[Hour]:[Hour]]&gt;=R$2),1,0)</f>
        <v>0</v>
      </c>
      <c r="S33" s="304" cm="1">
        <f t="array" ref="S33">IF(AND(S$2&lt;&gt;0,TblTech[[#This Row],[Hour]:[Hour]]&gt;=S$2),1,0)</f>
        <v>0</v>
      </c>
      <c r="T33" s="304" cm="1">
        <f t="array" ref="T33">IF(AND(T$2&lt;&gt;0,TblTech[[#This Row],[Hour]:[Hour]]&gt;=T$2),1,0)</f>
        <v>0</v>
      </c>
      <c r="U33" s="304" cm="1">
        <f t="array" ref="U33">IF(AND(U$2&lt;&gt;0,TblTech[[#This Row],[Hour]:[Hour]]&gt;=U$2),1,0)</f>
        <v>0</v>
      </c>
      <c r="V33" s="304" cm="1">
        <f t="array" ref="V33">IF(AND(V$2&lt;&gt;0,TblTech[[#This Row],[Hour]:[Hour]]&gt;=V$2),1,0)</f>
        <v>0</v>
      </c>
      <c r="W33" s="304" cm="1">
        <f t="array" ref="W33">IF(AND(W$2&lt;&gt;0,TblTech[[#This Row],[Hour]:[Hour]]&gt;=W$2),1,0)</f>
        <v>0</v>
      </c>
      <c r="X33" s="304" cm="1">
        <f t="array" ref="X33">IF(AND(X$2&lt;&gt;0,TblTech[[#This Row],[Hour]:[Hour]]&gt;=X$2),1,0)</f>
        <v>0</v>
      </c>
      <c r="Y33" s="304" cm="1">
        <f t="array" ref="Y33">IF(AND(Y$2&lt;&gt;0,TblTech[[#This Row],[Hour]:[Hour]]&gt;=Y$2),1,0)</f>
        <v>0</v>
      </c>
      <c r="Z33" s="304" cm="1">
        <f t="array" ref="Z33">IF(AND(Z$2&lt;&gt;0,TblTech[[#This Row],[Hour]:[Hour]]&gt;=Z$2),1,0)</f>
        <v>0</v>
      </c>
      <c r="AA33" s="304" cm="1">
        <f t="array" ref="AA33">IF(AND(AA$2&lt;&gt;0,TblTech[[#This Row],[Hour]:[Hour]]&gt;=AA$2),1,0)</f>
        <v>0</v>
      </c>
      <c r="AB33" s="304" cm="1">
        <f t="array" ref="AB33">IF(AND(AB$2&lt;&gt;0,TblTech[[#This Row],[Hour]:[Hour]]&gt;=AB$2),1,0)</f>
        <v>0</v>
      </c>
      <c r="AC33" s="304" cm="1">
        <f t="array" ref="AC33">IF(AND(AC$2&lt;&gt;0,TblTech[[#This Row],[Hour]:[Hour]]&gt;=AC$2),1,0)</f>
        <v>0</v>
      </c>
      <c r="AD33" s="304" cm="1">
        <f t="array" ref="AD33">IF(AND(AD$2&lt;&gt;0,TblTech[[#This Row],[Hour]:[Hour]]&gt;=AD$2),1,0)</f>
        <v>0</v>
      </c>
      <c r="AE33" s="304" cm="1">
        <f t="array" ref="AE33">IF(AND(AE$2&lt;&gt;0,TblTech[[#This Row],[Hour]:[Hour]]&gt;=AE$2),1,0)</f>
        <v>0</v>
      </c>
      <c r="AF33" s="304" cm="1">
        <f t="array" ref="AF33">IF(AND(AF$2&lt;&gt;0,TblTech[[#This Row],[Hour]:[Hour]]&gt;=AF$2),1,0)</f>
        <v>0</v>
      </c>
      <c r="AG33" s="304" cm="1">
        <f t="array" ref="AG33">IF(AND(AG$2&lt;&gt;0,TblTech[[#This Row],[Hour]:[Hour]]&gt;=AG$2),1,0)</f>
        <v>0</v>
      </c>
      <c r="AH33" s="304" cm="1">
        <f t="array" ref="AH33">IF(AND(AH$2&lt;&gt;0,TblTech[[#This Row],[Hour]:[Hour]]&gt;=AH$2),1,0)</f>
        <v>0</v>
      </c>
      <c r="AI33" s="304" cm="1">
        <f t="array" ref="AI33">IF(AND(AI$2&lt;&gt;0,TblTech[[#This Row],[Hour]:[Hour]]&gt;=AI$2),1,0)</f>
        <v>0</v>
      </c>
      <c r="AJ33" s="304" cm="1">
        <f t="array" ref="AJ33">IF(AND(AJ$2&lt;&gt;0,TblTech[[#This Row],[Hour]:[Hour]]&gt;=AJ$2),1,0)</f>
        <v>0</v>
      </c>
      <c r="AK33" s="304" cm="1">
        <f t="array" ref="AK33">IF(AND(AK$2&lt;&gt;0,TblTech[[#This Row],[Hour]:[Hour]]&gt;=AK$2),1,0)</f>
        <v>0</v>
      </c>
      <c r="AL33" s="304" cm="1">
        <f t="array" ref="AL33">IF(AND(AL$2&lt;&gt;0,TblTech[[#This Row],[Hour]:[Hour]]&gt;=AL$2),1,0)</f>
        <v>0</v>
      </c>
      <c r="AM33" s="304" cm="1">
        <f t="array" ref="AM33">IF(AND(AM$2&lt;&gt;0,TblTech[[#This Row],[Hour]:[Hour]]&gt;=AM$2),1,0)</f>
        <v>0</v>
      </c>
      <c r="AN33" s="304" cm="1">
        <f t="array" ref="AN33">IF(AND(AN$2&lt;&gt;0,TblTech[[#This Row],[Hour]:[Hour]]&gt;=AN$2),1,0)</f>
        <v>0</v>
      </c>
      <c r="AO33" s="304" cm="1">
        <f t="array" ref="AO33">IF(AND(AO$2&lt;&gt;0,TblTech[[#This Row],[Hour]:[Hour]]&gt;=AO$2),1,0)</f>
        <v>0</v>
      </c>
      <c r="AP33" s="304" cm="1">
        <f t="array" ref="AP33">IF(AND(AP$2&lt;&gt;0,TblTech[[#This Row],[Hour]:[Hour]]&gt;=AP$2),1,0)</f>
        <v>0</v>
      </c>
      <c r="AQ33" s="304" cm="1">
        <f t="array" ref="AQ33">IF(AND(AQ$2&lt;&gt;0,TblTech[[#This Row],[Hour]:[Hour]]&gt;=AQ$2),1,0)</f>
        <v>0</v>
      </c>
      <c r="AR33" s="304" cm="1">
        <f t="array" ref="AR33">IF(AND(AR$2&lt;&gt;0,TblTech[[#This Row],[Hour]:[Hour]]&gt;=AR$2),1,0)</f>
        <v>0</v>
      </c>
      <c r="AS33" s="304" cm="1">
        <f t="array" ref="AS33">IF(AND(AS$2&lt;&gt;0,TblTech[[#This Row],[Hour]:[Hour]]&gt;=AS$2),1,0)</f>
        <v>0</v>
      </c>
      <c r="AT33" s="304" cm="1">
        <f t="array" ref="AT33">IF(AND(AT$2&lt;&gt;0,TblTech[[#This Row],[Hour]:[Hour]]&gt;=AT$2),1,0)</f>
        <v>0</v>
      </c>
      <c r="AU33" s="304" cm="1">
        <f t="array" ref="AU33">IF(AND(AU$2&lt;&gt;0,TblTech[[#This Row],[Hour]:[Hour]]&gt;=AU$2),1,0)</f>
        <v>0</v>
      </c>
      <c r="AV33" s="304" cm="1">
        <f t="array" ref="AV33">IF(AND(AV$2&lt;&gt;0,TblTech[[#This Row],[Hour]:[Hour]]&gt;=AV$2),1,0)</f>
        <v>0</v>
      </c>
      <c r="AW33" s="304" cm="1">
        <f t="array" ref="AW33">IF(AND(AW$2&lt;&gt;0,TblTech[[#This Row],[Hour]:[Hour]]&gt;=AW$2),1,0)</f>
        <v>0</v>
      </c>
      <c r="AX33" s="304" cm="1">
        <f t="array" ref="AX33">IF(AND(AX$2&lt;&gt;0,TblTech[[#This Row],[Hour]:[Hour]]&gt;=AX$2),1,0)</f>
        <v>0</v>
      </c>
      <c r="AY33" s="304" cm="1">
        <f t="array" ref="AY33">IF(AND(AY$2&lt;&gt;0,TblTech[[#This Row],[Hour]:[Hour]]&gt;=AY$2),1,0)</f>
        <v>0</v>
      </c>
      <c r="AZ33" s="304" cm="1">
        <f t="array" ref="AZ33">IF(AND(AZ$2&lt;&gt;0,TblTech[[#This Row],[Hour]:[Hour]]&gt;=AZ$2),1,0)</f>
        <v>0</v>
      </c>
      <c r="BA33" s="304" cm="1">
        <f t="array" ref="BA33">IF(AND(BA$2&lt;&gt;0,TblTech[[#This Row],[Hour]:[Hour]]&gt;=BA$2),1,0)</f>
        <v>0</v>
      </c>
      <c r="BB33" s="304" cm="1">
        <f t="array" ref="BB33">IF(AND(BB$2&lt;&gt;0,TblTech[[#This Row],[Hour]:[Hour]]&gt;=BB$2),1,0)</f>
        <v>0</v>
      </c>
      <c r="BC33" s="304" cm="1">
        <f t="array" ref="BC33">IF(AND(BC$2&lt;&gt;0,TblTech[[#This Row],[Hour]:[Hour]]&gt;=BC$2),1,0)</f>
        <v>0</v>
      </c>
      <c r="BD33" s="304" cm="1">
        <f t="array" ref="BD33">IF(AND(BD$2&lt;&gt;0,TblTech[[#This Row],[Hour]:[Hour]]&gt;=BD$2),1,0)</f>
        <v>0</v>
      </c>
      <c r="BE33" s="304" cm="1">
        <f t="array" ref="BE33">IF(AND(BE$2&lt;&gt;0,TblTech[[#This Row],[Hour]:[Hour]]&gt;=BE$2),1,0)</f>
        <v>0</v>
      </c>
      <c r="BF33" s="304" cm="1">
        <f t="array" ref="BF33">IF(AND(BF$2&lt;&gt;0,TblTech[[#This Row],[Hour]:[Hour]]&gt;=BF$2),1,0)</f>
        <v>0</v>
      </c>
      <c r="BG33" s="304" cm="1">
        <f t="array" ref="BG33">IF(AND(BG$2&lt;&gt;0,TblTech[[#This Row],[Hour]:[Hour]]&gt;=BG$2),1,0)</f>
        <v>0</v>
      </c>
      <c r="BH33" s="304" cm="1">
        <f t="array" ref="BH33">IF(AND(BH$2&lt;&gt;0,TblTech[[#This Row],[Hour]:[Hour]]&gt;=BH$2),1,0)</f>
        <v>0</v>
      </c>
      <c r="BI33" s="304" cm="1">
        <f t="array" ref="BI33">IF(AND(BI$2&lt;&gt;0,TblTech[[#This Row],[Hour]:[Hour]]&gt;=BI$2),1,0)</f>
        <v>0</v>
      </c>
      <c r="BJ33" s="304" cm="1">
        <f t="array" ref="BJ33">IF(AND(BJ$2&lt;&gt;0,TblTech[[#This Row],[Hour]:[Hour]]&gt;=BJ$2),1,0)</f>
        <v>0</v>
      </c>
      <c r="BK33" s="304" cm="1">
        <f t="array" ref="BK33">IF(AND(BK$2&lt;&gt;0,TblTech[[#This Row],[Hour]:[Hour]]&gt;=BK$2),1,0)</f>
        <v>0</v>
      </c>
      <c r="BL33" s="304" cm="1">
        <f t="array" ref="BL33">IF(AND(BL$2&lt;&gt;0,TblTech[[#This Row],[Hour]:[Hour]]&gt;=BL$2),1,0)</f>
        <v>0</v>
      </c>
      <c r="BM33" s="304" cm="1">
        <f t="array" ref="BM33">IF(AND(BM$2&lt;&gt;0,TblTech[[#This Row],[Hour]:[Hour]]&gt;=BM$2),1,0)</f>
        <v>0</v>
      </c>
      <c r="BN33" s="304" cm="1">
        <f t="array" ref="BN33">IF(AND(BN$2&lt;&gt;0,TblTech[[#This Row],[Hour]:[Hour]]&gt;=BN$2),1,0)</f>
        <v>0</v>
      </c>
      <c r="BO33" s="304" cm="1">
        <f t="array" ref="BO33">IF(AND(BO$2&lt;&gt;0,TblTech[[#This Row],[Hour]:[Hour]]&gt;=BO$2),1,0)</f>
        <v>0</v>
      </c>
      <c r="BP33" s="304" cm="1">
        <f t="array" ref="BP33">IF(AND(BP$2&lt;&gt;0,TblTech[[#This Row],[Hour]:[Hour]]&gt;=BP$2),1,0)</f>
        <v>0</v>
      </c>
      <c r="BQ33" s="304" cm="1">
        <f t="array" ref="BQ33">IF(AND(BQ$2&lt;&gt;0,TblTech[[#This Row],[Hour]:[Hour]]&gt;=BQ$2),1,0)</f>
        <v>0</v>
      </c>
      <c r="BR33" s="304" cm="1">
        <f t="array" ref="BR33">IF(AND(BR$2&lt;&gt;0,TblTech[[#This Row],[Hour]:[Hour]]&gt;=BR$2),1,0)</f>
        <v>0</v>
      </c>
      <c r="BS33" s="304" cm="1">
        <f t="array" ref="BS33">IF(AND(BS$2&lt;&gt;0,TblTech[[#This Row],[Hour]:[Hour]]&gt;=BS$2),1,0)</f>
        <v>0</v>
      </c>
      <c r="BT33" s="304" cm="1">
        <f t="array" ref="BT33">IF(AND(BT$2&lt;&gt;0,TblTech[[#This Row],[Hour]:[Hour]]&gt;=BT$2),1,0)</f>
        <v>0</v>
      </c>
      <c r="BU33" s="304" cm="1">
        <f t="array" ref="BU33">IF(AND(BU$2&lt;&gt;0,TblTech[[#This Row],[Hour]:[Hour]]&gt;=BU$2),1,0)</f>
        <v>0</v>
      </c>
      <c r="BV33" s="304" cm="1">
        <f t="array" ref="BV33">IF(AND(BV$2&lt;&gt;0,TblTech[[#This Row],[Hour]:[Hour]]&gt;=BV$2),1,0)</f>
        <v>0</v>
      </c>
      <c r="BW33" s="304" cm="1">
        <f t="array" ref="BW33">IF(AND(BW$2&lt;&gt;0,TblTech[[#This Row],[Hour]:[Hour]]&gt;=BW$2),1,0)</f>
        <v>0</v>
      </c>
      <c r="BX33" s="304" cm="1">
        <f t="array" ref="BX33">IF(AND(BX$2&lt;&gt;0,TblTech[[#This Row],[Hour]:[Hour]]&gt;=BX$2),1,0)</f>
        <v>0</v>
      </c>
      <c r="BY33" s="304" cm="1">
        <f t="array" ref="BY33">IF(AND(BY$2&lt;&gt;0,TblTech[[#This Row],[Hour]:[Hour]]&gt;=BY$2),1,0)</f>
        <v>0</v>
      </c>
      <c r="BZ33" s="304" cm="1">
        <f t="array" ref="BZ33">IF(AND(BZ$2&lt;&gt;0,TblTech[[#This Row],[Hour]:[Hour]]&gt;=BZ$2),1,0)</f>
        <v>0</v>
      </c>
      <c r="CA33" s="408">
        <f>IFERROR(INDEX($H$4:$H$79,MATCH(INDEX(TblTech[[#Headers],[1-1]:[11-1]],1,MATCH(TblTech[[#This Row],[Hour]],$M$2:$BZ$2,0)),$G$4:$G$79,0)),)</f>
        <v>0</v>
      </c>
    </row>
    <row r="34" spans="1:79" x14ac:dyDescent="0.2">
      <c r="A34" s="296">
        <f>TblRezone[[#This Row],[Hour]]</f>
        <v>31</v>
      </c>
      <c r="B34" s="297">
        <f ca="1">TblExplore[[#This Row],[Land-DB]]</f>
        <v>250</v>
      </c>
      <c r="C34" s="298">
        <f ca="1">TblProd[[#This Row],[Techpoints]]</f>
        <v>0</v>
      </c>
      <c r="D34" s="298">
        <f ca="1">TblProd[[#This Row],[Required]]</f>
        <v>3750</v>
      </c>
      <c r="E34" s="299"/>
      <c r="F34" s="300"/>
      <c r="G34" s="301" t="s">
        <v>588</v>
      </c>
      <c r="H34" s="302" t="s">
        <v>720</v>
      </c>
      <c r="I34" s="301" t="s">
        <v>589</v>
      </c>
      <c r="J34" s="297"/>
      <c r="K34" s="96">
        <f ca="1">IF(TblTech[[#This Row],[Sum of tech]]&lt;&gt;OFFSET(TblTech[[#This Row],[Sum of tech]],-1,0),1,0)</f>
        <v>0</v>
      </c>
      <c r="L34" s="303">
        <f>COUNTIF(TblTech[[#This Row],[1-1]:[11-1]],1)</f>
        <v>0</v>
      </c>
      <c r="M34" s="304" cm="1">
        <f t="array" ref="M34">IF(AND(M$2&lt;&gt;0,TblTech[[#This Row],[Hour]:[Hour]]&gt;=M$2),1,0)</f>
        <v>0</v>
      </c>
      <c r="N34" s="304" cm="1">
        <f t="array" ref="N34">IF(AND(N$2&lt;&gt;0,TblTech[[#This Row],[Hour]:[Hour]]&gt;=N$2),1,0)</f>
        <v>0</v>
      </c>
      <c r="O34" s="304" cm="1">
        <f t="array" ref="O34">IF(AND(O$2&lt;&gt;0,TblTech[[#This Row],[Hour]:[Hour]]&gt;=O$2),1,0)</f>
        <v>0</v>
      </c>
      <c r="P34" s="304" cm="1">
        <f t="array" ref="P34">IF(AND(P$2&lt;&gt;0,TblTech[[#This Row],[Hour]:[Hour]]&gt;=P$2),1,0)</f>
        <v>0</v>
      </c>
      <c r="Q34" s="304" cm="1">
        <f t="array" ref="Q34">IF(AND(Q$2&lt;&gt;0,TblTech[[#This Row],[Hour]:[Hour]]&gt;=Q$2),1,0)</f>
        <v>0</v>
      </c>
      <c r="R34" s="304" cm="1">
        <f t="array" ref="R34">IF(AND(R$2&lt;&gt;0,TblTech[[#This Row],[Hour]:[Hour]]&gt;=R$2),1,0)</f>
        <v>0</v>
      </c>
      <c r="S34" s="304" cm="1">
        <f t="array" ref="S34">IF(AND(S$2&lt;&gt;0,TblTech[[#This Row],[Hour]:[Hour]]&gt;=S$2),1,0)</f>
        <v>0</v>
      </c>
      <c r="T34" s="304" cm="1">
        <f t="array" ref="T34">IF(AND(T$2&lt;&gt;0,TblTech[[#This Row],[Hour]:[Hour]]&gt;=T$2),1,0)</f>
        <v>0</v>
      </c>
      <c r="U34" s="304" cm="1">
        <f t="array" ref="U34">IF(AND(U$2&lt;&gt;0,TblTech[[#This Row],[Hour]:[Hour]]&gt;=U$2),1,0)</f>
        <v>0</v>
      </c>
      <c r="V34" s="304" cm="1">
        <f t="array" ref="V34">IF(AND(V$2&lt;&gt;0,TblTech[[#This Row],[Hour]:[Hour]]&gt;=V$2),1,0)</f>
        <v>0</v>
      </c>
      <c r="W34" s="304" cm="1">
        <f t="array" ref="W34">IF(AND(W$2&lt;&gt;0,TblTech[[#This Row],[Hour]:[Hour]]&gt;=W$2),1,0)</f>
        <v>0</v>
      </c>
      <c r="X34" s="304" cm="1">
        <f t="array" ref="X34">IF(AND(X$2&lt;&gt;0,TblTech[[#This Row],[Hour]:[Hour]]&gt;=X$2),1,0)</f>
        <v>0</v>
      </c>
      <c r="Y34" s="304" cm="1">
        <f t="array" ref="Y34">IF(AND(Y$2&lt;&gt;0,TblTech[[#This Row],[Hour]:[Hour]]&gt;=Y$2),1,0)</f>
        <v>0</v>
      </c>
      <c r="Z34" s="304" cm="1">
        <f t="array" ref="Z34">IF(AND(Z$2&lt;&gt;0,TblTech[[#This Row],[Hour]:[Hour]]&gt;=Z$2),1,0)</f>
        <v>0</v>
      </c>
      <c r="AA34" s="304" cm="1">
        <f t="array" ref="AA34">IF(AND(AA$2&lt;&gt;0,TblTech[[#This Row],[Hour]:[Hour]]&gt;=AA$2),1,0)</f>
        <v>0</v>
      </c>
      <c r="AB34" s="304" cm="1">
        <f t="array" ref="AB34">IF(AND(AB$2&lt;&gt;0,TblTech[[#This Row],[Hour]:[Hour]]&gt;=AB$2),1,0)</f>
        <v>0</v>
      </c>
      <c r="AC34" s="304" cm="1">
        <f t="array" ref="AC34">IF(AND(AC$2&lt;&gt;0,TblTech[[#This Row],[Hour]:[Hour]]&gt;=AC$2),1,0)</f>
        <v>0</v>
      </c>
      <c r="AD34" s="304" cm="1">
        <f t="array" ref="AD34">IF(AND(AD$2&lt;&gt;0,TblTech[[#This Row],[Hour]:[Hour]]&gt;=AD$2),1,0)</f>
        <v>0</v>
      </c>
      <c r="AE34" s="304" cm="1">
        <f t="array" ref="AE34">IF(AND(AE$2&lt;&gt;0,TblTech[[#This Row],[Hour]:[Hour]]&gt;=AE$2),1,0)</f>
        <v>0</v>
      </c>
      <c r="AF34" s="304" cm="1">
        <f t="array" ref="AF34">IF(AND(AF$2&lt;&gt;0,TblTech[[#This Row],[Hour]:[Hour]]&gt;=AF$2),1,0)</f>
        <v>0</v>
      </c>
      <c r="AG34" s="304" cm="1">
        <f t="array" ref="AG34">IF(AND(AG$2&lt;&gt;0,TblTech[[#This Row],[Hour]:[Hour]]&gt;=AG$2),1,0)</f>
        <v>0</v>
      </c>
      <c r="AH34" s="304" cm="1">
        <f t="array" ref="AH34">IF(AND(AH$2&lt;&gt;0,TblTech[[#This Row],[Hour]:[Hour]]&gt;=AH$2),1,0)</f>
        <v>0</v>
      </c>
      <c r="AI34" s="304" cm="1">
        <f t="array" ref="AI34">IF(AND(AI$2&lt;&gt;0,TblTech[[#This Row],[Hour]:[Hour]]&gt;=AI$2),1,0)</f>
        <v>0</v>
      </c>
      <c r="AJ34" s="304" cm="1">
        <f t="array" ref="AJ34">IF(AND(AJ$2&lt;&gt;0,TblTech[[#This Row],[Hour]:[Hour]]&gt;=AJ$2),1,0)</f>
        <v>0</v>
      </c>
      <c r="AK34" s="304" cm="1">
        <f t="array" ref="AK34">IF(AND(AK$2&lt;&gt;0,TblTech[[#This Row],[Hour]:[Hour]]&gt;=AK$2),1,0)</f>
        <v>0</v>
      </c>
      <c r="AL34" s="304" cm="1">
        <f t="array" ref="AL34">IF(AND(AL$2&lt;&gt;0,TblTech[[#This Row],[Hour]:[Hour]]&gt;=AL$2),1,0)</f>
        <v>0</v>
      </c>
      <c r="AM34" s="304" cm="1">
        <f t="array" ref="AM34">IF(AND(AM$2&lt;&gt;0,TblTech[[#This Row],[Hour]:[Hour]]&gt;=AM$2),1,0)</f>
        <v>0</v>
      </c>
      <c r="AN34" s="304" cm="1">
        <f t="array" ref="AN34">IF(AND(AN$2&lt;&gt;0,TblTech[[#This Row],[Hour]:[Hour]]&gt;=AN$2),1,0)</f>
        <v>0</v>
      </c>
      <c r="AO34" s="304" cm="1">
        <f t="array" ref="AO34">IF(AND(AO$2&lt;&gt;0,TblTech[[#This Row],[Hour]:[Hour]]&gt;=AO$2),1,0)</f>
        <v>0</v>
      </c>
      <c r="AP34" s="304" cm="1">
        <f t="array" ref="AP34">IF(AND(AP$2&lt;&gt;0,TblTech[[#This Row],[Hour]:[Hour]]&gt;=AP$2),1,0)</f>
        <v>0</v>
      </c>
      <c r="AQ34" s="304" cm="1">
        <f t="array" ref="AQ34">IF(AND(AQ$2&lt;&gt;0,TblTech[[#This Row],[Hour]:[Hour]]&gt;=AQ$2),1,0)</f>
        <v>0</v>
      </c>
      <c r="AR34" s="304" cm="1">
        <f t="array" ref="AR34">IF(AND(AR$2&lt;&gt;0,TblTech[[#This Row],[Hour]:[Hour]]&gt;=AR$2),1,0)</f>
        <v>0</v>
      </c>
      <c r="AS34" s="304" cm="1">
        <f t="array" ref="AS34">IF(AND(AS$2&lt;&gt;0,TblTech[[#This Row],[Hour]:[Hour]]&gt;=AS$2),1,0)</f>
        <v>0</v>
      </c>
      <c r="AT34" s="304" cm="1">
        <f t="array" ref="AT34">IF(AND(AT$2&lt;&gt;0,TblTech[[#This Row],[Hour]:[Hour]]&gt;=AT$2),1,0)</f>
        <v>0</v>
      </c>
      <c r="AU34" s="304" cm="1">
        <f t="array" ref="AU34">IF(AND(AU$2&lt;&gt;0,TblTech[[#This Row],[Hour]:[Hour]]&gt;=AU$2),1,0)</f>
        <v>0</v>
      </c>
      <c r="AV34" s="304" cm="1">
        <f t="array" ref="AV34">IF(AND(AV$2&lt;&gt;0,TblTech[[#This Row],[Hour]:[Hour]]&gt;=AV$2),1,0)</f>
        <v>0</v>
      </c>
      <c r="AW34" s="304" cm="1">
        <f t="array" ref="AW34">IF(AND(AW$2&lt;&gt;0,TblTech[[#This Row],[Hour]:[Hour]]&gt;=AW$2),1,0)</f>
        <v>0</v>
      </c>
      <c r="AX34" s="304" cm="1">
        <f t="array" ref="AX34">IF(AND(AX$2&lt;&gt;0,TblTech[[#This Row],[Hour]:[Hour]]&gt;=AX$2),1,0)</f>
        <v>0</v>
      </c>
      <c r="AY34" s="304" cm="1">
        <f t="array" ref="AY34">IF(AND(AY$2&lt;&gt;0,TblTech[[#This Row],[Hour]:[Hour]]&gt;=AY$2),1,0)</f>
        <v>0</v>
      </c>
      <c r="AZ34" s="304" cm="1">
        <f t="array" ref="AZ34">IF(AND(AZ$2&lt;&gt;0,TblTech[[#This Row],[Hour]:[Hour]]&gt;=AZ$2),1,0)</f>
        <v>0</v>
      </c>
      <c r="BA34" s="304" cm="1">
        <f t="array" ref="BA34">IF(AND(BA$2&lt;&gt;0,TblTech[[#This Row],[Hour]:[Hour]]&gt;=BA$2),1,0)</f>
        <v>0</v>
      </c>
      <c r="BB34" s="304" cm="1">
        <f t="array" ref="BB34">IF(AND(BB$2&lt;&gt;0,TblTech[[#This Row],[Hour]:[Hour]]&gt;=BB$2),1,0)</f>
        <v>0</v>
      </c>
      <c r="BC34" s="304" cm="1">
        <f t="array" ref="BC34">IF(AND(BC$2&lt;&gt;0,TblTech[[#This Row],[Hour]:[Hour]]&gt;=BC$2),1,0)</f>
        <v>0</v>
      </c>
      <c r="BD34" s="304" cm="1">
        <f t="array" ref="BD34">IF(AND(BD$2&lt;&gt;0,TblTech[[#This Row],[Hour]:[Hour]]&gt;=BD$2),1,0)</f>
        <v>0</v>
      </c>
      <c r="BE34" s="304" cm="1">
        <f t="array" ref="BE34">IF(AND(BE$2&lt;&gt;0,TblTech[[#This Row],[Hour]:[Hour]]&gt;=BE$2),1,0)</f>
        <v>0</v>
      </c>
      <c r="BF34" s="304" cm="1">
        <f t="array" ref="BF34">IF(AND(BF$2&lt;&gt;0,TblTech[[#This Row],[Hour]:[Hour]]&gt;=BF$2),1,0)</f>
        <v>0</v>
      </c>
      <c r="BG34" s="304" cm="1">
        <f t="array" ref="BG34">IF(AND(BG$2&lt;&gt;0,TblTech[[#This Row],[Hour]:[Hour]]&gt;=BG$2),1,0)</f>
        <v>0</v>
      </c>
      <c r="BH34" s="304" cm="1">
        <f t="array" ref="BH34">IF(AND(BH$2&lt;&gt;0,TblTech[[#This Row],[Hour]:[Hour]]&gt;=BH$2),1,0)</f>
        <v>0</v>
      </c>
      <c r="BI34" s="304" cm="1">
        <f t="array" ref="BI34">IF(AND(BI$2&lt;&gt;0,TblTech[[#This Row],[Hour]:[Hour]]&gt;=BI$2),1,0)</f>
        <v>0</v>
      </c>
      <c r="BJ34" s="304" cm="1">
        <f t="array" ref="BJ34">IF(AND(BJ$2&lt;&gt;0,TblTech[[#This Row],[Hour]:[Hour]]&gt;=BJ$2),1,0)</f>
        <v>0</v>
      </c>
      <c r="BK34" s="304" cm="1">
        <f t="array" ref="BK34">IF(AND(BK$2&lt;&gt;0,TblTech[[#This Row],[Hour]:[Hour]]&gt;=BK$2),1,0)</f>
        <v>0</v>
      </c>
      <c r="BL34" s="304" cm="1">
        <f t="array" ref="BL34">IF(AND(BL$2&lt;&gt;0,TblTech[[#This Row],[Hour]:[Hour]]&gt;=BL$2),1,0)</f>
        <v>0</v>
      </c>
      <c r="BM34" s="304" cm="1">
        <f t="array" ref="BM34">IF(AND(BM$2&lt;&gt;0,TblTech[[#This Row],[Hour]:[Hour]]&gt;=BM$2),1,0)</f>
        <v>0</v>
      </c>
      <c r="BN34" s="304" cm="1">
        <f t="array" ref="BN34">IF(AND(BN$2&lt;&gt;0,TblTech[[#This Row],[Hour]:[Hour]]&gt;=BN$2),1,0)</f>
        <v>0</v>
      </c>
      <c r="BO34" s="304" cm="1">
        <f t="array" ref="BO34">IF(AND(BO$2&lt;&gt;0,TblTech[[#This Row],[Hour]:[Hour]]&gt;=BO$2),1,0)</f>
        <v>0</v>
      </c>
      <c r="BP34" s="304" cm="1">
        <f t="array" ref="BP34">IF(AND(BP$2&lt;&gt;0,TblTech[[#This Row],[Hour]:[Hour]]&gt;=BP$2),1,0)</f>
        <v>0</v>
      </c>
      <c r="BQ34" s="304" cm="1">
        <f t="array" ref="BQ34">IF(AND(BQ$2&lt;&gt;0,TblTech[[#This Row],[Hour]:[Hour]]&gt;=BQ$2),1,0)</f>
        <v>0</v>
      </c>
      <c r="BR34" s="304" cm="1">
        <f t="array" ref="BR34">IF(AND(BR$2&lt;&gt;0,TblTech[[#This Row],[Hour]:[Hour]]&gt;=BR$2),1,0)</f>
        <v>0</v>
      </c>
      <c r="BS34" s="304" cm="1">
        <f t="array" ref="BS34">IF(AND(BS$2&lt;&gt;0,TblTech[[#This Row],[Hour]:[Hour]]&gt;=BS$2),1,0)</f>
        <v>0</v>
      </c>
      <c r="BT34" s="304" cm="1">
        <f t="array" ref="BT34">IF(AND(BT$2&lt;&gt;0,TblTech[[#This Row],[Hour]:[Hour]]&gt;=BT$2),1,0)</f>
        <v>0</v>
      </c>
      <c r="BU34" s="304" cm="1">
        <f t="array" ref="BU34">IF(AND(BU$2&lt;&gt;0,TblTech[[#This Row],[Hour]:[Hour]]&gt;=BU$2),1,0)</f>
        <v>0</v>
      </c>
      <c r="BV34" s="304" cm="1">
        <f t="array" ref="BV34">IF(AND(BV$2&lt;&gt;0,TblTech[[#This Row],[Hour]:[Hour]]&gt;=BV$2),1,0)</f>
        <v>0</v>
      </c>
      <c r="BW34" s="304" cm="1">
        <f t="array" ref="BW34">IF(AND(BW$2&lt;&gt;0,TblTech[[#This Row],[Hour]:[Hour]]&gt;=BW$2),1,0)</f>
        <v>0</v>
      </c>
      <c r="BX34" s="304" cm="1">
        <f t="array" ref="BX34">IF(AND(BX$2&lt;&gt;0,TblTech[[#This Row],[Hour]:[Hour]]&gt;=BX$2),1,0)</f>
        <v>0</v>
      </c>
      <c r="BY34" s="304" cm="1">
        <f t="array" ref="BY34">IF(AND(BY$2&lt;&gt;0,TblTech[[#This Row],[Hour]:[Hour]]&gt;=BY$2),1,0)</f>
        <v>0</v>
      </c>
      <c r="BZ34" s="304" cm="1">
        <f t="array" ref="BZ34">IF(AND(BZ$2&lt;&gt;0,TblTech[[#This Row],[Hour]:[Hour]]&gt;=BZ$2),1,0)</f>
        <v>0</v>
      </c>
      <c r="CA34" s="408">
        <f>IFERROR(INDEX($H$4:$H$79,MATCH(INDEX(TblTech[[#Headers],[1-1]:[11-1]],1,MATCH(TblTech[[#This Row],[Hour]],$M$2:$BZ$2,0)),$G$4:$G$79,0)),)</f>
        <v>0</v>
      </c>
    </row>
    <row r="35" spans="1:79" x14ac:dyDescent="0.2">
      <c r="A35" s="296">
        <f>TblRezone[[#This Row],[Hour]]</f>
        <v>32</v>
      </c>
      <c r="B35" s="297">
        <f ca="1">TblExplore[[#This Row],[Land-DB]]</f>
        <v>250</v>
      </c>
      <c r="C35" s="298">
        <f ca="1">TblProd[[#This Row],[Techpoints]]</f>
        <v>0</v>
      </c>
      <c r="D35" s="298">
        <f ca="1">TblProd[[#This Row],[Required]]</f>
        <v>3750</v>
      </c>
      <c r="E35" s="299"/>
      <c r="F35" s="300"/>
      <c r="G35" s="301" t="s">
        <v>590</v>
      </c>
      <c r="H35" s="302" t="s">
        <v>704</v>
      </c>
      <c r="I35" s="301" t="s">
        <v>561</v>
      </c>
      <c r="J35" s="297"/>
      <c r="K35" s="96">
        <f ca="1">IF(TblTech[[#This Row],[Sum of tech]]&lt;&gt;OFFSET(TblTech[[#This Row],[Sum of tech]],-1,0),1,0)</f>
        <v>0</v>
      </c>
      <c r="L35" s="303">
        <f>COUNTIF(TblTech[[#This Row],[1-1]:[11-1]],1)</f>
        <v>0</v>
      </c>
      <c r="M35" s="304" cm="1">
        <f t="array" ref="M35">IF(AND(M$2&lt;&gt;0,TblTech[[#This Row],[Hour]:[Hour]]&gt;=M$2),1,0)</f>
        <v>0</v>
      </c>
      <c r="N35" s="304" cm="1">
        <f t="array" ref="N35">IF(AND(N$2&lt;&gt;0,TblTech[[#This Row],[Hour]:[Hour]]&gt;=N$2),1,0)</f>
        <v>0</v>
      </c>
      <c r="O35" s="304" cm="1">
        <f t="array" ref="O35">IF(AND(O$2&lt;&gt;0,TblTech[[#This Row],[Hour]:[Hour]]&gt;=O$2),1,0)</f>
        <v>0</v>
      </c>
      <c r="P35" s="304" cm="1">
        <f t="array" ref="P35">IF(AND(P$2&lt;&gt;0,TblTech[[#This Row],[Hour]:[Hour]]&gt;=P$2),1,0)</f>
        <v>0</v>
      </c>
      <c r="Q35" s="304" cm="1">
        <f t="array" ref="Q35">IF(AND(Q$2&lt;&gt;0,TblTech[[#This Row],[Hour]:[Hour]]&gt;=Q$2),1,0)</f>
        <v>0</v>
      </c>
      <c r="R35" s="304" cm="1">
        <f t="array" ref="R35">IF(AND(R$2&lt;&gt;0,TblTech[[#This Row],[Hour]:[Hour]]&gt;=R$2),1,0)</f>
        <v>0</v>
      </c>
      <c r="S35" s="304" cm="1">
        <f t="array" ref="S35">IF(AND(S$2&lt;&gt;0,TblTech[[#This Row],[Hour]:[Hour]]&gt;=S$2),1,0)</f>
        <v>0</v>
      </c>
      <c r="T35" s="304" cm="1">
        <f t="array" ref="T35">IF(AND(T$2&lt;&gt;0,TblTech[[#This Row],[Hour]:[Hour]]&gt;=T$2),1,0)</f>
        <v>0</v>
      </c>
      <c r="U35" s="304" cm="1">
        <f t="array" ref="U35">IF(AND(U$2&lt;&gt;0,TblTech[[#This Row],[Hour]:[Hour]]&gt;=U$2),1,0)</f>
        <v>0</v>
      </c>
      <c r="V35" s="304" cm="1">
        <f t="array" ref="V35">IF(AND(V$2&lt;&gt;0,TblTech[[#This Row],[Hour]:[Hour]]&gt;=V$2),1,0)</f>
        <v>0</v>
      </c>
      <c r="W35" s="304" cm="1">
        <f t="array" ref="W35">IF(AND(W$2&lt;&gt;0,TblTech[[#This Row],[Hour]:[Hour]]&gt;=W$2),1,0)</f>
        <v>0</v>
      </c>
      <c r="X35" s="304" cm="1">
        <f t="array" ref="X35">IF(AND(X$2&lt;&gt;0,TblTech[[#This Row],[Hour]:[Hour]]&gt;=X$2),1,0)</f>
        <v>0</v>
      </c>
      <c r="Y35" s="304" cm="1">
        <f t="array" ref="Y35">IF(AND(Y$2&lt;&gt;0,TblTech[[#This Row],[Hour]:[Hour]]&gt;=Y$2),1,0)</f>
        <v>0</v>
      </c>
      <c r="Z35" s="304" cm="1">
        <f t="array" ref="Z35">IF(AND(Z$2&lt;&gt;0,TblTech[[#This Row],[Hour]:[Hour]]&gt;=Z$2),1,0)</f>
        <v>0</v>
      </c>
      <c r="AA35" s="304" cm="1">
        <f t="array" ref="AA35">IF(AND(AA$2&lt;&gt;0,TblTech[[#This Row],[Hour]:[Hour]]&gt;=AA$2),1,0)</f>
        <v>0</v>
      </c>
      <c r="AB35" s="304" cm="1">
        <f t="array" ref="AB35">IF(AND(AB$2&lt;&gt;0,TblTech[[#This Row],[Hour]:[Hour]]&gt;=AB$2),1,0)</f>
        <v>0</v>
      </c>
      <c r="AC35" s="304" cm="1">
        <f t="array" ref="AC35">IF(AND(AC$2&lt;&gt;0,TblTech[[#This Row],[Hour]:[Hour]]&gt;=AC$2),1,0)</f>
        <v>0</v>
      </c>
      <c r="AD35" s="304" cm="1">
        <f t="array" ref="AD35">IF(AND(AD$2&lt;&gt;0,TblTech[[#This Row],[Hour]:[Hour]]&gt;=AD$2),1,0)</f>
        <v>0</v>
      </c>
      <c r="AE35" s="304" cm="1">
        <f t="array" ref="AE35">IF(AND(AE$2&lt;&gt;0,TblTech[[#This Row],[Hour]:[Hour]]&gt;=AE$2),1,0)</f>
        <v>0</v>
      </c>
      <c r="AF35" s="304" cm="1">
        <f t="array" ref="AF35">IF(AND(AF$2&lt;&gt;0,TblTech[[#This Row],[Hour]:[Hour]]&gt;=AF$2),1,0)</f>
        <v>0</v>
      </c>
      <c r="AG35" s="304" cm="1">
        <f t="array" ref="AG35">IF(AND(AG$2&lt;&gt;0,TblTech[[#This Row],[Hour]:[Hour]]&gt;=AG$2),1,0)</f>
        <v>0</v>
      </c>
      <c r="AH35" s="304" cm="1">
        <f t="array" ref="AH35">IF(AND(AH$2&lt;&gt;0,TblTech[[#This Row],[Hour]:[Hour]]&gt;=AH$2),1,0)</f>
        <v>0</v>
      </c>
      <c r="AI35" s="304" cm="1">
        <f t="array" ref="AI35">IF(AND(AI$2&lt;&gt;0,TblTech[[#This Row],[Hour]:[Hour]]&gt;=AI$2),1,0)</f>
        <v>0</v>
      </c>
      <c r="AJ35" s="304" cm="1">
        <f t="array" ref="AJ35">IF(AND(AJ$2&lt;&gt;0,TblTech[[#This Row],[Hour]:[Hour]]&gt;=AJ$2),1,0)</f>
        <v>0</v>
      </c>
      <c r="AK35" s="304" cm="1">
        <f t="array" ref="AK35">IF(AND(AK$2&lt;&gt;0,TblTech[[#This Row],[Hour]:[Hour]]&gt;=AK$2),1,0)</f>
        <v>0</v>
      </c>
      <c r="AL35" s="304" cm="1">
        <f t="array" ref="AL35">IF(AND(AL$2&lt;&gt;0,TblTech[[#This Row],[Hour]:[Hour]]&gt;=AL$2),1,0)</f>
        <v>0</v>
      </c>
      <c r="AM35" s="304" cm="1">
        <f t="array" ref="AM35">IF(AND(AM$2&lt;&gt;0,TblTech[[#This Row],[Hour]:[Hour]]&gt;=AM$2),1,0)</f>
        <v>0</v>
      </c>
      <c r="AN35" s="304" cm="1">
        <f t="array" ref="AN35">IF(AND(AN$2&lt;&gt;0,TblTech[[#This Row],[Hour]:[Hour]]&gt;=AN$2),1,0)</f>
        <v>0</v>
      </c>
      <c r="AO35" s="304" cm="1">
        <f t="array" ref="AO35">IF(AND(AO$2&lt;&gt;0,TblTech[[#This Row],[Hour]:[Hour]]&gt;=AO$2),1,0)</f>
        <v>0</v>
      </c>
      <c r="AP35" s="304" cm="1">
        <f t="array" ref="AP35">IF(AND(AP$2&lt;&gt;0,TblTech[[#This Row],[Hour]:[Hour]]&gt;=AP$2),1,0)</f>
        <v>0</v>
      </c>
      <c r="AQ35" s="304" cm="1">
        <f t="array" ref="AQ35">IF(AND(AQ$2&lt;&gt;0,TblTech[[#This Row],[Hour]:[Hour]]&gt;=AQ$2),1,0)</f>
        <v>0</v>
      </c>
      <c r="AR35" s="304" cm="1">
        <f t="array" ref="AR35">IF(AND(AR$2&lt;&gt;0,TblTech[[#This Row],[Hour]:[Hour]]&gt;=AR$2),1,0)</f>
        <v>0</v>
      </c>
      <c r="AS35" s="304" cm="1">
        <f t="array" ref="AS35">IF(AND(AS$2&lt;&gt;0,TblTech[[#This Row],[Hour]:[Hour]]&gt;=AS$2),1,0)</f>
        <v>0</v>
      </c>
      <c r="AT35" s="304" cm="1">
        <f t="array" ref="AT35">IF(AND(AT$2&lt;&gt;0,TblTech[[#This Row],[Hour]:[Hour]]&gt;=AT$2),1,0)</f>
        <v>0</v>
      </c>
      <c r="AU35" s="304" cm="1">
        <f t="array" ref="AU35">IF(AND(AU$2&lt;&gt;0,TblTech[[#This Row],[Hour]:[Hour]]&gt;=AU$2),1,0)</f>
        <v>0</v>
      </c>
      <c r="AV35" s="304" cm="1">
        <f t="array" ref="AV35">IF(AND(AV$2&lt;&gt;0,TblTech[[#This Row],[Hour]:[Hour]]&gt;=AV$2),1,0)</f>
        <v>0</v>
      </c>
      <c r="AW35" s="304" cm="1">
        <f t="array" ref="AW35">IF(AND(AW$2&lt;&gt;0,TblTech[[#This Row],[Hour]:[Hour]]&gt;=AW$2),1,0)</f>
        <v>0</v>
      </c>
      <c r="AX35" s="304" cm="1">
        <f t="array" ref="AX35">IF(AND(AX$2&lt;&gt;0,TblTech[[#This Row],[Hour]:[Hour]]&gt;=AX$2),1,0)</f>
        <v>0</v>
      </c>
      <c r="AY35" s="304" cm="1">
        <f t="array" ref="AY35">IF(AND(AY$2&lt;&gt;0,TblTech[[#This Row],[Hour]:[Hour]]&gt;=AY$2),1,0)</f>
        <v>0</v>
      </c>
      <c r="AZ35" s="304" cm="1">
        <f t="array" ref="AZ35">IF(AND(AZ$2&lt;&gt;0,TblTech[[#This Row],[Hour]:[Hour]]&gt;=AZ$2),1,0)</f>
        <v>0</v>
      </c>
      <c r="BA35" s="304" cm="1">
        <f t="array" ref="BA35">IF(AND(BA$2&lt;&gt;0,TblTech[[#This Row],[Hour]:[Hour]]&gt;=BA$2),1,0)</f>
        <v>0</v>
      </c>
      <c r="BB35" s="304" cm="1">
        <f t="array" ref="BB35">IF(AND(BB$2&lt;&gt;0,TblTech[[#This Row],[Hour]:[Hour]]&gt;=BB$2),1,0)</f>
        <v>0</v>
      </c>
      <c r="BC35" s="304" cm="1">
        <f t="array" ref="BC35">IF(AND(BC$2&lt;&gt;0,TblTech[[#This Row],[Hour]:[Hour]]&gt;=BC$2),1,0)</f>
        <v>0</v>
      </c>
      <c r="BD35" s="304" cm="1">
        <f t="array" ref="BD35">IF(AND(BD$2&lt;&gt;0,TblTech[[#This Row],[Hour]:[Hour]]&gt;=BD$2),1,0)</f>
        <v>0</v>
      </c>
      <c r="BE35" s="304" cm="1">
        <f t="array" ref="BE35">IF(AND(BE$2&lt;&gt;0,TblTech[[#This Row],[Hour]:[Hour]]&gt;=BE$2),1,0)</f>
        <v>0</v>
      </c>
      <c r="BF35" s="304" cm="1">
        <f t="array" ref="BF35">IF(AND(BF$2&lt;&gt;0,TblTech[[#This Row],[Hour]:[Hour]]&gt;=BF$2),1,0)</f>
        <v>0</v>
      </c>
      <c r="BG35" s="304" cm="1">
        <f t="array" ref="BG35">IF(AND(BG$2&lt;&gt;0,TblTech[[#This Row],[Hour]:[Hour]]&gt;=BG$2),1,0)</f>
        <v>0</v>
      </c>
      <c r="BH35" s="304" cm="1">
        <f t="array" ref="BH35">IF(AND(BH$2&lt;&gt;0,TblTech[[#This Row],[Hour]:[Hour]]&gt;=BH$2),1,0)</f>
        <v>0</v>
      </c>
      <c r="BI35" s="304" cm="1">
        <f t="array" ref="BI35">IF(AND(BI$2&lt;&gt;0,TblTech[[#This Row],[Hour]:[Hour]]&gt;=BI$2),1,0)</f>
        <v>0</v>
      </c>
      <c r="BJ35" s="304" cm="1">
        <f t="array" ref="BJ35">IF(AND(BJ$2&lt;&gt;0,TblTech[[#This Row],[Hour]:[Hour]]&gt;=BJ$2),1,0)</f>
        <v>0</v>
      </c>
      <c r="BK35" s="304" cm="1">
        <f t="array" ref="BK35">IF(AND(BK$2&lt;&gt;0,TblTech[[#This Row],[Hour]:[Hour]]&gt;=BK$2),1,0)</f>
        <v>0</v>
      </c>
      <c r="BL35" s="304" cm="1">
        <f t="array" ref="BL35">IF(AND(BL$2&lt;&gt;0,TblTech[[#This Row],[Hour]:[Hour]]&gt;=BL$2),1,0)</f>
        <v>0</v>
      </c>
      <c r="BM35" s="304" cm="1">
        <f t="array" ref="BM35">IF(AND(BM$2&lt;&gt;0,TblTech[[#This Row],[Hour]:[Hour]]&gt;=BM$2),1,0)</f>
        <v>0</v>
      </c>
      <c r="BN35" s="304" cm="1">
        <f t="array" ref="BN35">IF(AND(BN$2&lt;&gt;0,TblTech[[#This Row],[Hour]:[Hour]]&gt;=BN$2),1,0)</f>
        <v>0</v>
      </c>
      <c r="BO35" s="304" cm="1">
        <f t="array" ref="BO35">IF(AND(BO$2&lt;&gt;0,TblTech[[#This Row],[Hour]:[Hour]]&gt;=BO$2),1,0)</f>
        <v>0</v>
      </c>
      <c r="BP35" s="304" cm="1">
        <f t="array" ref="BP35">IF(AND(BP$2&lt;&gt;0,TblTech[[#This Row],[Hour]:[Hour]]&gt;=BP$2),1,0)</f>
        <v>0</v>
      </c>
      <c r="BQ35" s="304" cm="1">
        <f t="array" ref="BQ35">IF(AND(BQ$2&lt;&gt;0,TblTech[[#This Row],[Hour]:[Hour]]&gt;=BQ$2),1,0)</f>
        <v>0</v>
      </c>
      <c r="BR35" s="304" cm="1">
        <f t="array" ref="BR35">IF(AND(BR$2&lt;&gt;0,TblTech[[#This Row],[Hour]:[Hour]]&gt;=BR$2),1,0)</f>
        <v>0</v>
      </c>
      <c r="BS35" s="304" cm="1">
        <f t="array" ref="BS35">IF(AND(BS$2&lt;&gt;0,TblTech[[#This Row],[Hour]:[Hour]]&gt;=BS$2),1,0)</f>
        <v>0</v>
      </c>
      <c r="BT35" s="304" cm="1">
        <f t="array" ref="BT35">IF(AND(BT$2&lt;&gt;0,TblTech[[#This Row],[Hour]:[Hour]]&gt;=BT$2),1,0)</f>
        <v>0</v>
      </c>
      <c r="BU35" s="304" cm="1">
        <f t="array" ref="BU35">IF(AND(BU$2&lt;&gt;0,TblTech[[#This Row],[Hour]:[Hour]]&gt;=BU$2),1,0)</f>
        <v>0</v>
      </c>
      <c r="BV35" s="304" cm="1">
        <f t="array" ref="BV35">IF(AND(BV$2&lt;&gt;0,TblTech[[#This Row],[Hour]:[Hour]]&gt;=BV$2),1,0)</f>
        <v>0</v>
      </c>
      <c r="BW35" s="304" cm="1">
        <f t="array" ref="BW35">IF(AND(BW$2&lt;&gt;0,TblTech[[#This Row],[Hour]:[Hour]]&gt;=BW$2),1,0)</f>
        <v>0</v>
      </c>
      <c r="BX35" s="304" cm="1">
        <f t="array" ref="BX35">IF(AND(BX$2&lt;&gt;0,TblTech[[#This Row],[Hour]:[Hour]]&gt;=BX$2),1,0)</f>
        <v>0</v>
      </c>
      <c r="BY35" s="304" cm="1">
        <f t="array" ref="BY35">IF(AND(BY$2&lt;&gt;0,TblTech[[#This Row],[Hour]:[Hour]]&gt;=BY$2),1,0)</f>
        <v>0</v>
      </c>
      <c r="BZ35" s="304" cm="1">
        <f t="array" ref="BZ35">IF(AND(BZ$2&lt;&gt;0,TblTech[[#This Row],[Hour]:[Hour]]&gt;=BZ$2),1,0)</f>
        <v>0</v>
      </c>
      <c r="CA35" s="408">
        <f>IFERROR(INDEX($H$4:$H$79,MATCH(INDEX(TblTech[[#Headers],[1-1]:[11-1]],1,MATCH(TblTech[[#This Row],[Hour]],$M$2:$BZ$2,0)),$G$4:$G$79,0)),)</f>
        <v>0</v>
      </c>
    </row>
    <row r="36" spans="1:79" x14ac:dyDescent="0.2">
      <c r="A36" s="296">
        <f>TblRezone[[#This Row],[Hour]]</f>
        <v>33</v>
      </c>
      <c r="B36" s="297">
        <f ca="1">TblExplore[[#This Row],[Land-DB]]</f>
        <v>250</v>
      </c>
      <c r="C36" s="298">
        <f ca="1">TblProd[[#This Row],[Techpoints]]</f>
        <v>0</v>
      </c>
      <c r="D36" s="298">
        <f ca="1">TblProd[[#This Row],[Required]]</f>
        <v>3750</v>
      </c>
      <c r="E36" s="299"/>
      <c r="F36" s="300"/>
      <c r="G36" s="301"/>
      <c r="H36" s="302"/>
      <c r="I36" s="301"/>
      <c r="J36" s="297"/>
      <c r="K36" s="96">
        <f ca="1">IF(TblTech[[#This Row],[Sum of tech]]&lt;&gt;OFFSET(TblTech[[#This Row],[Sum of tech]],-1,0),1,0)</f>
        <v>0</v>
      </c>
      <c r="L36" s="303">
        <f>COUNTIF(TblTech[[#This Row],[1-1]:[11-1]],1)</f>
        <v>0</v>
      </c>
      <c r="M36" s="304" cm="1">
        <f t="array" ref="M36">IF(AND(M$2&lt;&gt;0,TblTech[[#This Row],[Hour]:[Hour]]&gt;=M$2),1,0)</f>
        <v>0</v>
      </c>
      <c r="N36" s="304" cm="1">
        <f t="array" ref="N36">IF(AND(N$2&lt;&gt;0,TblTech[[#This Row],[Hour]:[Hour]]&gt;=N$2),1,0)</f>
        <v>0</v>
      </c>
      <c r="O36" s="304" cm="1">
        <f t="array" ref="O36">IF(AND(O$2&lt;&gt;0,TblTech[[#This Row],[Hour]:[Hour]]&gt;=O$2),1,0)</f>
        <v>0</v>
      </c>
      <c r="P36" s="304" cm="1">
        <f t="array" ref="P36">IF(AND(P$2&lt;&gt;0,TblTech[[#This Row],[Hour]:[Hour]]&gt;=P$2),1,0)</f>
        <v>0</v>
      </c>
      <c r="Q36" s="304" cm="1">
        <f t="array" ref="Q36">IF(AND(Q$2&lt;&gt;0,TblTech[[#This Row],[Hour]:[Hour]]&gt;=Q$2),1,0)</f>
        <v>0</v>
      </c>
      <c r="R36" s="304" cm="1">
        <f t="array" ref="R36">IF(AND(R$2&lt;&gt;0,TblTech[[#This Row],[Hour]:[Hour]]&gt;=R$2),1,0)</f>
        <v>0</v>
      </c>
      <c r="S36" s="304" cm="1">
        <f t="array" ref="S36">IF(AND(S$2&lt;&gt;0,TblTech[[#This Row],[Hour]:[Hour]]&gt;=S$2),1,0)</f>
        <v>0</v>
      </c>
      <c r="T36" s="304" cm="1">
        <f t="array" ref="T36">IF(AND(T$2&lt;&gt;0,TblTech[[#This Row],[Hour]:[Hour]]&gt;=T$2),1,0)</f>
        <v>0</v>
      </c>
      <c r="U36" s="304" cm="1">
        <f t="array" ref="U36">IF(AND(U$2&lt;&gt;0,TblTech[[#This Row],[Hour]:[Hour]]&gt;=U$2),1,0)</f>
        <v>0</v>
      </c>
      <c r="V36" s="304" cm="1">
        <f t="array" ref="V36">IF(AND(V$2&lt;&gt;0,TblTech[[#This Row],[Hour]:[Hour]]&gt;=V$2),1,0)</f>
        <v>0</v>
      </c>
      <c r="W36" s="304" cm="1">
        <f t="array" ref="W36">IF(AND(W$2&lt;&gt;0,TblTech[[#This Row],[Hour]:[Hour]]&gt;=W$2),1,0)</f>
        <v>0</v>
      </c>
      <c r="X36" s="304" cm="1">
        <f t="array" ref="X36">IF(AND(X$2&lt;&gt;0,TblTech[[#This Row],[Hour]:[Hour]]&gt;=X$2),1,0)</f>
        <v>0</v>
      </c>
      <c r="Y36" s="304" cm="1">
        <f t="array" ref="Y36">IF(AND(Y$2&lt;&gt;0,TblTech[[#This Row],[Hour]:[Hour]]&gt;=Y$2),1,0)</f>
        <v>0</v>
      </c>
      <c r="Z36" s="304" cm="1">
        <f t="array" ref="Z36">IF(AND(Z$2&lt;&gt;0,TblTech[[#This Row],[Hour]:[Hour]]&gt;=Z$2),1,0)</f>
        <v>0</v>
      </c>
      <c r="AA36" s="304" cm="1">
        <f t="array" ref="AA36">IF(AND(AA$2&lt;&gt;0,TblTech[[#This Row],[Hour]:[Hour]]&gt;=AA$2),1,0)</f>
        <v>0</v>
      </c>
      <c r="AB36" s="304" cm="1">
        <f t="array" ref="AB36">IF(AND(AB$2&lt;&gt;0,TblTech[[#This Row],[Hour]:[Hour]]&gt;=AB$2),1,0)</f>
        <v>0</v>
      </c>
      <c r="AC36" s="304" cm="1">
        <f t="array" ref="AC36">IF(AND(AC$2&lt;&gt;0,TblTech[[#This Row],[Hour]:[Hour]]&gt;=AC$2),1,0)</f>
        <v>0</v>
      </c>
      <c r="AD36" s="304" cm="1">
        <f t="array" ref="AD36">IF(AND(AD$2&lt;&gt;0,TblTech[[#This Row],[Hour]:[Hour]]&gt;=AD$2),1,0)</f>
        <v>0</v>
      </c>
      <c r="AE36" s="304" cm="1">
        <f t="array" ref="AE36">IF(AND(AE$2&lt;&gt;0,TblTech[[#This Row],[Hour]:[Hour]]&gt;=AE$2),1,0)</f>
        <v>0</v>
      </c>
      <c r="AF36" s="304" cm="1">
        <f t="array" ref="AF36">IF(AND(AF$2&lt;&gt;0,TblTech[[#This Row],[Hour]:[Hour]]&gt;=AF$2),1,0)</f>
        <v>0</v>
      </c>
      <c r="AG36" s="304" cm="1">
        <f t="array" ref="AG36">IF(AND(AG$2&lt;&gt;0,TblTech[[#This Row],[Hour]:[Hour]]&gt;=AG$2),1,0)</f>
        <v>0</v>
      </c>
      <c r="AH36" s="304" cm="1">
        <f t="array" ref="AH36">IF(AND(AH$2&lt;&gt;0,TblTech[[#This Row],[Hour]:[Hour]]&gt;=AH$2),1,0)</f>
        <v>0</v>
      </c>
      <c r="AI36" s="304" cm="1">
        <f t="array" ref="AI36">IF(AND(AI$2&lt;&gt;0,TblTech[[#This Row],[Hour]:[Hour]]&gt;=AI$2),1,0)</f>
        <v>0</v>
      </c>
      <c r="AJ36" s="304" cm="1">
        <f t="array" ref="AJ36">IF(AND(AJ$2&lt;&gt;0,TblTech[[#This Row],[Hour]:[Hour]]&gt;=AJ$2),1,0)</f>
        <v>0</v>
      </c>
      <c r="AK36" s="304" cm="1">
        <f t="array" ref="AK36">IF(AND(AK$2&lt;&gt;0,TblTech[[#This Row],[Hour]:[Hour]]&gt;=AK$2),1,0)</f>
        <v>0</v>
      </c>
      <c r="AL36" s="304" cm="1">
        <f t="array" ref="AL36">IF(AND(AL$2&lt;&gt;0,TblTech[[#This Row],[Hour]:[Hour]]&gt;=AL$2),1,0)</f>
        <v>0</v>
      </c>
      <c r="AM36" s="304" cm="1">
        <f t="array" ref="AM36">IF(AND(AM$2&lt;&gt;0,TblTech[[#This Row],[Hour]:[Hour]]&gt;=AM$2),1,0)</f>
        <v>0</v>
      </c>
      <c r="AN36" s="304" cm="1">
        <f t="array" ref="AN36">IF(AND(AN$2&lt;&gt;0,TblTech[[#This Row],[Hour]:[Hour]]&gt;=AN$2),1,0)</f>
        <v>0</v>
      </c>
      <c r="AO36" s="304" cm="1">
        <f t="array" ref="AO36">IF(AND(AO$2&lt;&gt;0,TblTech[[#This Row],[Hour]:[Hour]]&gt;=AO$2),1,0)</f>
        <v>0</v>
      </c>
      <c r="AP36" s="304" cm="1">
        <f t="array" ref="AP36">IF(AND(AP$2&lt;&gt;0,TblTech[[#This Row],[Hour]:[Hour]]&gt;=AP$2),1,0)</f>
        <v>0</v>
      </c>
      <c r="AQ36" s="304" cm="1">
        <f t="array" ref="AQ36">IF(AND(AQ$2&lt;&gt;0,TblTech[[#This Row],[Hour]:[Hour]]&gt;=AQ$2),1,0)</f>
        <v>0</v>
      </c>
      <c r="AR36" s="304" cm="1">
        <f t="array" ref="AR36">IF(AND(AR$2&lt;&gt;0,TblTech[[#This Row],[Hour]:[Hour]]&gt;=AR$2),1,0)</f>
        <v>0</v>
      </c>
      <c r="AS36" s="304" cm="1">
        <f t="array" ref="AS36">IF(AND(AS$2&lt;&gt;0,TblTech[[#This Row],[Hour]:[Hour]]&gt;=AS$2),1,0)</f>
        <v>0</v>
      </c>
      <c r="AT36" s="304" cm="1">
        <f t="array" ref="AT36">IF(AND(AT$2&lt;&gt;0,TblTech[[#This Row],[Hour]:[Hour]]&gt;=AT$2),1,0)</f>
        <v>0</v>
      </c>
      <c r="AU36" s="304" cm="1">
        <f t="array" ref="AU36">IF(AND(AU$2&lt;&gt;0,TblTech[[#This Row],[Hour]:[Hour]]&gt;=AU$2),1,0)</f>
        <v>0</v>
      </c>
      <c r="AV36" s="304" cm="1">
        <f t="array" ref="AV36">IF(AND(AV$2&lt;&gt;0,TblTech[[#This Row],[Hour]:[Hour]]&gt;=AV$2),1,0)</f>
        <v>0</v>
      </c>
      <c r="AW36" s="304" cm="1">
        <f t="array" ref="AW36">IF(AND(AW$2&lt;&gt;0,TblTech[[#This Row],[Hour]:[Hour]]&gt;=AW$2),1,0)</f>
        <v>0</v>
      </c>
      <c r="AX36" s="304" cm="1">
        <f t="array" ref="AX36">IF(AND(AX$2&lt;&gt;0,TblTech[[#This Row],[Hour]:[Hour]]&gt;=AX$2),1,0)</f>
        <v>0</v>
      </c>
      <c r="AY36" s="304" cm="1">
        <f t="array" ref="AY36">IF(AND(AY$2&lt;&gt;0,TblTech[[#This Row],[Hour]:[Hour]]&gt;=AY$2),1,0)</f>
        <v>0</v>
      </c>
      <c r="AZ36" s="304" cm="1">
        <f t="array" ref="AZ36">IF(AND(AZ$2&lt;&gt;0,TblTech[[#This Row],[Hour]:[Hour]]&gt;=AZ$2),1,0)</f>
        <v>0</v>
      </c>
      <c r="BA36" s="304" cm="1">
        <f t="array" ref="BA36">IF(AND(BA$2&lt;&gt;0,TblTech[[#This Row],[Hour]:[Hour]]&gt;=BA$2),1,0)</f>
        <v>0</v>
      </c>
      <c r="BB36" s="304" cm="1">
        <f t="array" ref="BB36">IF(AND(BB$2&lt;&gt;0,TblTech[[#This Row],[Hour]:[Hour]]&gt;=BB$2),1,0)</f>
        <v>0</v>
      </c>
      <c r="BC36" s="304" cm="1">
        <f t="array" ref="BC36">IF(AND(BC$2&lt;&gt;0,TblTech[[#This Row],[Hour]:[Hour]]&gt;=BC$2),1,0)</f>
        <v>0</v>
      </c>
      <c r="BD36" s="304" cm="1">
        <f t="array" ref="BD36">IF(AND(BD$2&lt;&gt;0,TblTech[[#This Row],[Hour]:[Hour]]&gt;=BD$2),1,0)</f>
        <v>0</v>
      </c>
      <c r="BE36" s="304" cm="1">
        <f t="array" ref="BE36">IF(AND(BE$2&lt;&gt;0,TblTech[[#This Row],[Hour]:[Hour]]&gt;=BE$2),1,0)</f>
        <v>0</v>
      </c>
      <c r="BF36" s="304" cm="1">
        <f t="array" ref="BF36">IF(AND(BF$2&lt;&gt;0,TblTech[[#This Row],[Hour]:[Hour]]&gt;=BF$2),1,0)</f>
        <v>0</v>
      </c>
      <c r="BG36" s="304" cm="1">
        <f t="array" ref="BG36">IF(AND(BG$2&lt;&gt;0,TblTech[[#This Row],[Hour]:[Hour]]&gt;=BG$2),1,0)</f>
        <v>0</v>
      </c>
      <c r="BH36" s="304" cm="1">
        <f t="array" ref="BH36">IF(AND(BH$2&lt;&gt;0,TblTech[[#This Row],[Hour]:[Hour]]&gt;=BH$2),1,0)</f>
        <v>0</v>
      </c>
      <c r="BI36" s="304" cm="1">
        <f t="array" ref="BI36">IF(AND(BI$2&lt;&gt;0,TblTech[[#This Row],[Hour]:[Hour]]&gt;=BI$2),1,0)</f>
        <v>0</v>
      </c>
      <c r="BJ36" s="304" cm="1">
        <f t="array" ref="BJ36">IF(AND(BJ$2&lt;&gt;0,TblTech[[#This Row],[Hour]:[Hour]]&gt;=BJ$2),1,0)</f>
        <v>0</v>
      </c>
      <c r="BK36" s="304" cm="1">
        <f t="array" ref="BK36">IF(AND(BK$2&lt;&gt;0,TblTech[[#This Row],[Hour]:[Hour]]&gt;=BK$2),1,0)</f>
        <v>0</v>
      </c>
      <c r="BL36" s="304" cm="1">
        <f t="array" ref="BL36">IF(AND(BL$2&lt;&gt;0,TblTech[[#This Row],[Hour]:[Hour]]&gt;=BL$2),1,0)</f>
        <v>0</v>
      </c>
      <c r="BM36" s="304" cm="1">
        <f t="array" ref="BM36">IF(AND(BM$2&lt;&gt;0,TblTech[[#This Row],[Hour]:[Hour]]&gt;=BM$2),1,0)</f>
        <v>0</v>
      </c>
      <c r="BN36" s="304" cm="1">
        <f t="array" ref="BN36">IF(AND(BN$2&lt;&gt;0,TblTech[[#This Row],[Hour]:[Hour]]&gt;=BN$2),1,0)</f>
        <v>0</v>
      </c>
      <c r="BO36" s="304" cm="1">
        <f t="array" ref="BO36">IF(AND(BO$2&lt;&gt;0,TblTech[[#This Row],[Hour]:[Hour]]&gt;=BO$2),1,0)</f>
        <v>0</v>
      </c>
      <c r="BP36" s="304" cm="1">
        <f t="array" ref="BP36">IF(AND(BP$2&lt;&gt;0,TblTech[[#This Row],[Hour]:[Hour]]&gt;=BP$2),1,0)</f>
        <v>0</v>
      </c>
      <c r="BQ36" s="304" cm="1">
        <f t="array" ref="BQ36">IF(AND(BQ$2&lt;&gt;0,TblTech[[#This Row],[Hour]:[Hour]]&gt;=BQ$2),1,0)</f>
        <v>0</v>
      </c>
      <c r="BR36" s="304" cm="1">
        <f t="array" ref="BR36">IF(AND(BR$2&lt;&gt;0,TblTech[[#This Row],[Hour]:[Hour]]&gt;=BR$2),1,0)</f>
        <v>0</v>
      </c>
      <c r="BS36" s="304" cm="1">
        <f t="array" ref="BS36">IF(AND(BS$2&lt;&gt;0,TblTech[[#This Row],[Hour]:[Hour]]&gt;=BS$2),1,0)</f>
        <v>0</v>
      </c>
      <c r="BT36" s="304" cm="1">
        <f t="array" ref="BT36">IF(AND(BT$2&lt;&gt;0,TblTech[[#This Row],[Hour]:[Hour]]&gt;=BT$2),1,0)</f>
        <v>0</v>
      </c>
      <c r="BU36" s="304" cm="1">
        <f t="array" ref="BU36">IF(AND(BU$2&lt;&gt;0,TblTech[[#This Row],[Hour]:[Hour]]&gt;=BU$2),1,0)</f>
        <v>0</v>
      </c>
      <c r="BV36" s="304" cm="1">
        <f t="array" ref="BV36">IF(AND(BV$2&lt;&gt;0,TblTech[[#This Row],[Hour]:[Hour]]&gt;=BV$2),1,0)</f>
        <v>0</v>
      </c>
      <c r="BW36" s="304" cm="1">
        <f t="array" ref="BW36">IF(AND(BW$2&lt;&gt;0,TblTech[[#This Row],[Hour]:[Hour]]&gt;=BW$2),1,0)</f>
        <v>0</v>
      </c>
      <c r="BX36" s="304" cm="1">
        <f t="array" ref="BX36">IF(AND(BX$2&lt;&gt;0,TblTech[[#This Row],[Hour]:[Hour]]&gt;=BX$2),1,0)</f>
        <v>0</v>
      </c>
      <c r="BY36" s="304" cm="1">
        <f t="array" ref="BY36">IF(AND(BY$2&lt;&gt;0,TblTech[[#This Row],[Hour]:[Hour]]&gt;=BY$2),1,0)</f>
        <v>0</v>
      </c>
      <c r="BZ36" s="304" cm="1">
        <f t="array" ref="BZ36">IF(AND(BZ$2&lt;&gt;0,TblTech[[#This Row],[Hour]:[Hour]]&gt;=BZ$2),1,0)</f>
        <v>0</v>
      </c>
      <c r="CA36" s="408">
        <f>IFERROR(INDEX($H$4:$H$79,MATCH(INDEX(TblTech[[#Headers],[1-1]:[11-1]],1,MATCH(TblTech[[#This Row],[Hour]],$M$2:$BZ$2,0)),$G$4:$G$79,0)),)</f>
        <v>0</v>
      </c>
    </row>
    <row r="37" spans="1:79" x14ac:dyDescent="0.2">
      <c r="A37" s="296">
        <f>TblRezone[[#This Row],[Hour]]</f>
        <v>34</v>
      </c>
      <c r="B37" s="297">
        <f ca="1">TblExplore[[#This Row],[Land-DB]]</f>
        <v>250</v>
      </c>
      <c r="C37" s="298">
        <f ca="1">TblProd[[#This Row],[Techpoints]]</f>
        <v>0</v>
      </c>
      <c r="D37" s="298">
        <f ca="1">TblProd[[#This Row],[Required]]</f>
        <v>3750</v>
      </c>
      <c r="E37" s="299"/>
      <c r="F37" s="300"/>
      <c r="G37" s="301" t="s">
        <v>592</v>
      </c>
      <c r="H37" s="302" t="s">
        <v>722</v>
      </c>
      <c r="I37" s="301" t="s">
        <v>776</v>
      </c>
      <c r="J37" s="297"/>
      <c r="K37" s="96">
        <f ca="1">IF(TblTech[[#This Row],[Sum of tech]]&lt;&gt;OFFSET(TblTech[[#This Row],[Sum of tech]],-1,0),1,0)</f>
        <v>0</v>
      </c>
      <c r="L37" s="303">
        <f>COUNTIF(TblTech[[#This Row],[1-1]:[11-1]],1)</f>
        <v>0</v>
      </c>
      <c r="M37" s="304" cm="1">
        <f t="array" ref="M37">IF(AND(M$2&lt;&gt;0,TblTech[[#This Row],[Hour]:[Hour]]&gt;=M$2),1,0)</f>
        <v>0</v>
      </c>
      <c r="N37" s="304" cm="1">
        <f t="array" ref="N37">IF(AND(N$2&lt;&gt;0,TblTech[[#This Row],[Hour]:[Hour]]&gt;=N$2),1,0)</f>
        <v>0</v>
      </c>
      <c r="O37" s="304" cm="1">
        <f t="array" ref="O37">IF(AND(O$2&lt;&gt;0,TblTech[[#This Row],[Hour]:[Hour]]&gt;=O$2),1,0)</f>
        <v>0</v>
      </c>
      <c r="P37" s="304" cm="1">
        <f t="array" ref="P37">IF(AND(P$2&lt;&gt;0,TblTech[[#This Row],[Hour]:[Hour]]&gt;=P$2),1,0)</f>
        <v>0</v>
      </c>
      <c r="Q37" s="304" cm="1">
        <f t="array" ref="Q37">IF(AND(Q$2&lt;&gt;0,TblTech[[#This Row],[Hour]:[Hour]]&gt;=Q$2),1,0)</f>
        <v>0</v>
      </c>
      <c r="R37" s="304" cm="1">
        <f t="array" ref="R37">IF(AND(R$2&lt;&gt;0,TblTech[[#This Row],[Hour]:[Hour]]&gt;=R$2),1,0)</f>
        <v>0</v>
      </c>
      <c r="S37" s="304" cm="1">
        <f t="array" ref="S37">IF(AND(S$2&lt;&gt;0,TblTech[[#This Row],[Hour]:[Hour]]&gt;=S$2),1,0)</f>
        <v>0</v>
      </c>
      <c r="T37" s="304" cm="1">
        <f t="array" ref="T37">IF(AND(T$2&lt;&gt;0,TblTech[[#This Row],[Hour]:[Hour]]&gt;=T$2),1,0)</f>
        <v>0</v>
      </c>
      <c r="U37" s="304" cm="1">
        <f t="array" ref="U37">IF(AND(U$2&lt;&gt;0,TblTech[[#This Row],[Hour]:[Hour]]&gt;=U$2),1,0)</f>
        <v>0</v>
      </c>
      <c r="V37" s="304" cm="1">
        <f t="array" ref="V37">IF(AND(V$2&lt;&gt;0,TblTech[[#This Row],[Hour]:[Hour]]&gt;=V$2),1,0)</f>
        <v>0</v>
      </c>
      <c r="W37" s="304" cm="1">
        <f t="array" ref="W37">IF(AND(W$2&lt;&gt;0,TblTech[[#This Row],[Hour]:[Hour]]&gt;=W$2),1,0)</f>
        <v>0</v>
      </c>
      <c r="X37" s="304" cm="1">
        <f t="array" ref="X37">IF(AND(X$2&lt;&gt;0,TblTech[[#This Row],[Hour]:[Hour]]&gt;=X$2),1,0)</f>
        <v>0</v>
      </c>
      <c r="Y37" s="304" cm="1">
        <f t="array" ref="Y37">IF(AND(Y$2&lt;&gt;0,TblTech[[#This Row],[Hour]:[Hour]]&gt;=Y$2),1,0)</f>
        <v>0</v>
      </c>
      <c r="Z37" s="304" cm="1">
        <f t="array" ref="Z37">IF(AND(Z$2&lt;&gt;0,TblTech[[#This Row],[Hour]:[Hour]]&gt;=Z$2),1,0)</f>
        <v>0</v>
      </c>
      <c r="AA37" s="304" cm="1">
        <f t="array" ref="AA37">IF(AND(AA$2&lt;&gt;0,TblTech[[#This Row],[Hour]:[Hour]]&gt;=AA$2),1,0)</f>
        <v>0</v>
      </c>
      <c r="AB37" s="304" cm="1">
        <f t="array" ref="AB37">IF(AND(AB$2&lt;&gt;0,TblTech[[#This Row],[Hour]:[Hour]]&gt;=AB$2),1,0)</f>
        <v>0</v>
      </c>
      <c r="AC37" s="304" cm="1">
        <f t="array" ref="AC37">IF(AND(AC$2&lt;&gt;0,TblTech[[#This Row],[Hour]:[Hour]]&gt;=AC$2),1,0)</f>
        <v>0</v>
      </c>
      <c r="AD37" s="304" cm="1">
        <f t="array" ref="AD37">IF(AND(AD$2&lt;&gt;0,TblTech[[#This Row],[Hour]:[Hour]]&gt;=AD$2),1,0)</f>
        <v>0</v>
      </c>
      <c r="AE37" s="304" cm="1">
        <f t="array" ref="AE37">IF(AND(AE$2&lt;&gt;0,TblTech[[#This Row],[Hour]:[Hour]]&gt;=AE$2),1,0)</f>
        <v>0</v>
      </c>
      <c r="AF37" s="304" cm="1">
        <f t="array" ref="AF37">IF(AND(AF$2&lt;&gt;0,TblTech[[#This Row],[Hour]:[Hour]]&gt;=AF$2),1,0)</f>
        <v>0</v>
      </c>
      <c r="AG37" s="304" cm="1">
        <f t="array" ref="AG37">IF(AND(AG$2&lt;&gt;0,TblTech[[#This Row],[Hour]:[Hour]]&gt;=AG$2),1,0)</f>
        <v>0</v>
      </c>
      <c r="AH37" s="304" cm="1">
        <f t="array" ref="AH37">IF(AND(AH$2&lt;&gt;0,TblTech[[#This Row],[Hour]:[Hour]]&gt;=AH$2),1,0)</f>
        <v>0</v>
      </c>
      <c r="AI37" s="304" cm="1">
        <f t="array" ref="AI37">IF(AND(AI$2&lt;&gt;0,TblTech[[#This Row],[Hour]:[Hour]]&gt;=AI$2),1,0)</f>
        <v>0</v>
      </c>
      <c r="AJ37" s="304" cm="1">
        <f t="array" ref="AJ37">IF(AND(AJ$2&lt;&gt;0,TblTech[[#This Row],[Hour]:[Hour]]&gt;=AJ$2),1,0)</f>
        <v>0</v>
      </c>
      <c r="AK37" s="304" cm="1">
        <f t="array" ref="AK37">IF(AND(AK$2&lt;&gt;0,TblTech[[#This Row],[Hour]:[Hour]]&gt;=AK$2),1,0)</f>
        <v>0</v>
      </c>
      <c r="AL37" s="304" cm="1">
        <f t="array" ref="AL37">IF(AND(AL$2&lt;&gt;0,TblTech[[#This Row],[Hour]:[Hour]]&gt;=AL$2),1,0)</f>
        <v>0</v>
      </c>
      <c r="AM37" s="304" cm="1">
        <f t="array" ref="AM37">IF(AND(AM$2&lt;&gt;0,TblTech[[#This Row],[Hour]:[Hour]]&gt;=AM$2),1,0)</f>
        <v>0</v>
      </c>
      <c r="AN37" s="304" cm="1">
        <f t="array" ref="AN37">IF(AND(AN$2&lt;&gt;0,TblTech[[#This Row],[Hour]:[Hour]]&gt;=AN$2),1,0)</f>
        <v>0</v>
      </c>
      <c r="AO37" s="304" cm="1">
        <f t="array" ref="AO37">IF(AND(AO$2&lt;&gt;0,TblTech[[#This Row],[Hour]:[Hour]]&gt;=AO$2),1,0)</f>
        <v>0</v>
      </c>
      <c r="AP37" s="304" cm="1">
        <f t="array" ref="AP37">IF(AND(AP$2&lt;&gt;0,TblTech[[#This Row],[Hour]:[Hour]]&gt;=AP$2),1,0)</f>
        <v>0</v>
      </c>
      <c r="AQ37" s="304" cm="1">
        <f t="array" ref="AQ37">IF(AND(AQ$2&lt;&gt;0,TblTech[[#This Row],[Hour]:[Hour]]&gt;=AQ$2),1,0)</f>
        <v>0</v>
      </c>
      <c r="AR37" s="304" cm="1">
        <f t="array" ref="AR37">IF(AND(AR$2&lt;&gt;0,TblTech[[#This Row],[Hour]:[Hour]]&gt;=AR$2),1,0)</f>
        <v>0</v>
      </c>
      <c r="AS37" s="304" cm="1">
        <f t="array" ref="AS37">IF(AND(AS$2&lt;&gt;0,TblTech[[#This Row],[Hour]:[Hour]]&gt;=AS$2),1,0)</f>
        <v>0</v>
      </c>
      <c r="AT37" s="304" cm="1">
        <f t="array" ref="AT37">IF(AND(AT$2&lt;&gt;0,TblTech[[#This Row],[Hour]:[Hour]]&gt;=AT$2),1,0)</f>
        <v>0</v>
      </c>
      <c r="AU37" s="304" cm="1">
        <f t="array" ref="AU37">IF(AND(AU$2&lt;&gt;0,TblTech[[#This Row],[Hour]:[Hour]]&gt;=AU$2),1,0)</f>
        <v>0</v>
      </c>
      <c r="AV37" s="304" cm="1">
        <f t="array" ref="AV37">IF(AND(AV$2&lt;&gt;0,TblTech[[#This Row],[Hour]:[Hour]]&gt;=AV$2),1,0)</f>
        <v>0</v>
      </c>
      <c r="AW37" s="304" cm="1">
        <f t="array" ref="AW37">IF(AND(AW$2&lt;&gt;0,TblTech[[#This Row],[Hour]:[Hour]]&gt;=AW$2),1,0)</f>
        <v>0</v>
      </c>
      <c r="AX37" s="304" cm="1">
        <f t="array" ref="AX37">IF(AND(AX$2&lt;&gt;0,TblTech[[#This Row],[Hour]:[Hour]]&gt;=AX$2),1,0)</f>
        <v>0</v>
      </c>
      <c r="AY37" s="304" cm="1">
        <f t="array" ref="AY37">IF(AND(AY$2&lt;&gt;0,TblTech[[#This Row],[Hour]:[Hour]]&gt;=AY$2),1,0)</f>
        <v>0</v>
      </c>
      <c r="AZ37" s="304" cm="1">
        <f t="array" ref="AZ37">IF(AND(AZ$2&lt;&gt;0,TblTech[[#This Row],[Hour]:[Hour]]&gt;=AZ$2),1,0)</f>
        <v>0</v>
      </c>
      <c r="BA37" s="304" cm="1">
        <f t="array" ref="BA37">IF(AND(BA$2&lt;&gt;0,TblTech[[#This Row],[Hour]:[Hour]]&gt;=BA$2),1,0)</f>
        <v>0</v>
      </c>
      <c r="BB37" s="304" cm="1">
        <f t="array" ref="BB37">IF(AND(BB$2&lt;&gt;0,TblTech[[#This Row],[Hour]:[Hour]]&gt;=BB$2),1,0)</f>
        <v>0</v>
      </c>
      <c r="BC37" s="304" cm="1">
        <f t="array" ref="BC37">IF(AND(BC$2&lt;&gt;0,TblTech[[#This Row],[Hour]:[Hour]]&gt;=BC$2),1,0)</f>
        <v>0</v>
      </c>
      <c r="BD37" s="304" cm="1">
        <f t="array" ref="BD37">IF(AND(BD$2&lt;&gt;0,TblTech[[#This Row],[Hour]:[Hour]]&gt;=BD$2),1,0)</f>
        <v>0</v>
      </c>
      <c r="BE37" s="304" cm="1">
        <f t="array" ref="BE37">IF(AND(BE$2&lt;&gt;0,TblTech[[#This Row],[Hour]:[Hour]]&gt;=BE$2),1,0)</f>
        <v>0</v>
      </c>
      <c r="BF37" s="304" cm="1">
        <f t="array" ref="BF37">IF(AND(BF$2&lt;&gt;0,TblTech[[#This Row],[Hour]:[Hour]]&gt;=BF$2),1,0)</f>
        <v>0</v>
      </c>
      <c r="BG37" s="304" cm="1">
        <f t="array" ref="BG37">IF(AND(BG$2&lt;&gt;0,TblTech[[#This Row],[Hour]:[Hour]]&gt;=BG$2),1,0)</f>
        <v>0</v>
      </c>
      <c r="BH37" s="304" cm="1">
        <f t="array" ref="BH37">IF(AND(BH$2&lt;&gt;0,TblTech[[#This Row],[Hour]:[Hour]]&gt;=BH$2),1,0)</f>
        <v>0</v>
      </c>
      <c r="BI37" s="304" cm="1">
        <f t="array" ref="BI37">IF(AND(BI$2&lt;&gt;0,TblTech[[#This Row],[Hour]:[Hour]]&gt;=BI$2),1,0)</f>
        <v>0</v>
      </c>
      <c r="BJ37" s="304" cm="1">
        <f t="array" ref="BJ37">IF(AND(BJ$2&lt;&gt;0,TblTech[[#This Row],[Hour]:[Hour]]&gt;=BJ$2),1,0)</f>
        <v>0</v>
      </c>
      <c r="BK37" s="304" cm="1">
        <f t="array" ref="BK37">IF(AND(BK$2&lt;&gt;0,TblTech[[#This Row],[Hour]:[Hour]]&gt;=BK$2),1,0)</f>
        <v>0</v>
      </c>
      <c r="BL37" s="304" cm="1">
        <f t="array" ref="BL37">IF(AND(BL$2&lt;&gt;0,TblTech[[#This Row],[Hour]:[Hour]]&gt;=BL$2),1,0)</f>
        <v>0</v>
      </c>
      <c r="BM37" s="304" cm="1">
        <f t="array" ref="BM37">IF(AND(BM$2&lt;&gt;0,TblTech[[#This Row],[Hour]:[Hour]]&gt;=BM$2),1,0)</f>
        <v>0</v>
      </c>
      <c r="BN37" s="304" cm="1">
        <f t="array" ref="BN37">IF(AND(BN$2&lt;&gt;0,TblTech[[#This Row],[Hour]:[Hour]]&gt;=BN$2),1,0)</f>
        <v>0</v>
      </c>
      <c r="BO37" s="304" cm="1">
        <f t="array" ref="BO37">IF(AND(BO$2&lt;&gt;0,TblTech[[#This Row],[Hour]:[Hour]]&gt;=BO$2),1,0)</f>
        <v>0</v>
      </c>
      <c r="BP37" s="304" cm="1">
        <f t="array" ref="BP37">IF(AND(BP$2&lt;&gt;0,TblTech[[#This Row],[Hour]:[Hour]]&gt;=BP$2),1,0)</f>
        <v>0</v>
      </c>
      <c r="BQ37" s="304" cm="1">
        <f t="array" ref="BQ37">IF(AND(BQ$2&lt;&gt;0,TblTech[[#This Row],[Hour]:[Hour]]&gt;=BQ$2),1,0)</f>
        <v>0</v>
      </c>
      <c r="BR37" s="304" cm="1">
        <f t="array" ref="BR37">IF(AND(BR$2&lt;&gt;0,TblTech[[#This Row],[Hour]:[Hour]]&gt;=BR$2),1,0)</f>
        <v>0</v>
      </c>
      <c r="BS37" s="304" cm="1">
        <f t="array" ref="BS37">IF(AND(BS$2&lt;&gt;0,TblTech[[#This Row],[Hour]:[Hour]]&gt;=BS$2),1,0)</f>
        <v>0</v>
      </c>
      <c r="BT37" s="304" cm="1">
        <f t="array" ref="BT37">IF(AND(BT$2&lt;&gt;0,TblTech[[#This Row],[Hour]:[Hour]]&gt;=BT$2),1,0)</f>
        <v>0</v>
      </c>
      <c r="BU37" s="304" cm="1">
        <f t="array" ref="BU37">IF(AND(BU$2&lt;&gt;0,TblTech[[#This Row],[Hour]:[Hour]]&gt;=BU$2),1,0)</f>
        <v>0</v>
      </c>
      <c r="BV37" s="304" cm="1">
        <f t="array" ref="BV37">IF(AND(BV$2&lt;&gt;0,TblTech[[#This Row],[Hour]:[Hour]]&gt;=BV$2),1,0)</f>
        <v>0</v>
      </c>
      <c r="BW37" s="304" cm="1">
        <f t="array" ref="BW37">IF(AND(BW$2&lt;&gt;0,TblTech[[#This Row],[Hour]:[Hour]]&gt;=BW$2),1,0)</f>
        <v>0</v>
      </c>
      <c r="BX37" s="304" cm="1">
        <f t="array" ref="BX37">IF(AND(BX$2&lt;&gt;0,TblTech[[#This Row],[Hour]:[Hour]]&gt;=BX$2),1,0)</f>
        <v>0</v>
      </c>
      <c r="BY37" s="304" cm="1">
        <f t="array" ref="BY37">IF(AND(BY$2&lt;&gt;0,TblTech[[#This Row],[Hour]:[Hour]]&gt;=BY$2),1,0)</f>
        <v>0</v>
      </c>
      <c r="BZ37" s="304" cm="1">
        <f t="array" ref="BZ37">IF(AND(BZ$2&lt;&gt;0,TblTech[[#This Row],[Hour]:[Hour]]&gt;=BZ$2),1,0)</f>
        <v>0</v>
      </c>
      <c r="CA37" s="408">
        <f>IFERROR(INDEX($H$4:$H$79,MATCH(INDEX(TblTech[[#Headers],[1-1]:[11-1]],1,MATCH(TblTech[[#This Row],[Hour]],$M$2:$BZ$2,0)),$G$4:$G$79,0)),)</f>
        <v>0</v>
      </c>
    </row>
    <row r="38" spans="1:79" x14ac:dyDescent="0.2">
      <c r="A38" s="296">
        <f>TblRezone[[#This Row],[Hour]]</f>
        <v>35</v>
      </c>
      <c r="B38" s="297">
        <f ca="1">TblExplore[[#This Row],[Land-DB]]</f>
        <v>250</v>
      </c>
      <c r="C38" s="298">
        <f ca="1">TblProd[[#This Row],[Techpoints]]</f>
        <v>0</v>
      </c>
      <c r="D38" s="298">
        <f ca="1">TblProd[[#This Row],[Required]]</f>
        <v>3750</v>
      </c>
      <c r="E38" s="299"/>
      <c r="F38" s="300"/>
      <c r="G38" s="301" t="s">
        <v>593</v>
      </c>
      <c r="H38" s="302" t="s">
        <v>723</v>
      </c>
      <c r="I38" s="301" t="s">
        <v>641</v>
      </c>
      <c r="J38" s="297"/>
      <c r="K38" s="96">
        <f ca="1">IF(TblTech[[#This Row],[Sum of tech]]&lt;&gt;OFFSET(TblTech[[#This Row],[Sum of tech]],-1,0),1,0)</f>
        <v>0</v>
      </c>
      <c r="L38" s="303">
        <f>COUNTIF(TblTech[[#This Row],[1-1]:[11-1]],1)</f>
        <v>0</v>
      </c>
      <c r="M38" s="304" cm="1">
        <f t="array" ref="M38">IF(AND(M$2&lt;&gt;0,TblTech[[#This Row],[Hour]:[Hour]]&gt;=M$2),1,0)</f>
        <v>0</v>
      </c>
      <c r="N38" s="304" cm="1">
        <f t="array" ref="N38">IF(AND(N$2&lt;&gt;0,TblTech[[#This Row],[Hour]:[Hour]]&gt;=N$2),1,0)</f>
        <v>0</v>
      </c>
      <c r="O38" s="304" cm="1">
        <f t="array" ref="O38">IF(AND(O$2&lt;&gt;0,TblTech[[#This Row],[Hour]:[Hour]]&gt;=O$2),1,0)</f>
        <v>0</v>
      </c>
      <c r="P38" s="304" cm="1">
        <f t="array" ref="P38">IF(AND(P$2&lt;&gt;0,TblTech[[#This Row],[Hour]:[Hour]]&gt;=P$2),1,0)</f>
        <v>0</v>
      </c>
      <c r="Q38" s="304" cm="1">
        <f t="array" ref="Q38">IF(AND(Q$2&lt;&gt;0,TblTech[[#This Row],[Hour]:[Hour]]&gt;=Q$2),1,0)</f>
        <v>0</v>
      </c>
      <c r="R38" s="304" cm="1">
        <f t="array" ref="R38">IF(AND(R$2&lt;&gt;0,TblTech[[#This Row],[Hour]:[Hour]]&gt;=R$2),1,0)</f>
        <v>0</v>
      </c>
      <c r="S38" s="304" cm="1">
        <f t="array" ref="S38">IF(AND(S$2&lt;&gt;0,TblTech[[#This Row],[Hour]:[Hour]]&gt;=S$2),1,0)</f>
        <v>0</v>
      </c>
      <c r="T38" s="304" cm="1">
        <f t="array" ref="T38">IF(AND(T$2&lt;&gt;0,TblTech[[#This Row],[Hour]:[Hour]]&gt;=T$2),1,0)</f>
        <v>0</v>
      </c>
      <c r="U38" s="304" cm="1">
        <f t="array" ref="U38">IF(AND(U$2&lt;&gt;0,TblTech[[#This Row],[Hour]:[Hour]]&gt;=U$2),1,0)</f>
        <v>0</v>
      </c>
      <c r="V38" s="304" cm="1">
        <f t="array" ref="V38">IF(AND(V$2&lt;&gt;0,TblTech[[#This Row],[Hour]:[Hour]]&gt;=V$2),1,0)</f>
        <v>0</v>
      </c>
      <c r="W38" s="304" cm="1">
        <f t="array" ref="W38">IF(AND(W$2&lt;&gt;0,TblTech[[#This Row],[Hour]:[Hour]]&gt;=W$2),1,0)</f>
        <v>0</v>
      </c>
      <c r="X38" s="304" cm="1">
        <f t="array" ref="X38">IF(AND(X$2&lt;&gt;0,TblTech[[#This Row],[Hour]:[Hour]]&gt;=X$2),1,0)</f>
        <v>0</v>
      </c>
      <c r="Y38" s="304" cm="1">
        <f t="array" ref="Y38">IF(AND(Y$2&lt;&gt;0,TblTech[[#This Row],[Hour]:[Hour]]&gt;=Y$2),1,0)</f>
        <v>0</v>
      </c>
      <c r="Z38" s="304" cm="1">
        <f t="array" ref="Z38">IF(AND(Z$2&lt;&gt;0,TblTech[[#This Row],[Hour]:[Hour]]&gt;=Z$2),1,0)</f>
        <v>0</v>
      </c>
      <c r="AA38" s="304" cm="1">
        <f t="array" ref="AA38">IF(AND(AA$2&lt;&gt;0,TblTech[[#This Row],[Hour]:[Hour]]&gt;=AA$2),1,0)</f>
        <v>0</v>
      </c>
      <c r="AB38" s="304" cm="1">
        <f t="array" ref="AB38">IF(AND(AB$2&lt;&gt;0,TblTech[[#This Row],[Hour]:[Hour]]&gt;=AB$2),1,0)</f>
        <v>0</v>
      </c>
      <c r="AC38" s="304" cm="1">
        <f t="array" ref="AC38">IF(AND(AC$2&lt;&gt;0,TblTech[[#This Row],[Hour]:[Hour]]&gt;=AC$2),1,0)</f>
        <v>0</v>
      </c>
      <c r="AD38" s="304" cm="1">
        <f t="array" ref="AD38">IF(AND(AD$2&lt;&gt;0,TblTech[[#This Row],[Hour]:[Hour]]&gt;=AD$2),1,0)</f>
        <v>0</v>
      </c>
      <c r="AE38" s="304" cm="1">
        <f t="array" ref="AE38">IF(AND(AE$2&lt;&gt;0,TblTech[[#This Row],[Hour]:[Hour]]&gt;=AE$2),1,0)</f>
        <v>0</v>
      </c>
      <c r="AF38" s="304" cm="1">
        <f t="array" ref="AF38">IF(AND(AF$2&lt;&gt;0,TblTech[[#This Row],[Hour]:[Hour]]&gt;=AF$2),1,0)</f>
        <v>0</v>
      </c>
      <c r="AG38" s="304" cm="1">
        <f t="array" ref="AG38">IF(AND(AG$2&lt;&gt;0,TblTech[[#This Row],[Hour]:[Hour]]&gt;=AG$2),1,0)</f>
        <v>0</v>
      </c>
      <c r="AH38" s="304" cm="1">
        <f t="array" ref="AH38">IF(AND(AH$2&lt;&gt;0,TblTech[[#This Row],[Hour]:[Hour]]&gt;=AH$2),1,0)</f>
        <v>0</v>
      </c>
      <c r="AI38" s="304" cm="1">
        <f t="array" ref="AI38">IF(AND(AI$2&lt;&gt;0,TblTech[[#This Row],[Hour]:[Hour]]&gt;=AI$2),1,0)</f>
        <v>0</v>
      </c>
      <c r="AJ38" s="304" cm="1">
        <f t="array" ref="AJ38">IF(AND(AJ$2&lt;&gt;0,TblTech[[#This Row],[Hour]:[Hour]]&gt;=AJ$2),1,0)</f>
        <v>0</v>
      </c>
      <c r="AK38" s="304" cm="1">
        <f t="array" ref="AK38">IF(AND(AK$2&lt;&gt;0,TblTech[[#This Row],[Hour]:[Hour]]&gt;=AK$2),1,0)</f>
        <v>0</v>
      </c>
      <c r="AL38" s="304" cm="1">
        <f t="array" ref="AL38">IF(AND(AL$2&lt;&gt;0,TblTech[[#This Row],[Hour]:[Hour]]&gt;=AL$2),1,0)</f>
        <v>0</v>
      </c>
      <c r="AM38" s="304" cm="1">
        <f t="array" ref="AM38">IF(AND(AM$2&lt;&gt;0,TblTech[[#This Row],[Hour]:[Hour]]&gt;=AM$2),1,0)</f>
        <v>0</v>
      </c>
      <c r="AN38" s="304" cm="1">
        <f t="array" ref="AN38">IF(AND(AN$2&lt;&gt;0,TblTech[[#This Row],[Hour]:[Hour]]&gt;=AN$2),1,0)</f>
        <v>0</v>
      </c>
      <c r="AO38" s="304" cm="1">
        <f t="array" ref="AO38">IF(AND(AO$2&lt;&gt;0,TblTech[[#This Row],[Hour]:[Hour]]&gt;=AO$2),1,0)</f>
        <v>0</v>
      </c>
      <c r="AP38" s="304" cm="1">
        <f t="array" ref="AP38">IF(AND(AP$2&lt;&gt;0,TblTech[[#This Row],[Hour]:[Hour]]&gt;=AP$2),1,0)</f>
        <v>0</v>
      </c>
      <c r="AQ38" s="304" cm="1">
        <f t="array" ref="AQ38">IF(AND(AQ$2&lt;&gt;0,TblTech[[#This Row],[Hour]:[Hour]]&gt;=AQ$2),1,0)</f>
        <v>0</v>
      </c>
      <c r="AR38" s="304" cm="1">
        <f t="array" ref="AR38">IF(AND(AR$2&lt;&gt;0,TblTech[[#This Row],[Hour]:[Hour]]&gt;=AR$2),1,0)</f>
        <v>0</v>
      </c>
      <c r="AS38" s="304" cm="1">
        <f t="array" ref="AS38">IF(AND(AS$2&lt;&gt;0,TblTech[[#This Row],[Hour]:[Hour]]&gt;=AS$2),1,0)</f>
        <v>0</v>
      </c>
      <c r="AT38" s="304" cm="1">
        <f t="array" ref="AT38">IF(AND(AT$2&lt;&gt;0,TblTech[[#This Row],[Hour]:[Hour]]&gt;=AT$2),1,0)</f>
        <v>0</v>
      </c>
      <c r="AU38" s="304" cm="1">
        <f t="array" ref="AU38">IF(AND(AU$2&lt;&gt;0,TblTech[[#This Row],[Hour]:[Hour]]&gt;=AU$2),1,0)</f>
        <v>0</v>
      </c>
      <c r="AV38" s="304" cm="1">
        <f t="array" ref="AV38">IF(AND(AV$2&lt;&gt;0,TblTech[[#This Row],[Hour]:[Hour]]&gt;=AV$2),1,0)</f>
        <v>0</v>
      </c>
      <c r="AW38" s="304" cm="1">
        <f t="array" ref="AW38">IF(AND(AW$2&lt;&gt;0,TblTech[[#This Row],[Hour]:[Hour]]&gt;=AW$2),1,0)</f>
        <v>0</v>
      </c>
      <c r="AX38" s="304" cm="1">
        <f t="array" ref="AX38">IF(AND(AX$2&lt;&gt;0,TblTech[[#This Row],[Hour]:[Hour]]&gt;=AX$2),1,0)</f>
        <v>0</v>
      </c>
      <c r="AY38" s="304" cm="1">
        <f t="array" ref="AY38">IF(AND(AY$2&lt;&gt;0,TblTech[[#This Row],[Hour]:[Hour]]&gt;=AY$2),1,0)</f>
        <v>0</v>
      </c>
      <c r="AZ38" s="304" cm="1">
        <f t="array" ref="AZ38">IF(AND(AZ$2&lt;&gt;0,TblTech[[#This Row],[Hour]:[Hour]]&gt;=AZ$2),1,0)</f>
        <v>0</v>
      </c>
      <c r="BA38" s="304" cm="1">
        <f t="array" ref="BA38">IF(AND(BA$2&lt;&gt;0,TblTech[[#This Row],[Hour]:[Hour]]&gt;=BA$2),1,0)</f>
        <v>0</v>
      </c>
      <c r="BB38" s="304" cm="1">
        <f t="array" ref="BB38">IF(AND(BB$2&lt;&gt;0,TblTech[[#This Row],[Hour]:[Hour]]&gt;=BB$2),1,0)</f>
        <v>0</v>
      </c>
      <c r="BC38" s="304" cm="1">
        <f t="array" ref="BC38">IF(AND(BC$2&lt;&gt;0,TblTech[[#This Row],[Hour]:[Hour]]&gt;=BC$2),1,0)</f>
        <v>0</v>
      </c>
      <c r="BD38" s="304" cm="1">
        <f t="array" ref="BD38">IF(AND(BD$2&lt;&gt;0,TblTech[[#This Row],[Hour]:[Hour]]&gt;=BD$2),1,0)</f>
        <v>0</v>
      </c>
      <c r="BE38" s="304" cm="1">
        <f t="array" ref="BE38">IF(AND(BE$2&lt;&gt;0,TblTech[[#This Row],[Hour]:[Hour]]&gt;=BE$2),1,0)</f>
        <v>0</v>
      </c>
      <c r="BF38" s="304" cm="1">
        <f t="array" ref="BF38">IF(AND(BF$2&lt;&gt;0,TblTech[[#This Row],[Hour]:[Hour]]&gt;=BF$2),1,0)</f>
        <v>0</v>
      </c>
      <c r="BG38" s="304" cm="1">
        <f t="array" ref="BG38">IF(AND(BG$2&lt;&gt;0,TblTech[[#This Row],[Hour]:[Hour]]&gt;=BG$2),1,0)</f>
        <v>0</v>
      </c>
      <c r="BH38" s="304" cm="1">
        <f t="array" ref="BH38">IF(AND(BH$2&lt;&gt;0,TblTech[[#This Row],[Hour]:[Hour]]&gt;=BH$2),1,0)</f>
        <v>0</v>
      </c>
      <c r="BI38" s="304" cm="1">
        <f t="array" ref="BI38">IF(AND(BI$2&lt;&gt;0,TblTech[[#This Row],[Hour]:[Hour]]&gt;=BI$2),1,0)</f>
        <v>0</v>
      </c>
      <c r="BJ38" s="304" cm="1">
        <f t="array" ref="BJ38">IF(AND(BJ$2&lt;&gt;0,TblTech[[#This Row],[Hour]:[Hour]]&gt;=BJ$2),1,0)</f>
        <v>0</v>
      </c>
      <c r="BK38" s="304" cm="1">
        <f t="array" ref="BK38">IF(AND(BK$2&lt;&gt;0,TblTech[[#This Row],[Hour]:[Hour]]&gt;=BK$2),1,0)</f>
        <v>0</v>
      </c>
      <c r="BL38" s="304" cm="1">
        <f t="array" ref="BL38">IF(AND(BL$2&lt;&gt;0,TblTech[[#This Row],[Hour]:[Hour]]&gt;=BL$2),1,0)</f>
        <v>0</v>
      </c>
      <c r="BM38" s="304" cm="1">
        <f t="array" ref="BM38">IF(AND(BM$2&lt;&gt;0,TblTech[[#This Row],[Hour]:[Hour]]&gt;=BM$2),1,0)</f>
        <v>0</v>
      </c>
      <c r="BN38" s="304" cm="1">
        <f t="array" ref="BN38">IF(AND(BN$2&lt;&gt;0,TblTech[[#This Row],[Hour]:[Hour]]&gt;=BN$2),1,0)</f>
        <v>0</v>
      </c>
      <c r="BO38" s="304" cm="1">
        <f t="array" ref="BO38">IF(AND(BO$2&lt;&gt;0,TblTech[[#This Row],[Hour]:[Hour]]&gt;=BO$2),1,0)</f>
        <v>0</v>
      </c>
      <c r="BP38" s="304" cm="1">
        <f t="array" ref="BP38">IF(AND(BP$2&lt;&gt;0,TblTech[[#This Row],[Hour]:[Hour]]&gt;=BP$2),1,0)</f>
        <v>0</v>
      </c>
      <c r="BQ38" s="304" cm="1">
        <f t="array" ref="BQ38">IF(AND(BQ$2&lt;&gt;0,TblTech[[#This Row],[Hour]:[Hour]]&gt;=BQ$2),1,0)</f>
        <v>0</v>
      </c>
      <c r="BR38" s="304" cm="1">
        <f t="array" ref="BR38">IF(AND(BR$2&lt;&gt;0,TblTech[[#This Row],[Hour]:[Hour]]&gt;=BR$2),1,0)</f>
        <v>0</v>
      </c>
      <c r="BS38" s="304" cm="1">
        <f t="array" ref="BS38">IF(AND(BS$2&lt;&gt;0,TblTech[[#This Row],[Hour]:[Hour]]&gt;=BS$2),1,0)</f>
        <v>0</v>
      </c>
      <c r="BT38" s="304" cm="1">
        <f t="array" ref="BT38">IF(AND(BT$2&lt;&gt;0,TblTech[[#This Row],[Hour]:[Hour]]&gt;=BT$2),1,0)</f>
        <v>0</v>
      </c>
      <c r="BU38" s="304" cm="1">
        <f t="array" ref="BU38">IF(AND(BU$2&lt;&gt;0,TblTech[[#This Row],[Hour]:[Hour]]&gt;=BU$2),1,0)</f>
        <v>0</v>
      </c>
      <c r="BV38" s="304" cm="1">
        <f t="array" ref="BV38">IF(AND(BV$2&lt;&gt;0,TblTech[[#This Row],[Hour]:[Hour]]&gt;=BV$2),1,0)</f>
        <v>0</v>
      </c>
      <c r="BW38" s="304" cm="1">
        <f t="array" ref="BW38">IF(AND(BW$2&lt;&gt;0,TblTech[[#This Row],[Hour]:[Hour]]&gt;=BW$2),1,0)</f>
        <v>0</v>
      </c>
      <c r="BX38" s="304" cm="1">
        <f t="array" ref="BX38">IF(AND(BX$2&lt;&gt;0,TblTech[[#This Row],[Hour]:[Hour]]&gt;=BX$2),1,0)</f>
        <v>0</v>
      </c>
      <c r="BY38" s="304" cm="1">
        <f t="array" ref="BY38">IF(AND(BY$2&lt;&gt;0,TblTech[[#This Row],[Hour]:[Hour]]&gt;=BY$2),1,0)</f>
        <v>0</v>
      </c>
      <c r="BZ38" s="304" cm="1">
        <f t="array" ref="BZ38">IF(AND(BZ$2&lt;&gt;0,TblTech[[#This Row],[Hour]:[Hour]]&gt;=BZ$2),1,0)</f>
        <v>0</v>
      </c>
      <c r="CA38" s="408">
        <f>IFERROR(INDEX($H$4:$H$79,MATCH(INDEX(TblTech[[#Headers],[1-1]:[11-1]],1,MATCH(TblTech[[#This Row],[Hour]],$M$2:$BZ$2,0)),$G$4:$G$79,0)),)</f>
        <v>0</v>
      </c>
    </row>
    <row r="39" spans="1:79" x14ac:dyDescent="0.2">
      <c r="A39" s="296">
        <f>TblRezone[[#This Row],[Hour]]</f>
        <v>36</v>
      </c>
      <c r="B39" s="297">
        <f ca="1">TblExplore[[#This Row],[Land-DB]]</f>
        <v>250</v>
      </c>
      <c r="C39" s="298">
        <f ca="1">TblProd[[#This Row],[Techpoints]]</f>
        <v>0</v>
      </c>
      <c r="D39" s="298">
        <f ca="1">TblProd[[#This Row],[Required]]</f>
        <v>3750</v>
      </c>
      <c r="E39" s="299"/>
      <c r="F39" s="300"/>
      <c r="G39" s="301" t="s">
        <v>594</v>
      </c>
      <c r="H39" s="302" t="s">
        <v>724</v>
      </c>
      <c r="I39" s="301" t="s">
        <v>1080</v>
      </c>
      <c r="J39" s="297"/>
      <c r="K39" s="96">
        <f ca="1">IF(TblTech[[#This Row],[Sum of tech]]&lt;&gt;OFFSET(TblTech[[#This Row],[Sum of tech]],-1,0),1,0)</f>
        <v>0</v>
      </c>
      <c r="L39" s="303">
        <f>COUNTIF(TblTech[[#This Row],[1-1]:[11-1]],1)</f>
        <v>0</v>
      </c>
      <c r="M39" s="304" cm="1">
        <f t="array" ref="M39">IF(AND(M$2&lt;&gt;0,TblTech[[#This Row],[Hour]:[Hour]]&gt;=M$2),1,0)</f>
        <v>0</v>
      </c>
      <c r="N39" s="304" cm="1">
        <f t="array" ref="N39">IF(AND(N$2&lt;&gt;0,TblTech[[#This Row],[Hour]:[Hour]]&gt;=N$2),1,0)</f>
        <v>0</v>
      </c>
      <c r="O39" s="304" cm="1">
        <f t="array" ref="O39">IF(AND(O$2&lt;&gt;0,TblTech[[#This Row],[Hour]:[Hour]]&gt;=O$2),1,0)</f>
        <v>0</v>
      </c>
      <c r="P39" s="304" cm="1">
        <f t="array" ref="P39">IF(AND(P$2&lt;&gt;0,TblTech[[#This Row],[Hour]:[Hour]]&gt;=P$2),1,0)</f>
        <v>0</v>
      </c>
      <c r="Q39" s="304" cm="1">
        <f t="array" ref="Q39">IF(AND(Q$2&lt;&gt;0,TblTech[[#This Row],[Hour]:[Hour]]&gt;=Q$2),1,0)</f>
        <v>0</v>
      </c>
      <c r="R39" s="304" cm="1">
        <f t="array" ref="R39">IF(AND(R$2&lt;&gt;0,TblTech[[#This Row],[Hour]:[Hour]]&gt;=R$2),1,0)</f>
        <v>0</v>
      </c>
      <c r="S39" s="304" cm="1">
        <f t="array" ref="S39">IF(AND(S$2&lt;&gt;0,TblTech[[#This Row],[Hour]:[Hour]]&gt;=S$2),1,0)</f>
        <v>0</v>
      </c>
      <c r="T39" s="304" cm="1">
        <f t="array" ref="T39">IF(AND(T$2&lt;&gt;0,TblTech[[#This Row],[Hour]:[Hour]]&gt;=T$2),1,0)</f>
        <v>0</v>
      </c>
      <c r="U39" s="304" cm="1">
        <f t="array" ref="U39">IF(AND(U$2&lt;&gt;0,TblTech[[#This Row],[Hour]:[Hour]]&gt;=U$2),1,0)</f>
        <v>0</v>
      </c>
      <c r="V39" s="304" cm="1">
        <f t="array" ref="V39">IF(AND(V$2&lt;&gt;0,TblTech[[#This Row],[Hour]:[Hour]]&gt;=V$2),1,0)</f>
        <v>0</v>
      </c>
      <c r="W39" s="304" cm="1">
        <f t="array" ref="W39">IF(AND(W$2&lt;&gt;0,TblTech[[#This Row],[Hour]:[Hour]]&gt;=W$2),1,0)</f>
        <v>0</v>
      </c>
      <c r="X39" s="304" cm="1">
        <f t="array" ref="X39">IF(AND(X$2&lt;&gt;0,TblTech[[#This Row],[Hour]:[Hour]]&gt;=X$2),1,0)</f>
        <v>0</v>
      </c>
      <c r="Y39" s="304" cm="1">
        <f t="array" ref="Y39">IF(AND(Y$2&lt;&gt;0,TblTech[[#This Row],[Hour]:[Hour]]&gt;=Y$2),1,0)</f>
        <v>0</v>
      </c>
      <c r="Z39" s="304" cm="1">
        <f t="array" ref="Z39">IF(AND(Z$2&lt;&gt;0,TblTech[[#This Row],[Hour]:[Hour]]&gt;=Z$2),1,0)</f>
        <v>0</v>
      </c>
      <c r="AA39" s="304" cm="1">
        <f t="array" ref="AA39">IF(AND(AA$2&lt;&gt;0,TblTech[[#This Row],[Hour]:[Hour]]&gt;=AA$2),1,0)</f>
        <v>0</v>
      </c>
      <c r="AB39" s="304" cm="1">
        <f t="array" ref="AB39">IF(AND(AB$2&lt;&gt;0,TblTech[[#This Row],[Hour]:[Hour]]&gt;=AB$2),1,0)</f>
        <v>0</v>
      </c>
      <c r="AC39" s="304" cm="1">
        <f t="array" ref="AC39">IF(AND(AC$2&lt;&gt;0,TblTech[[#This Row],[Hour]:[Hour]]&gt;=AC$2),1,0)</f>
        <v>0</v>
      </c>
      <c r="AD39" s="304" cm="1">
        <f t="array" ref="AD39">IF(AND(AD$2&lt;&gt;0,TblTech[[#This Row],[Hour]:[Hour]]&gt;=AD$2),1,0)</f>
        <v>0</v>
      </c>
      <c r="AE39" s="304" cm="1">
        <f t="array" ref="AE39">IF(AND(AE$2&lt;&gt;0,TblTech[[#This Row],[Hour]:[Hour]]&gt;=AE$2),1,0)</f>
        <v>0</v>
      </c>
      <c r="AF39" s="304" cm="1">
        <f t="array" ref="AF39">IF(AND(AF$2&lt;&gt;0,TblTech[[#This Row],[Hour]:[Hour]]&gt;=AF$2),1,0)</f>
        <v>0</v>
      </c>
      <c r="AG39" s="304" cm="1">
        <f t="array" ref="AG39">IF(AND(AG$2&lt;&gt;0,TblTech[[#This Row],[Hour]:[Hour]]&gt;=AG$2),1,0)</f>
        <v>0</v>
      </c>
      <c r="AH39" s="304" cm="1">
        <f t="array" ref="AH39">IF(AND(AH$2&lt;&gt;0,TblTech[[#This Row],[Hour]:[Hour]]&gt;=AH$2),1,0)</f>
        <v>0</v>
      </c>
      <c r="AI39" s="304" cm="1">
        <f t="array" ref="AI39">IF(AND(AI$2&lt;&gt;0,TblTech[[#This Row],[Hour]:[Hour]]&gt;=AI$2),1,0)</f>
        <v>0</v>
      </c>
      <c r="AJ39" s="304" cm="1">
        <f t="array" ref="AJ39">IF(AND(AJ$2&lt;&gt;0,TblTech[[#This Row],[Hour]:[Hour]]&gt;=AJ$2),1,0)</f>
        <v>0</v>
      </c>
      <c r="AK39" s="304" cm="1">
        <f t="array" ref="AK39">IF(AND(AK$2&lt;&gt;0,TblTech[[#This Row],[Hour]:[Hour]]&gt;=AK$2),1,0)</f>
        <v>0</v>
      </c>
      <c r="AL39" s="304" cm="1">
        <f t="array" ref="AL39">IF(AND(AL$2&lt;&gt;0,TblTech[[#This Row],[Hour]:[Hour]]&gt;=AL$2),1,0)</f>
        <v>0</v>
      </c>
      <c r="AM39" s="304" cm="1">
        <f t="array" ref="AM39">IF(AND(AM$2&lt;&gt;0,TblTech[[#This Row],[Hour]:[Hour]]&gt;=AM$2),1,0)</f>
        <v>0</v>
      </c>
      <c r="AN39" s="304" cm="1">
        <f t="array" ref="AN39">IF(AND(AN$2&lt;&gt;0,TblTech[[#This Row],[Hour]:[Hour]]&gt;=AN$2),1,0)</f>
        <v>0</v>
      </c>
      <c r="AO39" s="304" cm="1">
        <f t="array" ref="AO39">IF(AND(AO$2&lt;&gt;0,TblTech[[#This Row],[Hour]:[Hour]]&gt;=AO$2),1,0)</f>
        <v>0</v>
      </c>
      <c r="AP39" s="304" cm="1">
        <f t="array" ref="AP39">IF(AND(AP$2&lt;&gt;0,TblTech[[#This Row],[Hour]:[Hour]]&gt;=AP$2),1,0)</f>
        <v>0</v>
      </c>
      <c r="AQ39" s="304" cm="1">
        <f t="array" ref="AQ39">IF(AND(AQ$2&lt;&gt;0,TblTech[[#This Row],[Hour]:[Hour]]&gt;=AQ$2),1,0)</f>
        <v>0</v>
      </c>
      <c r="AR39" s="304" cm="1">
        <f t="array" ref="AR39">IF(AND(AR$2&lt;&gt;0,TblTech[[#This Row],[Hour]:[Hour]]&gt;=AR$2),1,0)</f>
        <v>0</v>
      </c>
      <c r="AS39" s="304" cm="1">
        <f t="array" ref="AS39">IF(AND(AS$2&lt;&gt;0,TblTech[[#This Row],[Hour]:[Hour]]&gt;=AS$2),1,0)</f>
        <v>0</v>
      </c>
      <c r="AT39" s="304" cm="1">
        <f t="array" ref="AT39">IF(AND(AT$2&lt;&gt;0,TblTech[[#This Row],[Hour]:[Hour]]&gt;=AT$2),1,0)</f>
        <v>0</v>
      </c>
      <c r="AU39" s="304" cm="1">
        <f t="array" ref="AU39">IF(AND(AU$2&lt;&gt;0,TblTech[[#This Row],[Hour]:[Hour]]&gt;=AU$2),1,0)</f>
        <v>0</v>
      </c>
      <c r="AV39" s="304" cm="1">
        <f t="array" ref="AV39">IF(AND(AV$2&lt;&gt;0,TblTech[[#This Row],[Hour]:[Hour]]&gt;=AV$2),1,0)</f>
        <v>0</v>
      </c>
      <c r="AW39" s="304" cm="1">
        <f t="array" ref="AW39">IF(AND(AW$2&lt;&gt;0,TblTech[[#This Row],[Hour]:[Hour]]&gt;=AW$2),1,0)</f>
        <v>0</v>
      </c>
      <c r="AX39" s="304" cm="1">
        <f t="array" ref="AX39">IF(AND(AX$2&lt;&gt;0,TblTech[[#This Row],[Hour]:[Hour]]&gt;=AX$2),1,0)</f>
        <v>0</v>
      </c>
      <c r="AY39" s="304" cm="1">
        <f t="array" ref="AY39">IF(AND(AY$2&lt;&gt;0,TblTech[[#This Row],[Hour]:[Hour]]&gt;=AY$2),1,0)</f>
        <v>0</v>
      </c>
      <c r="AZ39" s="304" cm="1">
        <f t="array" ref="AZ39">IF(AND(AZ$2&lt;&gt;0,TblTech[[#This Row],[Hour]:[Hour]]&gt;=AZ$2),1,0)</f>
        <v>0</v>
      </c>
      <c r="BA39" s="304" cm="1">
        <f t="array" ref="BA39">IF(AND(BA$2&lt;&gt;0,TblTech[[#This Row],[Hour]:[Hour]]&gt;=BA$2),1,0)</f>
        <v>0</v>
      </c>
      <c r="BB39" s="304" cm="1">
        <f t="array" ref="BB39">IF(AND(BB$2&lt;&gt;0,TblTech[[#This Row],[Hour]:[Hour]]&gt;=BB$2),1,0)</f>
        <v>0</v>
      </c>
      <c r="BC39" s="304" cm="1">
        <f t="array" ref="BC39">IF(AND(BC$2&lt;&gt;0,TblTech[[#This Row],[Hour]:[Hour]]&gt;=BC$2),1,0)</f>
        <v>0</v>
      </c>
      <c r="BD39" s="304" cm="1">
        <f t="array" ref="BD39">IF(AND(BD$2&lt;&gt;0,TblTech[[#This Row],[Hour]:[Hour]]&gt;=BD$2),1,0)</f>
        <v>0</v>
      </c>
      <c r="BE39" s="304" cm="1">
        <f t="array" ref="BE39">IF(AND(BE$2&lt;&gt;0,TblTech[[#This Row],[Hour]:[Hour]]&gt;=BE$2),1,0)</f>
        <v>0</v>
      </c>
      <c r="BF39" s="304" cm="1">
        <f t="array" ref="BF39">IF(AND(BF$2&lt;&gt;0,TblTech[[#This Row],[Hour]:[Hour]]&gt;=BF$2),1,0)</f>
        <v>0</v>
      </c>
      <c r="BG39" s="304" cm="1">
        <f t="array" ref="BG39">IF(AND(BG$2&lt;&gt;0,TblTech[[#This Row],[Hour]:[Hour]]&gt;=BG$2),1,0)</f>
        <v>0</v>
      </c>
      <c r="BH39" s="304" cm="1">
        <f t="array" ref="BH39">IF(AND(BH$2&lt;&gt;0,TblTech[[#This Row],[Hour]:[Hour]]&gt;=BH$2),1,0)</f>
        <v>0</v>
      </c>
      <c r="BI39" s="304" cm="1">
        <f t="array" ref="BI39">IF(AND(BI$2&lt;&gt;0,TblTech[[#This Row],[Hour]:[Hour]]&gt;=BI$2),1,0)</f>
        <v>0</v>
      </c>
      <c r="BJ39" s="304" cm="1">
        <f t="array" ref="BJ39">IF(AND(BJ$2&lt;&gt;0,TblTech[[#This Row],[Hour]:[Hour]]&gt;=BJ$2),1,0)</f>
        <v>0</v>
      </c>
      <c r="BK39" s="304" cm="1">
        <f t="array" ref="BK39">IF(AND(BK$2&lt;&gt;0,TblTech[[#This Row],[Hour]:[Hour]]&gt;=BK$2),1,0)</f>
        <v>0</v>
      </c>
      <c r="BL39" s="304" cm="1">
        <f t="array" ref="BL39">IF(AND(BL$2&lt;&gt;0,TblTech[[#This Row],[Hour]:[Hour]]&gt;=BL$2),1,0)</f>
        <v>0</v>
      </c>
      <c r="BM39" s="304" cm="1">
        <f t="array" ref="BM39">IF(AND(BM$2&lt;&gt;0,TblTech[[#This Row],[Hour]:[Hour]]&gt;=BM$2),1,0)</f>
        <v>0</v>
      </c>
      <c r="BN39" s="304" cm="1">
        <f t="array" ref="BN39">IF(AND(BN$2&lt;&gt;0,TblTech[[#This Row],[Hour]:[Hour]]&gt;=BN$2),1,0)</f>
        <v>0</v>
      </c>
      <c r="BO39" s="304" cm="1">
        <f t="array" ref="BO39">IF(AND(BO$2&lt;&gt;0,TblTech[[#This Row],[Hour]:[Hour]]&gt;=BO$2),1,0)</f>
        <v>0</v>
      </c>
      <c r="BP39" s="304" cm="1">
        <f t="array" ref="BP39">IF(AND(BP$2&lt;&gt;0,TblTech[[#This Row],[Hour]:[Hour]]&gt;=BP$2),1,0)</f>
        <v>0</v>
      </c>
      <c r="BQ39" s="304" cm="1">
        <f t="array" ref="BQ39">IF(AND(BQ$2&lt;&gt;0,TblTech[[#This Row],[Hour]:[Hour]]&gt;=BQ$2),1,0)</f>
        <v>0</v>
      </c>
      <c r="BR39" s="304" cm="1">
        <f t="array" ref="BR39">IF(AND(BR$2&lt;&gt;0,TblTech[[#This Row],[Hour]:[Hour]]&gt;=BR$2),1,0)</f>
        <v>0</v>
      </c>
      <c r="BS39" s="304" cm="1">
        <f t="array" ref="BS39">IF(AND(BS$2&lt;&gt;0,TblTech[[#This Row],[Hour]:[Hour]]&gt;=BS$2),1,0)</f>
        <v>0</v>
      </c>
      <c r="BT39" s="304" cm="1">
        <f t="array" ref="BT39">IF(AND(BT$2&lt;&gt;0,TblTech[[#This Row],[Hour]:[Hour]]&gt;=BT$2),1,0)</f>
        <v>0</v>
      </c>
      <c r="BU39" s="304" cm="1">
        <f t="array" ref="BU39">IF(AND(BU$2&lt;&gt;0,TblTech[[#This Row],[Hour]:[Hour]]&gt;=BU$2),1,0)</f>
        <v>0</v>
      </c>
      <c r="BV39" s="304" cm="1">
        <f t="array" ref="BV39">IF(AND(BV$2&lt;&gt;0,TblTech[[#This Row],[Hour]:[Hour]]&gt;=BV$2),1,0)</f>
        <v>0</v>
      </c>
      <c r="BW39" s="304" cm="1">
        <f t="array" ref="BW39">IF(AND(BW$2&lt;&gt;0,TblTech[[#This Row],[Hour]:[Hour]]&gt;=BW$2),1,0)</f>
        <v>0</v>
      </c>
      <c r="BX39" s="304" cm="1">
        <f t="array" ref="BX39">IF(AND(BX$2&lt;&gt;0,TblTech[[#This Row],[Hour]:[Hour]]&gt;=BX$2),1,0)</f>
        <v>0</v>
      </c>
      <c r="BY39" s="304" cm="1">
        <f t="array" ref="BY39">IF(AND(BY$2&lt;&gt;0,TblTech[[#This Row],[Hour]:[Hour]]&gt;=BY$2),1,0)</f>
        <v>0</v>
      </c>
      <c r="BZ39" s="304" cm="1">
        <f t="array" ref="BZ39">IF(AND(BZ$2&lt;&gt;0,TblTech[[#This Row],[Hour]:[Hour]]&gt;=BZ$2),1,0)</f>
        <v>0</v>
      </c>
      <c r="CA39" s="408">
        <f>IFERROR(INDEX($H$4:$H$79,MATCH(INDEX(TblTech[[#Headers],[1-1]:[11-1]],1,MATCH(TblTech[[#This Row],[Hour]],$M$2:$BZ$2,0)),$G$4:$G$79,0)),)</f>
        <v>0</v>
      </c>
    </row>
    <row r="40" spans="1:79" x14ac:dyDescent="0.2">
      <c r="A40" s="296">
        <f>TblRezone[[#This Row],[Hour]]</f>
        <v>37</v>
      </c>
      <c r="B40" s="297">
        <f ca="1">TblExplore[[#This Row],[Land-DB]]</f>
        <v>250</v>
      </c>
      <c r="C40" s="298">
        <f ca="1">TblProd[[#This Row],[Techpoints]]</f>
        <v>0</v>
      </c>
      <c r="D40" s="298">
        <f ca="1">TblProd[[#This Row],[Required]]</f>
        <v>3750</v>
      </c>
      <c r="E40" s="299"/>
      <c r="F40" s="300"/>
      <c r="G40" s="301" t="s">
        <v>595</v>
      </c>
      <c r="H40" s="302" t="s">
        <v>725</v>
      </c>
      <c r="I40" s="301" t="s">
        <v>1081</v>
      </c>
      <c r="J40" s="297"/>
      <c r="K40" s="96">
        <f ca="1">IF(TblTech[[#This Row],[Sum of tech]]&lt;&gt;OFFSET(TblTech[[#This Row],[Sum of tech]],-1,0),1,0)</f>
        <v>0</v>
      </c>
      <c r="L40" s="303">
        <f>COUNTIF(TblTech[[#This Row],[1-1]:[11-1]],1)</f>
        <v>0</v>
      </c>
      <c r="M40" s="304" cm="1">
        <f t="array" ref="M40">IF(AND(M$2&lt;&gt;0,TblTech[[#This Row],[Hour]:[Hour]]&gt;=M$2),1,0)</f>
        <v>0</v>
      </c>
      <c r="N40" s="304" cm="1">
        <f t="array" ref="N40">IF(AND(N$2&lt;&gt;0,TblTech[[#This Row],[Hour]:[Hour]]&gt;=N$2),1,0)</f>
        <v>0</v>
      </c>
      <c r="O40" s="304" cm="1">
        <f t="array" ref="O40">IF(AND(O$2&lt;&gt;0,TblTech[[#This Row],[Hour]:[Hour]]&gt;=O$2),1,0)</f>
        <v>0</v>
      </c>
      <c r="P40" s="304" cm="1">
        <f t="array" ref="P40">IF(AND(P$2&lt;&gt;0,TblTech[[#This Row],[Hour]:[Hour]]&gt;=P$2),1,0)</f>
        <v>0</v>
      </c>
      <c r="Q40" s="304" cm="1">
        <f t="array" ref="Q40">IF(AND(Q$2&lt;&gt;0,TblTech[[#This Row],[Hour]:[Hour]]&gt;=Q$2),1,0)</f>
        <v>0</v>
      </c>
      <c r="R40" s="304" cm="1">
        <f t="array" ref="R40">IF(AND(R$2&lt;&gt;0,TblTech[[#This Row],[Hour]:[Hour]]&gt;=R$2),1,0)</f>
        <v>0</v>
      </c>
      <c r="S40" s="304" cm="1">
        <f t="array" ref="S40">IF(AND(S$2&lt;&gt;0,TblTech[[#This Row],[Hour]:[Hour]]&gt;=S$2),1,0)</f>
        <v>0</v>
      </c>
      <c r="T40" s="304" cm="1">
        <f t="array" ref="T40">IF(AND(T$2&lt;&gt;0,TblTech[[#This Row],[Hour]:[Hour]]&gt;=T$2),1,0)</f>
        <v>0</v>
      </c>
      <c r="U40" s="304" cm="1">
        <f t="array" ref="U40">IF(AND(U$2&lt;&gt;0,TblTech[[#This Row],[Hour]:[Hour]]&gt;=U$2),1,0)</f>
        <v>0</v>
      </c>
      <c r="V40" s="304" cm="1">
        <f t="array" ref="V40">IF(AND(V$2&lt;&gt;0,TblTech[[#This Row],[Hour]:[Hour]]&gt;=V$2),1,0)</f>
        <v>0</v>
      </c>
      <c r="W40" s="304" cm="1">
        <f t="array" ref="W40">IF(AND(W$2&lt;&gt;0,TblTech[[#This Row],[Hour]:[Hour]]&gt;=W$2),1,0)</f>
        <v>0</v>
      </c>
      <c r="X40" s="304" cm="1">
        <f t="array" ref="X40">IF(AND(X$2&lt;&gt;0,TblTech[[#This Row],[Hour]:[Hour]]&gt;=X$2),1,0)</f>
        <v>0</v>
      </c>
      <c r="Y40" s="304" cm="1">
        <f t="array" ref="Y40">IF(AND(Y$2&lt;&gt;0,TblTech[[#This Row],[Hour]:[Hour]]&gt;=Y$2),1,0)</f>
        <v>0</v>
      </c>
      <c r="Z40" s="304" cm="1">
        <f t="array" ref="Z40">IF(AND(Z$2&lt;&gt;0,TblTech[[#This Row],[Hour]:[Hour]]&gt;=Z$2),1,0)</f>
        <v>0</v>
      </c>
      <c r="AA40" s="304" cm="1">
        <f t="array" ref="AA40">IF(AND(AA$2&lt;&gt;0,TblTech[[#This Row],[Hour]:[Hour]]&gt;=AA$2),1,0)</f>
        <v>0</v>
      </c>
      <c r="AB40" s="304" cm="1">
        <f t="array" ref="AB40">IF(AND(AB$2&lt;&gt;0,TblTech[[#This Row],[Hour]:[Hour]]&gt;=AB$2),1,0)</f>
        <v>0</v>
      </c>
      <c r="AC40" s="304" cm="1">
        <f t="array" ref="AC40">IF(AND(AC$2&lt;&gt;0,TblTech[[#This Row],[Hour]:[Hour]]&gt;=AC$2),1,0)</f>
        <v>0</v>
      </c>
      <c r="AD40" s="304" cm="1">
        <f t="array" ref="AD40">IF(AND(AD$2&lt;&gt;0,TblTech[[#This Row],[Hour]:[Hour]]&gt;=AD$2),1,0)</f>
        <v>0</v>
      </c>
      <c r="AE40" s="304" cm="1">
        <f t="array" ref="AE40">IF(AND(AE$2&lt;&gt;0,TblTech[[#This Row],[Hour]:[Hour]]&gt;=AE$2),1,0)</f>
        <v>0</v>
      </c>
      <c r="AF40" s="304" cm="1">
        <f t="array" ref="AF40">IF(AND(AF$2&lt;&gt;0,TblTech[[#This Row],[Hour]:[Hour]]&gt;=AF$2),1,0)</f>
        <v>0</v>
      </c>
      <c r="AG40" s="304" cm="1">
        <f t="array" ref="AG40">IF(AND(AG$2&lt;&gt;0,TblTech[[#This Row],[Hour]:[Hour]]&gt;=AG$2),1,0)</f>
        <v>0</v>
      </c>
      <c r="AH40" s="304" cm="1">
        <f t="array" ref="AH40">IF(AND(AH$2&lt;&gt;0,TblTech[[#This Row],[Hour]:[Hour]]&gt;=AH$2),1,0)</f>
        <v>0</v>
      </c>
      <c r="AI40" s="304" cm="1">
        <f t="array" ref="AI40">IF(AND(AI$2&lt;&gt;0,TblTech[[#This Row],[Hour]:[Hour]]&gt;=AI$2),1,0)</f>
        <v>0</v>
      </c>
      <c r="AJ40" s="304" cm="1">
        <f t="array" ref="AJ40">IF(AND(AJ$2&lt;&gt;0,TblTech[[#This Row],[Hour]:[Hour]]&gt;=AJ$2),1,0)</f>
        <v>0</v>
      </c>
      <c r="AK40" s="304" cm="1">
        <f t="array" ref="AK40">IF(AND(AK$2&lt;&gt;0,TblTech[[#This Row],[Hour]:[Hour]]&gt;=AK$2),1,0)</f>
        <v>0</v>
      </c>
      <c r="AL40" s="304" cm="1">
        <f t="array" ref="AL40">IF(AND(AL$2&lt;&gt;0,TblTech[[#This Row],[Hour]:[Hour]]&gt;=AL$2),1,0)</f>
        <v>0</v>
      </c>
      <c r="AM40" s="304" cm="1">
        <f t="array" ref="AM40">IF(AND(AM$2&lt;&gt;0,TblTech[[#This Row],[Hour]:[Hour]]&gt;=AM$2),1,0)</f>
        <v>0</v>
      </c>
      <c r="AN40" s="304" cm="1">
        <f t="array" ref="AN40">IF(AND(AN$2&lt;&gt;0,TblTech[[#This Row],[Hour]:[Hour]]&gt;=AN$2),1,0)</f>
        <v>0</v>
      </c>
      <c r="AO40" s="304" cm="1">
        <f t="array" ref="AO40">IF(AND(AO$2&lt;&gt;0,TblTech[[#This Row],[Hour]:[Hour]]&gt;=AO$2),1,0)</f>
        <v>0</v>
      </c>
      <c r="AP40" s="304" cm="1">
        <f t="array" ref="AP40">IF(AND(AP$2&lt;&gt;0,TblTech[[#This Row],[Hour]:[Hour]]&gt;=AP$2),1,0)</f>
        <v>0</v>
      </c>
      <c r="AQ40" s="304" cm="1">
        <f t="array" ref="AQ40">IF(AND(AQ$2&lt;&gt;0,TblTech[[#This Row],[Hour]:[Hour]]&gt;=AQ$2),1,0)</f>
        <v>0</v>
      </c>
      <c r="AR40" s="304" cm="1">
        <f t="array" ref="AR40">IF(AND(AR$2&lt;&gt;0,TblTech[[#This Row],[Hour]:[Hour]]&gt;=AR$2),1,0)</f>
        <v>0</v>
      </c>
      <c r="AS40" s="304" cm="1">
        <f t="array" ref="AS40">IF(AND(AS$2&lt;&gt;0,TblTech[[#This Row],[Hour]:[Hour]]&gt;=AS$2),1,0)</f>
        <v>0</v>
      </c>
      <c r="AT40" s="304" cm="1">
        <f t="array" ref="AT40">IF(AND(AT$2&lt;&gt;0,TblTech[[#This Row],[Hour]:[Hour]]&gt;=AT$2),1,0)</f>
        <v>0</v>
      </c>
      <c r="AU40" s="304" cm="1">
        <f t="array" ref="AU40">IF(AND(AU$2&lt;&gt;0,TblTech[[#This Row],[Hour]:[Hour]]&gt;=AU$2),1,0)</f>
        <v>0</v>
      </c>
      <c r="AV40" s="304" cm="1">
        <f t="array" ref="AV40">IF(AND(AV$2&lt;&gt;0,TblTech[[#This Row],[Hour]:[Hour]]&gt;=AV$2),1,0)</f>
        <v>0</v>
      </c>
      <c r="AW40" s="304" cm="1">
        <f t="array" ref="AW40">IF(AND(AW$2&lt;&gt;0,TblTech[[#This Row],[Hour]:[Hour]]&gt;=AW$2),1,0)</f>
        <v>0</v>
      </c>
      <c r="AX40" s="304" cm="1">
        <f t="array" ref="AX40">IF(AND(AX$2&lt;&gt;0,TblTech[[#This Row],[Hour]:[Hour]]&gt;=AX$2),1,0)</f>
        <v>0</v>
      </c>
      <c r="AY40" s="304" cm="1">
        <f t="array" ref="AY40">IF(AND(AY$2&lt;&gt;0,TblTech[[#This Row],[Hour]:[Hour]]&gt;=AY$2),1,0)</f>
        <v>0</v>
      </c>
      <c r="AZ40" s="304" cm="1">
        <f t="array" ref="AZ40">IF(AND(AZ$2&lt;&gt;0,TblTech[[#This Row],[Hour]:[Hour]]&gt;=AZ$2),1,0)</f>
        <v>0</v>
      </c>
      <c r="BA40" s="304" cm="1">
        <f t="array" ref="BA40">IF(AND(BA$2&lt;&gt;0,TblTech[[#This Row],[Hour]:[Hour]]&gt;=BA$2),1,0)</f>
        <v>0</v>
      </c>
      <c r="BB40" s="304" cm="1">
        <f t="array" ref="BB40">IF(AND(BB$2&lt;&gt;0,TblTech[[#This Row],[Hour]:[Hour]]&gt;=BB$2),1,0)</f>
        <v>0</v>
      </c>
      <c r="BC40" s="304" cm="1">
        <f t="array" ref="BC40">IF(AND(BC$2&lt;&gt;0,TblTech[[#This Row],[Hour]:[Hour]]&gt;=BC$2),1,0)</f>
        <v>0</v>
      </c>
      <c r="BD40" s="304" cm="1">
        <f t="array" ref="BD40">IF(AND(BD$2&lt;&gt;0,TblTech[[#This Row],[Hour]:[Hour]]&gt;=BD$2),1,0)</f>
        <v>0</v>
      </c>
      <c r="BE40" s="304" cm="1">
        <f t="array" ref="BE40">IF(AND(BE$2&lt;&gt;0,TblTech[[#This Row],[Hour]:[Hour]]&gt;=BE$2),1,0)</f>
        <v>0</v>
      </c>
      <c r="BF40" s="304" cm="1">
        <f t="array" ref="BF40">IF(AND(BF$2&lt;&gt;0,TblTech[[#This Row],[Hour]:[Hour]]&gt;=BF$2),1,0)</f>
        <v>0</v>
      </c>
      <c r="BG40" s="304" cm="1">
        <f t="array" ref="BG40">IF(AND(BG$2&lt;&gt;0,TblTech[[#This Row],[Hour]:[Hour]]&gt;=BG$2),1,0)</f>
        <v>0</v>
      </c>
      <c r="BH40" s="304" cm="1">
        <f t="array" ref="BH40">IF(AND(BH$2&lt;&gt;0,TblTech[[#This Row],[Hour]:[Hour]]&gt;=BH$2),1,0)</f>
        <v>0</v>
      </c>
      <c r="BI40" s="304" cm="1">
        <f t="array" ref="BI40">IF(AND(BI$2&lt;&gt;0,TblTech[[#This Row],[Hour]:[Hour]]&gt;=BI$2),1,0)</f>
        <v>0</v>
      </c>
      <c r="BJ40" s="304" cm="1">
        <f t="array" ref="BJ40">IF(AND(BJ$2&lt;&gt;0,TblTech[[#This Row],[Hour]:[Hour]]&gt;=BJ$2),1,0)</f>
        <v>0</v>
      </c>
      <c r="BK40" s="304" cm="1">
        <f t="array" ref="BK40">IF(AND(BK$2&lt;&gt;0,TblTech[[#This Row],[Hour]:[Hour]]&gt;=BK$2),1,0)</f>
        <v>0</v>
      </c>
      <c r="BL40" s="304" cm="1">
        <f t="array" ref="BL40">IF(AND(BL$2&lt;&gt;0,TblTech[[#This Row],[Hour]:[Hour]]&gt;=BL$2),1,0)</f>
        <v>0</v>
      </c>
      <c r="BM40" s="304" cm="1">
        <f t="array" ref="BM40">IF(AND(BM$2&lt;&gt;0,TblTech[[#This Row],[Hour]:[Hour]]&gt;=BM$2),1,0)</f>
        <v>0</v>
      </c>
      <c r="BN40" s="304" cm="1">
        <f t="array" ref="BN40">IF(AND(BN$2&lt;&gt;0,TblTech[[#This Row],[Hour]:[Hour]]&gt;=BN$2),1,0)</f>
        <v>0</v>
      </c>
      <c r="BO40" s="304" cm="1">
        <f t="array" ref="BO40">IF(AND(BO$2&lt;&gt;0,TblTech[[#This Row],[Hour]:[Hour]]&gt;=BO$2),1,0)</f>
        <v>0</v>
      </c>
      <c r="BP40" s="304" cm="1">
        <f t="array" ref="BP40">IF(AND(BP$2&lt;&gt;0,TblTech[[#This Row],[Hour]:[Hour]]&gt;=BP$2),1,0)</f>
        <v>0</v>
      </c>
      <c r="BQ40" s="304" cm="1">
        <f t="array" ref="BQ40">IF(AND(BQ$2&lt;&gt;0,TblTech[[#This Row],[Hour]:[Hour]]&gt;=BQ$2),1,0)</f>
        <v>0</v>
      </c>
      <c r="BR40" s="304" cm="1">
        <f t="array" ref="BR40">IF(AND(BR$2&lt;&gt;0,TblTech[[#This Row],[Hour]:[Hour]]&gt;=BR$2),1,0)</f>
        <v>0</v>
      </c>
      <c r="BS40" s="304" cm="1">
        <f t="array" ref="BS40">IF(AND(BS$2&lt;&gt;0,TblTech[[#This Row],[Hour]:[Hour]]&gt;=BS$2),1,0)</f>
        <v>0</v>
      </c>
      <c r="BT40" s="304" cm="1">
        <f t="array" ref="BT40">IF(AND(BT$2&lt;&gt;0,TblTech[[#This Row],[Hour]:[Hour]]&gt;=BT$2),1,0)</f>
        <v>0</v>
      </c>
      <c r="BU40" s="304" cm="1">
        <f t="array" ref="BU40">IF(AND(BU$2&lt;&gt;0,TblTech[[#This Row],[Hour]:[Hour]]&gt;=BU$2),1,0)</f>
        <v>0</v>
      </c>
      <c r="BV40" s="304" cm="1">
        <f t="array" ref="BV40">IF(AND(BV$2&lt;&gt;0,TblTech[[#This Row],[Hour]:[Hour]]&gt;=BV$2),1,0)</f>
        <v>0</v>
      </c>
      <c r="BW40" s="304" cm="1">
        <f t="array" ref="BW40">IF(AND(BW$2&lt;&gt;0,TblTech[[#This Row],[Hour]:[Hour]]&gt;=BW$2),1,0)</f>
        <v>0</v>
      </c>
      <c r="BX40" s="304" cm="1">
        <f t="array" ref="BX40">IF(AND(BX$2&lt;&gt;0,TblTech[[#This Row],[Hour]:[Hour]]&gt;=BX$2),1,0)</f>
        <v>0</v>
      </c>
      <c r="BY40" s="304" cm="1">
        <f t="array" ref="BY40">IF(AND(BY$2&lt;&gt;0,TblTech[[#This Row],[Hour]:[Hour]]&gt;=BY$2),1,0)</f>
        <v>0</v>
      </c>
      <c r="BZ40" s="304" cm="1">
        <f t="array" ref="BZ40">IF(AND(BZ$2&lt;&gt;0,TblTech[[#This Row],[Hour]:[Hour]]&gt;=BZ$2),1,0)</f>
        <v>0</v>
      </c>
      <c r="CA40" s="408">
        <f>IFERROR(INDEX($H$4:$H$79,MATCH(INDEX(TblTech[[#Headers],[1-1]:[11-1]],1,MATCH(TblTech[[#This Row],[Hour]],$M$2:$BZ$2,0)),$G$4:$G$79,0)),)</f>
        <v>0</v>
      </c>
    </row>
    <row r="41" spans="1:79" x14ac:dyDescent="0.2">
      <c r="A41" s="296">
        <f>TblRezone[[#This Row],[Hour]]</f>
        <v>38</v>
      </c>
      <c r="B41" s="297">
        <f ca="1">TblExplore[[#This Row],[Land-DB]]</f>
        <v>250</v>
      </c>
      <c r="C41" s="298">
        <f ca="1">TblProd[[#This Row],[Techpoints]]</f>
        <v>0</v>
      </c>
      <c r="D41" s="298">
        <f ca="1">TblProd[[#This Row],[Required]]</f>
        <v>3750</v>
      </c>
      <c r="E41" s="299"/>
      <c r="F41" s="300"/>
      <c r="G41" s="301" t="s">
        <v>596</v>
      </c>
      <c r="H41" s="302" t="s">
        <v>1087</v>
      </c>
      <c r="I41" s="301" t="s">
        <v>1082</v>
      </c>
      <c r="J41" s="297"/>
      <c r="K41" s="96">
        <f ca="1">IF(TblTech[[#This Row],[Sum of tech]]&lt;&gt;OFFSET(TblTech[[#This Row],[Sum of tech]],-1,0),1,0)</f>
        <v>0</v>
      </c>
      <c r="L41" s="303">
        <f>COUNTIF(TblTech[[#This Row],[1-1]:[11-1]],1)</f>
        <v>0</v>
      </c>
      <c r="M41" s="304" cm="1">
        <f t="array" ref="M41">IF(AND(M$2&lt;&gt;0,TblTech[[#This Row],[Hour]:[Hour]]&gt;=M$2),1,0)</f>
        <v>0</v>
      </c>
      <c r="N41" s="304" cm="1">
        <f t="array" ref="N41">IF(AND(N$2&lt;&gt;0,TblTech[[#This Row],[Hour]:[Hour]]&gt;=N$2),1,0)</f>
        <v>0</v>
      </c>
      <c r="O41" s="304" cm="1">
        <f t="array" ref="O41">IF(AND(O$2&lt;&gt;0,TblTech[[#This Row],[Hour]:[Hour]]&gt;=O$2),1,0)</f>
        <v>0</v>
      </c>
      <c r="P41" s="304" cm="1">
        <f t="array" ref="P41">IF(AND(P$2&lt;&gt;0,TblTech[[#This Row],[Hour]:[Hour]]&gt;=P$2),1,0)</f>
        <v>0</v>
      </c>
      <c r="Q41" s="304" cm="1">
        <f t="array" ref="Q41">IF(AND(Q$2&lt;&gt;0,TblTech[[#This Row],[Hour]:[Hour]]&gt;=Q$2),1,0)</f>
        <v>0</v>
      </c>
      <c r="R41" s="304" cm="1">
        <f t="array" ref="R41">IF(AND(R$2&lt;&gt;0,TblTech[[#This Row],[Hour]:[Hour]]&gt;=R$2),1,0)</f>
        <v>0</v>
      </c>
      <c r="S41" s="304" cm="1">
        <f t="array" ref="S41">IF(AND(S$2&lt;&gt;0,TblTech[[#This Row],[Hour]:[Hour]]&gt;=S$2),1,0)</f>
        <v>0</v>
      </c>
      <c r="T41" s="304" cm="1">
        <f t="array" ref="T41">IF(AND(T$2&lt;&gt;0,TblTech[[#This Row],[Hour]:[Hour]]&gt;=T$2),1,0)</f>
        <v>0</v>
      </c>
      <c r="U41" s="304" cm="1">
        <f t="array" ref="U41">IF(AND(U$2&lt;&gt;0,TblTech[[#This Row],[Hour]:[Hour]]&gt;=U$2),1,0)</f>
        <v>0</v>
      </c>
      <c r="V41" s="304" cm="1">
        <f t="array" ref="V41">IF(AND(V$2&lt;&gt;0,TblTech[[#This Row],[Hour]:[Hour]]&gt;=V$2),1,0)</f>
        <v>0</v>
      </c>
      <c r="W41" s="304" cm="1">
        <f t="array" ref="W41">IF(AND(W$2&lt;&gt;0,TblTech[[#This Row],[Hour]:[Hour]]&gt;=W$2),1,0)</f>
        <v>0</v>
      </c>
      <c r="X41" s="304" cm="1">
        <f t="array" ref="X41">IF(AND(X$2&lt;&gt;0,TblTech[[#This Row],[Hour]:[Hour]]&gt;=X$2),1,0)</f>
        <v>0</v>
      </c>
      <c r="Y41" s="304" cm="1">
        <f t="array" ref="Y41">IF(AND(Y$2&lt;&gt;0,TblTech[[#This Row],[Hour]:[Hour]]&gt;=Y$2),1,0)</f>
        <v>0</v>
      </c>
      <c r="Z41" s="304" cm="1">
        <f t="array" ref="Z41">IF(AND(Z$2&lt;&gt;0,TblTech[[#This Row],[Hour]:[Hour]]&gt;=Z$2),1,0)</f>
        <v>0</v>
      </c>
      <c r="AA41" s="304" cm="1">
        <f t="array" ref="AA41">IF(AND(AA$2&lt;&gt;0,TblTech[[#This Row],[Hour]:[Hour]]&gt;=AA$2),1,0)</f>
        <v>0</v>
      </c>
      <c r="AB41" s="304" cm="1">
        <f t="array" ref="AB41">IF(AND(AB$2&lt;&gt;0,TblTech[[#This Row],[Hour]:[Hour]]&gt;=AB$2),1,0)</f>
        <v>0</v>
      </c>
      <c r="AC41" s="304" cm="1">
        <f t="array" ref="AC41">IF(AND(AC$2&lt;&gt;0,TblTech[[#This Row],[Hour]:[Hour]]&gt;=AC$2),1,0)</f>
        <v>0</v>
      </c>
      <c r="AD41" s="304" cm="1">
        <f t="array" ref="AD41">IF(AND(AD$2&lt;&gt;0,TblTech[[#This Row],[Hour]:[Hour]]&gt;=AD$2),1,0)</f>
        <v>0</v>
      </c>
      <c r="AE41" s="304" cm="1">
        <f t="array" ref="AE41">IF(AND(AE$2&lt;&gt;0,TblTech[[#This Row],[Hour]:[Hour]]&gt;=AE$2),1,0)</f>
        <v>0</v>
      </c>
      <c r="AF41" s="304" cm="1">
        <f t="array" ref="AF41">IF(AND(AF$2&lt;&gt;0,TblTech[[#This Row],[Hour]:[Hour]]&gt;=AF$2),1,0)</f>
        <v>0</v>
      </c>
      <c r="AG41" s="304" cm="1">
        <f t="array" ref="AG41">IF(AND(AG$2&lt;&gt;0,TblTech[[#This Row],[Hour]:[Hour]]&gt;=AG$2),1,0)</f>
        <v>0</v>
      </c>
      <c r="AH41" s="304" cm="1">
        <f t="array" ref="AH41">IF(AND(AH$2&lt;&gt;0,TblTech[[#This Row],[Hour]:[Hour]]&gt;=AH$2),1,0)</f>
        <v>0</v>
      </c>
      <c r="AI41" s="304" cm="1">
        <f t="array" ref="AI41">IF(AND(AI$2&lt;&gt;0,TblTech[[#This Row],[Hour]:[Hour]]&gt;=AI$2),1,0)</f>
        <v>0</v>
      </c>
      <c r="AJ41" s="304" cm="1">
        <f t="array" ref="AJ41">IF(AND(AJ$2&lt;&gt;0,TblTech[[#This Row],[Hour]:[Hour]]&gt;=AJ$2),1,0)</f>
        <v>0</v>
      </c>
      <c r="AK41" s="304" cm="1">
        <f t="array" ref="AK41">IF(AND(AK$2&lt;&gt;0,TblTech[[#This Row],[Hour]:[Hour]]&gt;=AK$2),1,0)</f>
        <v>0</v>
      </c>
      <c r="AL41" s="304" cm="1">
        <f t="array" ref="AL41">IF(AND(AL$2&lt;&gt;0,TblTech[[#This Row],[Hour]:[Hour]]&gt;=AL$2),1,0)</f>
        <v>0</v>
      </c>
      <c r="AM41" s="304" cm="1">
        <f t="array" ref="AM41">IF(AND(AM$2&lt;&gt;0,TblTech[[#This Row],[Hour]:[Hour]]&gt;=AM$2),1,0)</f>
        <v>0</v>
      </c>
      <c r="AN41" s="304" cm="1">
        <f t="array" ref="AN41">IF(AND(AN$2&lt;&gt;0,TblTech[[#This Row],[Hour]:[Hour]]&gt;=AN$2),1,0)</f>
        <v>0</v>
      </c>
      <c r="AO41" s="304" cm="1">
        <f t="array" ref="AO41">IF(AND(AO$2&lt;&gt;0,TblTech[[#This Row],[Hour]:[Hour]]&gt;=AO$2),1,0)</f>
        <v>0</v>
      </c>
      <c r="AP41" s="304" cm="1">
        <f t="array" ref="AP41">IF(AND(AP$2&lt;&gt;0,TblTech[[#This Row],[Hour]:[Hour]]&gt;=AP$2),1,0)</f>
        <v>0</v>
      </c>
      <c r="AQ41" s="304" cm="1">
        <f t="array" ref="AQ41">IF(AND(AQ$2&lt;&gt;0,TblTech[[#This Row],[Hour]:[Hour]]&gt;=AQ$2),1,0)</f>
        <v>0</v>
      </c>
      <c r="AR41" s="304" cm="1">
        <f t="array" ref="AR41">IF(AND(AR$2&lt;&gt;0,TblTech[[#This Row],[Hour]:[Hour]]&gt;=AR$2),1,0)</f>
        <v>0</v>
      </c>
      <c r="AS41" s="304" cm="1">
        <f t="array" ref="AS41">IF(AND(AS$2&lt;&gt;0,TblTech[[#This Row],[Hour]:[Hour]]&gt;=AS$2),1,0)</f>
        <v>0</v>
      </c>
      <c r="AT41" s="304" cm="1">
        <f t="array" ref="AT41">IF(AND(AT$2&lt;&gt;0,TblTech[[#This Row],[Hour]:[Hour]]&gt;=AT$2),1,0)</f>
        <v>0</v>
      </c>
      <c r="AU41" s="304" cm="1">
        <f t="array" ref="AU41">IF(AND(AU$2&lt;&gt;0,TblTech[[#This Row],[Hour]:[Hour]]&gt;=AU$2),1,0)</f>
        <v>0</v>
      </c>
      <c r="AV41" s="304" cm="1">
        <f t="array" ref="AV41">IF(AND(AV$2&lt;&gt;0,TblTech[[#This Row],[Hour]:[Hour]]&gt;=AV$2),1,0)</f>
        <v>0</v>
      </c>
      <c r="AW41" s="304" cm="1">
        <f t="array" ref="AW41">IF(AND(AW$2&lt;&gt;0,TblTech[[#This Row],[Hour]:[Hour]]&gt;=AW$2),1,0)</f>
        <v>0</v>
      </c>
      <c r="AX41" s="304" cm="1">
        <f t="array" ref="AX41">IF(AND(AX$2&lt;&gt;0,TblTech[[#This Row],[Hour]:[Hour]]&gt;=AX$2),1,0)</f>
        <v>0</v>
      </c>
      <c r="AY41" s="304" cm="1">
        <f t="array" ref="AY41">IF(AND(AY$2&lt;&gt;0,TblTech[[#This Row],[Hour]:[Hour]]&gt;=AY$2),1,0)</f>
        <v>0</v>
      </c>
      <c r="AZ41" s="304" cm="1">
        <f t="array" ref="AZ41">IF(AND(AZ$2&lt;&gt;0,TblTech[[#This Row],[Hour]:[Hour]]&gt;=AZ$2),1,0)</f>
        <v>0</v>
      </c>
      <c r="BA41" s="304" cm="1">
        <f t="array" ref="BA41">IF(AND(BA$2&lt;&gt;0,TblTech[[#This Row],[Hour]:[Hour]]&gt;=BA$2),1,0)</f>
        <v>0</v>
      </c>
      <c r="BB41" s="304" cm="1">
        <f t="array" ref="BB41">IF(AND(BB$2&lt;&gt;0,TblTech[[#This Row],[Hour]:[Hour]]&gt;=BB$2),1,0)</f>
        <v>0</v>
      </c>
      <c r="BC41" s="304" cm="1">
        <f t="array" ref="BC41">IF(AND(BC$2&lt;&gt;0,TblTech[[#This Row],[Hour]:[Hour]]&gt;=BC$2),1,0)</f>
        <v>0</v>
      </c>
      <c r="BD41" s="304" cm="1">
        <f t="array" ref="BD41">IF(AND(BD$2&lt;&gt;0,TblTech[[#This Row],[Hour]:[Hour]]&gt;=BD$2),1,0)</f>
        <v>0</v>
      </c>
      <c r="BE41" s="304" cm="1">
        <f t="array" ref="BE41">IF(AND(BE$2&lt;&gt;0,TblTech[[#This Row],[Hour]:[Hour]]&gt;=BE$2),1,0)</f>
        <v>0</v>
      </c>
      <c r="BF41" s="304" cm="1">
        <f t="array" ref="BF41">IF(AND(BF$2&lt;&gt;0,TblTech[[#This Row],[Hour]:[Hour]]&gt;=BF$2),1,0)</f>
        <v>0</v>
      </c>
      <c r="BG41" s="304" cm="1">
        <f t="array" ref="BG41">IF(AND(BG$2&lt;&gt;0,TblTech[[#This Row],[Hour]:[Hour]]&gt;=BG$2),1,0)</f>
        <v>0</v>
      </c>
      <c r="BH41" s="304" cm="1">
        <f t="array" ref="BH41">IF(AND(BH$2&lt;&gt;0,TblTech[[#This Row],[Hour]:[Hour]]&gt;=BH$2),1,0)</f>
        <v>0</v>
      </c>
      <c r="BI41" s="304" cm="1">
        <f t="array" ref="BI41">IF(AND(BI$2&lt;&gt;0,TblTech[[#This Row],[Hour]:[Hour]]&gt;=BI$2),1,0)</f>
        <v>0</v>
      </c>
      <c r="BJ41" s="304" cm="1">
        <f t="array" ref="BJ41">IF(AND(BJ$2&lt;&gt;0,TblTech[[#This Row],[Hour]:[Hour]]&gt;=BJ$2),1,0)</f>
        <v>0</v>
      </c>
      <c r="BK41" s="304" cm="1">
        <f t="array" ref="BK41">IF(AND(BK$2&lt;&gt;0,TblTech[[#This Row],[Hour]:[Hour]]&gt;=BK$2),1,0)</f>
        <v>0</v>
      </c>
      <c r="BL41" s="304" cm="1">
        <f t="array" ref="BL41">IF(AND(BL$2&lt;&gt;0,TblTech[[#This Row],[Hour]:[Hour]]&gt;=BL$2),1,0)</f>
        <v>0</v>
      </c>
      <c r="BM41" s="304" cm="1">
        <f t="array" ref="BM41">IF(AND(BM$2&lt;&gt;0,TblTech[[#This Row],[Hour]:[Hour]]&gt;=BM$2),1,0)</f>
        <v>0</v>
      </c>
      <c r="BN41" s="304" cm="1">
        <f t="array" ref="BN41">IF(AND(BN$2&lt;&gt;0,TblTech[[#This Row],[Hour]:[Hour]]&gt;=BN$2),1,0)</f>
        <v>0</v>
      </c>
      <c r="BO41" s="304" cm="1">
        <f t="array" ref="BO41">IF(AND(BO$2&lt;&gt;0,TblTech[[#This Row],[Hour]:[Hour]]&gt;=BO$2),1,0)</f>
        <v>0</v>
      </c>
      <c r="BP41" s="304" cm="1">
        <f t="array" ref="BP41">IF(AND(BP$2&lt;&gt;0,TblTech[[#This Row],[Hour]:[Hour]]&gt;=BP$2),1,0)</f>
        <v>0</v>
      </c>
      <c r="BQ41" s="304" cm="1">
        <f t="array" ref="BQ41">IF(AND(BQ$2&lt;&gt;0,TblTech[[#This Row],[Hour]:[Hour]]&gt;=BQ$2),1,0)</f>
        <v>0</v>
      </c>
      <c r="BR41" s="304" cm="1">
        <f t="array" ref="BR41">IF(AND(BR$2&lt;&gt;0,TblTech[[#This Row],[Hour]:[Hour]]&gt;=BR$2),1,0)</f>
        <v>0</v>
      </c>
      <c r="BS41" s="304" cm="1">
        <f t="array" ref="BS41">IF(AND(BS$2&lt;&gt;0,TblTech[[#This Row],[Hour]:[Hour]]&gt;=BS$2),1,0)</f>
        <v>0</v>
      </c>
      <c r="BT41" s="304" cm="1">
        <f t="array" ref="BT41">IF(AND(BT$2&lt;&gt;0,TblTech[[#This Row],[Hour]:[Hour]]&gt;=BT$2),1,0)</f>
        <v>0</v>
      </c>
      <c r="BU41" s="304" cm="1">
        <f t="array" ref="BU41">IF(AND(BU$2&lt;&gt;0,TblTech[[#This Row],[Hour]:[Hour]]&gt;=BU$2),1,0)</f>
        <v>0</v>
      </c>
      <c r="BV41" s="304" cm="1">
        <f t="array" ref="BV41">IF(AND(BV$2&lt;&gt;0,TblTech[[#This Row],[Hour]:[Hour]]&gt;=BV$2),1,0)</f>
        <v>0</v>
      </c>
      <c r="BW41" s="304" cm="1">
        <f t="array" ref="BW41">IF(AND(BW$2&lt;&gt;0,TblTech[[#This Row],[Hour]:[Hour]]&gt;=BW$2),1,0)</f>
        <v>0</v>
      </c>
      <c r="BX41" s="304" cm="1">
        <f t="array" ref="BX41">IF(AND(BX$2&lt;&gt;0,TblTech[[#This Row],[Hour]:[Hour]]&gt;=BX$2),1,0)</f>
        <v>0</v>
      </c>
      <c r="BY41" s="304" cm="1">
        <f t="array" ref="BY41">IF(AND(BY$2&lt;&gt;0,TblTech[[#This Row],[Hour]:[Hour]]&gt;=BY$2),1,0)</f>
        <v>0</v>
      </c>
      <c r="BZ41" s="304" cm="1">
        <f t="array" ref="BZ41">IF(AND(BZ$2&lt;&gt;0,TblTech[[#This Row],[Hour]:[Hour]]&gt;=BZ$2),1,0)</f>
        <v>0</v>
      </c>
      <c r="CA41" s="408">
        <f>IFERROR(INDEX($H$4:$H$79,MATCH(INDEX(TblTech[[#Headers],[1-1]:[11-1]],1,MATCH(TblTech[[#This Row],[Hour]],$M$2:$BZ$2,0)),$G$4:$G$79,0)),)</f>
        <v>0</v>
      </c>
    </row>
    <row r="42" spans="1:79" x14ac:dyDescent="0.2">
      <c r="A42" s="296">
        <f>TblRezone[[#This Row],[Hour]]</f>
        <v>39</v>
      </c>
      <c r="B42" s="297">
        <f ca="1">TblExplore[[#This Row],[Land-DB]]</f>
        <v>250</v>
      </c>
      <c r="C42" s="298">
        <f ca="1">TblProd[[#This Row],[Techpoints]]</f>
        <v>0</v>
      </c>
      <c r="D42" s="298">
        <f ca="1">TblProd[[#This Row],[Required]]</f>
        <v>3750</v>
      </c>
      <c r="E42" s="299"/>
      <c r="F42" s="300"/>
      <c r="G42" s="301" t="s">
        <v>597</v>
      </c>
      <c r="H42" s="302" t="s">
        <v>727</v>
      </c>
      <c r="I42" s="301" t="s">
        <v>600</v>
      </c>
      <c r="J42" s="297"/>
      <c r="K42" s="96">
        <f ca="1">IF(TblTech[[#This Row],[Sum of tech]]&lt;&gt;OFFSET(TblTech[[#This Row],[Sum of tech]],-1,0),1,0)</f>
        <v>0</v>
      </c>
      <c r="L42" s="303">
        <f>COUNTIF(TblTech[[#This Row],[1-1]:[11-1]],1)</f>
        <v>0</v>
      </c>
      <c r="M42" s="304" cm="1">
        <f t="array" ref="M42">IF(AND(M$2&lt;&gt;0,TblTech[[#This Row],[Hour]:[Hour]]&gt;=M$2),1,0)</f>
        <v>0</v>
      </c>
      <c r="N42" s="304" cm="1">
        <f t="array" ref="N42">IF(AND(N$2&lt;&gt;0,TblTech[[#This Row],[Hour]:[Hour]]&gt;=N$2),1,0)</f>
        <v>0</v>
      </c>
      <c r="O42" s="304" cm="1">
        <f t="array" ref="O42">IF(AND(O$2&lt;&gt;0,TblTech[[#This Row],[Hour]:[Hour]]&gt;=O$2),1,0)</f>
        <v>0</v>
      </c>
      <c r="P42" s="304" cm="1">
        <f t="array" ref="P42">IF(AND(P$2&lt;&gt;0,TblTech[[#This Row],[Hour]:[Hour]]&gt;=P$2),1,0)</f>
        <v>0</v>
      </c>
      <c r="Q42" s="304" cm="1">
        <f t="array" ref="Q42">IF(AND(Q$2&lt;&gt;0,TblTech[[#This Row],[Hour]:[Hour]]&gt;=Q$2),1,0)</f>
        <v>0</v>
      </c>
      <c r="R42" s="304" cm="1">
        <f t="array" ref="R42">IF(AND(R$2&lt;&gt;0,TblTech[[#This Row],[Hour]:[Hour]]&gt;=R$2),1,0)</f>
        <v>0</v>
      </c>
      <c r="S42" s="304" cm="1">
        <f t="array" ref="S42">IF(AND(S$2&lt;&gt;0,TblTech[[#This Row],[Hour]:[Hour]]&gt;=S$2),1,0)</f>
        <v>0</v>
      </c>
      <c r="T42" s="304" cm="1">
        <f t="array" ref="T42">IF(AND(T$2&lt;&gt;0,TblTech[[#This Row],[Hour]:[Hour]]&gt;=T$2),1,0)</f>
        <v>0</v>
      </c>
      <c r="U42" s="304" cm="1">
        <f t="array" ref="U42">IF(AND(U$2&lt;&gt;0,TblTech[[#This Row],[Hour]:[Hour]]&gt;=U$2),1,0)</f>
        <v>0</v>
      </c>
      <c r="V42" s="304" cm="1">
        <f t="array" ref="V42">IF(AND(V$2&lt;&gt;0,TblTech[[#This Row],[Hour]:[Hour]]&gt;=V$2),1,0)</f>
        <v>0</v>
      </c>
      <c r="W42" s="304" cm="1">
        <f t="array" ref="W42">IF(AND(W$2&lt;&gt;0,TblTech[[#This Row],[Hour]:[Hour]]&gt;=W$2),1,0)</f>
        <v>0</v>
      </c>
      <c r="X42" s="304" cm="1">
        <f t="array" ref="X42">IF(AND(X$2&lt;&gt;0,TblTech[[#This Row],[Hour]:[Hour]]&gt;=X$2),1,0)</f>
        <v>0</v>
      </c>
      <c r="Y42" s="304" cm="1">
        <f t="array" ref="Y42">IF(AND(Y$2&lt;&gt;0,TblTech[[#This Row],[Hour]:[Hour]]&gt;=Y$2),1,0)</f>
        <v>0</v>
      </c>
      <c r="Z42" s="304" cm="1">
        <f t="array" ref="Z42">IF(AND(Z$2&lt;&gt;0,TblTech[[#This Row],[Hour]:[Hour]]&gt;=Z$2),1,0)</f>
        <v>0</v>
      </c>
      <c r="AA42" s="304" cm="1">
        <f t="array" ref="AA42">IF(AND(AA$2&lt;&gt;0,TblTech[[#This Row],[Hour]:[Hour]]&gt;=AA$2),1,0)</f>
        <v>0</v>
      </c>
      <c r="AB42" s="304" cm="1">
        <f t="array" ref="AB42">IF(AND(AB$2&lt;&gt;0,TblTech[[#This Row],[Hour]:[Hour]]&gt;=AB$2),1,0)</f>
        <v>0</v>
      </c>
      <c r="AC42" s="304" cm="1">
        <f t="array" ref="AC42">IF(AND(AC$2&lt;&gt;0,TblTech[[#This Row],[Hour]:[Hour]]&gt;=AC$2),1,0)</f>
        <v>0</v>
      </c>
      <c r="AD42" s="304" cm="1">
        <f t="array" ref="AD42">IF(AND(AD$2&lt;&gt;0,TblTech[[#This Row],[Hour]:[Hour]]&gt;=AD$2),1,0)</f>
        <v>0</v>
      </c>
      <c r="AE42" s="304" cm="1">
        <f t="array" ref="AE42">IF(AND(AE$2&lt;&gt;0,TblTech[[#This Row],[Hour]:[Hour]]&gt;=AE$2),1,0)</f>
        <v>0</v>
      </c>
      <c r="AF42" s="304" cm="1">
        <f t="array" ref="AF42">IF(AND(AF$2&lt;&gt;0,TblTech[[#This Row],[Hour]:[Hour]]&gt;=AF$2),1,0)</f>
        <v>0</v>
      </c>
      <c r="AG42" s="304" cm="1">
        <f t="array" ref="AG42">IF(AND(AG$2&lt;&gt;0,TblTech[[#This Row],[Hour]:[Hour]]&gt;=AG$2),1,0)</f>
        <v>0</v>
      </c>
      <c r="AH42" s="304" cm="1">
        <f t="array" ref="AH42">IF(AND(AH$2&lt;&gt;0,TblTech[[#This Row],[Hour]:[Hour]]&gt;=AH$2),1,0)</f>
        <v>0</v>
      </c>
      <c r="AI42" s="304" cm="1">
        <f t="array" ref="AI42">IF(AND(AI$2&lt;&gt;0,TblTech[[#This Row],[Hour]:[Hour]]&gt;=AI$2),1,0)</f>
        <v>0</v>
      </c>
      <c r="AJ42" s="304" cm="1">
        <f t="array" ref="AJ42">IF(AND(AJ$2&lt;&gt;0,TblTech[[#This Row],[Hour]:[Hour]]&gt;=AJ$2),1,0)</f>
        <v>0</v>
      </c>
      <c r="AK42" s="304" cm="1">
        <f t="array" ref="AK42">IF(AND(AK$2&lt;&gt;0,TblTech[[#This Row],[Hour]:[Hour]]&gt;=AK$2),1,0)</f>
        <v>0</v>
      </c>
      <c r="AL42" s="304" cm="1">
        <f t="array" ref="AL42">IF(AND(AL$2&lt;&gt;0,TblTech[[#This Row],[Hour]:[Hour]]&gt;=AL$2),1,0)</f>
        <v>0</v>
      </c>
      <c r="AM42" s="304" cm="1">
        <f t="array" ref="AM42">IF(AND(AM$2&lt;&gt;0,TblTech[[#This Row],[Hour]:[Hour]]&gt;=AM$2),1,0)</f>
        <v>0</v>
      </c>
      <c r="AN42" s="304" cm="1">
        <f t="array" ref="AN42">IF(AND(AN$2&lt;&gt;0,TblTech[[#This Row],[Hour]:[Hour]]&gt;=AN$2),1,0)</f>
        <v>0</v>
      </c>
      <c r="AO42" s="304" cm="1">
        <f t="array" ref="AO42">IF(AND(AO$2&lt;&gt;0,TblTech[[#This Row],[Hour]:[Hour]]&gt;=AO$2),1,0)</f>
        <v>0</v>
      </c>
      <c r="AP42" s="304" cm="1">
        <f t="array" ref="AP42">IF(AND(AP$2&lt;&gt;0,TblTech[[#This Row],[Hour]:[Hour]]&gt;=AP$2),1,0)</f>
        <v>0</v>
      </c>
      <c r="AQ42" s="304" cm="1">
        <f t="array" ref="AQ42">IF(AND(AQ$2&lt;&gt;0,TblTech[[#This Row],[Hour]:[Hour]]&gt;=AQ$2),1,0)</f>
        <v>0</v>
      </c>
      <c r="AR42" s="304" cm="1">
        <f t="array" ref="AR42">IF(AND(AR$2&lt;&gt;0,TblTech[[#This Row],[Hour]:[Hour]]&gt;=AR$2),1,0)</f>
        <v>0</v>
      </c>
      <c r="AS42" s="304" cm="1">
        <f t="array" ref="AS42">IF(AND(AS$2&lt;&gt;0,TblTech[[#This Row],[Hour]:[Hour]]&gt;=AS$2),1,0)</f>
        <v>0</v>
      </c>
      <c r="AT42" s="304" cm="1">
        <f t="array" ref="AT42">IF(AND(AT$2&lt;&gt;0,TblTech[[#This Row],[Hour]:[Hour]]&gt;=AT$2),1,0)</f>
        <v>0</v>
      </c>
      <c r="AU42" s="304" cm="1">
        <f t="array" ref="AU42">IF(AND(AU$2&lt;&gt;0,TblTech[[#This Row],[Hour]:[Hour]]&gt;=AU$2),1,0)</f>
        <v>0</v>
      </c>
      <c r="AV42" s="304" cm="1">
        <f t="array" ref="AV42">IF(AND(AV$2&lt;&gt;0,TblTech[[#This Row],[Hour]:[Hour]]&gt;=AV$2),1,0)</f>
        <v>0</v>
      </c>
      <c r="AW42" s="304" cm="1">
        <f t="array" ref="AW42">IF(AND(AW$2&lt;&gt;0,TblTech[[#This Row],[Hour]:[Hour]]&gt;=AW$2),1,0)</f>
        <v>0</v>
      </c>
      <c r="AX42" s="304" cm="1">
        <f t="array" ref="AX42">IF(AND(AX$2&lt;&gt;0,TblTech[[#This Row],[Hour]:[Hour]]&gt;=AX$2),1,0)</f>
        <v>0</v>
      </c>
      <c r="AY42" s="304" cm="1">
        <f t="array" ref="AY42">IF(AND(AY$2&lt;&gt;0,TblTech[[#This Row],[Hour]:[Hour]]&gt;=AY$2),1,0)</f>
        <v>0</v>
      </c>
      <c r="AZ42" s="304" cm="1">
        <f t="array" ref="AZ42">IF(AND(AZ$2&lt;&gt;0,TblTech[[#This Row],[Hour]:[Hour]]&gt;=AZ$2),1,0)</f>
        <v>0</v>
      </c>
      <c r="BA42" s="304" cm="1">
        <f t="array" ref="BA42">IF(AND(BA$2&lt;&gt;0,TblTech[[#This Row],[Hour]:[Hour]]&gt;=BA$2),1,0)</f>
        <v>0</v>
      </c>
      <c r="BB42" s="304" cm="1">
        <f t="array" ref="BB42">IF(AND(BB$2&lt;&gt;0,TblTech[[#This Row],[Hour]:[Hour]]&gt;=BB$2),1,0)</f>
        <v>0</v>
      </c>
      <c r="BC42" s="304" cm="1">
        <f t="array" ref="BC42">IF(AND(BC$2&lt;&gt;0,TblTech[[#This Row],[Hour]:[Hour]]&gt;=BC$2),1,0)</f>
        <v>0</v>
      </c>
      <c r="BD42" s="304" cm="1">
        <f t="array" ref="BD42">IF(AND(BD$2&lt;&gt;0,TblTech[[#This Row],[Hour]:[Hour]]&gt;=BD$2),1,0)</f>
        <v>0</v>
      </c>
      <c r="BE42" s="304" cm="1">
        <f t="array" ref="BE42">IF(AND(BE$2&lt;&gt;0,TblTech[[#This Row],[Hour]:[Hour]]&gt;=BE$2),1,0)</f>
        <v>0</v>
      </c>
      <c r="BF42" s="304" cm="1">
        <f t="array" ref="BF42">IF(AND(BF$2&lt;&gt;0,TblTech[[#This Row],[Hour]:[Hour]]&gt;=BF$2),1,0)</f>
        <v>0</v>
      </c>
      <c r="BG42" s="304" cm="1">
        <f t="array" ref="BG42">IF(AND(BG$2&lt;&gt;0,TblTech[[#This Row],[Hour]:[Hour]]&gt;=BG$2),1,0)</f>
        <v>0</v>
      </c>
      <c r="BH42" s="304" cm="1">
        <f t="array" ref="BH42">IF(AND(BH$2&lt;&gt;0,TblTech[[#This Row],[Hour]:[Hour]]&gt;=BH$2),1,0)</f>
        <v>0</v>
      </c>
      <c r="BI42" s="304" cm="1">
        <f t="array" ref="BI42">IF(AND(BI$2&lt;&gt;0,TblTech[[#This Row],[Hour]:[Hour]]&gt;=BI$2),1,0)</f>
        <v>0</v>
      </c>
      <c r="BJ42" s="304" cm="1">
        <f t="array" ref="BJ42">IF(AND(BJ$2&lt;&gt;0,TblTech[[#This Row],[Hour]:[Hour]]&gt;=BJ$2),1,0)</f>
        <v>0</v>
      </c>
      <c r="BK42" s="304" cm="1">
        <f t="array" ref="BK42">IF(AND(BK$2&lt;&gt;0,TblTech[[#This Row],[Hour]:[Hour]]&gt;=BK$2),1,0)</f>
        <v>0</v>
      </c>
      <c r="BL42" s="304" cm="1">
        <f t="array" ref="BL42">IF(AND(BL$2&lt;&gt;0,TblTech[[#This Row],[Hour]:[Hour]]&gt;=BL$2),1,0)</f>
        <v>0</v>
      </c>
      <c r="BM42" s="304" cm="1">
        <f t="array" ref="BM42">IF(AND(BM$2&lt;&gt;0,TblTech[[#This Row],[Hour]:[Hour]]&gt;=BM$2),1,0)</f>
        <v>0</v>
      </c>
      <c r="BN42" s="304" cm="1">
        <f t="array" ref="BN42">IF(AND(BN$2&lt;&gt;0,TblTech[[#This Row],[Hour]:[Hour]]&gt;=BN$2),1,0)</f>
        <v>0</v>
      </c>
      <c r="BO42" s="304" cm="1">
        <f t="array" ref="BO42">IF(AND(BO$2&lt;&gt;0,TblTech[[#This Row],[Hour]:[Hour]]&gt;=BO$2),1,0)</f>
        <v>0</v>
      </c>
      <c r="BP42" s="304" cm="1">
        <f t="array" ref="BP42">IF(AND(BP$2&lt;&gt;0,TblTech[[#This Row],[Hour]:[Hour]]&gt;=BP$2),1,0)</f>
        <v>0</v>
      </c>
      <c r="BQ42" s="304" cm="1">
        <f t="array" ref="BQ42">IF(AND(BQ$2&lt;&gt;0,TblTech[[#This Row],[Hour]:[Hour]]&gt;=BQ$2),1,0)</f>
        <v>0</v>
      </c>
      <c r="BR42" s="304" cm="1">
        <f t="array" ref="BR42">IF(AND(BR$2&lt;&gt;0,TblTech[[#This Row],[Hour]:[Hour]]&gt;=BR$2),1,0)</f>
        <v>0</v>
      </c>
      <c r="BS42" s="304" cm="1">
        <f t="array" ref="BS42">IF(AND(BS$2&lt;&gt;0,TblTech[[#This Row],[Hour]:[Hour]]&gt;=BS$2),1,0)</f>
        <v>0</v>
      </c>
      <c r="BT42" s="304" cm="1">
        <f t="array" ref="BT42">IF(AND(BT$2&lt;&gt;0,TblTech[[#This Row],[Hour]:[Hour]]&gt;=BT$2),1,0)</f>
        <v>0</v>
      </c>
      <c r="BU42" s="304" cm="1">
        <f t="array" ref="BU42">IF(AND(BU$2&lt;&gt;0,TblTech[[#This Row],[Hour]:[Hour]]&gt;=BU$2),1,0)</f>
        <v>0</v>
      </c>
      <c r="BV42" s="304" cm="1">
        <f t="array" ref="BV42">IF(AND(BV$2&lt;&gt;0,TblTech[[#This Row],[Hour]:[Hour]]&gt;=BV$2),1,0)</f>
        <v>0</v>
      </c>
      <c r="BW42" s="304" cm="1">
        <f t="array" ref="BW42">IF(AND(BW$2&lt;&gt;0,TblTech[[#This Row],[Hour]:[Hour]]&gt;=BW$2),1,0)</f>
        <v>0</v>
      </c>
      <c r="BX42" s="304" cm="1">
        <f t="array" ref="BX42">IF(AND(BX$2&lt;&gt;0,TblTech[[#This Row],[Hour]:[Hour]]&gt;=BX$2),1,0)</f>
        <v>0</v>
      </c>
      <c r="BY42" s="304" cm="1">
        <f t="array" ref="BY42">IF(AND(BY$2&lt;&gt;0,TblTech[[#This Row],[Hour]:[Hour]]&gt;=BY$2),1,0)</f>
        <v>0</v>
      </c>
      <c r="BZ42" s="304" cm="1">
        <f t="array" ref="BZ42">IF(AND(BZ$2&lt;&gt;0,TblTech[[#This Row],[Hour]:[Hour]]&gt;=BZ$2),1,0)</f>
        <v>0</v>
      </c>
      <c r="CA42" s="408">
        <f>IFERROR(INDEX($H$4:$H$79,MATCH(INDEX(TblTech[[#Headers],[1-1]:[11-1]],1,MATCH(TblTech[[#This Row],[Hour]],$M$2:$BZ$2,0)),$G$4:$G$79,0)),)</f>
        <v>0</v>
      </c>
    </row>
    <row r="43" spans="1:79" x14ac:dyDescent="0.2">
      <c r="A43" s="296">
        <f>TblRezone[[#This Row],[Hour]]</f>
        <v>40</v>
      </c>
      <c r="B43" s="297">
        <f ca="1">TblExplore[[#This Row],[Land-DB]]</f>
        <v>250</v>
      </c>
      <c r="C43" s="298">
        <f ca="1">TblProd[[#This Row],[Techpoints]]</f>
        <v>0</v>
      </c>
      <c r="D43" s="298">
        <f ca="1">TblProd[[#This Row],[Required]]</f>
        <v>3750</v>
      </c>
      <c r="E43" s="299"/>
      <c r="F43" s="300"/>
      <c r="G43" s="301" t="s">
        <v>599</v>
      </c>
      <c r="H43" s="302" t="s">
        <v>1089</v>
      </c>
      <c r="I43" s="301" t="s">
        <v>760</v>
      </c>
      <c r="J43" s="297"/>
      <c r="K43" s="96">
        <f ca="1">IF(TblTech[[#This Row],[Sum of tech]]&lt;&gt;OFFSET(TblTech[[#This Row],[Sum of tech]],-1,0),1,0)</f>
        <v>0</v>
      </c>
      <c r="L43" s="303">
        <f>COUNTIF(TblTech[[#This Row],[1-1]:[11-1]],1)</f>
        <v>0</v>
      </c>
      <c r="M43" s="304" cm="1">
        <f t="array" ref="M43">IF(AND(M$2&lt;&gt;0,TblTech[[#This Row],[Hour]:[Hour]]&gt;=M$2),1,0)</f>
        <v>0</v>
      </c>
      <c r="N43" s="304" cm="1">
        <f t="array" ref="N43">IF(AND(N$2&lt;&gt;0,TblTech[[#This Row],[Hour]:[Hour]]&gt;=N$2),1,0)</f>
        <v>0</v>
      </c>
      <c r="O43" s="304" cm="1">
        <f t="array" ref="O43">IF(AND(O$2&lt;&gt;0,TblTech[[#This Row],[Hour]:[Hour]]&gt;=O$2),1,0)</f>
        <v>0</v>
      </c>
      <c r="P43" s="304" cm="1">
        <f t="array" ref="P43">IF(AND(P$2&lt;&gt;0,TblTech[[#This Row],[Hour]:[Hour]]&gt;=P$2),1,0)</f>
        <v>0</v>
      </c>
      <c r="Q43" s="304" cm="1">
        <f t="array" ref="Q43">IF(AND(Q$2&lt;&gt;0,TblTech[[#This Row],[Hour]:[Hour]]&gt;=Q$2),1,0)</f>
        <v>0</v>
      </c>
      <c r="R43" s="304" cm="1">
        <f t="array" ref="R43">IF(AND(R$2&lt;&gt;0,TblTech[[#This Row],[Hour]:[Hour]]&gt;=R$2),1,0)</f>
        <v>0</v>
      </c>
      <c r="S43" s="304" cm="1">
        <f t="array" ref="S43">IF(AND(S$2&lt;&gt;0,TblTech[[#This Row],[Hour]:[Hour]]&gt;=S$2),1,0)</f>
        <v>0</v>
      </c>
      <c r="T43" s="304" cm="1">
        <f t="array" ref="T43">IF(AND(T$2&lt;&gt;0,TblTech[[#This Row],[Hour]:[Hour]]&gt;=T$2),1,0)</f>
        <v>0</v>
      </c>
      <c r="U43" s="304" cm="1">
        <f t="array" ref="U43">IF(AND(U$2&lt;&gt;0,TblTech[[#This Row],[Hour]:[Hour]]&gt;=U$2),1,0)</f>
        <v>0</v>
      </c>
      <c r="V43" s="304" cm="1">
        <f t="array" ref="V43">IF(AND(V$2&lt;&gt;0,TblTech[[#This Row],[Hour]:[Hour]]&gt;=V$2),1,0)</f>
        <v>0</v>
      </c>
      <c r="W43" s="304" cm="1">
        <f t="array" ref="W43">IF(AND(W$2&lt;&gt;0,TblTech[[#This Row],[Hour]:[Hour]]&gt;=W$2),1,0)</f>
        <v>0</v>
      </c>
      <c r="X43" s="304" cm="1">
        <f t="array" ref="X43">IF(AND(X$2&lt;&gt;0,TblTech[[#This Row],[Hour]:[Hour]]&gt;=X$2),1,0)</f>
        <v>0</v>
      </c>
      <c r="Y43" s="304" cm="1">
        <f t="array" ref="Y43">IF(AND(Y$2&lt;&gt;0,TblTech[[#This Row],[Hour]:[Hour]]&gt;=Y$2),1,0)</f>
        <v>0</v>
      </c>
      <c r="Z43" s="304" cm="1">
        <f t="array" ref="Z43">IF(AND(Z$2&lt;&gt;0,TblTech[[#This Row],[Hour]:[Hour]]&gt;=Z$2),1,0)</f>
        <v>0</v>
      </c>
      <c r="AA43" s="304" cm="1">
        <f t="array" ref="AA43">IF(AND(AA$2&lt;&gt;0,TblTech[[#This Row],[Hour]:[Hour]]&gt;=AA$2),1,0)</f>
        <v>0</v>
      </c>
      <c r="AB43" s="304" cm="1">
        <f t="array" ref="AB43">IF(AND(AB$2&lt;&gt;0,TblTech[[#This Row],[Hour]:[Hour]]&gt;=AB$2),1,0)</f>
        <v>0</v>
      </c>
      <c r="AC43" s="304" cm="1">
        <f t="array" ref="AC43">IF(AND(AC$2&lt;&gt;0,TblTech[[#This Row],[Hour]:[Hour]]&gt;=AC$2),1,0)</f>
        <v>0</v>
      </c>
      <c r="AD43" s="304" cm="1">
        <f t="array" ref="AD43">IF(AND(AD$2&lt;&gt;0,TblTech[[#This Row],[Hour]:[Hour]]&gt;=AD$2),1,0)</f>
        <v>0</v>
      </c>
      <c r="AE43" s="304" cm="1">
        <f t="array" ref="AE43">IF(AND(AE$2&lt;&gt;0,TblTech[[#This Row],[Hour]:[Hour]]&gt;=AE$2),1,0)</f>
        <v>0</v>
      </c>
      <c r="AF43" s="304" cm="1">
        <f t="array" ref="AF43">IF(AND(AF$2&lt;&gt;0,TblTech[[#This Row],[Hour]:[Hour]]&gt;=AF$2),1,0)</f>
        <v>0</v>
      </c>
      <c r="AG43" s="304" cm="1">
        <f t="array" ref="AG43">IF(AND(AG$2&lt;&gt;0,TblTech[[#This Row],[Hour]:[Hour]]&gt;=AG$2),1,0)</f>
        <v>0</v>
      </c>
      <c r="AH43" s="304" cm="1">
        <f t="array" ref="AH43">IF(AND(AH$2&lt;&gt;0,TblTech[[#This Row],[Hour]:[Hour]]&gt;=AH$2),1,0)</f>
        <v>0</v>
      </c>
      <c r="AI43" s="304" cm="1">
        <f t="array" ref="AI43">IF(AND(AI$2&lt;&gt;0,TblTech[[#This Row],[Hour]:[Hour]]&gt;=AI$2),1,0)</f>
        <v>0</v>
      </c>
      <c r="AJ43" s="304" cm="1">
        <f t="array" ref="AJ43">IF(AND(AJ$2&lt;&gt;0,TblTech[[#This Row],[Hour]:[Hour]]&gt;=AJ$2),1,0)</f>
        <v>0</v>
      </c>
      <c r="AK43" s="304" cm="1">
        <f t="array" ref="AK43">IF(AND(AK$2&lt;&gt;0,TblTech[[#This Row],[Hour]:[Hour]]&gt;=AK$2),1,0)</f>
        <v>0</v>
      </c>
      <c r="AL43" s="304" cm="1">
        <f t="array" ref="AL43">IF(AND(AL$2&lt;&gt;0,TblTech[[#This Row],[Hour]:[Hour]]&gt;=AL$2),1,0)</f>
        <v>0</v>
      </c>
      <c r="AM43" s="304" cm="1">
        <f t="array" ref="AM43">IF(AND(AM$2&lt;&gt;0,TblTech[[#This Row],[Hour]:[Hour]]&gt;=AM$2),1,0)</f>
        <v>0</v>
      </c>
      <c r="AN43" s="304" cm="1">
        <f t="array" ref="AN43">IF(AND(AN$2&lt;&gt;0,TblTech[[#This Row],[Hour]:[Hour]]&gt;=AN$2),1,0)</f>
        <v>0</v>
      </c>
      <c r="AO43" s="304" cm="1">
        <f t="array" ref="AO43">IF(AND(AO$2&lt;&gt;0,TblTech[[#This Row],[Hour]:[Hour]]&gt;=AO$2),1,0)</f>
        <v>0</v>
      </c>
      <c r="AP43" s="304" cm="1">
        <f t="array" ref="AP43">IF(AND(AP$2&lt;&gt;0,TblTech[[#This Row],[Hour]:[Hour]]&gt;=AP$2),1,0)</f>
        <v>0</v>
      </c>
      <c r="AQ43" s="304" cm="1">
        <f t="array" ref="AQ43">IF(AND(AQ$2&lt;&gt;0,TblTech[[#This Row],[Hour]:[Hour]]&gt;=AQ$2),1,0)</f>
        <v>0</v>
      </c>
      <c r="AR43" s="304" cm="1">
        <f t="array" ref="AR43">IF(AND(AR$2&lt;&gt;0,TblTech[[#This Row],[Hour]:[Hour]]&gt;=AR$2),1,0)</f>
        <v>0</v>
      </c>
      <c r="AS43" s="304" cm="1">
        <f t="array" ref="AS43">IF(AND(AS$2&lt;&gt;0,TblTech[[#This Row],[Hour]:[Hour]]&gt;=AS$2),1,0)</f>
        <v>0</v>
      </c>
      <c r="AT43" s="304" cm="1">
        <f t="array" ref="AT43">IF(AND(AT$2&lt;&gt;0,TblTech[[#This Row],[Hour]:[Hour]]&gt;=AT$2),1,0)</f>
        <v>0</v>
      </c>
      <c r="AU43" s="304" cm="1">
        <f t="array" ref="AU43">IF(AND(AU$2&lt;&gt;0,TblTech[[#This Row],[Hour]:[Hour]]&gt;=AU$2),1,0)</f>
        <v>0</v>
      </c>
      <c r="AV43" s="304" cm="1">
        <f t="array" ref="AV43">IF(AND(AV$2&lt;&gt;0,TblTech[[#This Row],[Hour]:[Hour]]&gt;=AV$2),1,0)</f>
        <v>0</v>
      </c>
      <c r="AW43" s="304" cm="1">
        <f t="array" ref="AW43">IF(AND(AW$2&lt;&gt;0,TblTech[[#This Row],[Hour]:[Hour]]&gt;=AW$2),1,0)</f>
        <v>0</v>
      </c>
      <c r="AX43" s="304" cm="1">
        <f t="array" ref="AX43">IF(AND(AX$2&lt;&gt;0,TblTech[[#This Row],[Hour]:[Hour]]&gt;=AX$2),1,0)</f>
        <v>0</v>
      </c>
      <c r="AY43" s="304" cm="1">
        <f t="array" ref="AY43">IF(AND(AY$2&lt;&gt;0,TblTech[[#This Row],[Hour]:[Hour]]&gt;=AY$2),1,0)</f>
        <v>0</v>
      </c>
      <c r="AZ43" s="304" cm="1">
        <f t="array" ref="AZ43">IF(AND(AZ$2&lt;&gt;0,TblTech[[#This Row],[Hour]:[Hour]]&gt;=AZ$2),1,0)</f>
        <v>0</v>
      </c>
      <c r="BA43" s="304" cm="1">
        <f t="array" ref="BA43">IF(AND(BA$2&lt;&gt;0,TblTech[[#This Row],[Hour]:[Hour]]&gt;=BA$2),1,0)</f>
        <v>0</v>
      </c>
      <c r="BB43" s="304" cm="1">
        <f t="array" ref="BB43">IF(AND(BB$2&lt;&gt;0,TblTech[[#This Row],[Hour]:[Hour]]&gt;=BB$2),1,0)</f>
        <v>0</v>
      </c>
      <c r="BC43" s="304" cm="1">
        <f t="array" ref="BC43">IF(AND(BC$2&lt;&gt;0,TblTech[[#This Row],[Hour]:[Hour]]&gt;=BC$2),1,0)</f>
        <v>0</v>
      </c>
      <c r="BD43" s="304" cm="1">
        <f t="array" ref="BD43">IF(AND(BD$2&lt;&gt;0,TblTech[[#This Row],[Hour]:[Hour]]&gt;=BD$2),1,0)</f>
        <v>0</v>
      </c>
      <c r="BE43" s="304" cm="1">
        <f t="array" ref="BE43">IF(AND(BE$2&lt;&gt;0,TblTech[[#This Row],[Hour]:[Hour]]&gt;=BE$2),1,0)</f>
        <v>0</v>
      </c>
      <c r="BF43" s="304" cm="1">
        <f t="array" ref="BF43">IF(AND(BF$2&lt;&gt;0,TblTech[[#This Row],[Hour]:[Hour]]&gt;=BF$2),1,0)</f>
        <v>0</v>
      </c>
      <c r="BG43" s="304" cm="1">
        <f t="array" ref="BG43">IF(AND(BG$2&lt;&gt;0,TblTech[[#This Row],[Hour]:[Hour]]&gt;=BG$2),1,0)</f>
        <v>0</v>
      </c>
      <c r="BH43" s="304" cm="1">
        <f t="array" ref="BH43">IF(AND(BH$2&lt;&gt;0,TblTech[[#This Row],[Hour]:[Hour]]&gt;=BH$2),1,0)</f>
        <v>0</v>
      </c>
      <c r="BI43" s="304" cm="1">
        <f t="array" ref="BI43">IF(AND(BI$2&lt;&gt;0,TblTech[[#This Row],[Hour]:[Hour]]&gt;=BI$2),1,0)</f>
        <v>0</v>
      </c>
      <c r="BJ43" s="304" cm="1">
        <f t="array" ref="BJ43">IF(AND(BJ$2&lt;&gt;0,TblTech[[#This Row],[Hour]:[Hour]]&gt;=BJ$2),1,0)</f>
        <v>0</v>
      </c>
      <c r="BK43" s="304" cm="1">
        <f t="array" ref="BK43">IF(AND(BK$2&lt;&gt;0,TblTech[[#This Row],[Hour]:[Hour]]&gt;=BK$2),1,0)</f>
        <v>0</v>
      </c>
      <c r="BL43" s="304" cm="1">
        <f t="array" ref="BL43">IF(AND(BL$2&lt;&gt;0,TblTech[[#This Row],[Hour]:[Hour]]&gt;=BL$2),1,0)</f>
        <v>0</v>
      </c>
      <c r="BM43" s="304" cm="1">
        <f t="array" ref="BM43">IF(AND(BM$2&lt;&gt;0,TblTech[[#This Row],[Hour]:[Hour]]&gt;=BM$2),1,0)</f>
        <v>0</v>
      </c>
      <c r="BN43" s="304" cm="1">
        <f t="array" ref="BN43">IF(AND(BN$2&lt;&gt;0,TblTech[[#This Row],[Hour]:[Hour]]&gt;=BN$2),1,0)</f>
        <v>0</v>
      </c>
      <c r="BO43" s="304" cm="1">
        <f t="array" ref="BO43">IF(AND(BO$2&lt;&gt;0,TblTech[[#This Row],[Hour]:[Hour]]&gt;=BO$2),1,0)</f>
        <v>0</v>
      </c>
      <c r="BP43" s="304" cm="1">
        <f t="array" ref="BP43">IF(AND(BP$2&lt;&gt;0,TblTech[[#This Row],[Hour]:[Hour]]&gt;=BP$2),1,0)</f>
        <v>0</v>
      </c>
      <c r="BQ43" s="304" cm="1">
        <f t="array" ref="BQ43">IF(AND(BQ$2&lt;&gt;0,TblTech[[#This Row],[Hour]:[Hour]]&gt;=BQ$2),1,0)</f>
        <v>0</v>
      </c>
      <c r="BR43" s="304" cm="1">
        <f t="array" ref="BR43">IF(AND(BR$2&lt;&gt;0,TblTech[[#This Row],[Hour]:[Hour]]&gt;=BR$2),1,0)</f>
        <v>0</v>
      </c>
      <c r="BS43" s="304" cm="1">
        <f t="array" ref="BS43">IF(AND(BS$2&lt;&gt;0,TblTech[[#This Row],[Hour]:[Hour]]&gt;=BS$2),1,0)</f>
        <v>0</v>
      </c>
      <c r="BT43" s="304" cm="1">
        <f t="array" ref="BT43">IF(AND(BT$2&lt;&gt;0,TblTech[[#This Row],[Hour]:[Hour]]&gt;=BT$2),1,0)</f>
        <v>0</v>
      </c>
      <c r="BU43" s="304" cm="1">
        <f t="array" ref="BU43">IF(AND(BU$2&lt;&gt;0,TblTech[[#This Row],[Hour]:[Hour]]&gt;=BU$2),1,0)</f>
        <v>0</v>
      </c>
      <c r="BV43" s="304" cm="1">
        <f t="array" ref="BV43">IF(AND(BV$2&lt;&gt;0,TblTech[[#This Row],[Hour]:[Hour]]&gt;=BV$2),1,0)</f>
        <v>0</v>
      </c>
      <c r="BW43" s="304" cm="1">
        <f t="array" ref="BW43">IF(AND(BW$2&lt;&gt;0,TblTech[[#This Row],[Hour]:[Hour]]&gt;=BW$2),1,0)</f>
        <v>0</v>
      </c>
      <c r="BX43" s="304" cm="1">
        <f t="array" ref="BX43">IF(AND(BX$2&lt;&gt;0,TblTech[[#This Row],[Hour]:[Hour]]&gt;=BX$2),1,0)</f>
        <v>0</v>
      </c>
      <c r="BY43" s="304" cm="1">
        <f t="array" ref="BY43">IF(AND(BY$2&lt;&gt;0,TblTech[[#This Row],[Hour]:[Hour]]&gt;=BY$2),1,0)</f>
        <v>0</v>
      </c>
      <c r="BZ43" s="304" cm="1">
        <f t="array" ref="BZ43">IF(AND(BZ$2&lt;&gt;0,TblTech[[#This Row],[Hour]:[Hour]]&gt;=BZ$2),1,0)</f>
        <v>0</v>
      </c>
      <c r="CA43" s="408">
        <f>IFERROR(INDEX($H$4:$H$79,MATCH(INDEX(TblTech[[#Headers],[1-1]:[11-1]],1,MATCH(TblTech[[#This Row],[Hour]],$M$2:$BZ$2,0)),$G$4:$G$79,0)),)</f>
        <v>0</v>
      </c>
    </row>
    <row r="44" spans="1:79" x14ac:dyDescent="0.2">
      <c r="A44" s="296">
        <f>TblRezone[[#This Row],[Hour]]</f>
        <v>41</v>
      </c>
      <c r="B44" s="297">
        <f ca="1">TblExplore[[#This Row],[Land-DB]]</f>
        <v>250</v>
      </c>
      <c r="C44" s="298">
        <f ca="1">TblProd[[#This Row],[Techpoints]]</f>
        <v>0</v>
      </c>
      <c r="D44" s="298">
        <f ca="1">TblProd[[#This Row],[Required]]</f>
        <v>3750</v>
      </c>
      <c r="E44" s="299"/>
      <c r="F44" s="300"/>
      <c r="G44" s="301" t="s">
        <v>601</v>
      </c>
      <c r="H44" s="302" t="s">
        <v>726</v>
      </c>
      <c r="I44" s="301" t="s">
        <v>598</v>
      </c>
      <c r="J44" s="297"/>
      <c r="K44" s="96">
        <f ca="1">IF(TblTech[[#This Row],[Sum of tech]]&lt;&gt;OFFSET(TblTech[[#This Row],[Sum of tech]],-1,0),1,0)</f>
        <v>0</v>
      </c>
      <c r="L44" s="303">
        <f>COUNTIF(TblTech[[#This Row],[1-1]:[11-1]],1)</f>
        <v>0</v>
      </c>
      <c r="M44" s="304" cm="1">
        <f t="array" ref="M44">IF(AND(M$2&lt;&gt;0,TblTech[[#This Row],[Hour]:[Hour]]&gt;=M$2),1,0)</f>
        <v>0</v>
      </c>
      <c r="N44" s="304" cm="1">
        <f t="array" ref="N44">IF(AND(N$2&lt;&gt;0,TblTech[[#This Row],[Hour]:[Hour]]&gt;=N$2),1,0)</f>
        <v>0</v>
      </c>
      <c r="O44" s="304" cm="1">
        <f t="array" ref="O44">IF(AND(O$2&lt;&gt;0,TblTech[[#This Row],[Hour]:[Hour]]&gt;=O$2),1,0)</f>
        <v>0</v>
      </c>
      <c r="P44" s="304" cm="1">
        <f t="array" ref="P44">IF(AND(P$2&lt;&gt;0,TblTech[[#This Row],[Hour]:[Hour]]&gt;=P$2),1,0)</f>
        <v>0</v>
      </c>
      <c r="Q44" s="304" cm="1">
        <f t="array" ref="Q44">IF(AND(Q$2&lt;&gt;0,TblTech[[#This Row],[Hour]:[Hour]]&gt;=Q$2),1,0)</f>
        <v>0</v>
      </c>
      <c r="R44" s="304" cm="1">
        <f t="array" ref="R44">IF(AND(R$2&lt;&gt;0,TblTech[[#This Row],[Hour]:[Hour]]&gt;=R$2),1,0)</f>
        <v>0</v>
      </c>
      <c r="S44" s="304" cm="1">
        <f t="array" ref="S44">IF(AND(S$2&lt;&gt;0,TblTech[[#This Row],[Hour]:[Hour]]&gt;=S$2),1,0)</f>
        <v>0</v>
      </c>
      <c r="T44" s="304" cm="1">
        <f t="array" ref="T44">IF(AND(T$2&lt;&gt;0,TblTech[[#This Row],[Hour]:[Hour]]&gt;=T$2),1,0)</f>
        <v>0</v>
      </c>
      <c r="U44" s="304" cm="1">
        <f t="array" ref="U44">IF(AND(U$2&lt;&gt;0,TblTech[[#This Row],[Hour]:[Hour]]&gt;=U$2),1,0)</f>
        <v>0</v>
      </c>
      <c r="V44" s="304" cm="1">
        <f t="array" ref="V44">IF(AND(V$2&lt;&gt;0,TblTech[[#This Row],[Hour]:[Hour]]&gt;=V$2),1,0)</f>
        <v>0</v>
      </c>
      <c r="W44" s="304" cm="1">
        <f t="array" ref="W44">IF(AND(W$2&lt;&gt;0,TblTech[[#This Row],[Hour]:[Hour]]&gt;=W$2),1,0)</f>
        <v>0</v>
      </c>
      <c r="X44" s="304" cm="1">
        <f t="array" ref="X44">IF(AND(X$2&lt;&gt;0,TblTech[[#This Row],[Hour]:[Hour]]&gt;=X$2),1,0)</f>
        <v>0</v>
      </c>
      <c r="Y44" s="304" cm="1">
        <f t="array" ref="Y44">IF(AND(Y$2&lt;&gt;0,TblTech[[#This Row],[Hour]:[Hour]]&gt;=Y$2),1,0)</f>
        <v>0</v>
      </c>
      <c r="Z44" s="304" cm="1">
        <f t="array" ref="Z44">IF(AND(Z$2&lt;&gt;0,TblTech[[#This Row],[Hour]:[Hour]]&gt;=Z$2),1,0)</f>
        <v>0</v>
      </c>
      <c r="AA44" s="304" cm="1">
        <f t="array" ref="AA44">IF(AND(AA$2&lt;&gt;0,TblTech[[#This Row],[Hour]:[Hour]]&gt;=AA$2),1,0)</f>
        <v>0</v>
      </c>
      <c r="AB44" s="304" cm="1">
        <f t="array" ref="AB44">IF(AND(AB$2&lt;&gt;0,TblTech[[#This Row],[Hour]:[Hour]]&gt;=AB$2),1,0)</f>
        <v>0</v>
      </c>
      <c r="AC44" s="304" cm="1">
        <f t="array" ref="AC44">IF(AND(AC$2&lt;&gt;0,TblTech[[#This Row],[Hour]:[Hour]]&gt;=AC$2),1,0)</f>
        <v>0</v>
      </c>
      <c r="AD44" s="304" cm="1">
        <f t="array" ref="AD44">IF(AND(AD$2&lt;&gt;0,TblTech[[#This Row],[Hour]:[Hour]]&gt;=AD$2),1,0)</f>
        <v>0</v>
      </c>
      <c r="AE44" s="304" cm="1">
        <f t="array" ref="AE44">IF(AND(AE$2&lt;&gt;0,TblTech[[#This Row],[Hour]:[Hour]]&gt;=AE$2),1,0)</f>
        <v>0</v>
      </c>
      <c r="AF44" s="304" cm="1">
        <f t="array" ref="AF44">IF(AND(AF$2&lt;&gt;0,TblTech[[#This Row],[Hour]:[Hour]]&gt;=AF$2),1,0)</f>
        <v>0</v>
      </c>
      <c r="AG44" s="304" cm="1">
        <f t="array" ref="AG44">IF(AND(AG$2&lt;&gt;0,TblTech[[#This Row],[Hour]:[Hour]]&gt;=AG$2),1,0)</f>
        <v>0</v>
      </c>
      <c r="AH44" s="304" cm="1">
        <f t="array" ref="AH44">IF(AND(AH$2&lt;&gt;0,TblTech[[#This Row],[Hour]:[Hour]]&gt;=AH$2),1,0)</f>
        <v>0</v>
      </c>
      <c r="AI44" s="304" cm="1">
        <f t="array" ref="AI44">IF(AND(AI$2&lt;&gt;0,TblTech[[#This Row],[Hour]:[Hour]]&gt;=AI$2),1,0)</f>
        <v>0</v>
      </c>
      <c r="AJ44" s="304" cm="1">
        <f t="array" ref="AJ44">IF(AND(AJ$2&lt;&gt;0,TblTech[[#This Row],[Hour]:[Hour]]&gt;=AJ$2),1,0)</f>
        <v>0</v>
      </c>
      <c r="AK44" s="304" cm="1">
        <f t="array" ref="AK44">IF(AND(AK$2&lt;&gt;0,TblTech[[#This Row],[Hour]:[Hour]]&gt;=AK$2),1,0)</f>
        <v>0</v>
      </c>
      <c r="AL44" s="304" cm="1">
        <f t="array" ref="AL44">IF(AND(AL$2&lt;&gt;0,TblTech[[#This Row],[Hour]:[Hour]]&gt;=AL$2),1,0)</f>
        <v>0</v>
      </c>
      <c r="AM44" s="304" cm="1">
        <f t="array" ref="AM44">IF(AND(AM$2&lt;&gt;0,TblTech[[#This Row],[Hour]:[Hour]]&gt;=AM$2),1,0)</f>
        <v>0</v>
      </c>
      <c r="AN44" s="304" cm="1">
        <f t="array" ref="AN44">IF(AND(AN$2&lt;&gt;0,TblTech[[#This Row],[Hour]:[Hour]]&gt;=AN$2),1,0)</f>
        <v>0</v>
      </c>
      <c r="AO44" s="304" cm="1">
        <f t="array" ref="AO44">IF(AND(AO$2&lt;&gt;0,TblTech[[#This Row],[Hour]:[Hour]]&gt;=AO$2),1,0)</f>
        <v>0</v>
      </c>
      <c r="AP44" s="304" cm="1">
        <f t="array" ref="AP44">IF(AND(AP$2&lt;&gt;0,TblTech[[#This Row],[Hour]:[Hour]]&gt;=AP$2),1,0)</f>
        <v>0</v>
      </c>
      <c r="AQ44" s="304" cm="1">
        <f t="array" ref="AQ44">IF(AND(AQ$2&lt;&gt;0,TblTech[[#This Row],[Hour]:[Hour]]&gt;=AQ$2),1,0)</f>
        <v>0</v>
      </c>
      <c r="AR44" s="304" cm="1">
        <f t="array" ref="AR44">IF(AND(AR$2&lt;&gt;0,TblTech[[#This Row],[Hour]:[Hour]]&gt;=AR$2),1,0)</f>
        <v>0</v>
      </c>
      <c r="AS44" s="304" cm="1">
        <f t="array" ref="AS44">IF(AND(AS$2&lt;&gt;0,TblTech[[#This Row],[Hour]:[Hour]]&gt;=AS$2),1,0)</f>
        <v>0</v>
      </c>
      <c r="AT44" s="304" cm="1">
        <f t="array" ref="AT44">IF(AND(AT$2&lt;&gt;0,TblTech[[#This Row],[Hour]:[Hour]]&gt;=AT$2),1,0)</f>
        <v>0</v>
      </c>
      <c r="AU44" s="304" cm="1">
        <f t="array" ref="AU44">IF(AND(AU$2&lt;&gt;0,TblTech[[#This Row],[Hour]:[Hour]]&gt;=AU$2),1,0)</f>
        <v>0</v>
      </c>
      <c r="AV44" s="304" cm="1">
        <f t="array" ref="AV44">IF(AND(AV$2&lt;&gt;0,TblTech[[#This Row],[Hour]:[Hour]]&gt;=AV$2),1,0)</f>
        <v>0</v>
      </c>
      <c r="AW44" s="304" cm="1">
        <f t="array" ref="AW44">IF(AND(AW$2&lt;&gt;0,TblTech[[#This Row],[Hour]:[Hour]]&gt;=AW$2),1,0)</f>
        <v>0</v>
      </c>
      <c r="AX44" s="304" cm="1">
        <f t="array" ref="AX44">IF(AND(AX$2&lt;&gt;0,TblTech[[#This Row],[Hour]:[Hour]]&gt;=AX$2),1,0)</f>
        <v>0</v>
      </c>
      <c r="AY44" s="304" cm="1">
        <f t="array" ref="AY44">IF(AND(AY$2&lt;&gt;0,TblTech[[#This Row],[Hour]:[Hour]]&gt;=AY$2),1,0)</f>
        <v>0</v>
      </c>
      <c r="AZ44" s="304" cm="1">
        <f t="array" ref="AZ44">IF(AND(AZ$2&lt;&gt;0,TblTech[[#This Row],[Hour]:[Hour]]&gt;=AZ$2),1,0)</f>
        <v>0</v>
      </c>
      <c r="BA44" s="304" cm="1">
        <f t="array" ref="BA44">IF(AND(BA$2&lt;&gt;0,TblTech[[#This Row],[Hour]:[Hour]]&gt;=BA$2),1,0)</f>
        <v>0</v>
      </c>
      <c r="BB44" s="304" cm="1">
        <f t="array" ref="BB44">IF(AND(BB$2&lt;&gt;0,TblTech[[#This Row],[Hour]:[Hour]]&gt;=BB$2),1,0)</f>
        <v>0</v>
      </c>
      <c r="BC44" s="304" cm="1">
        <f t="array" ref="BC44">IF(AND(BC$2&lt;&gt;0,TblTech[[#This Row],[Hour]:[Hour]]&gt;=BC$2),1,0)</f>
        <v>0</v>
      </c>
      <c r="BD44" s="304" cm="1">
        <f t="array" ref="BD44">IF(AND(BD$2&lt;&gt;0,TblTech[[#This Row],[Hour]:[Hour]]&gt;=BD$2),1,0)</f>
        <v>0</v>
      </c>
      <c r="BE44" s="304" cm="1">
        <f t="array" ref="BE44">IF(AND(BE$2&lt;&gt;0,TblTech[[#This Row],[Hour]:[Hour]]&gt;=BE$2),1,0)</f>
        <v>0</v>
      </c>
      <c r="BF44" s="304" cm="1">
        <f t="array" ref="BF44">IF(AND(BF$2&lt;&gt;0,TblTech[[#This Row],[Hour]:[Hour]]&gt;=BF$2),1,0)</f>
        <v>0</v>
      </c>
      <c r="BG44" s="304" cm="1">
        <f t="array" ref="BG44">IF(AND(BG$2&lt;&gt;0,TblTech[[#This Row],[Hour]:[Hour]]&gt;=BG$2),1,0)</f>
        <v>0</v>
      </c>
      <c r="BH44" s="304" cm="1">
        <f t="array" ref="BH44">IF(AND(BH$2&lt;&gt;0,TblTech[[#This Row],[Hour]:[Hour]]&gt;=BH$2),1,0)</f>
        <v>0</v>
      </c>
      <c r="BI44" s="304" cm="1">
        <f t="array" ref="BI44">IF(AND(BI$2&lt;&gt;0,TblTech[[#This Row],[Hour]:[Hour]]&gt;=BI$2),1,0)</f>
        <v>0</v>
      </c>
      <c r="BJ44" s="304" cm="1">
        <f t="array" ref="BJ44">IF(AND(BJ$2&lt;&gt;0,TblTech[[#This Row],[Hour]:[Hour]]&gt;=BJ$2),1,0)</f>
        <v>0</v>
      </c>
      <c r="BK44" s="304" cm="1">
        <f t="array" ref="BK44">IF(AND(BK$2&lt;&gt;0,TblTech[[#This Row],[Hour]:[Hour]]&gt;=BK$2),1,0)</f>
        <v>0</v>
      </c>
      <c r="BL44" s="304" cm="1">
        <f t="array" ref="BL44">IF(AND(BL$2&lt;&gt;0,TblTech[[#This Row],[Hour]:[Hour]]&gt;=BL$2),1,0)</f>
        <v>0</v>
      </c>
      <c r="BM44" s="304" cm="1">
        <f t="array" ref="BM44">IF(AND(BM$2&lt;&gt;0,TblTech[[#This Row],[Hour]:[Hour]]&gt;=BM$2),1,0)</f>
        <v>0</v>
      </c>
      <c r="BN44" s="304" cm="1">
        <f t="array" ref="BN44">IF(AND(BN$2&lt;&gt;0,TblTech[[#This Row],[Hour]:[Hour]]&gt;=BN$2),1,0)</f>
        <v>0</v>
      </c>
      <c r="BO44" s="304" cm="1">
        <f t="array" ref="BO44">IF(AND(BO$2&lt;&gt;0,TblTech[[#This Row],[Hour]:[Hour]]&gt;=BO$2),1,0)</f>
        <v>0</v>
      </c>
      <c r="BP44" s="304" cm="1">
        <f t="array" ref="BP44">IF(AND(BP$2&lt;&gt;0,TblTech[[#This Row],[Hour]:[Hour]]&gt;=BP$2),1,0)</f>
        <v>0</v>
      </c>
      <c r="BQ44" s="304" cm="1">
        <f t="array" ref="BQ44">IF(AND(BQ$2&lt;&gt;0,TblTech[[#This Row],[Hour]:[Hour]]&gt;=BQ$2),1,0)</f>
        <v>0</v>
      </c>
      <c r="BR44" s="304" cm="1">
        <f t="array" ref="BR44">IF(AND(BR$2&lt;&gt;0,TblTech[[#This Row],[Hour]:[Hour]]&gt;=BR$2),1,0)</f>
        <v>0</v>
      </c>
      <c r="BS44" s="304" cm="1">
        <f t="array" ref="BS44">IF(AND(BS$2&lt;&gt;0,TblTech[[#This Row],[Hour]:[Hour]]&gt;=BS$2),1,0)</f>
        <v>0</v>
      </c>
      <c r="BT44" s="304" cm="1">
        <f t="array" ref="BT44">IF(AND(BT$2&lt;&gt;0,TblTech[[#This Row],[Hour]:[Hour]]&gt;=BT$2),1,0)</f>
        <v>0</v>
      </c>
      <c r="BU44" s="304" cm="1">
        <f t="array" ref="BU44">IF(AND(BU$2&lt;&gt;0,TblTech[[#This Row],[Hour]:[Hour]]&gt;=BU$2),1,0)</f>
        <v>0</v>
      </c>
      <c r="BV44" s="304" cm="1">
        <f t="array" ref="BV44">IF(AND(BV$2&lt;&gt;0,TblTech[[#This Row],[Hour]:[Hour]]&gt;=BV$2),1,0)</f>
        <v>0</v>
      </c>
      <c r="BW44" s="304" cm="1">
        <f t="array" ref="BW44">IF(AND(BW$2&lt;&gt;0,TblTech[[#This Row],[Hour]:[Hour]]&gt;=BW$2),1,0)</f>
        <v>0</v>
      </c>
      <c r="BX44" s="304" cm="1">
        <f t="array" ref="BX44">IF(AND(BX$2&lt;&gt;0,TblTech[[#This Row],[Hour]:[Hour]]&gt;=BX$2),1,0)</f>
        <v>0</v>
      </c>
      <c r="BY44" s="304" cm="1">
        <f t="array" ref="BY44">IF(AND(BY$2&lt;&gt;0,TblTech[[#This Row],[Hour]:[Hour]]&gt;=BY$2),1,0)</f>
        <v>0</v>
      </c>
      <c r="BZ44" s="304" cm="1">
        <f t="array" ref="BZ44">IF(AND(BZ$2&lt;&gt;0,TblTech[[#This Row],[Hour]:[Hour]]&gt;=BZ$2),1,0)</f>
        <v>0</v>
      </c>
      <c r="CA44" s="408">
        <f>IFERROR(INDEX($H$4:$H$79,MATCH(INDEX(TblTech[[#Headers],[1-1]:[11-1]],1,MATCH(TblTech[[#This Row],[Hour]],$M$2:$BZ$2,0)),$G$4:$G$79,0)),)</f>
        <v>0</v>
      </c>
    </row>
    <row r="45" spans="1:79" x14ac:dyDescent="0.2">
      <c r="A45" s="296">
        <f>TblRezone[[#This Row],[Hour]]</f>
        <v>42</v>
      </c>
      <c r="B45" s="297">
        <f ca="1">TblExplore[[#This Row],[Land-DB]]</f>
        <v>250</v>
      </c>
      <c r="C45" s="298">
        <f ca="1">TblProd[[#This Row],[Techpoints]]</f>
        <v>0</v>
      </c>
      <c r="D45" s="298">
        <f ca="1">TblProd[[#This Row],[Required]]</f>
        <v>3750</v>
      </c>
      <c r="E45" s="299"/>
      <c r="F45" s="300"/>
      <c r="G45" s="301"/>
      <c r="H45" s="302"/>
      <c r="I45" s="301"/>
      <c r="J45" s="297"/>
      <c r="K45" s="96">
        <f ca="1">IF(TblTech[[#This Row],[Sum of tech]]&lt;&gt;OFFSET(TblTech[[#This Row],[Sum of tech]],-1,0),1,0)</f>
        <v>0</v>
      </c>
      <c r="L45" s="303">
        <f>COUNTIF(TblTech[[#This Row],[1-1]:[11-1]],1)</f>
        <v>0</v>
      </c>
      <c r="M45" s="304" cm="1">
        <f t="array" ref="M45">IF(AND(M$2&lt;&gt;0,TblTech[[#This Row],[Hour]:[Hour]]&gt;=M$2),1,0)</f>
        <v>0</v>
      </c>
      <c r="N45" s="304" cm="1">
        <f t="array" ref="N45">IF(AND(N$2&lt;&gt;0,TblTech[[#This Row],[Hour]:[Hour]]&gt;=N$2),1,0)</f>
        <v>0</v>
      </c>
      <c r="O45" s="304" cm="1">
        <f t="array" ref="O45">IF(AND(O$2&lt;&gt;0,TblTech[[#This Row],[Hour]:[Hour]]&gt;=O$2),1,0)</f>
        <v>0</v>
      </c>
      <c r="P45" s="304" cm="1">
        <f t="array" ref="P45">IF(AND(P$2&lt;&gt;0,TblTech[[#This Row],[Hour]:[Hour]]&gt;=P$2),1,0)</f>
        <v>0</v>
      </c>
      <c r="Q45" s="304" cm="1">
        <f t="array" ref="Q45">IF(AND(Q$2&lt;&gt;0,TblTech[[#This Row],[Hour]:[Hour]]&gt;=Q$2),1,0)</f>
        <v>0</v>
      </c>
      <c r="R45" s="304" cm="1">
        <f t="array" ref="R45">IF(AND(R$2&lt;&gt;0,TblTech[[#This Row],[Hour]:[Hour]]&gt;=R$2),1,0)</f>
        <v>0</v>
      </c>
      <c r="S45" s="304" cm="1">
        <f t="array" ref="S45">IF(AND(S$2&lt;&gt;0,TblTech[[#This Row],[Hour]:[Hour]]&gt;=S$2),1,0)</f>
        <v>0</v>
      </c>
      <c r="T45" s="304" cm="1">
        <f t="array" ref="T45">IF(AND(T$2&lt;&gt;0,TblTech[[#This Row],[Hour]:[Hour]]&gt;=T$2),1,0)</f>
        <v>0</v>
      </c>
      <c r="U45" s="304" cm="1">
        <f t="array" ref="U45">IF(AND(U$2&lt;&gt;0,TblTech[[#This Row],[Hour]:[Hour]]&gt;=U$2),1,0)</f>
        <v>0</v>
      </c>
      <c r="V45" s="304" cm="1">
        <f t="array" ref="V45">IF(AND(V$2&lt;&gt;0,TblTech[[#This Row],[Hour]:[Hour]]&gt;=V$2),1,0)</f>
        <v>0</v>
      </c>
      <c r="W45" s="304" cm="1">
        <f t="array" ref="W45">IF(AND(W$2&lt;&gt;0,TblTech[[#This Row],[Hour]:[Hour]]&gt;=W$2),1,0)</f>
        <v>0</v>
      </c>
      <c r="X45" s="304" cm="1">
        <f t="array" ref="X45">IF(AND(X$2&lt;&gt;0,TblTech[[#This Row],[Hour]:[Hour]]&gt;=X$2),1,0)</f>
        <v>0</v>
      </c>
      <c r="Y45" s="304" cm="1">
        <f t="array" ref="Y45">IF(AND(Y$2&lt;&gt;0,TblTech[[#This Row],[Hour]:[Hour]]&gt;=Y$2),1,0)</f>
        <v>0</v>
      </c>
      <c r="Z45" s="304" cm="1">
        <f t="array" ref="Z45">IF(AND(Z$2&lt;&gt;0,TblTech[[#This Row],[Hour]:[Hour]]&gt;=Z$2),1,0)</f>
        <v>0</v>
      </c>
      <c r="AA45" s="304" cm="1">
        <f t="array" ref="AA45">IF(AND(AA$2&lt;&gt;0,TblTech[[#This Row],[Hour]:[Hour]]&gt;=AA$2),1,0)</f>
        <v>0</v>
      </c>
      <c r="AB45" s="304" cm="1">
        <f t="array" ref="AB45">IF(AND(AB$2&lt;&gt;0,TblTech[[#This Row],[Hour]:[Hour]]&gt;=AB$2),1,0)</f>
        <v>0</v>
      </c>
      <c r="AC45" s="304" cm="1">
        <f t="array" ref="AC45">IF(AND(AC$2&lt;&gt;0,TblTech[[#This Row],[Hour]:[Hour]]&gt;=AC$2),1,0)</f>
        <v>0</v>
      </c>
      <c r="AD45" s="304" cm="1">
        <f t="array" ref="AD45">IF(AND(AD$2&lt;&gt;0,TblTech[[#This Row],[Hour]:[Hour]]&gt;=AD$2),1,0)</f>
        <v>0</v>
      </c>
      <c r="AE45" s="304" cm="1">
        <f t="array" ref="AE45">IF(AND(AE$2&lt;&gt;0,TblTech[[#This Row],[Hour]:[Hour]]&gt;=AE$2),1,0)</f>
        <v>0</v>
      </c>
      <c r="AF45" s="304" cm="1">
        <f t="array" ref="AF45">IF(AND(AF$2&lt;&gt;0,TblTech[[#This Row],[Hour]:[Hour]]&gt;=AF$2),1,0)</f>
        <v>0</v>
      </c>
      <c r="AG45" s="304" cm="1">
        <f t="array" ref="AG45">IF(AND(AG$2&lt;&gt;0,TblTech[[#This Row],[Hour]:[Hour]]&gt;=AG$2),1,0)</f>
        <v>0</v>
      </c>
      <c r="AH45" s="304" cm="1">
        <f t="array" ref="AH45">IF(AND(AH$2&lt;&gt;0,TblTech[[#This Row],[Hour]:[Hour]]&gt;=AH$2),1,0)</f>
        <v>0</v>
      </c>
      <c r="AI45" s="304" cm="1">
        <f t="array" ref="AI45">IF(AND(AI$2&lt;&gt;0,TblTech[[#This Row],[Hour]:[Hour]]&gt;=AI$2),1,0)</f>
        <v>0</v>
      </c>
      <c r="AJ45" s="304" cm="1">
        <f t="array" ref="AJ45">IF(AND(AJ$2&lt;&gt;0,TblTech[[#This Row],[Hour]:[Hour]]&gt;=AJ$2),1,0)</f>
        <v>0</v>
      </c>
      <c r="AK45" s="304" cm="1">
        <f t="array" ref="AK45">IF(AND(AK$2&lt;&gt;0,TblTech[[#This Row],[Hour]:[Hour]]&gt;=AK$2),1,0)</f>
        <v>0</v>
      </c>
      <c r="AL45" s="304" cm="1">
        <f t="array" ref="AL45">IF(AND(AL$2&lt;&gt;0,TblTech[[#This Row],[Hour]:[Hour]]&gt;=AL$2),1,0)</f>
        <v>0</v>
      </c>
      <c r="AM45" s="304" cm="1">
        <f t="array" ref="AM45">IF(AND(AM$2&lt;&gt;0,TblTech[[#This Row],[Hour]:[Hour]]&gt;=AM$2),1,0)</f>
        <v>0</v>
      </c>
      <c r="AN45" s="304" cm="1">
        <f t="array" ref="AN45">IF(AND(AN$2&lt;&gt;0,TblTech[[#This Row],[Hour]:[Hour]]&gt;=AN$2),1,0)</f>
        <v>0</v>
      </c>
      <c r="AO45" s="304" cm="1">
        <f t="array" ref="AO45">IF(AND(AO$2&lt;&gt;0,TblTech[[#This Row],[Hour]:[Hour]]&gt;=AO$2),1,0)</f>
        <v>0</v>
      </c>
      <c r="AP45" s="304" cm="1">
        <f t="array" ref="AP45">IF(AND(AP$2&lt;&gt;0,TblTech[[#This Row],[Hour]:[Hour]]&gt;=AP$2),1,0)</f>
        <v>0</v>
      </c>
      <c r="AQ45" s="304" cm="1">
        <f t="array" ref="AQ45">IF(AND(AQ$2&lt;&gt;0,TblTech[[#This Row],[Hour]:[Hour]]&gt;=AQ$2),1,0)</f>
        <v>0</v>
      </c>
      <c r="AR45" s="304" cm="1">
        <f t="array" ref="AR45">IF(AND(AR$2&lt;&gt;0,TblTech[[#This Row],[Hour]:[Hour]]&gt;=AR$2),1,0)</f>
        <v>0</v>
      </c>
      <c r="AS45" s="304" cm="1">
        <f t="array" ref="AS45">IF(AND(AS$2&lt;&gt;0,TblTech[[#This Row],[Hour]:[Hour]]&gt;=AS$2),1,0)</f>
        <v>0</v>
      </c>
      <c r="AT45" s="304" cm="1">
        <f t="array" ref="AT45">IF(AND(AT$2&lt;&gt;0,TblTech[[#This Row],[Hour]:[Hour]]&gt;=AT$2),1,0)</f>
        <v>0</v>
      </c>
      <c r="AU45" s="304" cm="1">
        <f t="array" ref="AU45">IF(AND(AU$2&lt;&gt;0,TblTech[[#This Row],[Hour]:[Hour]]&gt;=AU$2),1,0)</f>
        <v>0</v>
      </c>
      <c r="AV45" s="304" cm="1">
        <f t="array" ref="AV45">IF(AND(AV$2&lt;&gt;0,TblTech[[#This Row],[Hour]:[Hour]]&gt;=AV$2),1,0)</f>
        <v>0</v>
      </c>
      <c r="AW45" s="304" cm="1">
        <f t="array" ref="AW45">IF(AND(AW$2&lt;&gt;0,TblTech[[#This Row],[Hour]:[Hour]]&gt;=AW$2),1,0)</f>
        <v>0</v>
      </c>
      <c r="AX45" s="304" cm="1">
        <f t="array" ref="AX45">IF(AND(AX$2&lt;&gt;0,TblTech[[#This Row],[Hour]:[Hour]]&gt;=AX$2),1,0)</f>
        <v>0</v>
      </c>
      <c r="AY45" s="304" cm="1">
        <f t="array" ref="AY45">IF(AND(AY$2&lt;&gt;0,TblTech[[#This Row],[Hour]:[Hour]]&gt;=AY$2),1,0)</f>
        <v>0</v>
      </c>
      <c r="AZ45" s="304" cm="1">
        <f t="array" ref="AZ45">IF(AND(AZ$2&lt;&gt;0,TblTech[[#This Row],[Hour]:[Hour]]&gt;=AZ$2),1,0)</f>
        <v>0</v>
      </c>
      <c r="BA45" s="304" cm="1">
        <f t="array" ref="BA45">IF(AND(BA$2&lt;&gt;0,TblTech[[#This Row],[Hour]:[Hour]]&gt;=BA$2),1,0)</f>
        <v>0</v>
      </c>
      <c r="BB45" s="304" cm="1">
        <f t="array" ref="BB45">IF(AND(BB$2&lt;&gt;0,TblTech[[#This Row],[Hour]:[Hour]]&gt;=BB$2),1,0)</f>
        <v>0</v>
      </c>
      <c r="BC45" s="304" cm="1">
        <f t="array" ref="BC45">IF(AND(BC$2&lt;&gt;0,TblTech[[#This Row],[Hour]:[Hour]]&gt;=BC$2),1,0)</f>
        <v>0</v>
      </c>
      <c r="BD45" s="304" cm="1">
        <f t="array" ref="BD45">IF(AND(BD$2&lt;&gt;0,TblTech[[#This Row],[Hour]:[Hour]]&gt;=BD$2),1,0)</f>
        <v>0</v>
      </c>
      <c r="BE45" s="304" cm="1">
        <f t="array" ref="BE45">IF(AND(BE$2&lt;&gt;0,TblTech[[#This Row],[Hour]:[Hour]]&gt;=BE$2),1,0)</f>
        <v>0</v>
      </c>
      <c r="BF45" s="304" cm="1">
        <f t="array" ref="BF45">IF(AND(BF$2&lt;&gt;0,TblTech[[#This Row],[Hour]:[Hour]]&gt;=BF$2),1,0)</f>
        <v>0</v>
      </c>
      <c r="BG45" s="304" cm="1">
        <f t="array" ref="BG45">IF(AND(BG$2&lt;&gt;0,TblTech[[#This Row],[Hour]:[Hour]]&gt;=BG$2),1,0)</f>
        <v>0</v>
      </c>
      <c r="BH45" s="304" cm="1">
        <f t="array" ref="BH45">IF(AND(BH$2&lt;&gt;0,TblTech[[#This Row],[Hour]:[Hour]]&gt;=BH$2),1,0)</f>
        <v>0</v>
      </c>
      <c r="BI45" s="304" cm="1">
        <f t="array" ref="BI45">IF(AND(BI$2&lt;&gt;0,TblTech[[#This Row],[Hour]:[Hour]]&gt;=BI$2),1,0)</f>
        <v>0</v>
      </c>
      <c r="BJ45" s="304" cm="1">
        <f t="array" ref="BJ45">IF(AND(BJ$2&lt;&gt;0,TblTech[[#This Row],[Hour]:[Hour]]&gt;=BJ$2),1,0)</f>
        <v>0</v>
      </c>
      <c r="BK45" s="304" cm="1">
        <f t="array" ref="BK45">IF(AND(BK$2&lt;&gt;0,TblTech[[#This Row],[Hour]:[Hour]]&gt;=BK$2),1,0)</f>
        <v>0</v>
      </c>
      <c r="BL45" s="304" cm="1">
        <f t="array" ref="BL45">IF(AND(BL$2&lt;&gt;0,TblTech[[#This Row],[Hour]:[Hour]]&gt;=BL$2),1,0)</f>
        <v>0</v>
      </c>
      <c r="BM45" s="304" cm="1">
        <f t="array" ref="BM45">IF(AND(BM$2&lt;&gt;0,TblTech[[#This Row],[Hour]:[Hour]]&gt;=BM$2),1,0)</f>
        <v>0</v>
      </c>
      <c r="BN45" s="304" cm="1">
        <f t="array" ref="BN45">IF(AND(BN$2&lt;&gt;0,TblTech[[#This Row],[Hour]:[Hour]]&gt;=BN$2),1,0)</f>
        <v>0</v>
      </c>
      <c r="BO45" s="304" cm="1">
        <f t="array" ref="BO45">IF(AND(BO$2&lt;&gt;0,TblTech[[#This Row],[Hour]:[Hour]]&gt;=BO$2),1,0)</f>
        <v>0</v>
      </c>
      <c r="BP45" s="304" cm="1">
        <f t="array" ref="BP45">IF(AND(BP$2&lt;&gt;0,TblTech[[#This Row],[Hour]:[Hour]]&gt;=BP$2),1,0)</f>
        <v>0</v>
      </c>
      <c r="BQ45" s="304" cm="1">
        <f t="array" ref="BQ45">IF(AND(BQ$2&lt;&gt;0,TblTech[[#This Row],[Hour]:[Hour]]&gt;=BQ$2),1,0)</f>
        <v>0</v>
      </c>
      <c r="BR45" s="304" cm="1">
        <f t="array" ref="BR45">IF(AND(BR$2&lt;&gt;0,TblTech[[#This Row],[Hour]:[Hour]]&gt;=BR$2),1,0)</f>
        <v>0</v>
      </c>
      <c r="BS45" s="304" cm="1">
        <f t="array" ref="BS45">IF(AND(BS$2&lt;&gt;0,TblTech[[#This Row],[Hour]:[Hour]]&gt;=BS$2),1,0)</f>
        <v>0</v>
      </c>
      <c r="BT45" s="304" cm="1">
        <f t="array" ref="BT45">IF(AND(BT$2&lt;&gt;0,TblTech[[#This Row],[Hour]:[Hour]]&gt;=BT$2),1,0)</f>
        <v>0</v>
      </c>
      <c r="BU45" s="304" cm="1">
        <f t="array" ref="BU45">IF(AND(BU$2&lt;&gt;0,TblTech[[#This Row],[Hour]:[Hour]]&gt;=BU$2),1,0)</f>
        <v>0</v>
      </c>
      <c r="BV45" s="304" cm="1">
        <f t="array" ref="BV45">IF(AND(BV$2&lt;&gt;0,TblTech[[#This Row],[Hour]:[Hour]]&gt;=BV$2),1,0)</f>
        <v>0</v>
      </c>
      <c r="BW45" s="304" cm="1">
        <f t="array" ref="BW45">IF(AND(BW$2&lt;&gt;0,TblTech[[#This Row],[Hour]:[Hour]]&gt;=BW$2),1,0)</f>
        <v>0</v>
      </c>
      <c r="BX45" s="304" cm="1">
        <f t="array" ref="BX45">IF(AND(BX$2&lt;&gt;0,TblTech[[#This Row],[Hour]:[Hour]]&gt;=BX$2),1,0)</f>
        <v>0</v>
      </c>
      <c r="BY45" s="304" cm="1">
        <f t="array" ref="BY45">IF(AND(BY$2&lt;&gt;0,TblTech[[#This Row],[Hour]:[Hour]]&gt;=BY$2),1,0)</f>
        <v>0</v>
      </c>
      <c r="BZ45" s="304" cm="1">
        <f t="array" ref="BZ45">IF(AND(BZ$2&lt;&gt;0,TblTech[[#This Row],[Hour]:[Hour]]&gt;=BZ$2),1,0)</f>
        <v>0</v>
      </c>
      <c r="CA45" s="408">
        <f>IFERROR(INDEX($H$4:$H$79,MATCH(INDEX(TblTech[[#Headers],[1-1]:[11-1]],1,MATCH(TblTech[[#This Row],[Hour]],$M$2:$BZ$2,0)),$G$4:$G$79,0)),)</f>
        <v>0</v>
      </c>
    </row>
    <row r="46" spans="1:79" x14ac:dyDescent="0.2">
      <c r="A46" s="296">
        <f>TblRezone[[#This Row],[Hour]]</f>
        <v>43</v>
      </c>
      <c r="B46" s="297">
        <f ca="1">TblExplore[[#This Row],[Land-DB]]</f>
        <v>250</v>
      </c>
      <c r="C46" s="298">
        <f ca="1">TblProd[[#This Row],[Techpoints]]</f>
        <v>0</v>
      </c>
      <c r="D46" s="298">
        <f ca="1">TblProd[[#This Row],[Required]]</f>
        <v>3750</v>
      </c>
      <c r="E46" s="299"/>
      <c r="F46" s="300"/>
      <c r="G46" s="301" t="s">
        <v>602</v>
      </c>
      <c r="H46" s="302" t="s">
        <v>730</v>
      </c>
      <c r="I46" s="301" t="s">
        <v>1083</v>
      </c>
      <c r="J46" s="297"/>
      <c r="K46" s="96">
        <f ca="1">IF(TblTech[[#This Row],[Sum of tech]]&lt;&gt;OFFSET(TblTech[[#This Row],[Sum of tech]],-1,0),1,0)</f>
        <v>0</v>
      </c>
      <c r="L46" s="303">
        <f>COUNTIF(TblTech[[#This Row],[1-1]:[11-1]],1)</f>
        <v>0</v>
      </c>
      <c r="M46" s="304" cm="1">
        <f t="array" ref="M46">IF(AND(M$2&lt;&gt;0,TblTech[[#This Row],[Hour]:[Hour]]&gt;=M$2),1,0)</f>
        <v>0</v>
      </c>
      <c r="N46" s="304" cm="1">
        <f t="array" ref="N46">IF(AND(N$2&lt;&gt;0,TblTech[[#This Row],[Hour]:[Hour]]&gt;=N$2),1,0)</f>
        <v>0</v>
      </c>
      <c r="O46" s="304" cm="1">
        <f t="array" ref="O46">IF(AND(O$2&lt;&gt;0,TblTech[[#This Row],[Hour]:[Hour]]&gt;=O$2),1,0)</f>
        <v>0</v>
      </c>
      <c r="P46" s="304" cm="1">
        <f t="array" ref="P46">IF(AND(P$2&lt;&gt;0,TblTech[[#This Row],[Hour]:[Hour]]&gt;=P$2),1,0)</f>
        <v>0</v>
      </c>
      <c r="Q46" s="304" cm="1">
        <f t="array" ref="Q46">IF(AND(Q$2&lt;&gt;0,TblTech[[#This Row],[Hour]:[Hour]]&gt;=Q$2),1,0)</f>
        <v>0</v>
      </c>
      <c r="R46" s="304" cm="1">
        <f t="array" ref="R46">IF(AND(R$2&lt;&gt;0,TblTech[[#This Row],[Hour]:[Hour]]&gt;=R$2),1,0)</f>
        <v>0</v>
      </c>
      <c r="S46" s="304" cm="1">
        <f t="array" ref="S46">IF(AND(S$2&lt;&gt;0,TblTech[[#This Row],[Hour]:[Hour]]&gt;=S$2),1,0)</f>
        <v>0</v>
      </c>
      <c r="T46" s="304" cm="1">
        <f t="array" ref="T46">IF(AND(T$2&lt;&gt;0,TblTech[[#This Row],[Hour]:[Hour]]&gt;=T$2),1,0)</f>
        <v>0</v>
      </c>
      <c r="U46" s="304" cm="1">
        <f t="array" ref="U46">IF(AND(U$2&lt;&gt;0,TblTech[[#This Row],[Hour]:[Hour]]&gt;=U$2),1,0)</f>
        <v>0</v>
      </c>
      <c r="V46" s="304" cm="1">
        <f t="array" ref="V46">IF(AND(V$2&lt;&gt;0,TblTech[[#This Row],[Hour]:[Hour]]&gt;=V$2),1,0)</f>
        <v>0</v>
      </c>
      <c r="W46" s="304" cm="1">
        <f t="array" ref="W46">IF(AND(W$2&lt;&gt;0,TblTech[[#This Row],[Hour]:[Hour]]&gt;=W$2),1,0)</f>
        <v>0</v>
      </c>
      <c r="X46" s="304" cm="1">
        <f t="array" ref="X46">IF(AND(X$2&lt;&gt;0,TblTech[[#This Row],[Hour]:[Hour]]&gt;=X$2),1,0)</f>
        <v>0</v>
      </c>
      <c r="Y46" s="304" cm="1">
        <f t="array" ref="Y46">IF(AND(Y$2&lt;&gt;0,TblTech[[#This Row],[Hour]:[Hour]]&gt;=Y$2),1,0)</f>
        <v>0</v>
      </c>
      <c r="Z46" s="304" cm="1">
        <f t="array" ref="Z46">IF(AND(Z$2&lt;&gt;0,TblTech[[#This Row],[Hour]:[Hour]]&gt;=Z$2),1,0)</f>
        <v>0</v>
      </c>
      <c r="AA46" s="304" cm="1">
        <f t="array" ref="AA46">IF(AND(AA$2&lt;&gt;0,TblTech[[#This Row],[Hour]:[Hour]]&gt;=AA$2),1,0)</f>
        <v>0</v>
      </c>
      <c r="AB46" s="304" cm="1">
        <f t="array" ref="AB46">IF(AND(AB$2&lt;&gt;0,TblTech[[#This Row],[Hour]:[Hour]]&gt;=AB$2),1,0)</f>
        <v>0</v>
      </c>
      <c r="AC46" s="304" cm="1">
        <f t="array" ref="AC46">IF(AND(AC$2&lt;&gt;0,TblTech[[#This Row],[Hour]:[Hour]]&gt;=AC$2),1,0)</f>
        <v>0</v>
      </c>
      <c r="AD46" s="304" cm="1">
        <f t="array" ref="AD46">IF(AND(AD$2&lt;&gt;0,TblTech[[#This Row],[Hour]:[Hour]]&gt;=AD$2),1,0)</f>
        <v>0</v>
      </c>
      <c r="AE46" s="304" cm="1">
        <f t="array" ref="AE46">IF(AND(AE$2&lt;&gt;0,TblTech[[#This Row],[Hour]:[Hour]]&gt;=AE$2),1,0)</f>
        <v>0</v>
      </c>
      <c r="AF46" s="304" cm="1">
        <f t="array" ref="AF46">IF(AND(AF$2&lt;&gt;0,TblTech[[#This Row],[Hour]:[Hour]]&gt;=AF$2),1,0)</f>
        <v>0</v>
      </c>
      <c r="AG46" s="304" cm="1">
        <f t="array" ref="AG46">IF(AND(AG$2&lt;&gt;0,TblTech[[#This Row],[Hour]:[Hour]]&gt;=AG$2),1,0)</f>
        <v>0</v>
      </c>
      <c r="AH46" s="304" cm="1">
        <f t="array" ref="AH46">IF(AND(AH$2&lt;&gt;0,TblTech[[#This Row],[Hour]:[Hour]]&gt;=AH$2),1,0)</f>
        <v>0</v>
      </c>
      <c r="AI46" s="304" cm="1">
        <f t="array" ref="AI46">IF(AND(AI$2&lt;&gt;0,TblTech[[#This Row],[Hour]:[Hour]]&gt;=AI$2),1,0)</f>
        <v>0</v>
      </c>
      <c r="AJ46" s="304" cm="1">
        <f t="array" ref="AJ46">IF(AND(AJ$2&lt;&gt;0,TblTech[[#This Row],[Hour]:[Hour]]&gt;=AJ$2),1,0)</f>
        <v>0</v>
      </c>
      <c r="AK46" s="304" cm="1">
        <f t="array" ref="AK46">IF(AND(AK$2&lt;&gt;0,TblTech[[#This Row],[Hour]:[Hour]]&gt;=AK$2),1,0)</f>
        <v>0</v>
      </c>
      <c r="AL46" s="304" cm="1">
        <f t="array" ref="AL46">IF(AND(AL$2&lt;&gt;0,TblTech[[#This Row],[Hour]:[Hour]]&gt;=AL$2),1,0)</f>
        <v>0</v>
      </c>
      <c r="AM46" s="304" cm="1">
        <f t="array" ref="AM46">IF(AND(AM$2&lt;&gt;0,TblTech[[#This Row],[Hour]:[Hour]]&gt;=AM$2),1,0)</f>
        <v>0</v>
      </c>
      <c r="AN46" s="304" cm="1">
        <f t="array" ref="AN46">IF(AND(AN$2&lt;&gt;0,TblTech[[#This Row],[Hour]:[Hour]]&gt;=AN$2),1,0)</f>
        <v>0</v>
      </c>
      <c r="AO46" s="304" cm="1">
        <f t="array" ref="AO46">IF(AND(AO$2&lt;&gt;0,TblTech[[#This Row],[Hour]:[Hour]]&gt;=AO$2),1,0)</f>
        <v>0</v>
      </c>
      <c r="AP46" s="304" cm="1">
        <f t="array" ref="AP46">IF(AND(AP$2&lt;&gt;0,TblTech[[#This Row],[Hour]:[Hour]]&gt;=AP$2),1,0)</f>
        <v>0</v>
      </c>
      <c r="AQ46" s="304" cm="1">
        <f t="array" ref="AQ46">IF(AND(AQ$2&lt;&gt;0,TblTech[[#This Row],[Hour]:[Hour]]&gt;=AQ$2),1,0)</f>
        <v>0</v>
      </c>
      <c r="AR46" s="304" cm="1">
        <f t="array" ref="AR46">IF(AND(AR$2&lt;&gt;0,TblTech[[#This Row],[Hour]:[Hour]]&gt;=AR$2),1,0)</f>
        <v>0</v>
      </c>
      <c r="AS46" s="304" cm="1">
        <f t="array" ref="AS46">IF(AND(AS$2&lt;&gt;0,TblTech[[#This Row],[Hour]:[Hour]]&gt;=AS$2),1,0)</f>
        <v>0</v>
      </c>
      <c r="AT46" s="304" cm="1">
        <f t="array" ref="AT46">IF(AND(AT$2&lt;&gt;0,TblTech[[#This Row],[Hour]:[Hour]]&gt;=AT$2),1,0)</f>
        <v>0</v>
      </c>
      <c r="AU46" s="304" cm="1">
        <f t="array" ref="AU46">IF(AND(AU$2&lt;&gt;0,TblTech[[#This Row],[Hour]:[Hour]]&gt;=AU$2),1,0)</f>
        <v>0</v>
      </c>
      <c r="AV46" s="304" cm="1">
        <f t="array" ref="AV46">IF(AND(AV$2&lt;&gt;0,TblTech[[#This Row],[Hour]:[Hour]]&gt;=AV$2),1,0)</f>
        <v>0</v>
      </c>
      <c r="AW46" s="304" cm="1">
        <f t="array" ref="AW46">IF(AND(AW$2&lt;&gt;0,TblTech[[#This Row],[Hour]:[Hour]]&gt;=AW$2),1,0)</f>
        <v>0</v>
      </c>
      <c r="AX46" s="304" cm="1">
        <f t="array" ref="AX46">IF(AND(AX$2&lt;&gt;0,TblTech[[#This Row],[Hour]:[Hour]]&gt;=AX$2),1,0)</f>
        <v>0</v>
      </c>
      <c r="AY46" s="304" cm="1">
        <f t="array" ref="AY46">IF(AND(AY$2&lt;&gt;0,TblTech[[#This Row],[Hour]:[Hour]]&gt;=AY$2),1,0)</f>
        <v>0</v>
      </c>
      <c r="AZ46" s="304" cm="1">
        <f t="array" ref="AZ46">IF(AND(AZ$2&lt;&gt;0,TblTech[[#This Row],[Hour]:[Hour]]&gt;=AZ$2),1,0)</f>
        <v>0</v>
      </c>
      <c r="BA46" s="304" cm="1">
        <f t="array" ref="BA46">IF(AND(BA$2&lt;&gt;0,TblTech[[#This Row],[Hour]:[Hour]]&gt;=BA$2),1,0)</f>
        <v>0</v>
      </c>
      <c r="BB46" s="304" cm="1">
        <f t="array" ref="BB46">IF(AND(BB$2&lt;&gt;0,TblTech[[#This Row],[Hour]:[Hour]]&gt;=BB$2),1,0)</f>
        <v>0</v>
      </c>
      <c r="BC46" s="304" cm="1">
        <f t="array" ref="BC46">IF(AND(BC$2&lt;&gt;0,TblTech[[#This Row],[Hour]:[Hour]]&gt;=BC$2),1,0)</f>
        <v>0</v>
      </c>
      <c r="BD46" s="304" cm="1">
        <f t="array" ref="BD46">IF(AND(BD$2&lt;&gt;0,TblTech[[#This Row],[Hour]:[Hour]]&gt;=BD$2),1,0)</f>
        <v>0</v>
      </c>
      <c r="BE46" s="304" cm="1">
        <f t="array" ref="BE46">IF(AND(BE$2&lt;&gt;0,TblTech[[#This Row],[Hour]:[Hour]]&gt;=BE$2),1,0)</f>
        <v>0</v>
      </c>
      <c r="BF46" s="304" cm="1">
        <f t="array" ref="BF46">IF(AND(BF$2&lt;&gt;0,TblTech[[#This Row],[Hour]:[Hour]]&gt;=BF$2),1,0)</f>
        <v>0</v>
      </c>
      <c r="BG46" s="304" cm="1">
        <f t="array" ref="BG46">IF(AND(BG$2&lt;&gt;0,TblTech[[#This Row],[Hour]:[Hour]]&gt;=BG$2),1,0)</f>
        <v>0</v>
      </c>
      <c r="BH46" s="304" cm="1">
        <f t="array" ref="BH46">IF(AND(BH$2&lt;&gt;0,TblTech[[#This Row],[Hour]:[Hour]]&gt;=BH$2),1,0)</f>
        <v>0</v>
      </c>
      <c r="BI46" s="304" cm="1">
        <f t="array" ref="BI46">IF(AND(BI$2&lt;&gt;0,TblTech[[#This Row],[Hour]:[Hour]]&gt;=BI$2),1,0)</f>
        <v>0</v>
      </c>
      <c r="BJ46" s="304" cm="1">
        <f t="array" ref="BJ46">IF(AND(BJ$2&lt;&gt;0,TblTech[[#This Row],[Hour]:[Hour]]&gt;=BJ$2),1,0)</f>
        <v>0</v>
      </c>
      <c r="BK46" s="304" cm="1">
        <f t="array" ref="BK46">IF(AND(BK$2&lt;&gt;0,TblTech[[#This Row],[Hour]:[Hour]]&gt;=BK$2),1,0)</f>
        <v>0</v>
      </c>
      <c r="BL46" s="304" cm="1">
        <f t="array" ref="BL46">IF(AND(BL$2&lt;&gt;0,TblTech[[#This Row],[Hour]:[Hour]]&gt;=BL$2),1,0)</f>
        <v>0</v>
      </c>
      <c r="BM46" s="304" cm="1">
        <f t="array" ref="BM46">IF(AND(BM$2&lt;&gt;0,TblTech[[#This Row],[Hour]:[Hour]]&gt;=BM$2),1,0)</f>
        <v>0</v>
      </c>
      <c r="BN46" s="304" cm="1">
        <f t="array" ref="BN46">IF(AND(BN$2&lt;&gt;0,TblTech[[#This Row],[Hour]:[Hour]]&gt;=BN$2),1,0)</f>
        <v>0</v>
      </c>
      <c r="BO46" s="304" cm="1">
        <f t="array" ref="BO46">IF(AND(BO$2&lt;&gt;0,TblTech[[#This Row],[Hour]:[Hour]]&gt;=BO$2),1,0)</f>
        <v>0</v>
      </c>
      <c r="BP46" s="304" cm="1">
        <f t="array" ref="BP46">IF(AND(BP$2&lt;&gt;0,TblTech[[#This Row],[Hour]:[Hour]]&gt;=BP$2),1,0)</f>
        <v>0</v>
      </c>
      <c r="BQ46" s="304" cm="1">
        <f t="array" ref="BQ46">IF(AND(BQ$2&lt;&gt;0,TblTech[[#This Row],[Hour]:[Hour]]&gt;=BQ$2),1,0)</f>
        <v>0</v>
      </c>
      <c r="BR46" s="304" cm="1">
        <f t="array" ref="BR46">IF(AND(BR$2&lt;&gt;0,TblTech[[#This Row],[Hour]:[Hour]]&gt;=BR$2),1,0)</f>
        <v>0</v>
      </c>
      <c r="BS46" s="304" cm="1">
        <f t="array" ref="BS46">IF(AND(BS$2&lt;&gt;0,TblTech[[#This Row],[Hour]:[Hour]]&gt;=BS$2),1,0)</f>
        <v>0</v>
      </c>
      <c r="BT46" s="304" cm="1">
        <f t="array" ref="BT46">IF(AND(BT$2&lt;&gt;0,TblTech[[#This Row],[Hour]:[Hour]]&gt;=BT$2),1,0)</f>
        <v>0</v>
      </c>
      <c r="BU46" s="304" cm="1">
        <f t="array" ref="BU46">IF(AND(BU$2&lt;&gt;0,TblTech[[#This Row],[Hour]:[Hour]]&gt;=BU$2),1,0)</f>
        <v>0</v>
      </c>
      <c r="BV46" s="304" cm="1">
        <f t="array" ref="BV46">IF(AND(BV$2&lt;&gt;0,TblTech[[#This Row],[Hour]:[Hour]]&gt;=BV$2),1,0)</f>
        <v>0</v>
      </c>
      <c r="BW46" s="304" cm="1">
        <f t="array" ref="BW46">IF(AND(BW$2&lt;&gt;0,TblTech[[#This Row],[Hour]:[Hour]]&gt;=BW$2),1,0)</f>
        <v>0</v>
      </c>
      <c r="BX46" s="304" cm="1">
        <f t="array" ref="BX46">IF(AND(BX$2&lt;&gt;0,TblTech[[#This Row],[Hour]:[Hour]]&gt;=BX$2),1,0)</f>
        <v>0</v>
      </c>
      <c r="BY46" s="304" cm="1">
        <f t="array" ref="BY46">IF(AND(BY$2&lt;&gt;0,TblTech[[#This Row],[Hour]:[Hour]]&gt;=BY$2),1,0)</f>
        <v>0</v>
      </c>
      <c r="BZ46" s="304" cm="1">
        <f t="array" ref="BZ46">IF(AND(BZ$2&lt;&gt;0,TblTech[[#This Row],[Hour]:[Hour]]&gt;=BZ$2),1,0)</f>
        <v>0</v>
      </c>
      <c r="CA46" s="408">
        <f>IFERROR(INDEX($H$4:$H$79,MATCH(INDEX(TblTech[[#Headers],[1-1]:[11-1]],1,MATCH(TblTech[[#This Row],[Hour]],$M$2:$BZ$2,0)),$G$4:$G$79,0)),)</f>
        <v>0</v>
      </c>
    </row>
    <row r="47" spans="1:79" x14ac:dyDescent="0.2">
      <c r="A47" s="296">
        <f>TblRezone[[#This Row],[Hour]]</f>
        <v>44</v>
      </c>
      <c r="B47" s="297">
        <f ca="1">TblExplore[[#This Row],[Land-DB]]</f>
        <v>250</v>
      </c>
      <c r="C47" s="298">
        <f ca="1">TblProd[[#This Row],[Techpoints]]</f>
        <v>0</v>
      </c>
      <c r="D47" s="298">
        <f ca="1">TblProd[[#This Row],[Required]]</f>
        <v>3750</v>
      </c>
      <c r="E47" s="299"/>
      <c r="F47" s="300"/>
      <c r="G47" s="301" t="s">
        <v>603</v>
      </c>
      <c r="H47" s="302" t="s">
        <v>729</v>
      </c>
      <c r="I47" s="301" t="s">
        <v>761</v>
      </c>
      <c r="J47" s="297"/>
      <c r="K47" s="96">
        <f ca="1">IF(TblTech[[#This Row],[Sum of tech]]&lt;&gt;OFFSET(TblTech[[#This Row],[Sum of tech]],-1,0),1,0)</f>
        <v>0</v>
      </c>
      <c r="L47" s="303">
        <f>COUNTIF(TblTech[[#This Row],[1-1]:[11-1]],1)</f>
        <v>0</v>
      </c>
      <c r="M47" s="304" cm="1">
        <f t="array" ref="M47">IF(AND(M$2&lt;&gt;0,TblTech[[#This Row],[Hour]:[Hour]]&gt;=M$2),1,0)</f>
        <v>0</v>
      </c>
      <c r="N47" s="304" cm="1">
        <f t="array" ref="N47">IF(AND(N$2&lt;&gt;0,TblTech[[#This Row],[Hour]:[Hour]]&gt;=N$2),1,0)</f>
        <v>0</v>
      </c>
      <c r="O47" s="304" cm="1">
        <f t="array" ref="O47">IF(AND(O$2&lt;&gt;0,TblTech[[#This Row],[Hour]:[Hour]]&gt;=O$2),1,0)</f>
        <v>0</v>
      </c>
      <c r="P47" s="304" cm="1">
        <f t="array" ref="P47">IF(AND(P$2&lt;&gt;0,TblTech[[#This Row],[Hour]:[Hour]]&gt;=P$2),1,0)</f>
        <v>0</v>
      </c>
      <c r="Q47" s="304" cm="1">
        <f t="array" ref="Q47">IF(AND(Q$2&lt;&gt;0,TblTech[[#This Row],[Hour]:[Hour]]&gt;=Q$2),1,0)</f>
        <v>0</v>
      </c>
      <c r="R47" s="304" cm="1">
        <f t="array" ref="R47">IF(AND(R$2&lt;&gt;0,TblTech[[#This Row],[Hour]:[Hour]]&gt;=R$2),1,0)</f>
        <v>0</v>
      </c>
      <c r="S47" s="304" cm="1">
        <f t="array" ref="S47">IF(AND(S$2&lt;&gt;0,TblTech[[#This Row],[Hour]:[Hour]]&gt;=S$2),1,0)</f>
        <v>0</v>
      </c>
      <c r="T47" s="304" cm="1">
        <f t="array" ref="T47">IF(AND(T$2&lt;&gt;0,TblTech[[#This Row],[Hour]:[Hour]]&gt;=T$2),1,0)</f>
        <v>0</v>
      </c>
      <c r="U47" s="304" cm="1">
        <f t="array" ref="U47">IF(AND(U$2&lt;&gt;0,TblTech[[#This Row],[Hour]:[Hour]]&gt;=U$2),1,0)</f>
        <v>0</v>
      </c>
      <c r="V47" s="304" cm="1">
        <f t="array" ref="V47">IF(AND(V$2&lt;&gt;0,TblTech[[#This Row],[Hour]:[Hour]]&gt;=V$2),1,0)</f>
        <v>0</v>
      </c>
      <c r="W47" s="304" cm="1">
        <f t="array" ref="W47">IF(AND(W$2&lt;&gt;0,TblTech[[#This Row],[Hour]:[Hour]]&gt;=W$2),1,0)</f>
        <v>0</v>
      </c>
      <c r="X47" s="304" cm="1">
        <f t="array" ref="X47">IF(AND(X$2&lt;&gt;0,TblTech[[#This Row],[Hour]:[Hour]]&gt;=X$2),1,0)</f>
        <v>0</v>
      </c>
      <c r="Y47" s="304" cm="1">
        <f t="array" ref="Y47">IF(AND(Y$2&lt;&gt;0,TblTech[[#This Row],[Hour]:[Hour]]&gt;=Y$2),1,0)</f>
        <v>0</v>
      </c>
      <c r="Z47" s="304" cm="1">
        <f t="array" ref="Z47">IF(AND(Z$2&lt;&gt;0,TblTech[[#This Row],[Hour]:[Hour]]&gt;=Z$2),1,0)</f>
        <v>0</v>
      </c>
      <c r="AA47" s="304" cm="1">
        <f t="array" ref="AA47">IF(AND(AA$2&lt;&gt;0,TblTech[[#This Row],[Hour]:[Hour]]&gt;=AA$2),1,0)</f>
        <v>0</v>
      </c>
      <c r="AB47" s="304" cm="1">
        <f t="array" ref="AB47">IF(AND(AB$2&lt;&gt;0,TblTech[[#This Row],[Hour]:[Hour]]&gt;=AB$2),1,0)</f>
        <v>0</v>
      </c>
      <c r="AC47" s="304" cm="1">
        <f t="array" ref="AC47">IF(AND(AC$2&lt;&gt;0,TblTech[[#This Row],[Hour]:[Hour]]&gt;=AC$2),1,0)</f>
        <v>0</v>
      </c>
      <c r="AD47" s="304" cm="1">
        <f t="array" ref="AD47">IF(AND(AD$2&lt;&gt;0,TblTech[[#This Row],[Hour]:[Hour]]&gt;=AD$2),1,0)</f>
        <v>0</v>
      </c>
      <c r="AE47" s="304" cm="1">
        <f t="array" ref="AE47">IF(AND(AE$2&lt;&gt;0,TblTech[[#This Row],[Hour]:[Hour]]&gt;=AE$2),1,0)</f>
        <v>0</v>
      </c>
      <c r="AF47" s="304" cm="1">
        <f t="array" ref="AF47">IF(AND(AF$2&lt;&gt;0,TblTech[[#This Row],[Hour]:[Hour]]&gt;=AF$2),1,0)</f>
        <v>0</v>
      </c>
      <c r="AG47" s="304" cm="1">
        <f t="array" ref="AG47">IF(AND(AG$2&lt;&gt;0,TblTech[[#This Row],[Hour]:[Hour]]&gt;=AG$2),1,0)</f>
        <v>0</v>
      </c>
      <c r="AH47" s="304" cm="1">
        <f t="array" ref="AH47">IF(AND(AH$2&lt;&gt;0,TblTech[[#This Row],[Hour]:[Hour]]&gt;=AH$2),1,0)</f>
        <v>0</v>
      </c>
      <c r="AI47" s="304" cm="1">
        <f t="array" ref="AI47">IF(AND(AI$2&lt;&gt;0,TblTech[[#This Row],[Hour]:[Hour]]&gt;=AI$2),1,0)</f>
        <v>0</v>
      </c>
      <c r="AJ47" s="304" cm="1">
        <f t="array" ref="AJ47">IF(AND(AJ$2&lt;&gt;0,TblTech[[#This Row],[Hour]:[Hour]]&gt;=AJ$2),1,0)</f>
        <v>0</v>
      </c>
      <c r="AK47" s="304" cm="1">
        <f t="array" ref="AK47">IF(AND(AK$2&lt;&gt;0,TblTech[[#This Row],[Hour]:[Hour]]&gt;=AK$2),1,0)</f>
        <v>0</v>
      </c>
      <c r="AL47" s="304" cm="1">
        <f t="array" ref="AL47">IF(AND(AL$2&lt;&gt;0,TblTech[[#This Row],[Hour]:[Hour]]&gt;=AL$2),1,0)</f>
        <v>0</v>
      </c>
      <c r="AM47" s="304" cm="1">
        <f t="array" ref="AM47">IF(AND(AM$2&lt;&gt;0,TblTech[[#This Row],[Hour]:[Hour]]&gt;=AM$2),1,0)</f>
        <v>0</v>
      </c>
      <c r="AN47" s="304" cm="1">
        <f t="array" ref="AN47">IF(AND(AN$2&lt;&gt;0,TblTech[[#This Row],[Hour]:[Hour]]&gt;=AN$2),1,0)</f>
        <v>0</v>
      </c>
      <c r="AO47" s="304" cm="1">
        <f t="array" ref="AO47">IF(AND(AO$2&lt;&gt;0,TblTech[[#This Row],[Hour]:[Hour]]&gt;=AO$2),1,0)</f>
        <v>0</v>
      </c>
      <c r="AP47" s="304" cm="1">
        <f t="array" ref="AP47">IF(AND(AP$2&lt;&gt;0,TblTech[[#This Row],[Hour]:[Hour]]&gt;=AP$2),1,0)</f>
        <v>0</v>
      </c>
      <c r="AQ47" s="304" cm="1">
        <f t="array" ref="AQ47">IF(AND(AQ$2&lt;&gt;0,TblTech[[#This Row],[Hour]:[Hour]]&gt;=AQ$2),1,0)</f>
        <v>0</v>
      </c>
      <c r="AR47" s="304" cm="1">
        <f t="array" ref="AR47">IF(AND(AR$2&lt;&gt;0,TblTech[[#This Row],[Hour]:[Hour]]&gt;=AR$2),1,0)</f>
        <v>0</v>
      </c>
      <c r="AS47" s="304" cm="1">
        <f t="array" ref="AS47">IF(AND(AS$2&lt;&gt;0,TblTech[[#This Row],[Hour]:[Hour]]&gt;=AS$2),1,0)</f>
        <v>0</v>
      </c>
      <c r="AT47" s="304" cm="1">
        <f t="array" ref="AT47">IF(AND(AT$2&lt;&gt;0,TblTech[[#This Row],[Hour]:[Hour]]&gt;=AT$2),1,0)</f>
        <v>0</v>
      </c>
      <c r="AU47" s="304" cm="1">
        <f t="array" ref="AU47">IF(AND(AU$2&lt;&gt;0,TblTech[[#This Row],[Hour]:[Hour]]&gt;=AU$2),1,0)</f>
        <v>0</v>
      </c>
      <c r="AV47" s="304" cm="1">
        <f t="array" ref="AV47">IF(AND(AV$2&lt;&gt;0,TblTech[[#This Row],[Hour]:[Hour]]&gt;=AV$2),1,0)</f>
        <v>0</v>
      </c>
      <c r="AW47" s="304" cm="1">
        <f t="array" ref="AW47">IF(AND(AW$2&lt;&gt;0,TblTech[[#This Row],[Hour]:[Hour]]&gt;=AW$2),1,0)</f>
        <v>0</v>
      </c>
      <c r="AX47" s="304" cm="1">
        <f t="array" ref="AX47">IF(AND(AX$2&lt;&gt;0,TblTech[[#This Row],[Hour]:[Hour]]&gt;=AX$2),1,0)</f>
        <v>0</v>
      </c>
      <c r="AY47" s="304" cm="1">
        <f t="array" ref="AY47">IF(AND(AY$2&lt;&gt;0,TblTech[[#This Row],[Hour]:[Hour]]&gt;=AY$2),1,0)</f>
        <v>0</v>
      </c>
      <c r="AZ47" s="304" cm="1">
        <f t="array" ref="AZ47">IF(AND(AZ$2&lt;&gt;0,TblTech[[#This Row],[Hour]:[Hour]]&gt;=AZ$2),1,0)</f>
        <v>0</v>
      </c>
      <c r="BA47" s="304" cm="1">
        <f t="array" ref="BA47">IF(AND(BA$2&lt;&gt;0,TblTech[[#This Row],[Hour]:[Hour]]&gt;=BA$2),1,0)</f>
        <v>0</v>
      </c>
      <c r="BB47" s="304" cm="1">
        <f t="array" ref="BB47">IF(AND(BB$2&lt;&gt;0,TblTech[[#This Row],[Hour]:[Hour]]&gt;=BB$2),1,0)</f>
        <v>0</v>
      </c>
      <c r="BC47" s="304" cm="1">
        <f t="array" ref="BC47">IF(AND(BC$2&lt;&gt;0,TblTech[[#This Row],[Hour]:[Hour]]&gt;=BC$2),1,0)</f>
        <v>0</v>
      </c>
      <c r="BD47" s="304" cm="1">
        <f t="array" ref="BD47">IF(AND(BD$2&lt;&gt;0,TblTech[[#This Row],[Hour]:[Hour]]&gt;=BD$2),1,0)</f>
        <v>0</v>
      </c>
      <c r="BE47" s="304" cm="1">
        <f t="array" ref="BE47">IF(AND(BE$2&lt;&gt;0,TblTech[[#This Row],[Hour]:[Hour]]&gt;=BE$2),1,0)</f>
        <v>0</v>
      </c>
      <c r="BF47" s="304" cm="1">
        <f t="array" ref="BF47">IF(AND(BF$2&lt;&gt;0,TblTech[[#This Row],[Hour]:[Hour]]&gt;=BF$2),1,0)</f>
        <v>0</v>
      </c>
      <c r="BG47" s="304" cm="1">
        <f t="array" ref="BG47">IF(AND(BG$2&lt;&gt;0,TblTech[[#This Row],[Hour]:[Hour]]&gt;=BG$2),1,0)</f>
        <v>0</v>
      </c>
      <c r="BH47" s="304" cm="1">
        <f t="array" ref="BH47">IF(AND(BH$2&lt;&gt;0,TblTech[[#This Row],[Hour]:[Hour]]&gt;=BH$2),1,0)</f>
        <v>0</v>
      </c>
      <c r="BI47" s="304" cm="1">
        <f t="array" ref="BI47">IF(AND(BI$2&lt;&gt;0,TblTech[[#This Row],[Hour]:[Hour]]&gt;=BI$2),1,0)</f>
        <v>0</v>
      </c>
      <c r="BJ47" s="304" cm="1">
        <f t="array" ref="BJ47">IF(AND(BJ$2&lt;&gt;0,TblTech[[#This Row],[Hour]:[Hour]]&gt;=BJ$2),1,0)</f>
        <v>0</v>
      </c>
      <c r="BK47" s="304" cm="1">
        <f t="array" ref="BK47">IF(AND(BK$2&lt;&gt;0,TblTech[[#This Row],[Hour]:[Hour]]&gt;=BK$2),1,0)</f>
        <v>0</v>
      </c>
      <c r="BL47" s="304" cm="1">
        <f t="array" ref="BL47">IF(AND(BL$2&lt;&gt;0,TblTech[[#This Row],[Hour]:[Hour]]&gt;=BL$2),1,0)</f>
        <v>0</v>
      </c>
      <c r="BM47" s="304" cm="1">
        <f t="array" ref="BM47">IF(AND(BM$2&lt;&gt;0,TblTech[[#This Row],[Hour]:[Hour]]&gt;=BM$2),1,0)</f>
        <v>0</v>
      </c>
      <c r="BN47" s="304" cm="1">
        <f t="array" ref="BN47">IF(AND(BN$2&lt;&gt;0,TblTech[[#This Row],[Hour]:[Hour]]&gt;=BN$2),1,0)</f>
        <v>0</v>
      </c>
      <c r="BO47" s="304" cm="1">
        <f t="array" ref="BO47">IF(AND(BO$2&lt;&gt;0,TblTech[[#This Row],[Hour]:[Hour]]&gt;=BO$2),1,0)</f>
        <v>0</v>
      </c>
      <c r="BP47" s="304" cm="1">
        <f t="array" ref="BP47">IF(AND(BP$2&lt;&gt;0,TblTech[[#This Row],[Hour]:[Hour]]&gt;=BP$2),1,0)</f>
        <v>0</v>
      </c>
      <c r="BQ47" s="304" cm="1">
        <f t="array" ref="BQ47">IF(AND(BQ$2&lt;&gt;0,TblTech[[#This Row],[Hour]:[Hour]]&gt;=BQ$2),1,0)</f>
        <v>0</v>
      </c>
      <c r="BR47" s="304" cm="1">
        <f t="array" ref="BR47">IF(AND(BR$2&lt;&gt;0,TblTech[[#This Row],[Hour]:[Hour]]&gt;=BR$2),1,0)</f>
        <v>0</v>
      </c>
      <c r="BS47" s="304" cm="1">
        <f t="array" ref="BS47">IF(AND(BS$2&lt;&gt;0,TblTech[[#This Row],[Hour]:[Hour]]&gt;=BS$2),1,0)</f>
        <v>0</v>
      </c>
      <c r="BT47" s="304" cm="1">
        <f t="array" ref="BT47">IF(AND(BT$2&lt;&gt;0,TblTech[[#This Row],[Hour]:[Hour]]&gt;=BT$2),1,0)</f>
        <v>0</v>
      </c>
      <c r="BU47" s="304" cm="1">
        <f t="array" ref="BU47">IF(AND(BU$2&lt;&gt;0,TblTech[[#This Row],[Hour]:[Hour]]&gt;=BU$2),1,0)</f>
        <v>0</v>
      </c>
      <c r="BV47" s="304" cm="1">
        <f t="array" ref="BV47">IF(AND(BV$2&lt;&gt;0,TblTech[[#This Row],[Hour]:[Hour]]&gt;=BV$2),1,0)</f>
        <v>0</v>
      </c>
      <c r="BW47" s="304" cm="1">
        <f t="array" ref="BW47">IF(AND(BW$2&lt;&gt;0,TblTech[[#This Row],[Hour]:[Hour]]&gt;=BW$2),1,0)</f>
        <v>0</v>
      </c>
      <c r="BX47" s="304" cm="1">
        <f t="array" ref="BX47">IF(AND(BX$2&lt;&gt;0,TblTech[[#This Row],[Hour]:[Hour]]&gt;=BX$2),1,0)</f>
        <v>0</v>
      </c>
      <c r="BY47" s="304" cm="1">
        <f t="array" ref="BY47">IF(AND(BY$2&lt;&gt;0,TblTech[[#This Row],[Hour]:[Hour]]&gt;=BY$2),1,0)</f>
        <v>0</v>
      </c>
      <c r="BZ47" s="304" cm="1">
        <f t="array" ref="BZ47">IF(AND(BZ$2&lt;&gt;0,TblTech[[#This Row],[Hour]:[Hour]]&gt;=BZ$2),1,0)</f>
        <v>0</v>
      </c>
      <c r="CA47" s="408">
        <f>IFERROR(INDEX($H$4:$H$79,MATCH(INDEX(TblTech[[#Headers],[1-1]:[11-1]],1,MATCH(TblTech[[#This Row],[Hour]],$M$2:$BZ$2,0)),$G$4:$G$79,0)),)</f>
        <v>0</v>
      </c>
    </row>
    <row r="48" spans="1:79" x14ac:dyDescent="0.2">
      <c r="A48" s="296">
        <f>TblRezone[[#This Row],[Hour]]</f>
        <v>45</v>
      </c>
      <c r="B48" s="297">
        <f ca="1">TblExplore[[#This Row],[Land-DB]]</f>
        <v>250</v>
      </c>
      <c r="C48" s="298">
        <f ca="1">TblProd[[#This Row],[Techpoints]]</f>
        <v>0</v>
      </c>
      <c r="D48" s="298">
        <f ca="1">TblProd[[#This Row],[Required]]</f>
        <v>3750</v>
      </c>
      <c r="E48" s="299"/>
      <c r="F48" s="300"/>
      <c r="G48" s="301" t="s">
        <v>604</v>
      </c>
      <c r="H48" s="302" t="s">
        <v>731</v>
      </c>
      <c r="I48" s="301" t="s">
        <v>1079</v>
      </c>
      <c r="J48" s="297"/>
      <c r="K48" s="96">
        <f ca="1">IF(TblTech[[#This Row],[Sum of tech]]&lt;&gt;OFFSET(TblTech[[#This Row],[Sum of tech]],-1,0),1,0)</f>
        <v>0</v>
      </c>
      <c r="L48" s="303">
        <f>COUNTIF(TblTech[[#This Row],[1-1]:[11-1]],1)</f>
        <v>0</v>
      </c>
      <c r="M48" s="304" cm="1">
        <f t="array" ref="M48">IF(AND(M$2&lt;&gt;0,TblTech[[#This Row],[Hour]:[Hour]]&gt;=M$2),1,0)</f>
        <v>0</v>
      </c>
      <c r="N48" s="304" cm="1">
        <f t="array" ref="N48">IF(AND(N$2&lt;&gt;0,TblTech[[#This Row],[Hour]:[Hour]]&gt;=N$2),1,0)</f>
        <v>0</v>
      </c>
      <c r="O48" s="304" cm="1">
        <f t="array" ref="O48">IF(AND(O$2&lt;&gt;0,TblTech[[#This Row],[Hour]:[Hour]]&gt;=O$2),1,0)</f>
        <v>0</v>
      </c>
      <c r="P48" s="304" cm="1">
        <f t="array" ref="P48">IF(AND(P$2&lt;&gt;0,TblTech[[#This Row],[Hour]:[Hour]]&gt;=P$2),1,0)</f>
        <v>0</v>
      </c>
      <c r="Q48" s="304" cm="1">
        <f t="array" ref="Q48">IF(AND(Q$2&lt;&gt;0,TblTech[[#This Row],[Hour]:[Hour]]&gt;=Q$2),1,0)</f>
        <v>0</v>
      </c>
      <c r="R48" s="304" cm="1">
        <f t="array" ref="R48">IF(AND(R$2&lt;&gt;0,TblTech[[#This Row],[Hour]:[Hour]]&gt;=R$2),1,0)</f>
        <v>0</v>
      </c>
      <c r="S48" s="304" cm="1">
        <f t="array" ref="S48">IF(AND(S$2&lt;&gt;0,TblTech[[#This Row],[Hour]:[Hour]]&gt;=S$2),1,0)</f>
        <v>0</v>
      </c>
      <c r="T48" s="304" cm="1">
        <f t="array" ref="T48">IF(AND(T$2&lt;&gt;0,TblTech[[#This Row],[Hour]:[Hour]]&gt;=T$2),1,0)</f>
        <v>0</v>
      </c>
      <c r="U48" s="304" cm="1">
        <f t="array" ref="U48">IF(AND(U$2&lt;&gt;0,TblTech[[#This Row],[Hour]:[Hour]]&gt;=U$2),1,0)</f>
        <v>0</v>
      </c>
      <c r="V48" s="304" cm="1">
        <f t="array" ref="V48">IF(AND(V$2&lt;&gt;0,TblTech[[#This Row],[Hour]:[Hour]]&gt;=V$2),1,0)</f>
        <v>0</v>
      </c>
      <c r="W48" s="304" cm="1">
        <f t="array" ref="W48">IF(AND(W$2&lt;&gt;0,TblTech[[#This Row],[Hour]:[Hour]]&gt;=W$2),1,0)</f>
        <v>0</v>
      </c>
      <c r="X48" s="304" cm="1">
        <f t="array" ref="X48">IF(AND(X$2&lt;&gt;0,TblTech[[#This Row],[Hour]:[Hour]]&gt;=X$2),1,0)</f>
        <v>0</v>
      </c>
      <c r="Y48" s="304" cm="1">
        <f t="array" ref="Y48">IF(AND(Y$2&lt;&gt;0,TblTech[[#This Row],[Hour]:[Hour]]&gt;=Y$2),1,0)</f>
        <v>0</v>
      </c>
      <c r="Z48" s="304" cm="1">
        <f t="array" ref="Z48">IF(AND(Z$2&lt;&gt;0,TblTech[[#This Row],[Hour]:[Hour]]&gt;=Z$2),1,0)</f>
        <v>0</v>
      </c>
      <c r="AA48" s="304" cm="1">
        <f t="array" ref="AA48">IF(AND(AA$2&lt;&gt;0,TblTech[[#This Row],[Hour]:[Hour]]&gt;=AA$2),1,0)</f>
        <v>0</v>
      </c>
      <c r="AB48" s="304" cm="1">
        <f t="array" ref="AB48">IF(AND(AB$2&lt;&gt;0,TblTech[[#This Row],[Hour]:[Hour]]&gt;=AB$2),1,0)</f>
        <v>0</v>
      </c>
      <c r="AC48" s="304" cm="1">
        <f t="array" ref="AC48">IF(AND(AC$2&lt;&gt;0,TblTech[[#This Row],[Hour]:[Hour]]&gt;=AC$2),1,0)</f>
        <v>0</v>
      </c>
      <c r="AD48" s="304" cm="1">
        <f t="array" ref="AD48">IF(AND(AD$2&lt;&gt;0,TblTech[[#This Row],[Hour]:[Hour]]&gt;=AD$2),1,0)</f>
        <v>0</v>
      </c>
      <c r="AE48" s="304" cm="1">
        <f t="array" ref="AE48">IF(AND(AE$2&lt;&gt;0,TblTech[[#This Row],[Hour]:[Hour]]&gt;=AE$2),1,0)</f>
        <v>0</v>
      </c>
      <c r="AF48" s="304" cm="1">
        <f t="array" ref="AF48">IF(AND(AF$2&lt;&gt;0,TblTech[[#This Row],[Hour]:[Hour]]&gt;=AF$2),1,0)</f>
        <v>0</v>
      </c>
      <c r="AG48" s="304" cm="1">
        <f t="array" ref="AG48">IF(AND(AG$2&lt;&gt;0,TblTech[[#This Row],[Hour]:[Hour]]&gt;=AG$2),1,0)</f>
        <v>0</v>
      </c>
      <c r="AH48" s="304" cm="1">
        <f t="array" ref="AH48">IF(AND(AH$2&lt;&gt;0,TblTech[[#This Row],[Hour]:[Hour]]&gt;=AH$2),1,0)</f>
        <v>0</v>
      </c>
      <c r="AI48" s="304" cm="1">
        <f t="array" ref="AI48">IF(AND(AI$2&lt;&gt;0,TblTech[[#This Row],[Hour]:[Hour]]&gt;=AI$2),1,0)</f>
        <v>0</v>
      </c>
      <c r="AJ48" s="304" cm="1">
        <f t="array" ref="AJ48">IF(AND(AJ$2&lt;&gt;0,TblTech[[#This Row],[Hour]:[Hour]]&gt;=AJ$2),1,0)</f>
        <v>0</v>
      </c>
      <c r="AK48" s="304" cm="1">
        <f t="array" ref="AK48">IF(AND(AK$2&lt;&gt;0,TblTech[[#This Row],[Hour]:[Hour]]&gt;=AK$2),1,0)</f>
        <v>0</v>
      </c>
      <c r="AL48" s="304" cm="1">
        <f t="array" ref="AL48">IF(AND(AL$2&lt;&gt;0,TblTech[[#This Row],[Hour]:[Hour]]&gt;=AL$2),1,0)</f>
        <v>0</v>
      </c>
      <c r="AM48" s="304" cm="1">
        <f t="array" ref="AM48">IF(AND(AM$2&lt;&gt;0,TblTech[[#This Row],[Hour]:[Hour]]&gt;=AM$2),1,0)</f>
        <v>0</v>
      </c>
      <c r="AN48" s="304" cm="1">
        <f t="array" ref="AN48">IF(AND(AN$2&lt;&gt;0,TblTech[[#This Row],[Hour]:[Hour]]&gt;=AN$2),1,0)</f>
        <v>0</v>
      </c>
      <c r="AO48" s="304" cm="1">
        <f t="array" ref="AO48">IF(AND(AO$2&lt;&gt;0,TblTech[[#This Row],[Hour]:[Hour]]&gt;=AO$2),1,0)</f>
        <v>0</v>
      </c>
      <c r="AP48" s="304" cm="1">
        <f t="array" ref="AP48">IF(AND(AP$2&lt;&gt;0,TblTech[[#This Row],[Hour]:[Hour]]&gt;=AP$2),1,0)</f>
        <v>0</v>
      </c>
      <c r="AQ48" s="304" cm="1">
        <f t="array" ref="AQ48">IF(AND(AQ$2&lt;&gt;0,TblTech[[#This Row],[Hour]:[Hour]]&gt;=AQ$2),1,0)</f>
        <v>0</v>
      </c>
      <c r="AR48" s="304" cm="1">
        <f t="array" ref="AR48">IF(AND(AR$2&lt;&gt;0,TblTech[[#This Row],[Hour]:[Hour]]&gt;=AR$2),1,0)</f>
        <v>0</v>
      </c>
      <c r="AS48" s="304" cm="1">
        <f t="array" ref="AS48">IF(AND(AS$2&lt;&gt;0,TblTech[[#This Row],[Hour]:[Hour]]&gt;=AS$2),1,0)</f>
        <v>0</v>
      </c>
      <c r="AT48" s="304" cm="1">
        <f t="array" ref="AT48">IF(AND(AT$2&lt;&gt;0,TblTech[[#This Row],[Hour]:[Hour]]&gt;=AT$2),1,0)</f>
        <v>0</v>
      </c>
      <c r="AU48" s="304" cm="1">
        <f t="array" ref="AU48">IF(AND(AU$2&lt;&gt;0,TblTech[[#This Row],[Hour]:[Hour]]&gt;=AU$2),1,0)</f>
        <v>0</v>
      </c>
      <c r="AV48" s="304" cm="1">
        <f t="array" ref="AV48">IF(AND(AV$2&lt;&gt;0,TblTech[[#This Row],[Hour]:[Hour]]&gt;=AV$2),1,0)</f>
        <v>0</v>
      </c>
      <c r="AW48" s="304" cm="1">
        <f t="array" ref="AW48">IF(AND(AW$2&lt;&gt;0,TblTech[[#This Row],[Hour]:[Hour]]&gt;=AW$2),1,0)</f>
        <v>0</v>
      </c>
      <c r="AX48" s="304" cm="1">
        <f t="array" ref="AX48">IF(AND(AX$2&lt;&gt;0,TblTech[[#This Row],[Hour]:[Hour]]&gt;=AX$2),1,0)</f>
        <v>0</v>
      </c>
      <c r="AY48" s="304" cm="1">
        <f t="array" ref="AY48">IF(AND(AY$2&lt;&gt;0,TblTech[[#This Row],[Hour]:[Hour]]&gt;=AY$2),1,0)</f>
        <v>0</v>
      </c>
      <c r="AZ48" s="304" cm="1">
        <f t="array" ref="AZ48">IF(AND(AZ$2&lt;&gt;0,TblTech[[#This Row],[Hour]:[Hour]]&gt;=AZ$2),1,0)</f>
        <v>0</v>
      </c>
      <c r="BA48" s="304" cm="1">
        <f t="array" ref="BA48">IF(AND(BA$2&lt;&gt;0,TblTech[[#This Row],[Hour]:[Hour]]&gt;=BA$2),1,0)</f>
        <v>0</v>
      </c>
      <c r="BB48" s="304" cm="1">
        <f t="array" ref="BB48">IF(AND(BB$2&lt;&gt;0,TblTech[[#This Row],[Hour]:[Hour]]&gt;=BB$2),1,0)</f>
        <v>0</v>
      </c>
      <c r="BC48" s="304" cm="1">
        <f t="array" ref="BC48">IF(AND(BC$2&lt;&gt;0,TblTech[[#This Row],[Hour]:[Hour]]&gt;=BC$2),1,0)</f>
        <v>0</v>
      </c>
      <c r="BD48" s="304" cm="1">
        <f t="array" ref="BD48">IF(AND(BD$2&lt;&gt;0,TblTech[[#This Row],[Hour]:[Hour]]&gt;=BD$2),1,0)</f>
        <v>0</v>
      </c>
      <c r="BE48" s="304" cm="1">
        <f t="array" ref="BE48">IF(AND(BE$2&lt;&gt;0,TblTech[[#This Row],[Hour]:[Hour]]&gt;=BE$2),1,0)</f>
        <v>0</v>
      </c>
      <c r="BF48" s="304" cm="1">
        <f t="array" ref="BF48">IF(AND(BF$2&lt;&gt;0,TblTech[[#This Row],[Hour]:[Hour]]&gt;=BF$2),1,0)</f>
        <v>0</v>
      </c>
      <c r="BG48" s="304" cm="1">
        <f t="array" ref="BG48">IF(AND(BG$2&lt;&gt;0,TblTech[[#This Row],[Hour]:[Hour]]&gt;=BG$2),1,0)</f>
        <v>0</v>
      </c>
      <c r="BH48" s="304" cm="1">
        <f t="array" ref="BH48">IF(AND(BH$2&lt;&gt;0,TblTech[[#This Row],[Hour]:[Hour]]&gt;=BH$2),1,0)</f>
        <v>0</v>
      </c>
      <c r="BI48" s="304" cm="1">
        <f t="array" ref="BI48">IF(AND(BI$2&lt;&gt;0,TblTech[[#This Row],[Hour]:[Hour]]&gt;=BI$2),1,0)</f>
        <v>0</v>
      </c>
      <c r="BJ48" s="304" cm="1">
        <f t="array" ref="BJ48">IF(AND(BJ$2&lt;&gt;0,TblTech[[#This Row],[Hour]:[Hour]]&gt;=BJ$2),1,0)</f>
        <v>0</v>
      </c>
      <c r="BK48" s="304" cm="1">
        <f t="array" ref="BK48">IF(AND(BK$2&lt;&gt;0,TblTech[[#This Row],[Hour]:[Hour]]&gt;=BK$2),1,0)</f>
        <v>0</v>
      </c>
      <c r="BL48" s="304" cm="1">
        <f t="array" ref="BL48">IF(AND(BL$2&lt;&gt;0,TblTech[[#This Row],[Hour]:[Hour]]&gt;=BL$2),1,0)</f>
        <v>0</v>
      </c>
      <c r="BM48" s="304" cm="1">
        <f t="array" ref="BM48">IF(AND(BM$2&lt;&gt;0,TblTech[[#This Row],[Hour]:[Hour]]&gt;=BM$2),1,0)</f>
        <v>0</v>
      </c>
      <c r="BN48" s="304" cm="1">
        <f t="array" ref="BN48">IF(AND(BN$2&lt;&gt;0,TblTech[[#This Row],[Hour]:[Hour]]&gt;=BN$2),1,0)</f>
        <v>0</v>
      </c>
      <c r="BO48" s="304" cm="1">
        <f t="array" ref="BO48">IF(AND(BO$2&lt;&gt;0,TblTech[[#This Row],[Hour]:[Hour]]&gt;=BO$2),1,0)</f>
        <v>0</v>
      </c>
      <c r="BP48" s="304" cm="1">
        <f t="array" ref="BP48">IF(AND(BP$2&lt;&gt;0,TblTech[[#This Row],[Hour]:[Hour]]&gt;=BP$2),1,0)</f>
        <v>0</v>
      </c>
      <c r="BQ48" s="304" cm="1">
        <f t="array" ref="BQ48">IF(AND(BQ$2&lt;&gt;0,TblTech[[#This Row],[Hour]:[Hour]]&gt;=BQ$2),1,0)</f>
        <v>0</v>
      </c>
      <c r="BR48" s="304" cm="1">
        <f t="array" ref="BR48">IF(AND(BR$2&lt;&gt;0,TblTech[[#This Row],[Hour]:[Hour]]&gt;=BR$2),1,0)</f>
        <v>0</v>
      </c>
      <c r="BS48" s="304" cm="1">
        <f t="array" ref="BS48">IF(AND(BS$2&lt;&gt;0,TblTech[[#This Row],[Hour]:[Hour]]&gt;=BS$2),1,0)</f>
        <v>0</v>
      </c>
      <c r="BT48" s="304" cm="1">
        <f t="array" ref="BT48">IF(AND(BT$2&lt;&gt;0,TblTech[[#This Row],[Hour]:[Hour]]&gt;=BT$2),1,0)</f>
        <v>0</v>
      </c>
      <c r="BU48" s="304" cm="1">
        <f t="array" ref="BU48">IF(AND(BU$2&lt;&gt;0,TblTech[[#This Row],[Hour]:[Hour]]&gt;=BU$2),1,0)</f>
        <v>0</v>
      </c>
      <c r="BV48" s="304" cm="1">
        <f t="array" ref="BV48">IF(AND(BV$2&lt;&gt;0,TblTech[[#This Row],[Hour]:[Hour]]&gt;=BV$2),1,0)</f>
        <v>0</v>
      </c>
      <c r="BW48" s="304" cm="1">
        <f t="array" ref="BW48">IF(AND(BW$2&lt;&gt;0,TblTech[[#This Row],[Hour]:[Hour]]&gt;=BW$2),1,0)</f>
        <v>0</v>
      </c>
      <c r="BX48" s="304" cm="1">
        <f t="array" ref="BX48">IF(AND(BX$2&lt;&gt;0,TblTech[[#This Row],[Hour]:[Hour]]&gt;=BX$2),1,0)</f>
        <v>0</v>
      </c>
      <c r="BY48" s="304" cm="1">
        <f t="array" ref="BY48">IF(AND(BY$2&lt;&gt;0,TblTech[[#This Row],[Hour]:[Hour]]&gt;=BY$2),1,0)</f>
        <v>0</v>
      </c>
      <c r="BZ48" s="304" cm="1">
        <f t="array" ref="BZ48">IF(AND(BZ$2&lt;&gt;0,TblTech[[#This Row],[Hour]:[Hour]]&gt;=BZ$2),1,0)</f>
        <v>0</v>
      </c>
      <c r="CA48" s="408">
        <f>IFERROR(INDEX($H$4:$H$79,MATCH(INDEX(TblTech[[#Headers],[1-1]:[11-1]],1,MATCH(TblTech[[#This Row],[Hour]],$M$2:$BZ$2,0)),$G$4:$G$79,0)),)</f>
        <v>0</v>
      </c>
    </row>
    <row r="49" spans="1:79" x14ac:dyDescent="0.2">
      <c r="A49" s="296">
        <f>TblRezone[[#This Row],[Hour]]</f>
        <v>46</v>
      </c>
      <c r="B49" s="297">
        <f ca="1">TblExplore[[#This Row],[Land-DB]]</f>
        <v>250</v>
      </c>
      <c r="C49" s="298">
        <f ca="1">TblProd[[#This Row],[Techpoints]]</f>
        <v>0</v>
      </c>
      <c r="D49" s="298">
        <f ca="1">TblProd[[#This Row],[Required]]</f>
        <v>3750</v>
      </c>
      <c r="E49" s="299"/>
      <c r="F49" s="300"/>
      <c r="G49" s="301" t="s">
        <v>605</v>
      </c>
      <c r="H49" s="302" t="s">
        <v>732</v>
      </c>
      <c r="I49" s="301" t="s">
        <v>642</v>
      </c>
      <c r="J49" s="297"/>
      <c r="K49" s="96">
        <f ca="1">IF(TblTech[[#This Row],[Sum of tech]]&lt;&gt;OFFSET(TblTech[[#This Row],[Sum of tech]],-1,0),1,0)</f>
        <v>0</v>
      </c>
      <c r="L49" s="303">
        <f>COUNTIF(TblTech[[#This Row],[1-1]:[11-1]],1)</f>
        <v>0</v>
      </c>
      <c r="M49" s="304" cm="1">
        <f t="array" ref="M49">IF(AND(M$2&lt;&gt;0,TblTech[[#This Row],[Hour]:[Hour]]&gt;=M$2),1,0)</f>
        <v>0</v>
      </c>
      <c r="N49" s="304" cm="1">
        <f t="array" ref="N49">IF(AND(N$2&lt;&gt;0,TblTech[[#This Row],[Hour]:[Hour]]&gt;=N$2),1,0)</f>
        <v>0</v>
      </c>
      <c r="O49" s="304" cm="1">
        <f t="array" ref="O49">IF(AND(O$2&lt;&gt;0,TblTech[[#This Row],[Hour]:[Hour]]&gt;=O$2),1,0)</f>
        <v>0</v>
      </c>
      <c r="P49" s="304" cm="1">
        <f t="array" ref="P49">IF(AND(P$2&lt;&gt;0,TblTech[[#This Row],[Hour]:[Hour]]&gt;=P$2),1,0)</f>
        <v>0</v>
      </c>
      <c r="Q49" s="304" cm="1">
        <f t="array" ref="Q49">IF(AND(Q$2&lt;&gt;0,TblTech[[#This Row],[Hour]:[Hour]]&gt;=Q$2),1,0)</f>
        <v>0</v>
      </c>
      <c r="R49" s="304" cm="1">
        <f t="array" ref="R49">IF(AND(R$2&lt;&gt;0,TblTech[[#This Row],[Hour]:[Hour]]&gt;=R$2),1,0)</f>
        <v>0</v>
      </c>
      <c r="S49" s="304" cm="1">
        <f t="array" ref="S49">IF(AND(S$2&lt;&gt;0,TblTech[[#This Row],[Hour]:[Hour]]&gt;=S$2),1,0)</f>
        <v>0</v>
      </c>
      <c r="T49" s="304" cm="1">
        <f t="array" ref="T49">IF(AND(T$2&lt;&gt;0,TblTech[[#This Row],[Hour]:[Hour]]&gt;=T$2),1,0)</f>
        <v>0</v>
      </c>
      <c r="U49" s="304" cm="1">
        <f t="array" ref="U49">IF(AND(U$2&lt;&gt;0,TblTech[[#This Row],[Hour]:[Hour]]&gt;=U$2),1,0)</f>
        <v>0</v>
      </c>
      <c r="V49" s="304" cm="1">
        <f t="array" ref="V49">IF(AND(V$2&lt;&gt;0,TblTech[[#This Row],[Hour]:[Hour]]&gt;=V$2),1,0)</f>
        <v>0</v>
      </c>
      <c r="W49" s="304" cm="1">
        <f t="array" ref="W49">IF(AND(W$2&lt;&gt;0,TblTech[[#This Row],[Hour]:[Hour]]&gt;=W$2),1,0)</f>
        <v>0</v>
      </c>
      <c r="X49" s="304" cm="1">
        <f t="array" ref="X49">IF(AND(X$2&lt;&gt;0,TblTech[[#This Row],[Hour]:[Hour]]&gt;=X$2),1,0)</f>
        <v>0</v>
      </c>
      <c r="Y49" s="304" cm="1">
        <f t="array" ref="Y49">IF(AND(Y$2&lt;&gt;0,TblTech[[#This Row],[Hour]:[Hour]]&gt;=Y$2),1,0)</f>
        <v>0</v>
      </c>
      <c r="Z49" s="304" cm="1">
        <f t="array" ref="Z49">IF(AND(Z$2&lt;&gt;0,TblTech[[#This Row],[Hour]:[Hour]]&gt;=Z$2),1,0)</f>
        <v>0</v>
      </c>
      <c r="AA49" s="304" cm="1">
        <f t="array" ref="AA49">IF(AND(AA$2&lt;&gt;0,TblTech[[#This Row],[Hour]:[Hour]]&gt;=AA$2),1,0)</f>
        <v>0</v>
      </c>
      <c r="AB49" s="304" cm="1">
        <f t="array" ref="AB49">IF(AND(AB$2&lt;&gt;0,TblTech[[#This Row],[Hour]:[Hour]]&gt;=AB$2),1,0)</f>
        <v>0</v>
      </c>
      <c r="AC49" s="304" cm="1">
        <f t="array" ref="AC49">IF(AND(AC$2&lt;&gt;0,TblTech[[#This Row],[Hour]:[Hour]]&gt;=AC$2),1,0)</f>
        <v>0</v>
      </c>
      <c r="AD49" s="304" cm="1">
        <f t="array" ref="AD49">IF(AND(AD$2&lt;&gt;0,TblTech[[#This Row],[Hour]:[Hour]]&gt;=AD$2),1,0)</f>
        <v>0</v>
      </c>
      <c r="AE49" s="304" cm="1">
        <f t="array" ref="AE49">IF(AND(AE$2&lt;&gt;0,TblTech[[#This Row],[Hour]:[Hour]]&gt;=AE$2),1,0)</f>
        <v>0</v>
      </c>
      <c r="AF49" s="304" cm="1">
        <f t="array" ref="AF49">IF(AND(AF$2&lt;&gt;0,TblTech[[#This Row],[Hour]:[Hour]]&gt;=AF$2),1,0)</f>
        <v>0</v>
      </c>
      <c r="AG49" s="304" cm="1">
        <f t="array" ref="AG49">IF(AND(AG$2&lt;&gt;0,TblTech[[#This Row],[Hour]:[Hour]]&gt;=AG$2),1,0)</f>
        <v>0</v>
      </c>
      <c r="AH49" s="304" cm="1">
        <f t="array" ref="AH49">IF(AND(AH$2&lt;&gt;0,TblTech[[#This Row],[Hour]:[Hour]]&gt;=AH$2),1,0)</f>
        <v>0</v>
      </c>
      <c r="AI49" s="304" cm="1">
        <f t="array" ref="AI49">IF(AND(AI$2&lt;&gt;0,TblTech[[#This Row],[Hour]:[Hour]]&gt;=AI$2),1,0)</f>
        <v>0</v>
      </c>
      <c r="AJ49" s="304" cm="1">
        <f t="array" ref="AJ49">IF(AND(AJ$2&lt;&gt;0,TblTech[[#This Row],[Hour]:[Hour]]&gt;=AJ$2),1,0)</f>
        <v>0</v>
      </c>
      <c r="AK49" s="304" cm="1">
        <f t="array" ref="AK49">IF(AND(AK$2&lt;&gt;0,TblTech[[#This Row],[Hour]:[Hour]]&gt;=AK$2),1,0)</f>
        <v>0</v>
      </c>
      <c r="AL49" s="304" cm="1">
        <f t="array" ref="AL49">IF(AND(AL$2&lt;&gt;0,TblTech[[#This Row],[Hour]:[Hour]]&gt;=AL$2),1,0)</f>
        <v>0</v>
      </c>
      <c r="AM49" s="304" cm="1">
        <f t="array" ref="AM49">IF(AND(AM$2&lt;&gt;0,TblTech[[#This Row],[Hour]:[Hour]]&gt;=AM$2),1,0)</f>
        <v>0</v>
      </c>
      <c r="AN49" s="304" cm="1">
        <f t="array" ref="AN49">IF(AND(AN$2&lt;&gt;0,TblTech[[#This Row],[Hour]:[Hour]]&gt;=AN$2),1,0)</f>
        <v>0</v>
      </c>
      <c r="AO49" s="304" cm="1">
        <f t="array" ref="AO49">IF(AND(AO$2&lt;&gt;0,TblTech[[#This Row],[Hour]:[Hour]]&gt;=AO$2),1,0)</f>
        <v>0</v>
      </c>
      <c r="AP49" s="304" cm="1">
        <f t="array" ref="AP49">IF(AND(AP$2&lt;&gt;0,TblTech[[#This Row],[Hour]:[Hour]]&gt;=AP$2),1,0)</f>
        <v>0</v>
      </c>
      <c r="AQ49" s="304" cm="1">
        <f t="array" ref="AQ49">IF(AND(AQ$2&lt;&gt;0,TblTech[[#This Row],[Hour]:[Hour]]&gt;=AQ$2),1,0)</f>
        <v>0</v>
      </c>
      <c r="AR49" s="304" cm="1">
        <f t="array" ref="AR49">IF(AND(AR$2&lt;&gt;0,TblTech[[#This Row],[Hour]:[Hour]]&gt;=AR$2),1,0)</f>
        <v>0</v>
      </c>
      <c r="AS49" s="304" cm="1">
        <f t="array" ref="AS49">IF(AND(AS$2&lt;&gt;0,TblTech[[#This Row],[Hour]:[Hour]]&gt;=AS$2),1,0)</f>
        <v>0</v>
      </c>
      <c r="AT49" s="304" cm="1">
        <f t="array" ref="AT49">IF(AND(AT$2&lt;&gt;0,TblTech[[#This Row],[Hour]:[Hour]]&gt;=AT$2),1,0)</f>
        <v>0</v>
      </c>
      <c r="AU49" s="304" cm="1">
        <f t="array" ref="AU49">IF(AND(AU$2&lt;&gt;0,TblTech[[#This Row],[Hour]:[Hour]]&gt;=AU$2),1,0)</f>
        <v>0</v>
      </c>
      <c r="AV49" s="304" cm="1">
        <f t="array" ref="AV49">IF(AND(AV$2&lt;&gt;0,TblTech[[#This Row],[Hour]:[Hour]]&gt;=AV$2),1,0)</f>
        <v>0</v>
      </c>
      <c r="AW49" s="304" cm="1">
        <f t="array" ref="AW49">IF(AND(AW$2&lt;&gt;0,TblTech[[#This Row],[Hour]:[Hour]]&gt;=AW$2),1,0)</f>
        <v>0</v>
      </c>
      <c r="AX49" s="304" cm="1">
        <f t="array" ref="AX49">IF(AND(AX$2&lt;&gt;0,TblTech[[#This Row],[Hour]:[Hour]]&gt;=AX$2),1,0)</f>
        <v>0</v>
      </c>
      <c r="AY49" s="304" cm="1">
        <f t="array" ref="AY49">IF(AND(AY$2&lt;&gt;0,TblTech[[#This Row],[Hour]:[Hour]]&gt;=AY$2),1,0)</f>
        <v>0</v>
      </c>
      <c r="AZ49" s="304" cm="1">
        <f t="array" ref="AZ49">IF(AND(AZ$2&lt;&gt;0,TblTech[[#This Row],[Hour]:[Hour]]&gt;=AZ$2),1,0)</f>
        <v>0</v>
      </c>
      <c r="BA49" s="304" cm="1">
        <f t="array" ref="BA49">IF(AND(BA$2&lt;&gt;0,TblTech[[#This Row],[Hour]:[Hour]]&gt;=BA$2),1,0)</f>
        <v>0</v>
      </c>
      <c r="BB49" s="304" cm="1">
        <f t="array" ref="BB49">IF(AND(BB$2&lt;&gt;0,TblTech[[#This Row],[Hour]:[Hour]]&gt;=BB$2),1,0)</f>
        <v>0</v>
      </c>
      <c r="BC49" s="304" cm="1">
        <f t="array" ref="BC49">IF(AND(BC$2&lt;&gt;0,TblTech[[#This Row],[Hour]:[Hour]]&gt;=BC$2),1,0)</f>
        <v>0</v>
      </c>
      <c r="BD49" s="304" cm="1">
        <f t="array" ref="BD49">IF(AND(BD$2&lt;&gt;0,TblTech[[#This Row],[Hour]:[Hour]]&gt;=BD$2),1,0)</f>
        <v>0</v>
      </c>
      <c r="BE49" s="304" cm="1">
        <f t="array" ref="BE49">IF(AND(BE$2&lt;&gt;0,TblTech[[#This Row],[Hour]:[Hour]]&gt;=BE$2),1,0)</f>
        <v>0</v>
      </c>
      <c r="BF49" s="304" cm="1">
        <f t="array" ref="BF49">IF(AND(BF$2&lt;&gt;0,TblTech[[#This Row],[Hour]:[Hour]]&gt;=BF$2),1,0)</f>
        <v>0</v>
      </c>
      <c r="BG49" s="304" cm="1">
        <f t="array" ref="BG49">IF(AND(BG$2&lt;&gt;0,TblTech[[#This Row],[Hour]:[Hour]]&gt;=BG$2),1,0)</f>
        <v>0</v>
      </c>
      <c r="BH49" s="304" cm="1">
        <f t="array" ref="BH49">IF(AND(BH$2&lt;&gt;0,TblTech[[#This Row],[Hour]:[Hour]]&gt;=BH$2),1,0)</f>
        <v>0</v>
      </c>
      <c r="BI49" s="304" cm="1">
        <f t="array" ref="BI49">IF(AND(BI$2&lt;&gt;0,TblTech[[#This Row],[Hour]:[Hour]]&gt;=BI$2),1,0)</f>
        <v>0</v>
      </c>
      <c r="BJ49" s="304" cm="1">
        <f t="array" ref="BJ49">IF(AND(BJ$2&lt;&gt;0,TblTech[[#This Row],[Hour]:[Hour]]&gt;=BJ$2),1,0)</f>
        <v>0</v>
      </c>
      <c r="BK49" s="304" cm="1">
        <f t="array" ref="BK49">IF(AND(BK$2&lt;&gt;0,TblTech[[#This Row],[Hour]:[Hour]]&gt;=BK$2),1,0)</f>
        <v>0</v>
      </c>
      <c r="BL49" s="304" cm="1">
        <f t="array" ref="BL49">IF(AND(BL$2&lt;&gt;0,TblTech[[#This Row],[Hour]:[Hour]]&gt;=BL$2),1,0)</f>
        <v>0</v>
      </c>
      <c r="BM49" s="304" cm="1">
        <f t="array" ref="BM49">IF(AND(BM$2&lt;&gt;0,TblTech[[#This Row],[Hour]:[Hour]]&gt;=BM$2),1,0)</f>
        <v>0</v>
      </c>
      <c r="BN49" s="304" cm="1">
        <f t="array" ref="BN49">IF(AND(BN$2&lt;&gt;0,TblTech[[#This Row],[Hour]:[Hour]]&gt;=BN$2),1,0)</f>
        <v>0</v>
      </c>
      <c r="BO49" s="304" cm="1">
        <f t="array" ref="BO49">IF(AND(BO$2&lt;&gt;0,TblTech[[#This Row],[Hour]:[Hour]]&gt;=BO$2),1,0)</f>
        <v>0</v>
      </c>
      <c r="BP49" s="304" cm="1">
        <f t="array" ref="BP49">IF(AND(BP$2&lt;&gt;0,TblTech[[#This Row],[Hour]:[Hour]]&gt;=BP$2),1,0)</f>
        <v>0</v>
      </c>
      <c r="BQ49" s="304" cm="1">
        <f t="array" ref="BQ49">IF(AND(BQ$2&lt;&gt;0,TblTech[[#This Row],[Hour]:[Hour]]&gt;=BQ$2),1,0)</f>
        <v>0</v>
      </c>
      <c r="BR49" s="304" cm="1">
        <f t="array" ref="BR49">IF(AND(BR$2&lt;&gt;0,TblTech[[#This Row],[Hour]:[Hour]]&gt;=BR$2),1,0)</f>
        <v>0</v>
      </c>
      <c r="BS49" s="304" cm="1">
        <f t="array" ref="BS49">IF(AND(BS$2&lt;&gt;0,TblTech[[#This Row],[Hour]:[Hour]]&gt;=BS$2),1,0)</f>
        <v>0</v>
      </c>
      <c r="BT49" s="304" cm="1">
        <f t="array" ref="BT49">IF(AND(BT$2&lt;&gt;0,TblTech[[#This Row],[Hour]:[Hour]]&gt;=BT$2),1,0)</f>
        <v>0</v>
      </c>
      <c r="BU49" s="304" cm="1">
        <f t="array" ref="BU49">IF(AND(BU$2&lt;&gt;0,TblTech[[#This Row],[Hour]:[Hour]]&gt;=BU$2),1,0)</f>
        <v>0</v>
      </c>
      <c r="BV49" s="304" cm="1">
        <f t="array" ref="BV49">IF(AND(BV$2&lt;&gt;0,TblTech[[#This Row],[Hour]:[Hour]]&gt;=BV$2),1,0)</f>
        <v>0</v>
      </c>
      <c r="BW49" s="304" cm="1">
        <f t="array" ref="BW49">IF(AND(BW$2&lt;&gt;0,TblTech[[#This Row],[Hour]:[Hour]]&gt;=BW$2),1,0)</f>
        <v>0</v>
      </c>
      <c r="BX49" s="304" cm="1">
        <f t="array" ref="BX49">IF(AND(BX$2&lt;&gt;0,TblTech[[#This Row],[Hour]:[Hour]]&gt;=BX$2),1,0)</f>
        <v>0</v>
      </c>
      <c r="BY49" s="304" cm="1">
        <f t="array" ref="BY49">IF(AND(BY$2&lt;&gt;0,TblTech[[#This Row],[Hour]:[Hour]]&gt;=BY$2),1,0)</f>
        <v>0</v>
      </c>
      <c r="BZ49" s="304" cm="1">
        <f t="array" ref="BZ49">IF(AND(BZ$2&lt;&gt;0,TblTech[[#This Row],[Hour]:[Hour]]&gt;=BZ$2),1,0)</f>
        <v>0</v>
      </c>
      <c r="CA49" s="408">
        <f>IFERROR(INDEX($H$4:$H$79,MATCH(INDEX(TblTech[[#Headers],[1-1]:[11-1]],1,MATCH(TblTech[[#This Row],[Hour]],$M$2:$BZ$2,0)),$G$4:$G$79,0)),)</f>
        <v>0</v>
      </c>
    </row>
    <row r="50" spans="1:79" x14ac:dyDescent="0.2">
      <c r="A50" s="296">
        <f>TblRezone[[#This Row],[Hour]]</f>
        <v>47</v>
      </c>
      <c r="B50" s="297">
        <f ca="1">TblExplore[[#This Row],[Land-DB]]</f>
        <v>250</v>
      </c>
      <c r="C50" s="298">
        <f ca="1">TblProd[[#This Row],[Techpoints]]</f>
        <v>0</v>
      </c>
      <c r="D50" s="298">
        <f ca="1">TblProd[[#This Row],[Required]]</f>
        <v>3750</v>
      </c>
      <c r="E50" s="299"/>
      <c r="F50" s="300"/>
      <c r="G50" s="301" t="s">
        <v>606</v>
      </c>
      <c r="H50" s="302" t="s">
        <v>733</v>
      </c>
      <c r="I50" s="301" t="s">
        <v>1079</v>
      </c>
      <c r="J50" s="297"/>
      <c r="K50" s="96">
        <f ca="1">IF(TblTech[[#This Row],[Sum of tech]]&lt;&gt;OFFSET(TblTech[[#This Row],[Sum of tech]],-1,0),1,0)</f>
        <v>0</v>
      </c>
      <c r="L50" s="303">
        <f>COUNTIF(TblTech[[#This Row],[1-1]:[11-1]],1)</f>
        <v>0</v>
      </c>
      <c r="M50" s="304" cm="1">
        <f t="array" ref="M50">IF(AND(M$2&lt;&gt;0,TblTech[[#This Row],[Hour]:[Hour]]&gt;=M$2),1,0)</f>
        <v>0</v>
      </c>
      <c r="N50" s="304" cm="1">
        <f t="array" ref="N50">IF(AND(N$2&lt;&gt;0,TblTech[[#This Row],[Hour]:[Hour]]&gt;=N$2),1,0)</f>
        <v>0</v>
      </c>
      <c r="O50" s="304" cm="1">
        <f t="array" ref="O50">IF(AND(O$2&lt;&gt;0,TblTech[[#This Row],[Hour]:[Hour]]&gt;=O$2),1,0)</f>
        <v>0</v>
      </c>
      <c r="P50" s="304" cm="1">
        <f t="array" ref="P50">IF(AND(P$2&lt;&gt;0,TblTech[[#This Row],[Hour]:[Hour]]&gt;=P$2),1,0)</f>
        <v>0</v>
      </c>
      <c r="Q50" s="304" cm="1">
        <f t="array" ref="Q50">IF(AND(Q$2&lt;&gt;0,TblTech[[#This Row],[Hour]:[Hour]]&gt;=Q$2),1,0)</f>
        <v>0</v>
      </c>
      <c r="R50" s="304" cm="1">
        <f t="array" ref="R50">IF(AND(R$2&lt;&gt;0,TblTech[[#This Row],[Hour]:[Hour]]&gt;=R$2),1,0)</f>
        <v>0</v>
      </c>
      <c r="S50" s="304" cm="1">
        <f t="array" ref="S50">IF(AND(S$2&lt;&gt;0,TblTech[[#This Row],[Hour]:[Hour]]&gt;=S$2),1,0)</f>
        <v>0</v>
      </c>
      <c r="T50" s="304" cm="1">
        <f t="array" ref="T50">IF(AND(T$2&lt;&gt;0,TblTech[[#This Row],[Hour]:[Hour]]&gt;=T$2),1,0)</f>
        <v>0</v>
      </c>
      <c r="U50" s="304" cm="1">
        <f t="array" ref="U50">IF(AND(U$2&lt;&gt;0,TblTech[[#This Row],[Hour]:[Hour]]&gt;=U$2),1,0)</f>
        <v>0</v>
      </c>
      <c r="V50" s="304" cm="1">
        <f t="array" ref="V50">IF(AND(V$2&lt;&gt;0,TblTech[[#This Row],[Hour]:[Hour]]&gt;=V$2),1,0)</f>
        <v>0</v>
      </c>
      <c r="W50" s="304" cm="1">
        <f t="array" ref="W50">IF(AND(W$2&lt;&gt;0,TblTech[[#This Row],[Hour]:[Hour]]&gt;=W$2),1,0)</f>
        <v>0</v>
      </c>
      <c r="X50" s="304" cm="1">
        <f t="array" ref="X50">IF(AND(X$2&lt;&gt;0,TblTech[[#This Row],[Hour]:[Hour]]&gt;=X$2),1,0)</f>
        <v>0</v>
      </c>
      <c r="Y50" s="304" cm="1">
        <f t="array" ref="Y50">IF(AND(Y$2&lt;&gt;0,TblTech[[#This Row],[Hour]:[Hour]]&gt;=Y$2),1,0)</f>
        <v>0</v>
      </c>
      <c r="Z50" s="304" cm="1">
        <f t="array" ref="Z50">IF(AND(Z$2&lt;&gt;0,TblTech[[#This Row],[Hour]:[Hour]]&gt;=Z$2),1,0)</f>
        <v>0</v>
      </c>
      <c r="AA50" s="304" cm="1">
        <f t="array" ref="AA50">IF(AND(AA$2&lt;&gt;0,TblTech[[#This Row],[Hour]:[Hour]]&gt;=AA$2),1,0)</f>
        <v>0</v>
      </c>
      <c r="AB50" s="304" cm="1">
        <f t="array" ref="AB50">IF(AND(AB$2&lt;&gt;0,TblTech[[#This Row],[Hour]:[Hour]]&gt;=AB$2),1,0)</f>
        <v>0</v>
      </c>
      <c r="AC50" s="304" cm="1">
        <f t="array" ref="AC50">IF(AND(AC$2&lt;&gt;0,TblTech[[#This Row],[Hour]:[Hour]]&gt;=AC$2),1,0)</f>
        <v>0</v>
      </c>
      <c r="AD50" s="304" cm="1">
        <f t="array" ref="AD50">IF(AND(AD$2&lt;&gt;0,TblTech[[#This Row],[Hour]:[Hour]]&gt;=AD$2),1,0)</f>
        <v>0</v>
      </c>
      <c r="AE50" s="304" cm="1">
        <f t="array" ref="AE50">IF(AND(AE$2&lt;&gt;0,TblTech[[#This Row],[Hour]:[Hour]]&gt;=AE$2),1,0)</f>
        <v>0</v>
      </c>
      <c r="AF50" s="304" cm="1">
        <f t="array" ref="AF50">IF(AND(AF$2&lt;&gt;0,TblTech[[#This Row],[Hour]:[Hour]]&gt;=AF$2),1,0)</f>
        <v>0</v>
      </c>
      <c r="AG50" s="304" cm="1">
        <f t="array" ref="AG50">IF(AND(AG$2&lt;&gt;0,TblTech[[#This Row],[Hour]:[Hour]]&gt;=AG$2),1,0)</f>
        <v>0</v>
      </c>
      <c r="AH50" s="304" cm="1">
        <f t="array" ref="AH50">IF(AND(AH$2&lt;&gt;0,TblTech[[#This Row],[Hour]:[Hour]]&gt;=AH$2),1,0)</f>
        <v>0</v>
      </c>
      <c r="AI50" s="304" cm="1">
        <f t="array" ref="AI50">IF(AND(AI$2&lt;&gt;0,TblTech[[#This Row],[Hour]:[Hour]]&gt;=AI$2),1,0)</f>
        <v>0</v>
      </c>
      <c r="AJ50" s="304" cm="1">
        <f t="array" ref="AJ50">IF(AND(AJ$2&lt;&gt;0,TblTech[[#This Row],[Hour]:[Hour]]&gt;=AJ$2),1,0)</f>
        <v>0</v>
      </c>
      <c r="AK50" s="304" cm="1">
        <f t="array" ref="AK50">IF(AND(AK$2&lt;&gt;0,TblTech[[#This Row],[Hour]:[Hour]]&gt;=AK$2),1,0)</f>
        <v>0</v>
      </c>
      <c r="AL50" s="304" cm="1">
        <f t="array" ref="AL50">IF(AND(AL$2&lt;&gt;0,TblTech[[#This Row],[Hour]:[Hour]]&gt;=AL$2),1,0)</f>
        <v>0</v>
      </c>
      <c r="AM50" s="304" cm="1">
        <f t="array" ref="AM50">IF(AND(AM$2&lt;&gt;0,TblTech[[#This Row],[Hour]:[Hour]]&gt;=AM$2),1,0)</f>
        <v>0</v>
      </c>
      <c r="AN50" s="304" cm="1">
        <f t="array" ref="AN50">IF(AND(AN$2&lt;&gt;0,TblTech[[#This Row],[Hour]:[Hour]]&gt;=AN$2),1,0)</f>
        <v>0</v>
      </c>
      <c r="AO50" s="304" cm="1">
        <f t="array" ref="AO50">IF(AND(AO$2&lt;&gt;0,TblTech[[#This Row],[Hour]:[Hour]]&gt;=AO$2),1,0)</f>
        <v>0</v>
      </c>
      <c r="AP50" s="304" cm="1">
        <f t="array" ref="AP50">IF(AND(AP$2&lt;&gt;0,TblTech[[#This Row],[Hour]:[Hour]]&gt;=AP$2),1,0)</f>
        <v>0</v>
      </c>
      <c r="AQ50" s="304" cm="1">
        <f t="array" ref="AQ50">IF(AND(AQ$2&lt;&gt;0,TblTech[[#This Row],[Hour]:[Hour]]&gt;=AQ$2),1,0)</f>
        <v>0</v>
      </c>
      <c r="AR50" s="304" cm="1">
        <f t="array" ref="AR50">IF(AND(AR$2&lt;&gt;0,TblTech[[#This Row],[Hour]:[Hour]]&gt;=AR$2),1,0)</f>
        <v>0</v>
      </c>
      <c r="AS50" s="304" cm="1">
        <f t="array" ref="AS50">IF(AND(AS$2&lt;&gt;0,TblTech[[#This Row],[Hour]:[Hour]]&gt;=AS$2),1,0)</f>
        <v>0</v>
      </c>
      <c r="AT50" s="304" cm="1">
        <f t="array" ref="AT50">IF(AND(AT$2&lt;&gt;0,TblTech[[#This Row],[Hour]:[Hour]]&gt;=AT$2),1,0)</f>
        <v>0</v>
      </c>
      <c r="AU50" s="304" cm="1">
        <f t="array" ref="AU50">IF(AND(AU$2&lt;&gt;0,TblTech[[#This Row],[Hour]:[Hour]]&gt;=AU$2),1,0)</f>
        <v>0</v>
      </c>
      <c r="AV50" s="304" cm="1">
        <f t="array" ref="AV50">IF(AND(AV$2&lt;&gt;0,TblTech[[#This Row],[Hour]:[Hour]]&gt;=AV$2),1,0)</f>
        <v>0</v>
      </c>
      <c r="AW50" s="304" cm="1">
        <f t="array" ref="AW50">IF(AND(AW$2&lt;&gt;0,TblTech[[#This Row],[Hour]:[Hour]]&gt;=AW$2),1,0)</f>
        <v>0</v>
      </c>
      <c r="AX50" s="304" cm="1">
        <f t="array" ref="AX50">IF(AND(AX$2&lt;&gt;0,TblTech[[#This Row],[Hour]:[Hour]]&gt;=AX$2),1,0)</f>
        <v>0</v>
      </c>
      <c r="AY50" s="304" cm="1">
        <f t="array" ref="AY50">IF(AND(AY$2&lt;&gt;0,TblTech[[#This Row],[Hour]:[Hour]]&gt;=AY$2),1,0)</f>
        <v>0</v>
      </c>
      <c r="AZ50" s="304" cm="1">
        <f t="array" ref="AZ50">IF(AND(AZ$2&lt;&gt;0,TblTech[[#This Row],[Hour]:[Hour]]&gt;=AZ$2),1,0)</f>
        <v>0</v>
      </c>
      <c r="BA50" s="304" cm="1">
        <f t="array" ref="BA50">IF(AND(BA$2&lt;&gt;0,TblTech[[#This Row],[Hour]:[Hour]]&gt;=BA$2),1,0)</f>
        <v>0</v>
      </c>
      <c r="BB50" s="304" cm="1">
        <f t="array" ref="BB50">IF(AND(BB$2&lt;&gt;0,TblTech[[#This Row],[Hour]:[Hour]]&gt;=BB$2),1,0)</f>
        <v>0</v>
      </c>
      <c r="BC50" s="304" cm="1">
        <f t="array" ref="BC50">IF(AND(BC$2&lt;&gt;0,TblTech[[#This Row],[Hour]:[Hour]]&gt;=BC$2),1,0)</f>
        <v>0</v>
      </c>
      <c r="BD50" s="304" cm="1">
        <f t="array" ref="BD50">IF(AND(BD$2&lt;&gt;0,TblTech[[#This Row],[Hour]:[Hour]]&gt;=BD$2),1,0)</f>
        <v>0</v>
      </c>
      <c r="BE50" s="304" cm="1">
        <f t="array" ref="BE50">IF(AND(BE$2&lt;&gt;0,TblTech[[#This Row],[Hour]:[Hour]]&gt;=BE$2),1,0)</f>
        <v>0</v>
      </c>
      <c r="BF50" s="304" cm="1">
        <f t="array" ref="BF50">IF(AND(BF$2&lt;&gt;0,TblTech[[#This Row],[Hour]:[Hour]]&gt;=BF$2),1,0)</f>
        <v>0</v>
      </c>
      <c r="BG50" s="304" cm="1">
        <f t="array" ref="BG50">IF(AND(BG$2&lt;&gt;0,TblTech[[#This Row],[Hour]:[Hour]]&gt;=BG$2),1,0)</f>
        <v>0</v>
      </c>
      <c r="BH50" s="304" cm="1">
        <f t="array" ref="BH50">IF(AND(BH$2&lt;&gt;0,TblTech[[#This Row],[Hour]:[Hour]]&gt;=BH$2),1,0)</f>
        <v>0</v>
      </c>
      <c r="BI50" s="304" cm="1">
        <f t="array" ref="BI50">IF(AND(BI$2&lt;&gt;0,TblTech[[#This Row],[Hour]:[Hour]]&gt;=BI$2),1,0)</f>
        <v>0</v>
      </c>
      <c r="BJ50" s="304" cm="1">
        <f t="array" ref="BJ50">IF(AND(BJ$2&lt;&gt;0,TblTech[[#This Row],[Hour]:[Hour]]&gt;=BJ$2),1,0)</f>
        <v>0</v>
      </c>
      <c r="BK50" s="304" cm="1">
        <f t="array" ref="BK50">IF(AND(BK$2&lt;&gt;0,TblTech[[#This Row],[Hour]:[Hour]]&gt;=BK$2),1,0)</f>
        <v>0</v>
      </c>
      <c r="BL50" s="304" cm="1">
        <f t="array" ref="BL50">IF(AND(BL$2&lt;&gt;0,TblTech[[#This Row],[Hour]:[Hour]]&gt;=BL$2),1,0)</f>
        <v>0</v>
      </c>
      <c r="BM50" s="304" cm="1">
        <f t="array" ref="BM50">IF(AND(BM$2&lt;&gt;0,TblTech[[#This Row],[Hour]:[Hour]]&gt;=BM$2),1,0)</f>
        <v>0</v>
      </c>
      <c r="BN50" s="304" cm="1">
        <f t="array" ref="BN50">IF(AND(BN$2&lt;&gt;0,TblTech[[#This Row],[Hour]:[Hour]]&gt;=BN$2),1,0)</f>
        <v>0</v>
      </c>
      <c r="BO50" s="304" cm="1">
        <f t="array" ref="BO50">IF(AND(BO$2&lt;&gt;0,TblTech[[#This Row],[Hour]:[Hour]]&gt;=BO$2),1,0)</f>
        <v>0</v>
      </c>
      <c r="BP50" s="304" cm="1">
        <f t="array" ref="BP50">IF(AND(BP$2&lt;&gt;0,TblTech[[#This Row],[Hour]:[Hour]]&gt;=BP$2),1,0)</f>
        <v>0</v>
      </c>
      <c r="BQ50" s="304" cm="1">
        <f t="array" ref="BQ50">IF(AND(BQ$2&lt;&gt;0,TblTech[[#This Row],[Hour]:[Hour]]&gt;=BQ$2),1,0)</f>
        <v>0</v>
      </c>
      <c r="BR50" s="304" cm="1">
        <f t="array" ref="BR50">IF(AND(BR$2&lt;&gt;0,TblTech[[#This Row],[Hour]:[Hour]]&gt;=BR$2),1,0)</f>
        <v>0</v>
      </c>
      <c r="BS50" s="304" cm="1">
        <f t="array" ref="BS50">IF(AND(BS$2&lt;&gt;0,TblTech[[#This Row],[Hour]:[Hour]]&gt;=BS$2),1,0)</f>
        <v>0</v>
      </c>
      <c r="BT50" s="304" cm="1">
        <f t="array" ref="BT50">IF(AND(BT$2&lt;&gt;0,TblTech[[#This Row],[Hour]:[Hour]]&gt;=BT$2),1,0)</f>
        <v>0</v>
      </c>
      <c r="BU50" s="304" cm="1">
        <f t="array" ref="BU50">IF(AND(BU$2&lt;&gt;0,TblTech[[#This Row],[Hour]:[Hour]]&gt;=BU$2),1,0)</f>
        <v>0</v>
      </c>
      <c r="BV50" s="304" cm="1">
        <f t="array" ref="BV50">IF(AND(BV$2&lt;&gt;0,TblTech[[#This Row],[Hour]:[Hour]]&gt;=BV$2),1,0)</f>
        <v>0</v>
      </c>
      <c r="BW50" s="304" cm="1">
        <f t="array" ref="BW50">IF(AND(BW$2&lt;&gt;0,TblTech[[#This Row],[Hour]:[Hour]]&gt;=BW$2),1,0)</f>
        <v>0</v>
      </c>
      <c r="BX50" s="304" cm="1">
        <f t="array" ref="BX50">IF(AND(BX$2&lt;&gt;0,TblTech[[#This Row],[Hour]:[Hour]]&gt;=BX$2),1,0)</f>
        <v>0</v>
      </c>
      <c r="BY50" s="304" cm="1">
        <f t="array" ref="BY50">IF(AND(BY$2&lt;&gt;0,TblTech[[#This Row],[Hour]:[Hour]]&gt;=BY$2),1,0)</f>
        <v>0</v>
      </c>
      <c r="BZ50" s="304" cm="1">
        <f t="array" ref="BZ50">IF(AND(BZ$2&lt;&gt;0,TblTech[[#This Row],[Hour]:[Hour]]&gt;=BZ$2),1,0)</f>
        <v>0</v>
      </c>
      <c r="CA50" s="408">
        <f>IFERROR(INDEX($H$4:$H$79,MATCH(INDEX(TblTech[[#Headers],[1-1]:[11-1]],1,MATCH(TblTech[[#This Row],[Hour]],$M$2:$BZ$2,0)),$G$4:$G$79,0)),)</f>
        <v>0</v>
      </c>
    </row>
    <row r="51" spans="1:79" x14ac:dyDescent="0.2">
      <c r="A51" s="296">
        <f>TblRezone[[#This Row],[Hour]]</f>
        <v>48</v>
      </c>
      <c r="B51" s="297">
        <f ca="1">TblExplore[[#This Row],[Land-DB]]</f>
        <v>250</v>
      </c>
      <c r="C51" s="298">
        <f ca="1">TblProd[[#This Row],[Techpoints]]</f>
        <v>0</v>
      </c>
      <c r="D51" s="298">
        <f ca="1">TblProd[[#This Row],[Required]]</f>
        <v>3750</v>
      </c>
      <c r="E51" s="299"/>
      <c r="F51" s="300"/>
      <c r="G51" s="301" t="s">
        <v>607</v>
      </c>
      <c r="H51" s="302" t="s">
        <v>400</v>
      </c>
      <c r="I51" s="301" t="s">
        <v>1084</v>
      </c>
      <c r="J51" s="297"/>
      <c r="K51" s="96">
        <f ca="1">IF(TblTech[[#This Row],[Sum of tech]]&lt;&gt;OFFSET(TblTech[[#This Row],[Sum of tech]],-1,0),1,0)</f>
        <v>0</v>
      </c>
      <c r="L51" s="303">
        <f>COUNTIF(TblTech[[#This Row],[1-1]:[11-1]],1)</f>
        <v>0</v>
      </c>
      <c r="M51" s="304" cm="1">
        <f t="array" ref="M51">IF(AND(M$2&lt;&gt;0,TblTech[[#This Row],[Hour]:[Hour]]&gt;=M$2),1,0)</f>
        <v>0</v>
      </c>
      <c r="N51" s="304" cm="1">
        <f t="array" ref="N51">IF(AND(N$2&lt;&gt;0,TblTech[[#This Row],[Hour]:[Hour]]&gt;=N$2),1,0)</f>
        <v>0</v>
      </c>
      <c r="O51" s="304" cm="1">
        <f t="array" ref="O51">IF(AND(O$2&lt;&gt;0,TblTech[[#This Row],[Hour]:[Hour]]&gt;=O$2),1,0)</f>
        <v>0</v>
      </c>
      <c r="P51" s="304" cm="1">
        <f t="array" ref="P51">IF(AND(P$2&lt;&gt;0,TblTech[[#This Row],[Hour]:[Hour]]&gt;=P$2),1,0)</f>
        <v>0</v>
      </c>
      <c r="Q51" s="304" cm="1">
        <f t="array" ref="Q51">IF(AND(Q$2&lt;&gt;0,TblTech[[#This Row],[Hour]:[Hour]]&gt;=Q$2),1,0)</f>
        <v>0</v>
      </c>
      <c r="R51" s="304" cm="1">
        <f t="array" ref="R51">IF(AND(R$2&lt;&gt;0,TblTech[[#This Row],[Hour]:[Hour]]&gt;=R$2),1,0)</f>
        <v>0</v>
      </c>
      <c r="S51" s="304" cm="1">
        <f t="array" ref="S51">IF(AND(S$2&lt;&gt;0,TblTech[[#This Row],[Hour]:[Hour]]&gt;=S$2),1,0)</f>
        <v>0</v>
      </c>
      <c r="T51" s="304" cm="1">
        <f t="array" ref="T51">IF(AND(T$2&lt;&gt;0,TblTech[[#This Row],[Hour]:[Hour]]&gt;=T$2),1,0)</f>
        <v>0</v>
      </c>
      <c r="U51" s="304" cm="1">
        <f t="array" ref="U51">IF(AND(U$2&lt;&gt;0,TblTech[[#This Row],[Hour]:[Hour]]&gt;=U$2),1,0)</f>
        <v>0</v>
      </c>
      <c r="V51" s="304" cm="1">
        <f t="array" ref="V51">IF(AND(V$2&lt;&gt;0,TblTech[[#This Row],[Hour]:[Hour]]&gt;=V$2),1,0)</f>
        <v>0</v>
      </c>
      <c r="W51" s="304" cm="1">
        <f t="array" ref="W51">IF(AND(W$2&lt;&gt;0,TblTech[[#This Row],[Hour]:[Hour]]&gt;=W$2),1,0)</f>
        <v>0</v>
      </c>
      <c r="X51" s="304" cm="1">
        <f t="array" ref="X51">IF(AND(X$2&lt;&gt;0,TblTech[[#This Row],[Hour]:[Hour]]&gt;=X$2),1,0)</f>
        <v>0</v>
      </c>
      <c r="Y51" s="304" cm="1">
        <f t="array" ref="Y51">IF(AND(Y$2&lt;&gt;0,TblTech[[#This Row],[Hour]:[Hour]]&gt;=Y$2),1,0)</f>
        <v>0</v>
      </c>
      <c r="Z51" s="304" cm="1">
        <f t="array" ref="Z51">IF(AND(Z$2&lt;&gt;0,TblTech[[#This Row],[Hour]:[Hour]]&gt;=Z$2),1,0)</f>
        <v>0</v>
      </c>
      <c r="AA51" s="304" cm="1">
        <f t="array" ref="AA51">IF(AND(AA$2&lt;&gt;0,TblTech[[#This Row],[Hour]:[Hour]]&gt;=AA$2),1,0)</f>
        <v>0</v>
      </c>
      <c r="AB51" s="304" cm="1">
        <f t="array" ref="AB51">IF(AND(AB$2&lt;&gt;0,TblTech[[#This Row],[Hour]:[Hour]]&gt;=AB$2),1,0)</f>
        <v>0</v>
      </c>
      <c r="AC51" s="304" cm="1">
        <f t="array" ref="AC51">IF(AND(AC$2&lt;&gt;0,TblTech[[#This Row],[Hour]:[Hour]]&gt;=AC$2),1,0)</f>
        <v>0</v>
      </c>
      <c r="AD51" s="304" cm="1">
        <f t="array" ref="AD51">IF(AND(AD$2&lt;&gt;0,TblTech[[#This Row],[Hour]:[Hour]]&gt;=AD$2),1,0)</f>
        <v>0</v>
      </c>
      <c r="AE51" s="304" cm="1">
        <f t="array" ref="AE51">IF(AND(AE$2&lt;&gt;0,TblTech[[#This Row],[Hour]:[Hour]]&gt;=AE$2),1,0)</f>
        <v>0</v>
      </c>
      <c r="AF51" s="304" cm="1">
        <f t="array" ref="AF51">IF(AND(AF$2&lt;&gt;0,TblTech[[#This Row],[Hour]:[Hour]]&gt;=AF$2),1,0)</f>
        <v>0</v>
      </c>
      <c r="AG51" s="304" cm="1">
        <f t="array" ref="AG51">IF(AND(AG$2&lt;&gt;0,TblTech[[#This Row],[Hour]:[Hour]]&gt;=AG$2),1,0)</f>
        <v>0</v>
      </c>
      <c r="AH51" s="304" cm="1">
        <f t="array" ref="AH51">IF(AND(AH$2&lt;&gt;0,TblTech[[#This Row],[Hour]:[Hour]]&gt;=AH$2),1,0)</f>
        <v>0</v>
      </c>
      <c r="AI51" s="304" cm="1">
        <f t="array" ref="AI51">IF(AND(AI$2&lt;&gt;0,TblTech[[#This Row],[Hour]:[Hour]]&gt;=AI$2),1,0)</f>
        <v>0</v>
      </c>
      <c r="AJ51" s="304" cm="1">
        <f t="array" ref="AJ51">IF(AND(AJ$2&lt;&gt;0,TblTech[[#This Row],[Hour]:[Hour]]&gt;=AJ$2),1,0)</f>
        <v>0</v>
      </c>
      <c r="AK51" s="304" cm="1">
        <f t="array" ref="AK51">IF(AND(AK$2&lt;&gt;0,TblTech[[#This Row],[Hour]:[Hour]]&gt;=AK$2),1,0)</f>
        <v>0</v>
      </c>
      <c r="AL51" s="304" cm="1">
        <f t="array" ref="AL51">IF(AND(AL$2&lt;&gt;0,TblTech[[#This Row],[Hour]:[Hour]]&gt;=AL$2),1,0)</f>
        <v>0</v>
      </c>
      <c r="AM51" s="304" cm="1">
        <f t="array" ref="AM51">IF(AND(AM$2&lt;&gt;0,TblTech[[#This Row],[Hour]:[Hour]]&gt;=AM$2),1,0)</f>
        <v>0</v>
      </c>
      <c r="AN51" s="304" cm="1">
        <f t="array" ref="AN51">IF(AND(AN$2&lt;&gt;0,TblTech[[#This Row],[Hour]:[Hour]]&gt;=AN$2),1,0)</f>
        <v>0</v>
      </c>
      <c r="AO51" s="304" cm="1">
        <f t="array" ref="AO51">IF(AND(AO$2&lt;&gt;0,TblTech[[#This Row],[Hour]:[Hour]]&gt;=AO$2),1,0)</f>
        <v>0</v>
      </c>
      <c r="AP51" s="304" cm="1">
        <f t="array" ref="AP51">IF(AND(AP$2&lt;&gt;0,TblTech[[#This Row],[Hour]:[Hour]]&gt;=AP$2),1,0)</f>
        <v>0</v>
      </c>
      <c r="AQ51" s="304" cm="1">
        <f t="array" ref="AQ51">IF(AND(AQ$2&lt;&gt;0,TblTech[[#This Row],[Hour]:[Hour]]&gt;=AQ$2),1,0)</f>
        <v>0</v>
      </c>
      <c r="AR51" s="304" cm="1">
        <f t="array" ref="AR51">IF(AND(AR$2&lt;&gt;0,TblTech[[#This Row],[Hour]:[Hour]]&gt;=AR$2),1,0)</f>
        <v>0</v>
      </c>
      <c r="AS51" s="304" cm="1">
        <f t="array" ref="AS51">IF(AND(AS$2&lt;&gt;0,TblTech[[#This Row],[Hour]:[Hour]]&gt;=AS$2),1,0)</f>
        <v>0</v>
      </c>
      <c r="AT51" s="304" cm="1">
        <f t="array" ref="AT51">IF(AND(AT$2&lt;&gt;0,TblTech[[#This Row],[Hour]:[Hour]]&gt;=AT$2),1,0)</f>
        <v>0</v>
      </c>
      <c r="AU51" s="304" cm="1">
        <f t="array" ref="AU51">IF(AND(AU$2&lt;&gt;0,TblTech[[#This Row],[Hour]:[Hour]]&gt;=AU$2),1,0)</f>
        <v>0</v>
      </c>
      <c r="AV51" s="304" cm="1">
        <f t="array" ref="AV51">IF(AND(AV$2&lt;&gt;0,TblTech[[#This Row],[Hour]:[Hour]]&gt;=AV$2),1,0)</f>
        <v>0</v>
      </c>
      <c r="AW51" s="304" cm="1">
        <f t="array" ref="AW51">IF(AND(AW$2&lt;&gt;0,TblTech[[#This Row],[Hour]:[Hour]]&gt;=AW$2),1,0)</f>
        <v>0</v>
      </c>
      <c r="AX51" s="304" cm="1">
        <f t="array" ref="AX51">IF(AND(AX$2&lt;&gt;0,TblTech[[#This Row],[Hour]:[Hour]]&gt;=AX$2),1,0)</f>
        <v>0</v>
      </c>
      <c r="AY51" s="304" cm="1">
        <f t="array" ref="AY51">IF(AND(AY$2&lt;&gt;0,TblTech[[#This Row],[Hour]:[Hour]]&gt;=AY$2),1,0)</f>
        <v>0</v>
      </c>
      <c r="AZ51" s="304" cm="1">
        <f t="array" ref="AZ51">IF(AND(AZ$2&lt;&gt;0,TblTech[[#This Row],[Hour]:[Hour]]&gt;=AZ$2),1,0)</f>
        <v>0</v>
      </c>
      <c r="BA51" s="304" cm="1">
        <f t="array" ref="BA51">IF(AND(BA$2&lt;&gt;0,TblTech[[#This Row],[Hour]:[Hour]]&gt;=BA$2),1,0)</f>
        <v>0</v>
      </c>
      <c r="BB51" s="304" cm="1">
        <f t="array" ref="BB51">IF(AND(BB$2&lt;&gt;0,TblTech[[#This Row],[Hour]:[Hour]]&gt;=BB$2),1,0)</f>
        <v>0</v>
      </c>
      <c r="BC51" s="304" cm="1">
        <f t="array" ref="BC51">IF(AND(BC$2&lt;&gt;0,TblTech[[#This Row],[Hour]:[Hour]]&gt;=BC$2),1,0)</f>
        <v>0</v>
      </c>
      <c r="BD51" s="304" cm="1">
        <f t="array" ref="BD51">IF(AND(BD$2&lt;&gt;0,TblTech[[#This Row],[Hour]:[Hour]]&gt;=BD$2),1,0)</f>
        <v>0</v>
      </c>
      <c r="BE51" s="304" cm="1">
        <f t="array" ref="BE51">IF(AND(BE$2&lt;&gt;0,TblTech[[#This Row],[Hour]:[Hour]]&gt;=BE$2),1,0)</f>
        <v>0</v>
      </c>
      <c r="BF51" s="304" cm="1">
        <f t="array" ref="BF51">IF(AND(BF$2&lt;&gt;0,TblTech[[#This Row],[Hour]:[Hour]]&gt;=BF$2),1,0)</f>
        <v>0</v>
      </c>
      <c r="BG51" s="304" cm="1">
        <f t="array" ref="BG51">IF(AND(BG$2&lt;&gt;0,TblTech[[#This Row],[Hour]:[Hour]]&gt;=BG$2),1,0)</f>
        <v>0</v>
      </c>
      <c r="BH51" s="304" cm="1">
        <f t="array" ref="BH51">IF(AND(BH$2&lt;&gt;0,TblTech[[#This Row],[Hour]:[Hour]]&gt;=BH$2),1,0)</f>
        <v>0</v>
      </c>
      <c r="BI51" s="304" cm="1">
        <f t="array" ref="BI51">IF(AND(BI$2&lt;&gt;0,TblTech[[#This Row],[Hour]:[Hour]]&gt;=BI$2),1,0)</f>
        <v>0</v>
      </c>
      <c r="BJ51" s="304" cm="1">
        <f t="array" ref="BJ51">IF(AND(BJ$2&lt;&gt;0,TblTech[[#This Row],[Hour]:[Hour]]&gt;=BJ$2),1,0)</f>
        <v>0</v>
      </c>
      <c r="BK51" s="304" cm="1">
        <f t="array" ref="BK51">IF(AND(BK$2&lt;&gt;0,TblTech[[#This Row],[Hour]:[Hour]]&gt;=BK$2),1,0)</f>
        <v>0</v>
      </c>
      <c r="BL51" s="304" cm="1">
        <f t="array" ref="BL51">IF(AND(BL$2&lt;&gt;0,TblTech[[#This Row],[Hour]:[Hour]]&gt;=BL$2),1,0)</f>
        <v>0</v>
      </c>
      <c r="BM51" s="304" cm="1">
        <f t="array" ref="BM51">IF(AND(BM$2&lt;&gt;0,TblTech[[#This Row],[Hour]:[Hour]]&gt;=BM$2),1,0)</f>
        <v>0</v>
      </c>
      <c r="BN51" s="304" cm="1">
        <f t="array" ref="BN51">IF(AND(BN$2&lt;&gt;0,TblTech[[#This Row],[Hour]:[Hour]]&gt;=BN$2),1,0)</f>
        <v>0</v>
      </c>
      <c r="BO51" s="304" cm="1">
        <f t="array" ref="BO51">IF(AND(BO$2&lt;&gt;0,TblTech[[#This Row],[Hour]:[Hour]]&gt;=BO$2),1,0)</f>
        <v>0</v>
      </c>
      <c r="BP51" s="304" cm="1">
        <f t="array" ref="BP51">IF(AND(BP$2&lt;&gt;0,TblTech[[#This Row],[Hour]:[Hour]]&gt;=BP$2),1,0)</f>
        <v>0</v>
      </c>
      <c r="BQ51" s="304" cm="1">
        <f t="array" ref="BQ51">IF(AND(BQ$2&lt;&gt;0,TblTech[[#This Row],[Hour]:[Hour]]&gt;=BQ$2),1,0)</f>
        <v>0</v>
      </c>
      <c r="BR51" s="304" cm="1">
        <f t="array" ref="BR51">IF(AND(BR$2&lt;&gt;0,TblTech[[#This Row],[Hour]:[Hour]]&gt;=BR$2),1,0)</f>
        <v>0</v>
      </c>
      <c r="BS51" s="304" cm="1">
        <f t="array" ref="BS51">IF(AND(BS$2&lt;&gt;0,TblTech[[#This Row],[Hour]:[Hour]]&gt;=BS$2),1,0)</f>
        <v>0</v>
      </c>
      <c r="BT51" s="304" cm="1">
        <f t="array" ref="BT51">IF(AND(BT$2&lt;&gt;0,TblTech[[#This Row],[Hour]:[Hour]]&gt;=BT$2),1,0)</f>
        <v>0</v>
      </c>
      <c r="BU51" s="304" cm="1">
        <f t="array" ref="BU51">IF(AND(BU$2&lt;&gt;0,TblTech[[#This Row],[Hour]:[Hour]]&gt;=BU$2),1,0)</f>
        <v>0</v>
      </c>
      <c r="BV51" s="304" cm="1">
        <f t="array" ref="BV51">IF(AND(BV$2&lt;&gt;0,TblTech[[#This Row],[Hour]:[Hour]]&gt;=BV$2),1,0)</f>
        <v>0</v>
      </c>
      <c r="BW51" s="304" cm="1">
        <f t="array" ref="BW51">IF(AND(BW$2&lt;&gt;0,TblTech[[#This Row],[Hour]:[Hour]]&gt;=BW$2),1,0)</f>
        <v>0</v>
      </c>
      <c r="BX51" s="304" cm="1">
        <f t="array" ref="BX51">IF(AND(BX$2&lt;&gt;0,TblTech[[#This Row],[Hour]:[Hour]]&gt;=BX$2),1,0)</f>
        <v>0</v>
      </c>
      <c r="BY51" s="304" cm="1">
        <f t="array" ref="BY51">IF(AND(BY$2&lt;&gt;0,TblTech[[#This Row],[Hour]:[Hour]]&gt;=BY$2),1,0)</f>
        <v>0</v>
      </c>
      <c r="BZ51" s="304" cm="1">
        <f t="array" ref="BZ51">IF(AND(BZ$2&lt;&gt;0,TblTech[[#This Row],[Hour]:[Hour]]&gt;=BZ$2),1,0)</f>
        <v>0</v>
      </c>
      <c r="CA51" s="408">
        <f>IFERROR(INDEX($H$4:$H$79,MATCH(INDEX(TblTech[[#Headers],[1-1]:[11-1]],1,MATCH(TblTech[[#This Row],[Hour]],$M$2:$BZ$2,0)),$G$4:$G$79,0)),)</f>
        <v>0</v>
      </c>
    </row>
    <row r="52" spans="1:79" x14ac:dyDescent="0.2">
      <c r="A52" s="296">
        <f>TblRezone[[#This Row],[Hour]]</f>
        <v>49</v>
      </c>
      <c r="B52" s="297">
        <f ca="1">TblExplore[[#This Row],[Land-DB]]</f>
        <v>250</v>
      </c>
      <c r="C52" s="298">
        <f ca="1">TblProd[[#This Row],[Techpoints]]</f>
        <v>0</v>
      </c>
      <c r="D52" s="298">
        <f ca="1">TblProd[[#This Row],[Required]]</f>
        <v>3750</v>
      </c>
      <c r="E52" s="299"/>
      <c r="F52" s="300"/>
      <c r="G52" s="301" t="s">
        <v>608</v>
      </c>
      <c r="H52" s="302" t="s">
        <v>735</v>
      </c>
      <c r="I52" s="301" t="s">
        <v>643</v>
      </c>
      <c r="J52" s="297"/>
      <c r="K52" s="96">
        <f ca="1">IF(TblTech[[#This Row],[Sum of tech]]&lt;&gt;OFFSET(TblTech[[#This Row],[Sum of tech]],-1,0),1,0)</f>
        <v>0</v>
      </c>
      <c r="L52" s="303">
        <f>COUNTIF(TblTech[[#This Row],[1-1]:[11-1]],1)</f>
        <v>0</v>
      </c>
      <c r="M52" s="304" cm="1">
        <f t="array" ref="M52">IF(AND(M$2&lt;&gt;0,TblTech[[#This Row],[Hour]:[Hour]]&gt;=M$2),1,0)</f>
        <v>0</v>
      </c>
      <c r="N52" s="304" cm="1">
        <f t="array" ref="N52">IF(AND(N$2&lt;&gt;0,TblTech[[#This Row],[Hour]:[Hour]]&gt;=N$2),1,0)</f>
        <v>0</v>
      </c>
      <c r="O52" s="304" cm="1">
        <f t="array" ref="O52">IF(AND(O$2&lt;&gt;0,TblTech[[#This Row],[Hour]:[Hour]]&gt;=O$2),1,0)</f>
        <v>0</v>
      </c>
      <c r="P52" s="304" cm="1">
        <f t="array" ref="P52">IF(AND(P$2&lt;&gt;0,TblTech[[#This Row],[Hour]:[Hour]]&gt;=P$2),1,0)</f>
        <v>0</v>
      </c>
      <c r="Q52" s="304" cm="1">
        <f t="array" ref="Q52">IF(AND(Q$2&lt;&gt;0,TblTech[[#This Row],[Hour]:[Hour]]&gt;=Q$2),1,0)</f>
        <v>0</v>
      </c>
      <c r="R52" s="304" cm="1">
        <f t="array" ref="R52">IF(AND(R$2&lt;&gt;0,TblTech[[#This Row],[Hour]:[Hour]]&gt;=R$2),1,0)</f>
        <v>0</v>
      </c>
      <c r="S52" s="304" cm="1">
        <f t="array" ref="S52">IF(AND(S$2&lt;&gt;0,TblTech[[#This Row],[Hour]:[Hour]]&gt;=S$2),1,0)</f>
        <v>0</v>
      </c>
      <c r="T52" s="304" cm="1">
        <f t="array" ref="T52">IF(AND(T$2&lt;&gt;0,TblTech[[#This Row],[Hour]:[Hour]]&gt;=T$2),1,0)</f>
        <v>0</v>
      </c>
      <c r="U52" s="304" cm="1">
        <f t="array" ref="U52">IF(AND(U$2&lt;&gt;0,TblTech[[#This Row],[Hour]:[Hour]]&gt;=U$2),1,0)</f>
        <v>0</v>
      </c>
      <c r="V52" s="304" cm="1">
        <f t="array" ref="V52">IF(AND(V$2&lt;&gt;0,TblTech[[#This Row],[Hour]:[Hour]]&gt;=V$2),1,0)</f>
        <v>0</v>
      </c>
      <c r="W52" s="304" cm="1">
        <f t="array" ref="W52">IF(AND(W$2&lt;&gt;0,TblTech[[#This Row],[Hour]:[Hour]]&gt;=W$2),1,0)</f>
        <v>0</v>
      </c>
      <c r="X52" s="304" cm="1">
        <f t="array" ref="X52">IF(AND(X$2&lt;&gt;0,TblTech[[#This Row],[Hour]:[Hour]]&gt;=X$2),1,0)</f>
        <v>0</v>
      </c>
      <c r="Y52" s="304" cm="1">
        <f t="array" ref="Y52">IF(AND(Y$2&lt;&gt;0,TblTech[[#This Row],[Hour]:[Hour]]&gt;=Y$2),1,0)</f>
        <v>0</v>
      </c>
      <c r="Z52" s="304" cm="1">
        <f t="array" ref="Z52">IF(AND(Z$2&lt;&gt;0,TblTech[[#This Row],[Hour]:[Hour]]&gt;=Z$2),1,0)</f>
        <v>0</v>
      </c>
      <c r="AA52" s="304" cm="1">
        <f t="array" ref="AA52">IF(AND(AA$2&lt;&gt;0,TblTech[[#This Row],[Hour]:[Hour]]&gt;=AA$2),1,0)</f>
        <v>0</v>
      </c>
      <c r="AB52" s="304" cm="1">
        <f t="array" ref="AB52">IF(AND(AB$2&lt;&gt;0,TblTech[[#This Row],[Hour]:[Hour]]&gt;=AB$2),1,0)</f>
        <v>0</v>
      </c>
      <c r="AC52" s="304" cm="1">
        <f t="array" ref="AC52">IF(AND(AC$2&lt;&gt;0,TblTech[[#This Row],[Hour]:[Hour]]&gt;=AC$2),1,0)</f>
        <v>0</v>
      </c>
      <c r="AD52" s="304" cm="1">
        <f t="array" ref="AD52">IF(AND(AD$2&lt;&gt;0,TblTech[[#This Row],[Hour]:[Hour]]&gt;=AD$2),1,0)</f>
        <v>0</v>
      </c>
      <c r="AE52" s="304" cm="1">
        <f t="array" ref="AE52">IF(AND(AE$2&lt;&gt;0,TblTech[[#This Row],[Hour]:[Hour]]&gt;=AE$2),1,0)</f>
        <v>0</v>
      </c>
      <c r="AF52" s="304" cm="1">
        <f t="array" ref="AF52">IF(AND(AF$2&lt;&gt;0,TblTech[[#This Row],[Hour]:[Hour]]&gt;=AF$2),1,0)</f>
        <v>0</v>
      </c>
      <c r="AG52" s="304" cm="1">
        <f t="array" ref="AG52">IF(AND(AG$2&lt;&gt;0,TblTech[[#This Row],[Hour]:[Hour]]&gt;=AG$2),1,0)</f>
        <v>0</v>
      </c>
      <c r="AH52" s="304" cm="1">
        <f t="array" ref="AH52">IF(AND(AH$2&lt;&gt;0,TblTech[[#This Row],[Hour]:[Hour]]&gt;=AH$2),1,0)</f>
        <v>0</v>
      </c>
      <c r="AI52" s="304" cm="1">
        <f t="array" ref="AI52">IF(AND(AI$2&lt;&gt;0,TblTech[[#This Row],[Hour]:[Hour]]&gt;=AI$2),1,0)</f>
        <v>0</v>
      </c>
      <c r="AJ52" s="304" cm="1">
        <f t="array" ref="AJ52">IF(AND(AJ$2&lt;&gt;0,TblTech[[#This Row],[Hour]:[Hour]]&gt;=AJ$2),1,0)</f>
        <v>0</v>
      </c>
      <c r="AK52" s="304" cm="1">
        <f t="array" ref="AK52">IF(AND(AK$2&lt;&gt;0,TblTech[[#This Row],[Hour]:[Hour]]&gt;=AK$2),1,0)</f>
        <v>0</v>
      </c>
      <c r="AL52" s="304" cm="1">
        <f t="array" ref="AL52">IF(AND(AL$2&lt;&gt;0,TblTech[[#This Row],[Hour]:[Hour]]&gt;=AL$2),1,0)</f>
        <v>0</v>
      </c>
      <c r="AM52" s="304" cm="1">
        <f t="array" ref="AM52">IF(AND(AM$2&lt;&gt;0,TblTech[[#This Row],[Hour]:[Hour]]&gt;=AM$2),1,0)</f>
        <v>0</v>
      </c>
      <c r="AN52" s="304" cm="1">
        <f t="array" ref="AN52">IF(AND(AN$2&lt;&gt;0,TblTech[[#This Row],[Hour]:[Hour]]&gt;=AN$2),1,0)</f>
        <v>0</v>
      </c>
      <c r="AO52" s="304" cm="1">
        <f t="array" ref="AO52">IF(AND(AO$2&lt;&gt;0,TblTech[[#This Row],[Hour]:[Hour]]&gt;=AO$2),1,0)</f>
        <v>0</v>
      </c>
      <c r="AP52" s="304" cm="1">
        <f t="array" ref="AP52">IF(AND(AP$2&lt;&gt;0,TblTech[[#This Row],[Hour]:[Hour]]&gt;=AP$2),1,0)</f>
        <v>0</v>
      </c>
      <c r="AQ52" s="304" cm="1">
        <f t="array" ref="AQ52">IF(AND(AQ$2&lt;&gt;0,TblTech[[#This Row],[Hour]:[Hour]]&gt;=AQ$2),1,0)</f>
        <v>0</v>
      </c>
      <c r="AR52" s="304" cm="1">
        <f t="array" ref="AR52">IF(AND(AR$2&lt;&gt;0,TblTech[[#This Row],[Hour]:[Hour]]&gt;=AR$2),1,0)</f>
        <v>0</v>
      </c>
      <c r="AS52" s="304" cm="1">
        <f t="array" ref="AS52">IF(AND(AS$2&lt;&gt;0,TblTech[[#This Row],[Hour]:[Hour]]&gt;=AS$2),1,0)</f>
        <v>0</v>
      </c>
      <c r="AT52" s="304" cm="1">
        <f t="array" ref="AT52">IF(AND(AT$2&lt;&gt;0,TblTech[[#This Row],[Hour]:[Hour]]&gt;=AT$2),1,0)</f>
        <v>0</v>
      </c>
      <c r="AU52" s="304" cm="1">
        <f t="array" ref="AU52">IF(AND(AU$2&lt;&gt;0,TblTech[[#This Row],[Hour]:[Hour]]&gt;=AU$2),1,0)</f>
        <v>0</v>
      </c>
      <c r="AV52" s="304" cm="1">
        <f t="array" ref="AV52">IF(AND(AV$2&lt;&gt;0,TblTech[[#This Row],[Hour]:[Hour]]&gt;=AV$2),1,0)</f>
        <v>0</v>
      </c>
      <c r="AW52" s="304" cm="1">
        <f t="array" ref="AW52">IF(AND(AW$2&lt;&gt;0,TblTech[[#This Row],[Hour]:[Hour]]&gt;=AW$2),1,0)</f>
        <v>0</v>
      </c>
      <c r="AX52" s="304" cm="1">
        <f t="array" ref="AX52">IF(AND(AX$2&lt;&gt;0,TblTech[[#This Row],[Hour]:[Hour]]&gt;=AX$2),1,0)</f>
        <v>0</v>
      </c>
      <c r="AY52" s="304" cm="1">
        <f t="array" ref="AY52">IF(AND(AY$2&lt;&gt;0,TblTech[[#This Row],[Hour]:[Hour]]&gt;=AY$2),1,0)</f>
        <v>0</v>
      </c>
      <c r="AZ52" s="304" cm="1">
        <f t="array" ref="AZ52">IF(AND(AZ$2&lt;&gt;0,TblTech[[#This Row],[Hour]:[Hour]]&gt;=AZ$2),1,0)</f>
        <v>0</v>
      </c>
      <c r="BA52" s="304" cm="1">
        <f t="array" ref="BA52">IF(AND(BA$2&lt;&gt;0,TblTech[[#This Row],[Hour]:[Hour]]&gt;=BA$2),1,0)</f>
        <v>0</v>
      </c>
      <c r="BB52" s="304" cm="1">
        <f t="array" ref="BB52">IF(AND(BB$2&lt;&gt;0,TblTech[[#This Row],[Hour]:[Hour]]&gt;=BB$2),1,0)</f>
        <v>0</v>
      </c>
      <c r="BC52" s="304" cm="1">
        <f t="array" ref="BC52">IF(AND(BC$2&lt;&gt;0,TblTech[[#This Row],[Hour]:[Hour]]&gt;=BC$2),1,0)</f>
        <v>0</v>
      </c>
      <c r="BD52" s="304" cm="1">
        <f t="array" ref="BD52">IF(AND(BD$2&lt;&gt;0,TblTech[[#This Row],[Hour]:[Hour]]&gt;=BD$2),1,0)</f>
        <v>0</v>
      </c>
      <c r="BE52" s="304" cm="1">
        <f t="array" ref="BE52">IF(AND(BE$2&lt;&gt;0,TblTech[[#This Row],[Hour]:[Hour]]&gt;=BE$2),1,0)</f>
        <v>0</v>
      </c>
      <c r="BF52" s="304" cm="1">
        <f t="array" ref="BF52">IF(AND(BF$2&lt;&gt;0,TblTech[[#This Row],[Hour]:[Hour]]&gt;=BF$2),1,0)</f>
        <v>0</v>
      </c>
      <c r="BG52" s="304" cm="1">
        <f t="array" ref="BG52">IF(AND(BG$2&lt;&gt;0,TblTech[[#This Row],[Hour]:[Hour]]&gt;=BG$2),1,0)</f>
        <v>0</v>
      </c>
      <c r="BH52" s="304" cm="1">
        <f t="array" ref="BH52">IF(AND(BH$2&lt;&gt;0,TblTech[[#This Row],[Hour]:[Hour]]&gt;=BH$2),1,0)</f>
        <v>0</v>
      </c>
      <c r="BI52" s="304" cm="1">
        <f t="array" ref="BI52">IF(AND(BI$2&lt;&gt;0,TblTech[[#This Row],[Hour]:[Hour]]&gt;=BI$2),1,0)</f>
        <v>0</v>
      </c>
      <c r="BJ52" s="304" cm="1">
        <f t="array" ref="BJ52">IF(AND(BJ$2&lt;&gt;0,TblTech[[#This Row],[Hour]:[Hour]]&gt;=BJ$2),1,0)</f>
        <v>0</v>
      </c>
      <c r="BK52" s="304" cm="1">
        <f t="array" ref="BK52">IF(AND(BK$2&lt;&gt;0,TblTech[[#This Row],[Hour]:[Hour]]&gt;=BK$2),1,0)</f>
        <v>0</v>
      </c>
      <c r="BL52" s="304" cm="1">
        <f t="array" ref="BL52">IF(AND(BL$2&lt;&gt;0,TblTech[[#This Row],[Hour]:[Hour]]&gt;=BL$2),1,0)</f>
        <v>0</v>
      </c>
      <c r="BM52" s="304" cm="1">
        <f t="array" ref="BM52">IF(AND(BM$2&lt;&gt;0,TblTech[[#This Row],[Hour]:[Hour]]&gt;=BM$2),1,0)</f>
        <v>0</v>
      </c>
      <c r="BN52" s="304" cm="1">
        <f t="array" ref="BN52">IF(AND(BN$2&lt;&gt;0,TblTech[[#This Row],[Hour]:[Hour]]&gt;=BN$2),1,0)</f>
        <v>0</v>
      </c>
      <c r="BO52" s="304" cm="1">
        <f t="array" ref="BO52">IF(AND(BO$2&lt;&gt;0,TblTech[[#This Row],[Hour]:[Hour]]&gt;=BO$2),1,0)</f>
        <v>0</v>
      </c>
      <c r="BP52" s="304" cm="1">
        <f t="array" ref="BP52">IF(AND(BP$2&lt;&gt;0,TblTech[[#This Row],[Hour]:[Hour]]&gt;=BP$2),1,0)</f>
        <v>0</v>
      </c>
      <c r="BQ52" s="304" cm="1">
        <f t="array" ref="BQ52">IF(AND(BQ$2&lt;&gt;0,TblTech[[#This Row],[Hour]:[Hour]]&gt;=BQ$2),1,0)</f>
        <v>0</v>
      </c>
      <c r="BR52" s="304" cm="1">
        <f t="array" ref="BR52">IF(AND(BR$2&lt;&gt;0,TblTech[[#This Row],[Hour]:[Hour]]&gt;=BR$2),1,0)</f>
        <v>0</v>
      </c>
      <c r="BS52" s="304" cm="1">
        <f t="array" ref="BS52">IF(AND(BS$2&lt;&gt;0,TblTech[[#This Row],[Hour]:[Hour]]&gt;=BS$2),1,0)</f>
        <v>0</v>
      </c>
      <c r="BT52" s="304" cm="1">
        <f t="array" ref="BT52">IF(AND(BT$2&lt;&gt;0,TblTech[[#This Row],[Hour]:[Hour]]&gt;=BT$2),1,0)</f>
        <v>0</v>
      </c>
      <c r="BU52" s="304" cm="1">
        <f t="array" ref="BU52">IF(AND(BU$2&lt;&gt;0,TblTech[[#This Row],[Hour]:[Hour]]&gt;=BU$2),1,0)</f>
        <v>0</v>
      </c>
      <c r="BV52" s="304" cm="1">
        <f t="array" ref="BV52">IF(AND(BV$2&lt;&gt;0,TblTech[[#This Row],[Hour]:[Hour]]&gt;=BV$2),1,0)</f>
        <v>0</v>
      </c>
      <c r="BW52" s="304" cm="1">
        <f t="array" ref="BW52">IF(AND(BW$2&lt;&gt;0,TblTech[[#This Row],[Hour]:[Hour]]&gt;=BW$2),1,0)</f>
        <v>0</v>
      </c>
      <c r="BX52" s="304" cm="1">
        <f t="array" ref="BX52">IF(AND(BX$2&lt;&gt;0,TblTech[[#This Row],[Hour]:[Hour]]&gt;=BX$2),1,0)</f>
        <v>0</v>
      </c>
      <c r="BY52" s="304" cm="1">
        <f t="array" ref="BY52">IF(AND(BY$2&lt;&gt;0,TblTech[[#This Row],[Hour]:[Hour]]&gt;=BY$2),1,0)</f>
        <v>0</v>
      </c>
      <c r="BZ52" s="304" cm="1">
        <f t="array" ref="BZ52">IF(AND(BZ$2&lt;&gt;0,TblTech[[#This Row],[Hour]:[Hour]]&gt;=BZ$2),1,0)</f>
        <v>0</v>
      </c>
      <c r="CA52" s="408">
        <f>IFERROR(INDEX($H$4:$H$79,MATCH(INDEX(TblTech[[#Headers],[1-1]:[11-1]],1,MATCH(TblTech[[#This Row],[Hour]],$M$2:$BZ$2,0)),$G$4:$G$79,0)),)</f>
        <v>0</v>
      </c>
    </row>
    <row r="53" spans="1:79" x14ac:dyDescent="0.2">
      <c r="A53" s="296">
        <f>TblRezone[[#This Row],[Hour]]</f>
        <v>50</v>
      </c>
      <c r="B53" s="297">
        <f ca="1">TblExplore[[#This Row],[Land-DB]]</f>
        <v>250</v>
      </c>
      <c r="C53" s="298">
        <f ca="1">TblProd[[#This Row],[Techpoints]]</f>
        <v>0</v>
      </c>
      <c r="D53" s="298">
        <f ca="1">TblProd[[#This Row],[Required]]</f>
        <v>3750</v>
      </c>
      <c r="E53" s="299"/>
      <c r="F53" s="300"/>
      <c r="G53" s="301"/>
      <c r="H53" s="302"/>
      <c r="I53" s="301"/>
      <c r="J53" s="297"/>
      <c r="K53" s="96">
        <f ca="1">IF(TblTech[[#This Row],[Sum of tech]]&lt;&gt;OFFSET(TblTech[[#This Row],[Sum of tech]],-1,0),1,0)</f>
        <v>0</v>
      </c>
      <c r="L53" s="303">
        <f>COUNTIF(TblTech[[#This Row],[1-1]:[11-1]],1)</f>
        <v>0</v>
      </c>
      <c r="M53" s="304" cm="1">
        <f t="array" ref="M53">IF(AND(M$2&lt;&gt;0,TblTech[[#This Row],[Hour]:[Hour]]&gt;=M$2),1,0)</f>
        <v>0</v>
      </c>
      <c r="N53" s="304" cm="1">
        <f t="array" ref="N53">IF(AND(N$2&lt;&gt;0,TblTech[[#This Row],[Hour]:[Hour]]&gt;=N$2),1,0)</f>
        <v>0</v>
      </c>
      <c r="O53" s="304" cm="1">
        <f t="array" ref="O53">IF(AND(O$2&lt;&gt;0,TblTech[[#This Row],[Hour]:[Hour]]&gt;=O$2),1,0)</f>
        <v>0</v>
      </c>
      <c r="P53" s="304" cm="1">
        <f t="array" ref="P53">IF(AND(P$2&lt;&gt;0,TblTech[[#This Row],[Hour]:[Hour]]&gt;=P$2),1,0)</f>
        <v>0</v>
      </c>
      <c r="Q53" s="304" cm="1">
        <f t="array" ref="Q53">IF(AND(Q$2&lt;&gt;0,TblTech[[#This Row],[Hour]:[Hour]]&gt;=Q$2),1,0)</f>
        <v>0</v>
      </c>
      <c r="R53" s="304" cm="1">
        <f t="array" ref="R53">IF(AND(R$2&lt;&gt;0,TblTech[[#This Row],[Hour]:[Hour]]&gt;=R$2),1,0)</f>
        <v>0</v>
      </c>
      <c r="S53" s="304" cm="1">
        <f t="array" ref="S53">IF(AND(S$2&lt;&gt;0,TblTech[[#This Row],[Hour]:[Hour]]&gt;=S$2),1,0)</f>
        <v>0</v>
      </c>
      <c r="T53" s="304" cm="1">
        <f t="array" ref="T53">IF(AND(T$2&lt;&gt;0,TblTech[[#This Row],[Hour]:[Hour]]&gt;=T$2),1,0)</f>
        <v>0</v>
      </c>
      <c r="U53" s="304" cm="1">
        <f t="array" ref="U53">IF(AND(U$2&lt;&gt;0,TblTech[[#This Row],[Hour]:[Hour]]&gt;=U$2),1,0)</f>
        <v>0</v>
      </c>
      <c r="V53" s="304" cm="1">
        <f t="array" ref="V53">IF(AND(V$2&lt;&gt;0,TblTech[[#This Row],[Hour]:[Hour]]&gt;=V$2),1,0)</f>
        <v>0</v>
      </c>
      <c r="W53" s="304" cm="1">
        <f t="array" ref="W53">IF(AND(W$2&lt;&gt;0,TblTech[[#This Row],[Hour]:[Hour]]&gt;=W$2),1,0)</f>
        <v>0</v>
      </c>
      <c r="X53" s="304" cm="1">
        <f t="array" ref="X53">IF(AND(X$2&lt;&gt;0,TblTech[[#This Row],[Hour]:[Hour]]&gt;=X$2),1,0)</f>
        <v>0</v>
      </c>
      <c r="Y53" s="304" cm="1">
        <f t="array" ref="Y53">IF(AND(Y$2&lt;&gt;0,TblTech[[#This Row],[Hour]:[Hour]]&gt;=Y$2),1,0)</f>
        <v>0</v>
      </c>
      <c r="Z53" s="304" cm="1">
        <f t="array" ref="Z53">IF(AND(Z$2&lt;&gt;0,TblTech[[#This Row],[Hour]:[Hour]]&gt;=Z$2),1,0)</f>
        <v>0</v>
      </c>
      <c r="AA53" s="304" cm="1">
        <f t="array" ref="AA53">IF(AND(AA$2&lt;&gt;0,TblTech[[#This Row],[Hour]:[Hour]]&gt;=AA$2),1,0)</f>
        <v>0</v>
      </c>
      <c r="AB53" s="304" cm="1">
        <f t="array" ref="AB53">IF(AND(AB$2&lt;&gt;0,TblTech[[#This Row],[Hour]:[Hour]]&gt;=AB$2),1,0)</f>
        <v>0</v>
      </c>
      <c r="AC53" s="304" cm="1">
        <f t="array" ref="AC53">IF(AND(AC$2&lt;&gt;0,TblTech[[#This Row],[Hour]:[Hour]]&gt;=AC$2),1,0)</f>
        <v>0</v>
      </c>
      <c r="AD53" s="304" cm="1">
        <f t="array" ref="AD53">IF(AND(AD$2&lt;&gt;0,TblTech[[#This Row],[Hour]:[Hour]]&gt;=AD$2),1,0)</f>
        <v>0</v>
      </c>
      <c r="AE53" s="304" cm="1">
        <f t="array" ref="AE53">IF(AND(AE$2&lt;&gt;0,TblTech[[#This Row],[Hour]:[Hour]]&gt;=AE$2),1,0)</f>
        <v>0</v>
      </c>
      <c r="AF53" s="304" cm="1">
        <f t="array" ref="AF53">IF(AND(AF$2&lt;&gt;0,TblTech[[#This Row],[Hour]:[Hour]]&gt;=AF$2),1,0)</f>
        <v>0</v>
      </c>
      <c r="AG53" s="304" cm="1">
        <f t="array" ref="AG53">IF(AND(AG$2&lt;&gt;0,TblTech[[#This Row],[Hour]:[Hour]]&gt;=AG$2),1,0)</f>
        <v>0</v>
      </c>
      <c r="AH53" s="304" cm="1">
        <f t="array" ref="AH53">IF(AND(AH$2&lt;&gt;0,TblTech[[#This Row],[Hour]:[Hour]]&gt;=AH$2),1,0)</f>
        <v>0</v>
      </c>
      <c r="AI53" s="304" cm="1">
        <f t="array" ref="AI53">IF(AND(AI$2&lt;&gt;0,TblTech[[#This Row],[Hour]:[Hour]]&gt;=AI$2),1,0)</f>
        <v>0</v>
      </c>
      <c r="AJ53" s="304" cm="1">
        <f t="array" ref="AJ53">IF(AND(AJ$2&lt;&gt;0,TblTech[[#This Row],[Hour]:[Hour]]&gt;=AJ$2),1,0)</f>
        <v>0</v>
      </c>
      <c r="AK53" s="304" cm="1">
        <f t="array" ref="AK53">IF(AND(AK$2&lt;&gt;0,TblTech[[#This Row],[Hour]:[Hour]]&gt;=AK$2),1,0)</f>
        <v>0</v>
      </c>
      <c r="AL53" s="304" cm="1">
        <f t="array" ref="AL53">IF(AND(AL$2&lt;&gt;0,TblTech[[#This Row],[Hour]:[Hour]]&gt;=AL$2),1,0)</f>
        <v>0</v>
      </c>
      <c r="AM53" s="304" cm="1">
        <f t="array" ref="AM53">IF(AND(AM$2&lt;&gt;0,TblTech[[#This Row],[Hour]:[Hour]]&gt;=AM$2),1,0)</f>
        <v>0</v>
      </c>
      <c r="AN53" s="304" cm="1">
        <f t="array" ref="AN53">IF(AND(AN$2&lt;&gt;0,TblTech[[#This Row],[Hour]:[Hour]]&gt;=AN$2),1,0)</f>
        <v>0</v>
      </c>
      <c r="AO53" s="304" cm="1">
        <f t="array" ref="AO53">IF(AND(AO$2&lt;&gt;0,TblTech[[#This Row],[Hour]:[Hour]]&gt;=AO$2),1,0)</f>
        <v>0</v>
      </c>
      <c r="AP53" s="304" cm="1">
        <f t="array" ref="AP53">IF(AND(AP$2&lt;&gt;0,TblTech[[#This Row],[Hour]:[Hour]]&gt;=AP$2),1,0)</f>
        <v>0</v>
      </c>
      <c r="AQ53" s="304" cm="1">
        <f t="array" ref="AQ53">IF(AND(AQ$2&lt;&gt;0,TblTech[[#This Row],[Hour]:[Hour]]&gt;=AQ$2),1,0)</f>
        <v>0</v>
      </c>
      <c r="AR53" s="304" cm="1">
        <f t="array" ref="AR53">IF(AND(AR$2&lt;&gt;0,TblTech[[#This Row],[Hour]:[Hour]]&gt;=AR$2),1,0)</f>
        <v>0</v>
      </c>
      <c r="AS53" s="304" cm="1">
        <f t="array" ref="AS53">IF(AND(AS$2&lt;&gt;0,TblTech[[#This Row],[Hour]:[Hour]]&gt;=AS$2),1,0)</f>
        <v>0</v>
      </c>
      <c r="AT53" s="304" cm="1">
        <f t="array" ref="AT53">IF(AND(AT$2&lt;&gt;0,TblTech[[#This Row],[Hour]:[Hour]]&gt;=AT$2),1,0)</f>
        <v>0</v>
      </c>
      <c r="AU53" s="304" cm="1">
        <f t="array" ref="AU53">IF(AND(AU$2&lt;&gt;0,TblTech[[#This Row],[Hour]:[Hour]]&gt;=AU$2),1,0)</f>
        <v>0</v>
      </c>
      <c r="AV53" s="304" cm="1">
        <f t="array" ref="AV53">IF(AND(AV$2&lt;&gt;0,TblTech[[#This Row],[Hour]:[Hour]]&gt;=AV$2),1,0)</f>
        <v>0</v>
      </c>
      <c r="AW53" s="304" cm="1">
        <f t="array" ref="AW53">IF(AND(AW$2&lt;&gt;0,TblTech[[#This Row],[Hour]:[Hour]]&gt;=AW$2),1,0)</f>
        <v>0</v>
      </c>
      <c r="AX53" s="304" cm="1">
        <f t="array" ref="AX53">IF(AND(AX$2&lt;&gt;0,TblTech[[#This Row],[Hour]:[Hour]]&gt;=AX$2),1,0)</f>
        <v>0</v>
      </c>
      <c r="AY53" s="304" cm="1">
        <f t="array" ref="AY53">IF(AND(AY$2&lt;&gt;0,TblTech[[#This Row],[Hour]:[Hour]]&gt;=AY$2),1,0)</f>
        <v>0</v>
      </c>
      <c r="AZ53" s="304" cm="1">
        <f t="array" ref="AZ53">IF(AND(AZ$2&lt;&gt;0,TblTech[[#This Row],[Hour]:[Hour]]&gt;=AZ$2),1,0)</f>
        <v>0</v>
      </c>
      <c r="BA53" s="304" cm="1">
        <f t="array" ref="BA53">IF(AND(BA$2&lt;&gt;0,TblTech[[#This Row],[Hour]:[Hour]]&gt;=BA$2),1,0)</f>
        <v>0</v>
      </c>
      <c r="BB53" s="304" cm="1">
        <f t="array" ref="BB53">IF(AND(BB$2&lt;&gt;0,TblTech[[#This Row],[Hour]:[Hour]]&gt;=BB$2),1,0)</f>
        <v>0</v>
      </c>
      <c r="BC53" s="304" cm="1">
        <f t="array" ref="BC53">IF(AND(BC$2&lt;&gt;0,TblTech[[#This Row],[Hour]:[Hour]]&gt;=BC$2),1,0)</f>
        <v>0</v>
      </c>
      <c r="BD53" s="304" cm="1">
        <f t="array" ref="BD53">IF(AND(BD$2&lt;&gt;0,TblTech[[#This Row],[Hour]:[Hour]]&gt;=BD$2),1,0)</f>
        <v>0</v>
      </c>
      <c r="BE53" s="304" cm="1">
        <f t="array" ref="BE53">IF(AND(BE$2&lt;&gt;0,TblTech[[#This Row],[Hour]:[Hour]]&gt;=BE$2),1,0)</f>
        <v>0</v>
      </c>
      <c r="BF53" s="304" cm="1">
        <f t="array" ref="BF53">IF(AND(BF$2&lt;&gt;0,TblTech[[#This Row],[Hour]:[Hour]]&gt;=BF$2),1,0)</f>
        <v>0</v>
      </c>
      <c r="BG53" s="304" cm="1">
        <f t="array" ref="BG53">IF(AND(BG$2&lt;&gt;0,TblTech[[#This Row],[Hour]:[Hour]]&gt;=BG$2),1,0)</f>
        <v>0</v>
      </c>
      <c r="BH53" s="304" cm="1">
        <f t="array" ref="BH53">IF(AND(BH$2&lt;&gt;0,TblTech[[#This Row],[Hour]:[Hour]]&gt;=BH$2),1,0)</f>
        <v>0</v>
      </c>
      <c r="BI53" s="304" cm="1">
        <f t="array" ref="BI53">IF(AND(BI$2&lt;&gt;0,TblTech[[#This Row],[Hour]:[Hour]]&gt;=BI$2),1,0)</f>
        <v>0</v>
      </c>
      <c r="BJ53" s="304" cm="1">
        <f t="array" ref="BJ53">IF(AND(BJ$2&lt;&gt;0,TblTech[[#This Row],[Hour]:[Hour]]&gt;=BJ$2),1,0)</f>
        <v>0</v>
      </c>
      <c r="BK53" s="304" cm="1">
        <f t="array" ref="BK53">IF(AND(BK$2&lt;&gt;0,TblTech[[#This Row],[Hour]:[Hour]]&gt;=BK$2),1,0)</f>
        <v>0</v>
      </c>
      <c r="BL53" s="304" cm="1">
        <f t="array" ref="BL53">IF(AND(BL$2&lt;&gt;0,TblTech[[#This Row],[Hour]:[Hour]]&gt;=BL$2),1,0)</f>
        <v>0</v>
      </c>
      <c r="BM53" s="304" cm="1">
        <f t="array" ref="BM53">IF(AND(BM$2&lt;&gt;0,TblTech[[#This Row],[Hour]:[Hour]]&gt;=BM$2),1,0)</f>
        <v>0</v>
      </c>
      <c r="BN53" s="304" cm="1">
        <f t="array" ref="BN53">IF(AND(BN$2&lt;&gt;0,TblTech[[#This Row],[Hour]:[Hour]]&gt;=BN$2),1,0)</f>
        <v>0</v>
      </c>
      <c r="BO53" s="304" cm="1">
        <f t="array" ref="BO53">IF(AND(BO$2&lt;&gt;0,TblTech[[#This Row],[Hour]:[Hour]]&gt;=BO$2),1,0)</f>
        <v>0</v>
      </c>
      <c r="BP53" s="304" cm="1">
        <f t="array" ref="BP53">IF(AND(BP$2&lt;&gt;0,TblTech[[#This Row],[Hour]:[Hour]]&gt;=BP$2),1,0)</f>
        <v>0</v>
      </c>
      <c r="BQ53" s="304" cm="1">
        <f t="array" ref="BQ53">IF(AND(BQ$2&lt;&gt;0,TblTech[[#This Row],[Hour]:[Hour]]&gt;=BQ$2),1,0)</f>
        <v>0</v>
      </c>
      <c r="BR53" s="304" cm="1">
        <f t="array" ref="BR53">IF(AND(BR$2&lt;&gt;0,TblTech[[#This Row],[Hour]:[Hour]]&gt;=BR$2),1,0)</f>
        <v>0</v>
      </c>
      <c r="BS53" s="304" cm="1">
        <f t="array" ref="BS53">IF(AND(BS$2&lt;&gt;0,TblTech[[#This Row],[Hour]:[Hour]]&gt;=BS$2),1,0)</f>
        <v>0</v>
      </c>
      <c r="BT53" s="304" cm="1">
        <f t="array" ref="BT53">IF(AND(BT$2&lt;&gt;0,TblTech[[#This Row],[Hour]:[Hour]]&gt;=BT$2),1,0)</f>
        <v>0</v>
      </c>
      <c r="BU53" s="304" cm="1">
        <f t="array" ref="BU53">IF(AND(BU$2&lt;&gt;0,TblTech[[#This Row],[Hour]:[Hour]]&gt;=BU$2),1,0)</f>
        <v>0</v>
      </c>
      <c r="BV53" s="304" cm="1">
        <f t="array" ref="BV53">IF(AND(BV$2&lt;&gt;0,TblTech[[#This Row],[Hour]:[Hour]]&gt;=BV$2),1,0)</f>
        <v>0</v>
      </c>
      <c r="BW53" s="304" cm="1">
        <f t="array" ref="BW53">IF(AND(BW$2&lt;&gt;0,TblTech[[#This Row],[Hour]:[Hour]]&gt;=BW$2),1,0)</f>
        <v>0</v>
      </c>
      <c r="BX53" s="304" cm="1">
        <f t="array" ref="BX53">IF(AND(BX$2&lt;&gt;0,TblTech[[#This Row],[Hour]:[Hour]]&gt;=BX$2),1,0)</f>
        <v>0</v>
      </c>
      <c r="BY53" s="304" cm="1">
        <f t="array" ref="BY53">IF(AND(BY$2&lt;&gt;0,TblTech[[#This Row],[Hour]:[Hour]]&gt;=BY$2),1,0)</f>
        <v>0</v>
      </c>
      <c r="BZ53" s="304" cm="1">
        <f t="array" ref="BZ53">IF(AND(BZ$2&lt;&gt;0,TblTech[[#This Row],[Hour]:[Hour]]&gt;=BZ$2),1,0)</f>
        <v>0</v>
      </c>
      <c r="CA53" s="408">
        <f>IFERROR(INDEX($H$4:$H$79,MATCH(INDEX(TblTech[[#Headers],[1-1]:[11-1]],1,MATCH(TblTech[[#This Row],[Hour]],$M$2:$BZ$2,0)),$G$4:$G$79,0)),)</f>
        <v>0</v>
      </c>
    </row>
    <row r="54" spans="1:79" x14ac:dyDescent="0.2">
      <c r="A54" s="296">
        <f>TblRezone[[#This Row],[Hour]]</f>
        <v>51</v>
      </c>
      <c r="B54" s="297">
        <f ca="1">TblExplore[[#This Row],[Land-DB]]</f>
        <v>250</v>
      </c>
      <c r="C54" s="298">
        <f ca="1">TblProd[[#This Row],[Techpoints]]</f>
        <v>0</v>
      </c>
      <c r="D54" s="298">
        <f ca="1">TblProd[[#This Row],[Required]]</f>
        <v>3750</v>
      </c>
      <c r="E54" s="299"/>
      <c r="F54" s="300"/>
      <c r="G54" s="301" t="s">
        <v>609</v>
      </c>
      <c r="H54" s="302" t="s">
        <v>736</v>
      </c>
      <c r="I54" s="301" t="s">
        <v>573</v>
      </c>
      <c r="J54" s="297"/>
      <c r="K54" s="96">
        <f ca="1">IF(TblTech[[#This Row],[Sum of tech]]&lt;&gt;OFFSET(TblTech[[#This Row],[Sum of tech]],-1,0),1,0)</f>
        <v>0</v>
      </c>
      <c r="L54" s="303">
        <f>COUNTIF(TblTech[[#This Row],[1-1]:[11-1]],1)</f>
        <v>0</v>
      </c>
      <c r="M54" s="304" cm="1">
        <f t="array" ref="M54">IF(AND(M$2&lt;&gt;0,TblTech[[#This Row],[Hour]:[Hour]]&gt;=M$2),1,0)</f>
        <v>0</v>
      </c>
      <c r="N54" s="304" cm="1">
        <f t="array" ref="N54">IF(AND(N$2&lt;&gt;0,TblTech[[#This Row],[Hour]:[Hour]]&gt;=N$2),1,0)</f>
        <v>0</v>
      </c>
      <c r="O54" s="304" cm="1">
        <f t="array" ref="O54">IF(AND(O$2&lt;&gt;0,TblTech[[#This Row],[Hour]:[Hour]]&gt;=O$2),1,0)</f>
        <v>0</v>
      </c>
      <c r="P54" s="304" cm="1">
        <f t="array" ref="P54">IF(AND(P$2&lt;&gt;0,TblTech[[#This Row],[Hour]:[Hour]]&gt;=P$2),1,0)</f>
        <v>0</v>
      </c>
      <c r="Q54" s="304" cm="1">
        <f t="array" ref="Q54">IF(AND(Q$2&lt;&gt;0,TblTech[[#This Row],[Hour]:[Hour]]&gt;=Q$2),1,0)</f>
        <v>0</v>
      </c>
      <c r="R54" s="304" cm="1">
        <f t="array" ref="R54">IF(AND(R$2&lt;&gt;0,TblTech[[#This Row],[Hour]:[Hour]]&gt;=R$2),1,0)</f>
        <v>0</v>
      </c>
      <c r="S54" s="304" cm="1">
        <f t="array" ref="S54">IF(AND(S$2&lt;&gt;0,TblTech[[#This Row],[Hour]:[Hour]]&gt;=S$2),1,0)</f>
        <v>0</v>
      </c>
      <c r="T54" s="304" cm="1">
        <f t="array" ref="T54">IF(AND(T$2&lt;&gt;0,TblTech[[#This Row],[Hour]:[Hour]]&gt;=T$2),1,0)</f>
        <v>0</v>
      </c>
      <c r="U54" s="304" cm="1">
        <f t="array" ref="U54">IF(AND(U$2&lt;&gt;0,TblTech[[#This Row],[Hour]:[Hour]]&gt;=U$2),1,0)</f>
        <v>0</v>
      </c>
      <c r="V54" s="304" cm="1">
        <f t="array" ref="V54">IF(AND(V$2&lt;&gt;0,TblTech[[#This Row],[Hour]:[Hour]]&gt;=V$2),1,0)</f>
        <v>0</v>
      </c>
      <c r="W54" s="304" cm="1">
        <f t="array" ref="W54">IF(AND(W$2&lt;&gt;0,TblTech[[#This Row],[Hour]:[Hour]]&gt;=W$2),1,0)</f>
        <v>0</v>
      </c>
      <c r="X54" s="304" cm="1">
        <f t="array" ref="X54">IF(AND(X$2&lt;&gt;0,TblTech[[#This Row],[Hour]:[Hour]]&gt;=X$2),1,0)</f>
        <v>0</v>
      </c>
      <c r="Y54" s="304" cm="1">
        <f t="array" ref="Y54">IF(AND(Y$2&lt;&gt;0,TblTech[[#This Row],[Hour]:[Hour]]&gt;=Y$2),1,0)</f>
        <v>0</v>
      </c>
      <c r="Z54" s="304" cm="1">
        <f t="array" ref="Z54">IF(AND(Z$2&lt;&gt;0,TblTech[[#This Row],[Hour]:[Hour]]&gt;=Z$2),1,0)</f>
        <v>0</v>
      </c>
      <c r="AA54" s="304" cm="1">
        <f t="array" ref="AA54">IF(AND(AA$2&lt;&gt;0,TblTech[[#This Row],[Hour]:[Hour]]&gt;=AA$2),1,0)</f>
        <v>0</v>
      </c>
      <c r="AB54" s="304" cm="1">
        <f t="array" ref="AB54">IF(AND(AB$2&lt;&gt;0,TblTech[[#This Row],[Hour]:[Hour]]&gt;=AB$2),1,0)</f>
        <v>0</v>
      </c>
      <c r="AC54" s="304" cm="1">
        <f t="array" ref="AC54">IF(AND(AC$2&lt;&gt;0,TblTech[[#This Row],[Hour]:[Hour]]&gt;=AC$2),1,0)</f>
        <v>0</v>
      </c>
      <c r="AD54" s="304" cm="1">
        <f t="array" ref="AD54">IF(AND(AD$2&lt;&gt;0,TblTech[[#This Row],[Hour]:[Hour]]&gt;=AD$2),1,0)</f>
        <v>0</v>
      </c>
      <c r="AE54" s="304" cm="1">
        <f t="array" ref="AE54">IF(AND(AE$2&lt;&gt;0,TblTech[[#This Row],[Hour]:[Hour]]&gt;=AE$2),1,0)</f>
        <v>0</v>
      </c>
      <c r="AF54" s="304" cm="1">
        <f t="array" ref="AF54">IF(AND(AF$2&lt;&gt;0,TblTech[[#This Row],[Hour]:[Hour]]&gt;=AF$2),1,0)</f>
        <v>0</v>
      </c>
      <c r="AG54" s="304" cm="1">
        <f t="array" ref="AG54">IF(AND(AG$2&lt;&gt;0,TblTech[[#This Row],[Hour]:[Hour]]&gt;=AG$2),1,0)</f>
        <v>0</v>
      </c>
      <c r="AH54" s="304" cm="1">
        <f t="array" ref="AH54">IF(AND(AH$2&lt;&gt;0,TblTech[[#This Row],[Hour]:[Hour]]&gt;=AH$2),1,0)</f>
        <v>0</v>
      </c>
      <c r="AI54" s="304" cm="1">
        <f t="array" ref="AI54">IF(AND(AI$2&lt;&gt;0,TblTech[[#This Row],[Hour]:[Hour]]&gt;=AI$2),1,0)</f>
        <v>0</v>
      </c>
      <c r="AJ54" s="304" cm="1">
        <f t="array" ref="AJ54">IF(AND(AJ$2&lt;&gt;0,TblTech[[#This Row],[Hour]:[Hour]]&gt;=AJ$2),1,0)</f>
        <v>0</v>
      </c>
      <c r="AK54" s="304" cm="1">
        <f t="array" ref="AK54">IF(AND(AK$2&lt;&gt;0,TblTech[[#This Row],[Hour]:[Hour]]&gt;=AK$2),1,0)</f>
        <v>0</v>
      </c>
      <c r="AL54" s="304" cm="1">
        <f t="array" ref="AL54">IF(AND(AL$2&lt;&gt;0,TblTech[[#This Row],[Hour]:[Hour]]&gt;=AL$2),1,0)</f>
        <v>0</v>
      </c>
      <c r="AM54" s="304" cm="1">
        <f t="array" ref="AM54">IF(AND(AM$2&lt;&gt;0,TblTech[[#This Row],[Hour]:[Hour]]&gt;=AM$2),1,0)</f>
        <v>0</v>
      </c>
      <c r="AN54" s="304" cm="1">
        <f t="array" ref="AN54">IF(AND(AN$2&lt;&gt;0,TblTech[[#This Row],[Hour]:[Hour]]&gt;=AN$2),1,0)</f>
        <v>0</v>
      </c>
      <c r="AO54" s="304" cm="1">
        <f t="array" ref="AO54">IF(AND(AO$2&lt;&gt;0,TblTech[[#This Row],[Hour]:[Hour]]&gt;=AO$2),1,0)</f>
        <v>0</v>
      </c>
      <c r="AP54" s="304" cm="1">
        <f t="array" ref="AP54">IF(AND(AP$2&lt;&gt;0,TblTech[[#This Row],[Hour]:[Hour]]&gt;=AP$2),1,0)</f>
        <v>0</v>
      </c>
      <c r="AQ54" s="304" cm="1">
        <f t="array" ref="AQ54">IF(AND(AQ$2&lt;&gt;0,TblTech[[#This Row],[Hour]:[Hour]]&gt;=AQ$2),1,0)</f>
        <v>0</v>
      </c>
      <c r="AR54" s="304" cm="1">
        <f t="array" ref="AR54">IF(AND(AR$2&lt;&gt;0,TblTech[[#This Row],[Hour]:[Hour]]&gt;=AR$2),1,0)</f>
        <v>0</v>
      </c>
      <c r="AS54" s="304" cm="1">
        <f t="array" ref="AS54">IF(AND(AS$2&lt;&gt;0,TblTech[[#This Row],[Hour]:[Hour]]&gt;=AS$2),1,0)</f>
        <v>0</v>
      </c>
      <c r="AT54" s="304" cm="1">
        <f t="array" ref="AT54">IF(AND(AT$2&lt;&gt;0,TblTech[[#This Row],[Hour]:[Hour]]&gt;=AT$2),1,0)</f>
        <v>0</v>
      </c>
      <c r="AU54" s="304" cm="1">
        <f t="array" ref="AU54">IF(AND(AU$2&lt;&gt;0,TblTech[[#This Row],[Hour]:[Hour]]&gt;=AU$2),1,0)</f>
        <v>0</v>
      </c>
      <c r="AV54" s="304" cm="1">
        <f t="array" ref="AV54">IF(AND(AV$2&lt;&gt;0,TblTech[[#This Row],[Hour]:[Hour]]&gt;=AV$2),1,0)</f>
        <v>0</v>
      </c>
      <c r="AW54" s="304" cm="1">
        <f t="array" ref="AW54">IF(AND(AW$2&lt;&gt;0,TblTech[[#This Row],[Hour]:[Hour]]&gt;=AW$2),1,0)</f>
        <v>0</v>
      </c>
      <c r="AX54" s="304" cm="1">
        <f t="array" ref="AX54">IF(AND(AX$2&lt;&gt;0,TblTech[[#This Row],[Hour]:[Hour]]&gt;=AX$2),1,0)</f>
        <v>0</v>
      </c>
      <c r="AY54" s="304" cm="1">
        <f t="array" ref="AY54">IF(AND(AY$2&lt;&gt;0,TblTech[[#This Row],[Hour]:[Hour]]&gt;=AY$2),1,0)</f>
        <v>0</v>
      </c>
      <c r="AZ54" s="304" cm="1">
        <f t="array" ref="AZ54">IF(AND(AZ$2&lt;&gt;0,TblTech[[#This Row],[Hour]:[Hour]]&gt;=AZ$2),1,0)</f>
        <v>0</v>
      </c>
      <c r="BA54" s="304" cm="1">
        <f t="array" ref="BA54">IF(AND(BA$2&lt;&gt;0,TblTech[[#This Row],[Hour]:[Hour]]&gt;=BA$2),1,0)</f>
        <v>0</v>
      </c>
      <c r="BB54" s="304" cm="1">
        <f t="array" ref="BB54">IF(AND(BB$2&lt;&gt;0,TblTech[[#This Row],[Hour]:[Hour]]&gt;=BB$2),1,0)</f>
        <v>0</v>
      </c>
      <c r="BC54" s="304" cm="1">
        <f t="array" ref="BC54">IF(AND(BC$2&lt;&gt;0,TblTech[[#This Row],[Hour]:[Hour]]&gt;=BC$2),1,0)</f>
        <v>0</v>
      </c>
      <c r="BD54" s="304" cm="1">
        <f t="array" ref="BD54">IF(AND(BD$2&lt;&gt;0,TblTech[[#This Row],[Hour]:[Hour]]&gt;=BD$2),1,0)</f>
        <v>0</v>
      </c>
      <c r="BE54" s="304" cm="1">
        <f t="array" ref="BE54">IF(AND(BE$2&lt;&gt;0,TblTech[[#This Row],[Hour]:[Hour]]&gt;=BE$2),1,0)</f>
        <v>0</v>
      </c>
      <c r="BF54" s="304" cm="1">
        <f t="array" ref="BF54">IF(AND(BF$2&lt;&gt;0,TblTech[[#This Row],[Hour]:[Hour]]&gt;=BF$2),1,0)</f>
        <v>0</v>
      </c>
      <c r="BG54" s="304" cm="1">
        <f t="array" ref="BG54">IF(AND(BG$2&lt;&gt;0,TblTech[[#This Row],[Hour]:[Hour]]&gt;=BG$2),1,0)</f>
        <v>0</v>
      </c>
      <c r="BH54" s="304" cm="1">
        <f t="array" ref="BH54">IF(AND(BH$2&lt;&gt;0,TblTech[[#This Row],[Hour]:[Hour]]&gt;=BH$2),1,0)</f>
        <v>0</v>
      </c>
      <c r="BI54" s="304" cm="1">
        <f t="array" ref="BI54">IF(AND(BI$2&lt;&gt;0,TblTech[[#This Row],[Hour]:[Hour]]&gt;=BI$2),1,0)</f>
        <v>0</v>
      </c>
      <c r="BJ54" s="304" cm="1">
        <f t="array" ref="BJ54">IF(AND(BJ$2&lt;&gt;0,TblTech[[#This Row],[Hour]:[Hour]]&gt;=BJ$2),1,0)</f>
        <v>0</v>
      </c>
      <c r="BK54" s="304" cm="1">
        <f t="array" ref="BK54">IF(AND(BK$2&lt;&gt;0,TblTech[[#This Row],[Hour]:[Hour]]&gt;=BK$2),1,0)</f>
        <v>0</v>
      </c>
      <c r="BL54" s="304" cm="1">
        <f t="array" ref="BL54">IF(AND(BL$2&lt;&gt;0,TblTech[[#This Row],[Hour]:[Hour]]&gt;=BL$2),1,0)</f>
        <v>0</v>
      </c>
      <c r="BM54" s="304" cm="1">
        <f t="array" ref="BM54">IF(AND(BM$2&lt;&gt;0,TblTech[[#This Row],[Hour]:[Hour]]&gt;=BM$2),1,0)</f>
        <v>0</v>
      </c>
      <c r="BN54" s="304" cm="1">
        <f t="array" ref="BN54">IF(AND(BN$2&lt;&gt;0,TblTech[[#This Row],[Hour]:[Hour]]&gt;=BN$2),1,0)</f>
        <v>0</v>
      </c>
      <c r="BO54" s="304" cm="1">
        <f t="array" ref="BO54">IF(AND(BO$2&lt;&gt;0,TblTech[[#This Row],[Hour]:[Hour]]&gt;=BO$2),1,0)</f>
        <v>0</v>
      </c>
      <c r="BP54" s="304" cm="1">
        <f t="array" ref="BP54">IF(AND(BP$2&lt;&gt;0,TblTech[[#This Row],[Hour]:[Hour]]&gt;=BP$2),1,0)</f>
        <v>0</v>
      </c>
      <c r="BQ54" s="304" cm="1">
        <f t="array" ref="BQ54">IF(AND(BQ$2&lt;&gt;0,TblTech[[#This Row],[Hour]:[Hour]]&gt;=BQ$2),1,0)</f>
        <v>0</v>
      </c>
      <c r="BR54" s="304" cm="1">
        <f t="array" ref="BR54">IF(AND(BR$2&lt;&gt;0,TblTech[[#This Row],[Hour]:[Hour]]&gt;=BR$2),1,0)</f>
        <v>0</v>
      </c>
      <c r="BS54" s="304" cm="1">
        <f t="array" ref="BS54">IF(AND(BS$2&lt;&gt;0,TblTech[[#This Row],[Hour]:[Hour]]&gt;=BS$2),1,0)</f>
        <v>0</v>
      </c>
      <c r="BT54" s="304" cm="1">
        <f t="array" ref="BT54">IF(AND(BT$2&lt;&gt;0,TblTech[[#This Row],[Hour]:[Hour]]&gt;=BT$2),1,0)</f>
        <v>0</v>
      </c>
      <c r="BU54" s="304" cm="1">
        <f t="array" ref="BU54">IF(AND(BU$2&lt;&gt;0,TblTech[[#This Row],[Hour]:[Hour]]&gt;=BU$2),1,0)</f>
        <v>0</v>
      </c>
      <c r="BV54" s="304" cm="1">
        <f t="array" ref="BV54">IF(AND(BV$2&lt;&gt;0,TblTech[[#This Row],[Hour]:[Hour]]&gt;=BV$2),1,0)</f>
        <v>0</v>
      </c>
      <c r="BW54" s="304" cm="1">
        <f t="array" ref="BW54">IF(AND(BW$2&lt;&gt;0,TblTech[[#This Row],[Hour]:[Hour]]&gt;=BW$2),1,0)</f>
        <v>0</v>
      </c>
      <c r="BX54" s="304" cm="1">
        <f t="array" ref="BX54">IF(AND(BX$2&lt;&gt;0,TblTech[[#This Row],[Hour]:[Hour]]&gt;=BX$2),1,0)</f>
        <v>0</v>
      </c>
      <c r="BY54" s="304" cm="1">
        <f t="array" ref="BY54">IF(AND(BY$2&lt;&gt;0,TblTech[[#This Row],[Hour]:[Hour]]&gt;=BY$2),1,0)</f>
        <v>0</v>
      </c>
      <c r="BZ54" s="304" cm="1">
        <f t="array" ref="BZ54">IF(AND(BZ$2&lt;&gt;0,TblTech[[#This Row],[Hour]:[Hour]]&gt;=BZ$2),1,0)</f>
        <v>0</v>
      </c>
      <c r="CA54" s="408">
        <f>IFERROR(INDEX($H$4:$H$79,MATCH(INDEX(TblTech[[#Headers],[1-1]:[11-1]],1,MATCH(TblTech[[#This Row],[Hour]],$M$2:$BZ$2,0)),$G$4:$G$79,0)),)</f>
        <v>0</v>
      </c>
    </row>
    <row r="55" spans="1:79" x14ac:dyDescent="0.2">
      <c r="A55" s="296">
        <f>TblRezone[[#This Row],[Hour]]</f>
        <v>52</v>
      </c>
      <c r="B55" s="297">
        <f ca="1">TblExplore[[#This Row],[Land-DB]]</f>
        <v>250</v>
      </c>
      <c r="C55" s="298">
        <f ca="1">TblProd[[#This Row],[Techpoints]]</f>
        <v>0</v>
      </c>
      <c r="D55" s="298">
        <f ca="1">TblProd[[#This Row],[Required]]</f>
        <v>3750</v>
      </c>
      <c r="E55" s="299"/>
      <c r="F55" s="300"/>
      <c r="G55" s="301" t="s">
        <v>610</v>
      </c>
      <c r="H55" s="302" t="s">
        <v>737</v>
      </c>
      <c r="I55" s="301" t="s">
        <v>611</v>
      </c>
      <c r="J55" s="297"/>
      <c r="K55" s="96">
        <f ca="1">IF(TblTech[[#This Row],[Sum of tech]]&lt;&gt;OFFSET(TblTech[[#This Row],[Sum of tech]],-1,0),1,0)</f>
        <v>0</v>
      </c>
      <c r="L55" s="303">
        <f>COUNTIF(TblTech[[#This Row],[1-1]:[11-1]],1)</f>
        <v>0</v>
      </c>
      <c r="M55" s="304" cm="1">
        <f t="array" ref="M55">IF(AND(M$2&lt;&gt;0,TblTech[[#This Row],[Hour]:[Hour]]&gt;=M$2),1,0)</f>
        <v>0</v>
      </c>
      <c r="N55" s="304" cm="1">
        <f t="array" ref="N55">IF(AND(N$2&lt;&gt;0,TblTech[[#This Row],[Hour]:[Hour]]&gt;=N$2),1,0)</f>
        <v>0</v>
      </c>
      <c r="O55" s="304" cm="1">
        <f t="array" ref="O55">IF(AND(O$2&lt;&gt;0,TblTech[[#This Row],[Hour]:[Hour]]&gt;=O$2),1,0)</f>
        <v>0</v>
      </c>
      <c r="P55" s="304" cm="1">
        <f t="array" ref="P55">IF(AND(P$2&lt;&gt;0,TblTech[[#This Row],[Hour]:[Hour]]&gt;=P$2),1,0)</f>
        <v>0</v>
      </c>
      <c r="Q55" s="304" cm="1">
        <f t="array" ref="Q55">IF(AND(Q$2&lt;&gt;0,TblTech[[#This Row],[Hour]:[Hour]]&gt;=Q$2),1,0)</f>
        <v>0</v>
      </c>
      <c r="R55" s="304" cm="1">
        <f t="array" ref="R55">IF(AND(R$2&lt;&gt;0,TblTech[[#This Row],[Hour]:[Hour]]&gt;=R$2),1,0)</f>
        <v>0</v>
      </c>
      <c r="S55" s="304" cm="1">
        <f t="array" ref="S55">IF(AND(S$2&lt;&gt;0,TblTech[[#This Row],[Hour]:[Hour]]&gt;=S$2),1,0)</f>
        <v>0</v>
      </c>
      <c r="T55" s="304" cm="1">
        <f t="array" ref="T55">IF(AND(T$2&lt;&gt;0,TblTech[[#This Row],[Hour]:[Hour]]&gt;=T$2),1,0)</f>
        <v>0</v>
      </c>
      <c r="U55" s="304" cm="1">
        <f t="array" ref="U55">IF(AND(U$2&lt;&gt;0,TblTech[[#This Row],[Hour]:[Hour]]&gt;=U$2),1,0)</f>
        <v>0</v>
      </c>
      <c r="V55" s="304" cm="1">
        <f t="array" ref="V55">IF(AND(V$2&lt;&gt;0,TblTech[[#This Row],[Hour]:[Hour]]&gt;=V$2),1,0)</f>
        <v>0</v>
      </c>
      <c r="W55" s="304" cm="1">
        <f t="array" ref="W55">IF(AND(W$2&lt;&gt;0,TblTech[[#This Row],[Hour]:[Hour]]&gt;=W$2),1,0)</f>
        <v>0</v>
      </c>
      <c r="X55" s="304" cm="1">
        <f t="array" ref="X55">IF(AND(X$2&lt;&gt;0,TblTech[[#This Row],[Hour]:[Hour]]&gt;=X$2),1,0)</f>
        <v>0</v>
      </c>
      <c r="Y55" s="304" cm="1">
        <f t="array" ref="Y55">IF(AND(Y$2&lt;&gt;0,TblTech[[#This Row],[Hour]:[Hour]]&gt;=Y$2),1,0)</f>
        <v>0</v>
      </c>
      <c r="Z55" s="304" cm="1">
        <f t="array" ref="Z55">IF(AND(Z$2&lt;&gt;0,TblTech[[#This Row],[Hour]:[Hour]]&gt;=Z$2),1,0)</f>
        <v>0</v>
      </c>
      <c r="AA55" s="304" cm="1">
        <f t="array" ref="AA55">IF(AND(AA$2&lt;&gt;0,TblTech[[#This Row],[Hour]:[Hour]]&gt;=AA$2),1,0)</f>
        <v>0</v>
      </c>
      <c r="AB55" s="304" cm="1">
        <f t="array" ref="AB55">IF(AND(AB$2&lt;&gt;0,TblTech[[#This Row],[Hour]:[Hour]]&gt;=AB$2),1,0)</f>
        <v>0</v>
      </c>
      <c r="AC55" s="304" cm="1">
        <f t="array" ref="AC55">IF(AND(AC$2&lt;&gt;0,TblTech[[#This Row],[Hour]:[Hour]]&gt;=AC$2),1,0)</f>
        <v>0</v>
      </c>
      <c r="AD55" s="304" cm="1">
        <f t="array" ref="AD55">IF(AND(AD$2&lt;&gt;0,TblTech[[#This Row],[Hour]:[Hour]]&gt;=AD$2),1,0)</f>
        <v>0</v>
      </c>
      <c r="AE55" s="304" cm="1">
        <f t="array" ref="AE55">IF(AND(AE$2&lt;&gt;0,TblTech[[#This Row],[Hour]:[Hour]]&gt;=AE$2),1,0)</f>
        <v>0</v>
      </c>
      <c r="AF55" s="304" cm="1">
        <f t="array" ref="AF55">IF(AND(AF$2&lt;&gt;0,TblTech[[#This Row],[Hour]:[Hour]]&gt;=AF$2),1,0)</f>
        <v>0</v>
      </c>
      <c r="AG55" s="304" cm="1">
        <f t="array" ref="AG55">IF(AND(AG$2&lt;&gt;0,TblTech[[#This Row],[Hour]:[Hour]]&gt;=AG$2),1,0)</f>
        <v>0</v>
      </c>
      <c r="AH55" s="304" cm="1">
        <f t="array" ref="AH55">IF(AND(AH$2&lt;&gt;0,TblTech[[#This Row],[Hour]:[Hour]]&gt;=AH$2),1,0)</f>
        <v>0</v>
      </c>
      <c r="AI55" s="304" cm="1">
        <f t="array" ref="AI55">IF(AND(AI$2&lt;&gt;0,TblTech[[#This Row],[Hour]:[Hour]]&gt;=AI$2),1,0)</f>
        <v>0</v>
      </c>
      <c r="AJ55" s="304" cm="1">
        <f t="array" ref="AJ55">IF(AND(AJ$2&lt;&gt;0,TblTech[[#This Row],[Hour]:[Hour]]&gt;=AJ$2),1,0)</f>
        <v>0</v>
      </c>
      <c r="AK55" s="304" cm="1">
        <f t="array" ref="AK55">IF(AND(AK$2&lt;&gt;0,TblTech[[#This Row],[Hour]:[Hour]]&gt;=AK$2),1,0)</f>
        <v>0</v>
      </c>
      <c r="AL55" s="304" cm="1">
        <f t="array" ref="AL55">IF(AND(AL$2&lt;&gt;0,TblTech[[#This Row],[Hour]:[Hour]]&gt;=AL$2),1,0)</f>
        <v>0</v>
      </c>
      <c r="AM55" s="304" cm="1">
        <f t="array" ref="AM55">IF(AND(AM$2&lt;&gt;0,TblTech[[#This Row],[Hour]:[Hour]]&gt;=AM$2),1,0)</f>
        <v>0</v>
      </c>
      <c r="AN55" s="304" cm="1">
        <f t="array" ref="AN55">IF(AND(AN$2&lt;&gt;0,TblTech[[#This Row],[Hour]:[Hour]]&gt;=AN$2),1,0)</f>
        <v>0</v>
      </c>
      <c r="AO55" s="304" cm="1">
        <f t="array" ref="AO55">IF(AND(AO$2&lt;&gt;0,TblTech[[#This Row],[Hour]:[Hour]]&gt;=AO$2),1,0)</f>
        <v>0</v>
      </c>
      <c r="AP55" s="304" cm="1">
        <f t="array" ref="AP55">IF(AND(AP$2&lt;&gt;0,TblTech[[#This Row],[Hour]:[Hour]]&gt;=AP$2),1,0)</f>
        <v>0</v>
      </c>
      <c r="AQ55" s="304" cm="1">
        <f t="array" ref="AQ55">IF(AND(AQ$2&lt;&gt;0,TblTech[[#This Row],[Hour]:[Hour]]&gt;=AQ$2),1,0)</f>
        <v>0</v>
      </c>
      <c r="AR55" s="304" cm="1">
        <f t="array" ref="AR55">IF(AND(AR$2&lt;&gt;0,TblTech[[#This Row],[Hour]:[Hour]]&gt;=AR$2),1,0)</f>
        <v>0</v>
      </c>
      <c r="AS55" s="304" cm="1">
        <f t="array" ref="AS55">IF(AND(AS$2&lt;&gt;0,TblTech[[#This Row],[Hour]:[Hour]]&gt;=AS$2),1,0)</f>
        <v>0</v>
      </c>
      <c r="AT55" s="304" cm="1">
        <f t="array" ref="AT55">IF(AND(AT$2&lt;&gt;0,TblTech[[#This Row],[Hour]:[Hour]]&gt;=AT$2),1,0)</f>
        <v>0</v>
      </c>
      <c r="AU55" s="304" cm="1">
        <f t="array" ref="AU55">IF(AND(AU$2&lt;&gt;0,TblTech[[#This Row],[Hour]:[Hour]]&gt;=AU$2),1,0)</f>
        <v>0</v>
      </c>
      <c r="AV55" s="304" cm="1">
        <f t="array" ref="AV55">IF(AND(AV$2&lt;&gt;0,TblTech[[#This Row],[Hour]:[Hour]]&gt;=AV$2),1,0)</f>
        <v>0</v>
      </c>
      <c r="AW55" s="304" cm="1">
        <f t="array" ref="AW55">IF(AND(AW$2&lt;&gt;0,TblTech[[#This Row],[Hour]:[Hour]]&gt;=AW$2),1,0)</f>
        <v>0</v>
      </c>
      <c r="AX55" s="304" cm="1">
        <f t="array" ref="AX55">IF(AND(AX$2&lt;&gt;0,TblTech[[#This Row],[Hour]:[Hour]]&gt;=AX$2),1,0)</f>
        <v>0</v>
      </c>
      <c r="AY55" s="304" cm="1">
        <f t="array" ref="AY55">IF(AND(AY$2&lt;&gt;0,TblTech[[#This Row],[Hour]:[Hour]]&gt;=AY$2),1,0)</f>
        <v>0</v>
      </c>
      <c r="AZ55" s="304" cm="1">
        <f t="array" ref="AZ55">IF(AND(AZ$2&lt;&gt;0,TblTech[[#This Row],[Hour]:[Hour]]&gt;=AZ$2),1,0)</f>
        <v>0</v>
      </c>
      <c r="BA55" s="304" cm="1">
        <f t="array" ref="BA55">IF(AND(BA$2&lt;&gt;0,TblTech[[#This Row],[Hour]:[Hour]]&gt;=BA$2),1,0)</f>
        <v>0</v>
      </c>
      <c r="BB55" s="304" cm="1">
        <f t="array" ref="BB55">IF(AND(BB$2&lt;&gt;0,TblTech[[#This Row],[Hour]:[Hour]]&gt;=BB$2),1,0)</f>
        <v>0</v>
      </c>
      <c r="BC55" s="304" cm="1">
        <f t="array" ref="BC55">IF(AND(BC$2&lt;&gt;0,TblTech[[#This Row],[Hour]:[Hour]]&gt;=BC$2),1,0)</f>
        <v>0</v>
      </c>
      <c r="BD55" s="304" cm="1">
        <f t="array" ref="BD55">IF(AND(BD$2&lt;&gt;0,TblTech[[#This Row],[Hour]:[Hour]]&gt;=BD$2),1,0)</f>
        <v>0</v>
      </c>
      <c r="BE55" s="304" cm="1">
        <f t="array" ref="BE55">IF(AND(BE$2&lt;&gt;0,TblTech[[#This Row],[Hour]:[Hour]]&gt;=BE$2),1,0)</f>
        <v>0</v>
      </c>
      <c r="BF55" s="304" cm="1">
        <f t="array" ref="BF55">IF(AND(BF$2&lt;&gt;0,TblTech[[#This Row],[Hour]:[Hour]]&gt;=BF$2),1,0)</f>
        <v>0</v>
      </c>
      <c r="BG55" s="304" cm="1">
        <f t="array" ref="BG55">IF(AND(BG$2&lt;&gt;0,TblTech[[#This Row],[Hour]:[Hour]]&gt;=BG$2),1,0)</f>
        <v>0</v>
      </c>
      <c r="BH55" s="304" cm="1">
        <f t="array" ref="BH55">IF(AND(BH$2&lt;&gt;0,TblTech[[#This Row],[Hour]:[Hour]]&gt;=BH$2),1,0)</f>
        <v>0</v>
      </c>
      <c r="BI55" s="304" cm="1">
        <f t="array" ref="BI55">IF(AND(BI$2&lt;&gt;0,TblTech[[#This Row],[Hour]:[Hour]]&gt;=BI$2),1,0)</f>
        <v>0</v>
      </c>
      <c r="BJ55" s="304" cm="1">
        <f t="array" ref="BJ55">IF(AND(BJ$2&lt;&gt;0,TblTech[[#This Row],[Hour]:[Hour]]&gt;=BJ$2),1,0)</f>
        <v>0</v>
      </c>
      <c r="BK55" s="304" cm="1">
        <f t="array" ref="BK55">IF(AND(BK$2&lt;&gt;0,TblTech[[#This Row],[Hour]:[Hour]]&gt;=BK$2),1,0)</f>
        <v>0</v>
      </c>
      <c r="BL55" s="304" cm="1">
        <f t="array" ref="BL55">IF(AND(BL$2&lt;&gt;0,TblTech[[#This Row],[Hour]:[Hour]]&gt;=BL$2),1,0)</f>
        <v>0</v>
      </c>
      <c r="BM55" s="304" cm="1">
        <f t="array" ref="BM55">IF(AND(BM$2&lt;&gt;0,TblTech[[#This Row],[Hour]:[Hour]]&gt;=BM$2),1,0)</f>
        <v>0</v>
      </c>
      <c r="BN55" s="304" cm="1">
        <f t="array" ref="BN55">IF(AND(BN$2&lt;&gt;0,TblTech[[#This Row],[Hour]:[Hour]]&gt;=BN$2),1,0)</f>
        <v>0</v>
      </c>
      <c r="BO55" s="304" cm="1">
        <f t="array" ref="BO55">IF(AND(BO$2&lt;&gt;0,TblTech[[#This Row],[Hour]:[Hour]]&gt;=BO$2),1,0)</f>
        <v>0</v>
      </c>
      <c r="BP55" s="304" cm="1">
        <f t="array" ref="BP55">IF(AND(BP$2&lt;&gt;0,TblTech[[#This Row],[Hour]:[Hour]]&gt;=BP$2),1,0)</f>
        <v>0</v>
      </c>
      <c r="BQ55" s="304" cm="1">
        <f t="array" ref="BQ55">IF(AND(BQ$2&lt;&gt;0,TblTech[[#This Row],[Hour]:[Hour]]&gt;=BQ$2),1,0)</f>
        <v>0</v>
      </c>
      <c r="BR55" s="304" cm="1">
        <f t="array" ref="BR55">IF(AND(BR$2&lt;&gt;0,TblTech[[#This Row],[Hour]:[Hour]]&gt;=BR$2),1,0)</f>
        <v>0</v>
      </c>
      <c r="BS55" s="304" cm="1">
        <f t="array" ref="BS55">IF(AND(BS$2&lt;&gt;0,TblTech[[#This Row],[Hour]:[Hour]]&gt;=BS$2),1,0)</f>
        <v>0</v>
      </c>
      <c r="BT55" s="304" cm="1">
        <f t="array" ref="BT55">IF(AND(BT$2&lt;&gt;0,TblTech[[#This Row],[Hour]:[Hour]]&gt;=BT$2),1,0)</f>
        <v>0</v>
      </c>
      <c r="BU55" s="304" cm="1">
        <f t="array" ref="BU55">IF(AND(BU$2&lt;&gt;0,TblTech[[#This Row],[Hour]:[Hour]]&gt;=BU$2),1,0)</f>
        <v>0</v>
      </c>
      <c r="BV55" s="304" cm="1">
        <f t="array" ref="BV55">IF(AND(BV$2&lt;&gt;0,TblTech[[#This Row],[Hour]:[Hour]]&gt;=BV$2),1,0)</f>
        <v>0</v>
      </c>
      <c r="BW55" s="304" cm="1">
        <f t="array" ref="BW55">IF(AND(BW$2&lt;&gt;0,TblTech[[#This Row],[Hour]:[Hour]]&gt;=BW$2),1,0)</f>
        <v>0</v>
      </c>
      <c r="BX55" s="304" cm="1">
        <f t="array" ref="BX55">IF(AND(BX$2&lt;&gt;0,TblTech[[#This Row],[Hour]:[Hour]]&gt;=BX$2),1,0)</f>
        <v>0</v>
      </c>
      <c r="BY55" s="304" cm="1">
        <f t="array" ref="BY55">IF(AND(BY$2&lt;&gt;0,TblTech[[#This Row],[Hour]:[Hour]]&gt;=BY$2),1,0)</f>
        <v>0</v>
      </c>
      <c r="BZ55" s="304" cm="1">
        <f t="array" ref="BZ55">IF(AND(BZ$2&lt;&gt;0,TblTech[[#This Row],[Hour]:[Hour]]&gt;=BZ$2),1,0)</f>
        <v>0</v>
      </c>
      <c r="CA55" s="408">
        <f>IFERROR(INDEX($H$4:$H$79,MATCH(INDEX(TblTech[[#Headers],[1-1]:[11-1]],1,MATCH(TblTech[[#This Row],[Hour]],$M$2:$BZ$2,0)),$G$4:$G$79,0)),)</f>
        <v>0</v>
      </c>
    </row>
    <row r="56" spans="1:79" x14ac:dyDescent="0.2">
      <c r="A56" s="296">
        <f>TblRezone[[#This Row],[Hour]]</f>
        <v>53</v>
      </c>
      <c r="B56" s="297">
        <f ca="1">TblExplore[[#This Row],[Land-DB]]</f>
        <v>250</v>
      </c>
      <c r="C56" s="298">
        <f ca="1">TblProd[[#This Row],[Techpoints]]</f>
        <v>0</v>
      </c>
      <c r="D56" s="298">
        <f ca="1">TblProd[[#This Row],[Required]]</f>
        <v>3750</v>
      </c>
      <c r="E56" s="299"/>
      <c r="F56" s="300"/>
      <c r="G56" s="301" t="s">
        <v>612</v>
      </c>
      <c r="H56" s="302" t="s">
        <v>1090</v>
      </c>
      <c r="I56" s="301" t="s">
        <v>1085</v>
      </c>
      <c r="J56" s="297"/>
      <c r="K56" s="96">
        <f ca="1">IF(TblTech[[#This Row],[Sum of tech]]&lt;&gt;OFFSET(TblTech[[#This Row],[Sum of tech]],-1,0),1,0)</f>
        <v>0</v>
      </c>
      <c r="L56" s="303">
        <f>COUNTIF(TblTech[[#This Row],[1-1]:[11-1]],1)</f>
        <v>0</v>
      </c>
      <c r="M56" s="304" cm="1">
        <f t="array" ref="M56">IF(AND(M$2&lt;&gt;0,TblTech[[#This Row],[Hour]:[Hour]]&gt;=M$2),1,0)</f>
        <v>0</v>
      </c>
      <c r="N56" s="304" cm="1">
        <f t="array" ref="N56">IF(AND(N$2&lt;&gt;0,TblTech[[#This Row],[Hour]:[Hour]]&gt;=N$2),1,0)</f>
        <v>0</v>
      </c>
      <c r="O56" s="304" cm="1">
        <f t="array" ref="O56">IF(AND(O$2&lt;&gt;0,TblTech[[#This Row],[Hour]:[Hour]]&gt;=O$2),1,0)</f>
        <v>0</v>
      </c>
      <c r="P56" s="304" cm="1">
        <f t="array" ref="P56">IF(AND(P$2&lt;&gt;0,TblTech[[#This Row],[Hour]:[Hour]]&gt;=P$2),1,0)</f>
        <v>0</v>
      </c>
      <c r="Q56" s="304" cm="1">
        <f t="array" ref="Q56">IF(AND(Q$2&lt;&gt;0,TblTech[[#This Row],[Hour]:[Hour]]&gt;=Q$2),1,0)</f>
        <v>0</v>
      </c>
      <c r="R56" s="304" cm="1">
        <f t="array" ref="R56">IF(AND(R$2&lt;&gt;0,TblTech[[#This Row],[Hour]:[Hour]]&gt;=R$2),1,0)</f>
        <v>0</v>
      </c>
      <c r="S56" s="304" cm="1">
        <f t="array" ref="S56">IF(AND(S$2&lt;&gt;0,TblTech[[#This Row],[Hour]:[Hour]]&gt;=S$2),1,0)</f>
        <v>0</v>
      </c>
      <c r="T56" s="304" cm="1">
        <f t="array" ref="T56">IF(AND(T$2&lt;&gt;0,TblTech[[#This Row],[Hour]:[Hour]]&gt;=T$2),1,0)</f>
        <v>0</v>
      </c>
      <c r="U56" s="304" cm="1">
        <f t="array" ref="U56">IF(AND(U$2&lt;&gt;0,TblTech[[#This Row],[Hour]:[Hour]]&gt;=U$2),1,0)</f>
        <v>0</v>
      </c>
      <c r="V56" s="304" cm="1">
        <f t="array" ref="V56">IF(AND(V$2&lt;&gt;0,TblTech[[#This Row],[Hour]:[Hour]]&gt;=V$2),1,0)</f>
        <v>0</v>
      </c>
      <c r="W56" s="304" cm="1">
        <f t="array" ref="W56">IF(AND(W$2&lt;&gt;0,TblTech[[#This Row],[Hour]:[Hour]]&gt;=W$2),1,0)</f>
        <v>0</v>
      </c>
      <c r="X56" s="304" cm="1">
        <f t="array" ref="X56">IF(AND(X$2&lt;&gt;0,TblTech[[#This Row],[Hour]:[Hour]]&gt;=X$2),1,0)</f>
        <v>0</v>
      </c>
      <c r="Y56" s="304" cm="1">
        <f t="array" ref="Y56">IF(AND(Y$2&lt;&gt;0,TblTech[[#This Row],[Hour]:[Hour]]&gt;=Y$2),1,0)</f>
        <v>0</v>
      </c>
      <c r="Z56" s="304" cm="1">
        <f t="array" ref="Z56">IF(AND(Z$2&lt;&gt;0,TblTech[[#This Row],[Hour]:[Hour]]&gt;=Z$2),1,0)</f>
        <v>0</v>
      </c>
      <c r="AA56" s="304" cm="1">
        <f t="array" ref="AA56">IF(AND(AA$2&lt;&gt;0,TblTech[[#This Row],[Hour]:[Hour]]&gt;=AA$2),1,0)</f>
        <v>0</v>
      </c>
      <c r="AB56" s="304" cm="1">
        <f t="array" ref="AB56">IF(AND(AB$2&lt;&gt;0,TblTech[[#This Row],[Hour]:[Hour]]&gt;=AB$2),1,0)</f>
        <v>0</v>
      </c>
      <c r="AC56" s="304" cm="1">
        <f t="array" ref="AC56">IF(AND(AC$2&lt;&gt;0,TblTech[[#This Row],[Hour]:[Hour]]&gt;=AC$2),1,0)</f>
        <v>0</v>
      </c>
      <c r="AD56" s="304" cm="1">
        <f t="array" ref="AD56">IF(AND(AD$2&lt;&gt;0,TblTech[[#This Row],[Hour]:[Hour]]&gt;=AD$2),1,0)</f>
        <v>0</v>
      </c>
      <c r="AE56" s="304" cm="1">
        <f t="array" ref="AE56">IF(AND(AE$2&lt;&gt;0,TblTech[[#This Row],[Hour]:[Hour]]&gt;=AE$2),1,0)</f>
        <v>0</v>
      </c>
      <c r="AF56" s="304" cm="1">
        <f t="array" ref="AF56">IF(AND(AF$2&lt;&gt;0,TblTech[[#This Row],[Hour]:[Hour]]&gt;=AF$2),1,0)</f>
        <v>0</v>
      </c>
      <c r="AG56" s="304" cm="1">
        <f t="array" ref="AG56">IF(AND(AG$2&lt;&gt;0,TblTech[[#This Row],[Hour]:[Hour]]&gt;=AG$2),1,0)</f>
        <v>0</v>
      </c>
      <c r="AH56" s="304" cm="1">
        <f t="array" ref="AH56">IF(AND(AH$2&lt;&gt;0,TblTech[[#This Row],[Hour]:[Hour]]&gt;=AH$2),1,0)</f>
        <v>0</v>
      </c>
      <c r="AI56" s="304" cm="1">
        <f t="array" ref="AI56">IF(AND(AI$2&lt;&gt;0,TblTech[[#This Row],[Hour]:[Hour]]&gt;=AI$2),1,0)</f>
        <v>0</v>
      </c>
      <c r="AJ56" s="304" cm="1">
        <f t="array" ref="AJ56">IF(AND(AJ$2&lt;&gt;0,TblTech[[#This Row],[Hour]:[Hour]]&gt;=AJ$2),1,0)</f>
        <v>0</v>
      </c>
      <c r="AK56" s="304" cm="1">
        <f t="array" ref="AK56">IF(AND(AK$2&lt;&gt;0,TblTech[[#This Row],[Hour]:[Hour]]&gt;=AK$2),1,0)</f>
        <v>0</v>
      </c>
      <c r="AL56" s="304" cm="1">
        <f t="array" ref="AL56">IF(AND(AL$2&lt;&gt;0,TblTech[[#This Row],[Hour]:[Hour]]&gt;=AL$2),1,0)</f>
        <v>0</v>
      </c>
      <c r="AM56" s="304" cm="1">
        <f t="array" ref="AM56">IF(AND(AM$2&lt;&gt;0,TblTech[[#This Row],[Hour]:[Hour]]&gt;=AM$2),1,0)</f>
        <v>0</v>
      </c>
      <c r="AN56" s="304" cm="1">
        <f t="array" ref="AN56">IF(AND(AN$2&lt;&gt;0,TblTech[[#This Row],[Hour]:[Hour]]&gt;=AN$2),1,0)</f>
        <v>0</v>
      </c>
      <c r="AO56" s="304" cm="1">
        <f t="array" ref="AO56">IF(AND(AO$2&lt;&gt;0,TblTech[[#This Row],[Hour]:[Hour]]&gt;=AO$2),1,0)</f>
        <v>0</v>
      </c>
      <c r="AP56" s="304" cm="1">
        <f t="array" ref="AP56">IF(AND(AP$2&lt;&gt;0,TblTech[[#This Row],[Hour]:[Hour]]&gt;=AP$2),1,0)</f>
        <v>0</v>
      </c>
      <c r="AQ56" s="304" cm="1">
        <f t="array" ref="AQ56">IF(AND(AQ$2&lt;&gt;0,TblTech[[#This Row],[Hour]:[Hour]]&gt;=AQ$2),1,0)</f>
        <v>0</v>
      </c>
      <c r="AR56" s="304" cm="1">
        <f t="array" ref="AR56">IF(AND(AR$2&lt;&gt;0,TblTech[[#This Row],[Hour]:[Hour]]&gt;=AR$2),1,0)</f>
        <v>0</v>
      </c>
      <c r="AS56" s="304" cm="1">
        <f t="array" ref="AS56">IF(AND(AS$2&lt;&gt;0,TblTech[[#This Row],[Hour]:[Hour]]&gt;=AS$2),1,0)</f>
        <v>0</v>
      </c>
      <c r="AT56" s="304" cm="1">
        <f t="array" ref="AT56">IF(AND(AT$2&lt;&gt;0,TblTech[[#This Row],[Hour]:[Hour]]&gt;=AT$2),1,0)</f>
        <v>0</v>
      </c>
      <c r="AU56" s="304" cm="1">
        <f t="array" ref="AU56">IF(AND(AU$2&lt;&gt;0,TblTech[[#This Row],[Hour]:[Hour]]&gt;=AU$2),1,0)</f>
        <v>0</v>
      </c>
      <c r="AV56" s="304" cm="1">
        <f t="array" ref="AV56">IF(AND(AV$2&lt;&gt;0,TblTech[[#This Row],[Hour]:[Hour]]&gt;=AV$2),1,0)</f>
        <v>0</v>
      </c>
      <c r="AW56" s="304" cm="1">
        <f t="array" ref="AW56">IF(AND(AW$2&lt;&gt;0,TblTech[[#This Row],[Hour]:[Hour]]&gt;=AW$2),1,0)</f>
        <v>0</v>
      </c>
      <c r="AX56" s="304" cm="1">
        <f t="array" ref="AX56">IF(AND(AX$2&lt;&gt;0,TblTech[[#This Row],[Hour]:[Hour]]&gt;=AX$2),1,0)</f>
        <v>0</v>
      </c>
      <c r="AY56" s="304" cm="1">
        <f t="array" ref="AY56">IF(AND(AY$2&lt;&gt;0,TblTech[[#This Row],[Hour]:[Hour]]&gt;=AY$2),1,0)</f>
        <v>0</v>
      </c>
      <c r="AZ56" s="304" cm="1">
        <f t="array" ref="AZ56">IF(AND(AZ$2&lt;&gt;0,TblTech[[#This Row],[Hour]:[Hour]]&gt;=AZ$2),1,0)</f>
        <v>0</v>
      </c>
      <c r="BA56" s="304" cm="1">
        <f t="array" ref="BA56">IF(AND(BA$2&lt;&gt;0,TblTech[[#This Row],[Hour]:[Hour]]&gt;=BA$2),1,0)</f>
        <v>0</v>
      </c>
      <c r="BB56" s="304" cm="1">
        <f t="array" ref="BB56">IF(AND(BB$2&lt;&gt;0,TblTech[[#This Row],[Hour]:[Hour]]&gt;=BB$2),1,0)</f>
        <v>0</v>
      </c>
      <c r="BC56" s="304" cm="1">
        <f t="array" ref="BC56">IF(AND(BC$2&lt;&gt;0,TblTech[[#This Row],[Hour]:[Hour]]&gt;=BC$2),1,0)</f>
        <v>0</v>
      </c>
      <c r="BD56" s="304" cm="1">
        <f t="array" ref="BD56">IF(AND(BD$2&lt;&gt;0,TblTech[[#This Row],[Hour]:[Hour]]&gt;=BD$2),1,0)</f>
        <v>0</v>
      </c>
      <c r="BE56" s="304" cm="1">
        <f t="array" ref="BE56">IF(AND(BE$2&lt;&gt;0,TblTech[[#This Row],[Hour]:[Hour]]&gt;=BE$2),1,0)</f>
        <v>0</v>
      </c>
      <c r="BF56" s="304" cm="1">
        <f t="array" ref="BF56">IF(AND(BF$2&lt;&gt;0,TblTech[[#This Row],[Hour]:[Hour]]&gt;=BF$2),1,0)</f>
        <v>0</v>
      </c>
      <c r="BG56" s="304" cm="1">
        <f t="array" ref="BG56">IF(AND(BG$2&lt;&gt;0,TblTech[[#This Row],[Hour]:[Hour]]&gt;=BG$2),1,0)</f>
        <v>0</v>
      </c>
      <c r="BH56" s="304" cm="1">
        <f t="array" ref="BH56">IF(AND(BH$2&lt;&gt;0,TblTech[[#This Row],[Hour]:[Hour]]&gt;=BH$2),1,0)</f>
        <v>0</v>
      </c>
      <c r="BI56" s="304" cm="1">
        <f t="array" ref="BI56">IF(AND(BI$2&lt;&gt;0,TblTech[[#This Row],[Hour]:[Hour]]&gt;=BI$2),1,0)</f>
        <v>0</v>
      </c>
      <c r="BJ56" s="304" cm="1">
        <f t="array" ref="BJ56">IF(AND(BJ$2&lt;&gt;0,TblTech[[#This Row],[Hour]:[Hour]]&gt;=BJ$2),1,0)</f>
        <v>0</v>
      </c>
      <c r="BK56" s="304" cm="1">
        <f t="array" ref="BK56">IF(AND(BK$2&lt;&gt;0,TblTech[[#This Row],[Hour]:[Hour]]&gt;=BK$2),1,0)</f>
        <v>0</v>
      </c>
      <c r="BL56" s="304" cm="1">
        <f t="array" ref="BL56">IF(AND(BL$2&lt;&gt;0,TblTech[[#This Row],[Hour]:[Hour]]&gt;=BL$2),1,0)</f>
        <v>0</v>
      </c>
      <c r="BM56" s="304" cm="1">
        <f t="array" ref="BM56">IF(AND(BM$2&lt;&gt;0,TblTech[[#This Row],[Hour]:[Hour]]&gt;=BM$2),1,0)</f>
        <v>0</v>
      </c>
      <c r="BN56" s="304" cm="1">
        <f t="array" ref="BN56">IF(AND(BN$2&lt;&gt;0,TblTech[[#This Row],[Hour]:[Hour]]&gt;=BN$2),1,0)</f>
        <v>0</v>
      </c>
      <c r="BO56" s="304" cm="1">
        <f t="array" ref="BO56">IF(AND(BO$2&lt;&gt;0,TblTech[[#This Row],[Hour]:[Hour]]&gt;=BO$2),1,0)</f>
        <v>0</v>
      </c>
      <c r="BP56" s="304" cm="1">
        <f t="array" ref="BP56">IF(AND(BP$2&lt;&gt;0,TblTech[[#This Row],[Hour]:[Hour]]&gt;=BP$2),1,0)</f>
        <v>0</v>
      </c>
      <c r="BQ56" s="304" cm="1">
        <f t="array" ref="BQ56">IF(AND(BQ$2&lt;&gt;0,TblTech[[#This Row],[Hour]:[Hour]]&gt;=BQ$2),1,0)</f>
        <v>0</v>
      </c>
      <c r="BR56" s="304" cm="1">
        <f t="array" ref="BR56">IF(AND(BR$2&lt;&gt;0,TblTech[[#This Row],[Hour]:[Hour]]&gt;=BR$2),1,0)</f>
        <v>0</v>
      </c>
      <c r="BS56" s="304" cm="1">
        <f t="array" ref="BS56">IF(AND(BS$2&lt;&gt;0,TblTech[[#This Row],[Hour]:[Hour]]&gt;=BS$2),1,0)</f>
        <v>0</v>
      </c>
      <c r="BT56" s="304" cm="1">
        <f t="array" ref="BT56">IF(AND(BT$2&lt;&gt;0,TblTech[[#This Row],[Hour]:[Hour]]&gt;=BT$2),1,0)</f>
        <v>0</v>
      </c>
      <c r="BU56" s="304" cm="1">
        <f t="array" ref="BU56">IF(AND(BU$2&lt;&gt;0,TblTech[[#This Row],[Hour]:[Hour]]&gt;=BU$2),1,0)</f>
        <v>0</v>
      </c>
      <c r="BV56" s="304" cm="1">
        <f t="array" ref="BV56">IF(AND(BV$2&lt;&gt;0,TblTech[[#This Row],[Hour]:[Hour]]&gt;=BV$2),1,0)</f>
        <v>0</v>
      </c>
      <c r="BW56" s="304" cm="1">
        <f t="array" ref="BW56">IF(AND(BW$2&lt;&gt;0,TblTech[[#This Row],[Hour]:[Hour]]&gt;=BW$2),1,0)</f>
        <v>0</v>
      </c>
      <c r="BX56" s="304" cm="1">
        <f t="array" ref="BX56">IF(AND(BX$2&lt;&gt;0,TblTech[[#This Row],[Hour]:[Hour]]&gt;=BX$2),1,0)</f>
        <v>0</v>
      </c>
      <c r="BY56" s="304" cm="1">
        <f t="array" ref="BY56">IF(AND(BY$2&lt;&gt;0,TblTech[[#This Row],[Hour]:[Hour]]&gt;=BY$2),1,0)</f>
        <v>0</v>
      </c>
      <c r="BZ56" s="304" cm="1">
        <f t="array" ref="BZ56">IF(AND(BZ$2&lt;&gt;0,TblTech[[#This Row],[Hour]:[Hour]]&gt;=BZ$2),1,0)</f>
        <v>0</v>
      </c>
      <c r="CA56" s="408">
        <f>IFERROR(INDEX($H$4:$H$79,MATCH(INDEX(TblTech[[#Headers],[1-1]:[11-1]],1,MATCH(TblTech[[#This Row],[Hour]],$M$2:$BZ$2,0)),$G$4:$G$79,0)),)</f>
        <v>0</v>
      </c>
    </row>
    <row r="57" spans="1:79" x14ac:dyDescent="0.2">
      <c r="A57" s="296">
        <f>TblRezone[[#This Row],[Hour]]</f>
        <v>54</v>
      </c>
      <c r="B57" s="297">
        <f ca="1">TblExplore[[#This Row],[Land-DB]]</f>
        <v>250</v>
      </c>
      <c r="C57" s="298">
        <f ca="1">TblProd[[#This Row],[Techpoints]]</f>
        <v>0</v>
      </c>
      <c r="D57" s="298">
        <f ca="1">TblProd[[#This Row],[Required]]</f>
        <v>3750</v>
      </c>
      <c r="E57" s="299"/>
      <c r="F57" s="300"/>
      <c r="G57" s="301" t="s">
        <v>613</v>
      </c>
      <c r="H57" s="302" t="s">
        <v>738</v>
      </c>
      <c r="I57" s="301" t="s">
        <v>614</v>
      </c>
      <c r="J57" s="297"/>
      <c r="K57" s="96">
        <f ca="1">IF(TblTech[[#This Row],[Sum of tech]]&lt;&gt;OFFSET(TblTech[[#This Row],[Sum of tech]],-1,0),1,0)</f>
        <v>0</v>
      </c>
      <c r="L57" s="303">
        <f>COUNTIF(TblTech[[#This Row],[1-1]:[11-1]],1)</f>
        <v>0</v>
      </c>
      <c r="M57" s="304" cm="1">
        <f t="array" ref="M57">IF(AND(M$2&lt;&gt;0,TblTech[[#This Row],[Hour]:[Hour]]&gt;=M$2),1,0)</f>
        <v>0</v>
      </c>
      <c r="N57" s="304" cm="1">
        <f t="array" ref="N57">IF(AND(N$2&lt;&gt;0,TblTech[[#This Row],[Hour]:[Hour]]&gt;=N$2),1,0)</f>
        <v>0</v>
      </c>
      <c r="O57" s="304" cm="1">
        <f t="array" ref="O57">IF(AND(O$2&lt;&gt;0,TblTech[[#This Row],[Hour]:[Hour]]&gt;=O$2),1,0)</f>
        <v>0</v>
      </c>
      <c r="P57" s="304" cm="1">
        <f t="array" ref="P57">IF(AND(P$2&lt;&gt;0,TblTech[[#This Row],[Hour]:[Hour]]&gt;=P$2),1,0)</f>
        <v>0</v>
      </c>
      <c r="Q57" s="304" cm="1">
        <f t="array" ref="Q57">IF(AND(Q$2&lt;&gt;0,TblTech[[#This Row],[Hour]:[Hour]]&gt;=Q$2),1,0)</f>
        <v>0</v>
      </c>
      <c r="R57" s="304" cm="1">
        <f t="array" ref="R57">IF(AND(R$2&lt;&gt;0,TblTech[[#This Row],[Hour]:[Hour]]&gt;=R$2),1,0)</f>
        <v>0</v>
      </c>
      <c r="S57" s="304" cm="1">
        <f t="array" ref="S57">IF(AND(S$2&lt;&gt;0,TblTech[[#This Row],[Hour]:[Hour]]&gt;=S$2),1,0)</f>
        <v>0</v>
      </c>
      <c r="T57" s="304" cm="1">
        <f t="array" ref="T57">IF(AND(T$2&lt;&gt;0,TblTech[[#This Row],[Hour]:[Hour]]&gt;=T$2),1,0)</f>
        <v>0</v>
      </c>
      <c r="U57" s="304" cm="1">
        <f t="array" ref="U57">IF(AND(U$2&lt;&gt;0,TblTech[[#This Row],[Hour]:[Hour]]&gt;=U$2),1,0)</f>
        <v>0</v>
      </c>
      <c r="V57" s="304" cm="1">
        <f t="array" ref="V57">IF(AND(V$2&lt;&gt;0,TblTech[[#This Row],[Hour]:[Hour]]&gt;=V$2),1,0)</f>
        <v>0</v>
      </c>
      <c r="W57" s="304" cm="1">
        <f t="array" ref="W57">IF(AND(W$2&lt;&gt;0,TblTech[[#This Row],[Hour]:[Hour]]&gt;=W$2),1,0)</f>
        <v>0</v>
      </c>
      <c r="X57" s="304" cm="1">
        <f t="array" ref="X57">IF(AND(X$2&lt;&gt;0,TblTech[[#This Row],[Hour]:[Hour]]&gt;=X$2),1,0)</f>
        <v>0</v>
      </c>
      <c r="Y57" s="304" cm="1">
        <f t="array" ref="Y57">IF(AND(Y$2&lt;&gt;0,TblTech[[#This Row],[Hour]:[Hour]]&gt;=Y$2),1,0)</f>
        <v>0</v>
      </c>
      <c r="Z57" s="304" cm="1">
        <f t="array" ref="Z57">IF(AND(Z$2&lt;&gt;0,TblTech[[#This Row],[Hour]:[Hour]]&gt;=Z$2),1,0)</f>
        <v>0</v>
      </c>
      <c r="AA57" s="304" cm="1">
        <f t="array" ref="AA57">IF(AND(AA$2&lt;&gt;0,TblTech[[#This Row],[Hour]:[Hour]]&gt;=AA$2),1,0)</f>
        <v>0</v>
      </c>
      <c r="AB57" s="304" cm="1">
        <f t="array" ref="AB57">IF(AND(AB$2&lt;&gt;0,TblTech[[#This Row],[Hour]:[Hour]]&gt;=AB$2),1,0)</f>
        <v>0</v>
      </c>
      <c r="AC57" s="304" cm="1">
        <f t="array" ref="AC57">IF(AND(AC$2&lt;&gt;0,TblTech[[#This Row],[Hour]:[Hour]]&gt;=AC$2),1,0)</f>
        <v>0</v>
      </c>
      <c r="AD57" s="304" cm="1">
        <f t="array" ref="AD57">IF(AND(AD$2&lt;&gt;0,TblTech[[#This Row],[Hour]:[Hour]]&gt;=AD$2),1,0)</f>
        <v>0</v>
      </c>
      <c r="AE57" s="304" cm="1">
        <f t="array" ref="AE57">IF(AND(AE$2&lt;&gt;0,TblTech[[#This Row],[Hour]:[Hour]]&gt;=AE$2),1,0)</f>
        <v>0</v>
      </c>
      <c r="AF57" s="304" cm="1">
        <f t="array" ref="AF57">IF(AND(AF$2&lt;&gt;0,TblTech[[#This Row],[Hour]:[Hour]]&gt;=AF$2),1,0)</f>
        <v>0</v>
      </c>
      <c r="AG57" s="304" cm="1">
        <f t="array" ref="AG57">IF(AND(AG$2&lt;&gt;0,TblTech[[#This Row],[Hour]:[Hour]]&gt;=AG$2),1,0)</f>
        <v>0</v>
      </c>
      <c r="AH57" s="304" cm="1">
        <f t="array" ref="AH57">IF(AND(AH$2&lt;&gt;0,TblTech[[#This Row],[Hour]:[Hour]]&gt;=AH$2),1,0)</f>
        <v>0</v>
      </c>
      <c r="AI57" s="304" cm="1">
        <f t="array" ref="AI57">IF(AND(AI$2&lt;&gt;0,TblTech[[#This Row],[Hour]:[Hour]]&gt;=AI$2),1,0)</f>
        <v>0</v>
      </c>
      <c r="AJ57" s="304" cm="1">
        <f t="array" ref="AJ57">IF(AND(AJ$2&lt;&gt;0,TblTech[[#This Row],[Hour]:[Hour]]&gt;=AJ$2),1,0)</f>
        <v>0</v>
      </c>
      <c r="AK57" s="304" cm="1">
        <f t="array" ref="AK57">IF(AND(AK$2&lt;&gt;0,TblTech[[#This Row],[Hour]:[Hour]]&gt;=AK$2),1,0)</f>
        <v>0</v>
      </c>
      <c r="AL57" s="304" cm="1">
        <f t="array" ref="AL57">IF(AND(AL$2&lt;&gt;0,TblTech[[#This Row],[Hour]:[Hour]]&gt;=AL$2),1,0)</f>
        <v>0</v>
      </c>
      <c r="AM57" s="304" cm="1">
        <f t="array" ref="AM57">IF(AND(AM$2&lt;&gt;0,TblTech[[#This Row],[Hour]:[Hour]]&gt;=AM$2),1,0)</f>
        <v>0</v>
      </c>
      <c r="AN57" s="304" cm="1">
        <f t="array" ref="AN57">IF(AND(AN$2&lt;&gt;0,TblTech[[#This Row],[Hour]:[Hour]]&gt;=AN$2),1,0)</f>
        <v>0</v>
      </c>
      <c r="AO57" s="304" cm="1">
        <f t="array" ref="AO57">IF(AND(AO$2&lt;&gt;0,TblTech[[#This Row],[Hour]:[Hour]]&gt;=AO$2),1,0)</f>
        <v>0</v>
      </c>
      <c r="AP57" s="304" cm="1">
        <f t="array" ref="AP57">IF(AND(AP$2&lt;&gt;0,TblTech[[#This Row],[Hour]:[Hour]]&gt;=AP$2),1,0)</f>
        <v>0</v>
      </c>
      <c r="AQ57" s="304" cm="1">
        <f t="array" ref="AQ57">IF(AND(AQ$2&lt;&gt;0,TblTech[[#This Row],[Hour]:[Hour]]&gt;=AQ$2),1,0)</f>
        <v>0</v>
      </c>
      <c r="AR57" s="304" cm="1">
        <f t="array" ref="AR57">IF(AND(AR$2&lt;&gt;0,TblTech[[#This Row],[Hour]:[Hour]]&gt;=AR$2),1,0)</f>
        <v>0</v>
      </c>
      <c r="AS57" s="304" cm="1">
        <f t="array" ref="AS57">IF(AND(AS$2&lt;&gt;0,TblTech[[#This Row],[Hour]:[Hour]]&gt;=AS$2),1,0)</f>
        <v>0</v>
      </c>
      <c r="AT57" s="304" cm="1">
        <f t="array" ref="AT57">IF(AND(AT$2&lt;&gt;0,TblTech[[#This Row],[Hour]:[Hour]]&gt;=AT$2),1,0)</f>
        <v>0</v>
      </c>
      <c r="AU57" s="304" cm="1">
        <f t="array" ref="AU57">IF(AND(AU$2&lt;&gt;0,TblTech[[#This Row],[Hour]:[Hour]]&gt;=AU$2),1,0)</f>
        <v>0</v>
      </c>
      <c r="AV57" s="304" cm="1">
        <f t="array" ref="AV57">IF(AND(AV$2&lt;&gt;0,TblTech[[#This Row],[Hour]:[Hour]]&gt;=AV$2),1,0)</f>
        <v>0</v>
      </c>
      <c r="AW57" s="304" cm="1">
        <f t="array" ref="AW57">IF(AND(AW$2&lt;&gt;0,TblTech[[#This Row],[Hour]:[Hour]]&gt;=AW$2),1,0)</f>
        <v>0</v>
      </c>
      <c r="AX57" s="304" cm="1">
        <f t="array" ref="AX57">IF(AND(AX$2&lt;&gt;0,TblTech[[#This Row],[Hour]:[Hour]]&gt;=AX$2),1,0)</f>
        <v>0</v>
      </c>
      <c r="AY57" s="304" cm="1">
        <f t="array" ref="AY57">IF(AND(AY$2&lt;&gt;0,TblTech[[#This Row],[Hour]:[Hour]]&gt;=AY$2),1,0)</f>
        <v>0</v>
      </c>
      <c r="AZ57" s="304" cm="1">
        <f t="array" ref="AZ57">IF(AND(AZ$2&lt;&gt;0,TblTech[[#This Row],[Hour]:[Hour]]&gt;=AZ$2),1,0)</f>
        <v>0</v>
      </c>
      <c r="BA57" s="304" cm="1">
        <f t="array" ref="BA57">IF(AND(BA$2&lt;&gt;0,TblTech[[#This Row],[Hour]:[Hour]]&gt;=BA$2),1,0)</f>
        <v>0</v>
      </c>
      <c r="BB57" s="304" cm="1">
        <f t="array" ref="BB57">IF(AND(BB$2&lt;&gt;0,TblTech[[#This Row],[Hour]:[Hour]]&gt;=BB$2),1,0)</f>
        <v>0</v>
      </c>
      <c r="BC57" s="304" cm="1">
        <f t="array" ref="BC57">IF(AND(BC$2&lt;&gt;0,TblTech[[#This Row],[Hour]:[Hour]]&gt;=BC$2),1,0)</f>
        <v>0</v>
      </c>
      <c r="BD57" s="304" cm="1">
        <f t="array" ref="BD57">IF(AND(BD$2&lt;&gt;0,TblTech[[#This Row],[Hour]:[Hour]]&gt;=BD$2),1,0)</f>
        <v>0</v>
      </c>
      <c r="BE57" s="304" cm="1">
        <f t="array" ref="BE57">IF(AND(BE$2&lt;&gt;0,TblTech[[#This Row],[Hour]:[Hour]]&gt;=BE$2),1,0)</f>
        <v>0</v>
      </c>
      <c r="BF57" s="304" cm="1">
        <f t="array" ref="BF57">IF(AND(BF$2&lt;&gt;0,TblTech[[#This Row],[Hour]:[Hour]]&gt;=BF$2),1,0)</f>
        <v>0</v>
      </c>
      <c r="BG57" s="304" cm="1">
        <f t="array" ref="BG57">IF(AND(BG$2&lt;&gt;0,TblTech[[#This Row],[Hour]:[Hour]]&gt;=BG$2),1,0)</f>
        <v>0</v>
      </c>
      <c r="BH57" s="304" cm="1">
        <f t="array" ref="BH57">IF(AND(BH$2&lt;&gt;0,TblTech[[#This Row],[Hour]:[Hour]]&gt;=BH$2),1,0)</f>
        <v>0</v>
      </c>
      <c r="BI57" s="304" cm="1">
        <f t="array" ref="BI57">IF(AND(BI$2&lt;&gt;0,TblTech[[#This Row],[Hour]:[Hour]]&gt;=BI$2),1,0)</f>
        <v>0</v>
      </c>
      <c r="BJ57" s="304" cm="1">
        <f t="array" ref="BJ57">IF(AND(BJ$2&lt;&gt;0,TblTech[[#This Row],[Hour]:[Hour]]&gt;=BJ$2),1,0)</f>
        <v>0</v>
      </c>
      <c r="BK57" s="304" cm="1">
        <f t="array" ref="BK57">IF(AND(BK$2&lt;&gt;0,TblTech[[#This Row],[Hour]:[Hour]]&gt;=BK$2),1,0)</f>
        <v>0</v>
      </c>
      <c r="BL57" s="304" cm="1">
        <f t="array" ref="BL57">IF(AND(BL$2&lt;&gt;0,TblTech[[#This Row],[Hour]:[Hour]]&gt;=BL$2),1,0)</f>
        <v>0</v>
      </c>
      <c r="BM57" s="304" cm="1">
        <f t="array" ref="BM57">IF(AND(BM$2&lt;&gt;0,TblTech[[#This Row],[Hour]:[Hour]]&gt;=BM$2),1,0)</f>
        <v>0</v>
      </c>
      <c r="BN57" s="304" cm="1">
        <f t="array" ref="BN57">IF(AND(BN$2&lt;&gt;0,TblTech[[#This Row],[Hour]:[Hour]]&gt;=BN$2),1,0)</f>
        <v>0</v>
      </c>
      <c r="BO57" s="304" cm="1">
        <f t="array" ref="BO57">IF(AND(BO$2&lt;&gt;0,TblTech[[#This Row],[Hour]:[Hour]]&gt;=BO$2),1,0)</f>
        <v>0</v>
      </c>
      <c r="BP57" s="304" cm="1">
        <f t="array" ref="BP57">IF(AND(BP$2&lt;&gt;0,TblTech[[#This Row],[Hour]:[Hour]]&gt;=BP$2),1,0)</f>
        <v>0</v>
      </c>
      <c r="BQ57" s="304" cm="1">
        <f t="array" ref="BQ57">IF(AND(BQ$2&lt;&gt;0,TblTech[[#This Row],[Hour]:[Hour]]&gt;=BQ$2),1,0)</f>
        <v>0</v>
      </c>
      <c r="BR57" s="304" cm="1">
        <f t="array" ref="BR57">IF(AND(BR$2&lt;&gt;0,TblTech[[#This Row],[Hour]:[Hour]]&gt;=BR$2),1,0)</f>
        <v>0</v>
      </c>
      <c r="BS57" s="304" cm="1">
        <f t="array" ref="BS57">IF(AND(BS$2&lt;&gt;0,TblTech[[#This Row],[Hour]:[Hour]]&gt;=BS$2),1,0)</f>
        <v>0</v>
      </c>
      <c r="BT57" s="304" cm="1">
        <f t="array" ref="BT57">IF(AND(BT$2&lt;&gt;0,TblTech[[#This Row],[Hour]:[Hour]]&gt;=BT$2),1,0)</f>
        <v>0</v>
      </c>
      <c r="BU57" s="304" cm="1">
        <f t="array" ref="BU57">IF(AND(BU$2&lt;&gt;0,TblTech[[#This Row],[Hour]:[Hour]]&gt;=BU$2),1,0)</f>
        <v>0</v>
      </c>
      <c r="BV57" s="304" cm="1">
        <f t="array" ref="BV57">IF(AND(BV$2&lt;&gt;0,TblTech[[#This Row],[Hour]:[Hour]]&gt;=BV$2),1,0)</f>
        <v>0</v>
      </c>
      <c r="BW57" s="304" cm="1">
        <f t="array" ref="BW57">IF(AND(BW$2&lt;&gt;0,TblTech[[#This Row],[Hour]:[Hour]]&gt;=BW$2),1,0)</f>
        <v>0</v>
      </c>
      <c r="BX57" s="304" cm="1">
        <f t="array" ref="BX57">IF(AND(BX$2&lt;&gt;0,TblTech[[#This Row],[Hour]:[Hour]]&gt;=BX$2),1,0)</f>
        <v>0</v>
      </c>
      <c r="BY57" s="304" cm="1">
        <f t="array" ref="BY57">IF(AND(BY$2&lt;&gt;0,TblTech[[#This Row],[Hour]:[Hour]]&gt;=BY$2),1,0)</f>
        <v>0</v>
      </c>
      <c r="BZ57" s="304" cm="1">
        <f t="array" ref="BZ57">IF(AND(BZ$2&lt;&gt;0,TblTech[[#This Row],[Hour]:[Hour]]&gt;=BZ$2),1,0)</f>
        <v>0</v>
      </c>
      <c r="CA57" s="408">
        <f>IFERROR(INDEX($H$4:$H$79,MATCH(INDEX(TblTech[[#Headers],[1-1]:[11-1]],1,MATCH(TblTech[[#This Row],[Hour]],$M$2:$BZ$2,0)),$G$4:$G$79,0)),)</f>
        <v>0</v>
      </c>
    </row>
    <row r="58" spans="1:79" x14ac:dyDescent="0.2">
      <c r="A58" s="296">
        <f>TblRezone[[#This Row],[Hour]]</f>
        <v>55</v>
      </c>
      <c r="B58" s="297">
        <f ca="1">TblExplore[[#This Row],[Land-DB]]</f>
        <v>250</v>
      </c>
      <c r="C58" s="298">
        <f ca="1">TblProd[[#This Row],[Techpoints]]</f>
        <v>0</v>
      </c>
      <c r="D58" s="298">
        <f ca="1">TblProd[[#This Row],[Required]]</f>
        <v>3750</v>
      </c>
      <c r="E58" s="299"/>
      <c r="F58" s="300"/>
      <c r="G58" s="301" t="s">
        <v>615</v>
      </c>
      <c r="H58" s="302" t="s">
        <v>734</v>
      </c>
      <c r="I58" s="301" t="s">
        <v>762</v>
      </c>
      <c r="J58" s="297"/>
      <c r="K58" s="96">
        <f ca="1">IF(TblTech[[#This Row],[Sum of tech]]&lt;&gt;OFFSET(TblTech[[#This Row],[Sum of tech]],-1,0),1,0)</f>
        <v>0</v>
      </c>
      <c r="L58" s="303">
        <f>COUNTIF(TblTech[[#This Row],[1-1]:[11-1]],1)</f>
        <v>0</v>
      </c>
      <c r="M58" s="304" cm="1">
        <f t="array" ref="M58">IF(AND(M$2&lt;&gt;0,TblTech[[#This Row],[Hour]:[Hour]]&gt;=M$2),1,0)</f>
        <v>0</v>
      </c>
      <c r="N58" s="304" cm="1">
        <f t="array" ref="N58">IF(AND(N$2&lt;&gt;0,TblTech[[#This Row],[Hour]:[Hour]]&gt;=N$2),1,0)</f>
        <v>0</v>
      </c>
      <c r="O58" s="304" cm="1">
        <f t="array" ref="O58">IF(AND(O$2&lt;&gt;0,TblTech[[#This Row],[Hour]:[Hour]]&gt;=O$2),1,0)</f>
        <v>0</v>
      </c>
      <c r="P58" s="304" cm="1">
        <f t="array" ref="P58">IF(AND(P$2&lt;&gt;0,TblTech[[#This Row],[Hour]:[Hour]]&gt;=P$2),1,0)</f>
        <v>0</v>
      </c>
      <c r="Q58" s="304" cm="1">
        <f t="array" ref="Q58">IF(AND(Q$2&lt;&gt;0,TblTech[[#This Row],[Hour]:[Hour]]&gt;=Q$2),1,0)</f>
        <v>0</v>
      </c>
      <c r="R58" s="304" cm="1">
        <f t="array" ref="R58">IF(AND(R$2&lt;&gt;0,TblTech[[#This Row],[Hour]:[Hour]]&gt;=R$2),1,0)</f>
        <v>0</v>
      </c>
      <c r="S58" s="304" cm="1">
        <f t="array" ref="S58">IF(AND(S$2&lt;&gt;0,TblTech[[#This Row],[Hour]:[Hour]]&gt;=S$2),1,0)</f>
        <v>0</v>
      </c>
      <c r="T58" s="304" cm="1">
        <f t="array" ref="T58">IF(AND(T$2&lt;&gt;0,TblTech[[#This Row],[Hour]:[Hour]]&gt;=T$2),1,0)</f>
        <v>0</v>
      </c>
      <c r="U58" s="304" cm="1">
        <f t="array" ref="U58">IF(AND(U$2&lt;&gt;0,TblTech[[#This Row],[Hour]:[Hour]]&gt;=U$2),1,0)</f>
        <v>0</v>
      </c>
      <c r="V58" s="304" cm="1">
        <f t="array" ref="V58">IF(AND(V$2&lt;&gt;0,TblTech[[#This Row],[Hour]:[Hour]]&gt;=V$2),1,0)</f>
        <v>0</v>
      </c>
      <c r="W58" s="304" cm="1">
        <f t="array" ref="W58">IF(AND(W$2&lt;&gt;0,TblTech[[#This Row],[Hour]:[Hour]]&gt;=W$2),1,0)</f>
        <v>0</v>
      </c>
      <c r="X58" s="304" cm="1">
        <f t="array" ref="X58">IF(AND(X$2&lt;&gt;0,TblTech[[#This Row],[Hour]:[Hour]]&gt;=X$2),1,0)</f>
        <v>0</v>
      </c>
      <c r="Y58" s="304" cm="1">
        <f t="array" ref="Y58">IF(AND(Y$2&lt;&gt;0,TblTech[[#This Row],[Hour]:[Hour]]&gt;=Y$2),1,0)</f>
        <v>0</v>
      </c>
      <c r="Z58" s="304" cm="1">
        <f t="array" ref="Z58">IF(AND(Z$2&lt;&gt;0,TblTech[[#This Row],[Hour]:[Hour]]&gt;=Z$2),1,0)</f>
        <v>0</v>
      </c>
      <c r="AA58" s="304" cm="1">
        <f t="array" ref="AA58">IF(AND(AA$2&lt;&gt;0,TblTech[[#This Row],[Hour]:[Hour]]&gt;=AA$2),1,0)</f>
        <v>0</v>
      </c>
      <c r="AB58" s="304" cm="1">
        <f t="array" ref="AB58">IF(AND(AB$2&lt;&gt;0,TblTech[[#This Row],[Hour]:[Hour]]&gt;=AB$2),1,0)</f>
        <v>0</v>
      </c>
      <c r="AC58" s="304" cm="1">
        <f t="array" ref="AC58">IF(AND(AC$2&lt;&gt;0,TblTech[[#This Row],[Hour]:[Hour]]&gt;=AC$2),1,0)</f>
        <v>0</v>
      </c>
      <c r="AD58" s="304" cm="1">
        <f t="array" ref="AD58">IF(AND(AD$2&lt;&gt;0,TblTech[[#This Row],[Hour]:[Hour]]&gt;=AD$2),1,0)</f>
        <v>0</v>
      </c>
      <c r="AE58" s="304" cm="1">
        <f t="array" ref="AE58">IF(AND(AE$2&lt;&gt;0,TblTech[[#This Row],[Hour]:[Hour]]&gt;=AE$2),1,0)</f>
        <v>0</v>
      </c>
      <c r="AF58" s="304" cm="1">
        <f t="array" ref="AF58">IF(AND(AF$2&lt;&gt;0,TblTech[[#This Row],[Hour]:[Hour]]&gt;=AF$2),1,0)</f>
        <v>0</v>
      </c>
      <c r="AG58" s="304" cm="1">
        <f t="array" ref="AG58">IF(AND(AG$2&lt;&gt;0,TblTech[[#This Row],[Hour]:[Hour]]&gt;=AG$2),1,0)</f>
        <v>0</v>
      </c>
      <c r="AH58" s="304" cm="1">
        <f t="array" ref="AH58">IF(AND(AH$2&lt;&gt;0,TblTech[[#This Row],[Hour]:[Hour]]&gt;=AH$2),1,0)</f>
        <v>0</v>
      </c>
      <c r="AI58" s="304" cm="1">
        <f t="array" ref="AI58">IF(AND(AI$2&lt;&gt;0,TblTech[[#This Row],[Hour]:[Hour]]&gt;=AI$2),1,0)</f>
        <v>0</v>
      </c>
      <c r="AJ58" s="304" cm="1">
        <f t="array" ref="AJ58">IF(AND(AJ$2&lt;&gt;0,TblTech[[#This Row],[Hour]:[Hour]]&gt;=AJ$2),1,0)</f>
        <v>0</v>
      </c>
      <c r="AK58" s="304" cm="1">
        <f t="array" ref="AK58">IF(AND(AK$2&lt;&gt;0,TblTech[[#This Row],[Hour]:[Hour]]&gt;=AK$2),1,0)</f>
        <v>0</v>
      </c>
      <c r="AL58" s="304" cm="1">
        <f t="array" ref="AL58">IF(AND(AL$2&lt;&gt;0,TblTech[[#This Row],[Hour]:[Hour]]&gt;=AL$2),1,0)</f>
        <v>0</v>
      </c>
      <c r="AM58" s="304" cm="1">
        <f t="array" ref="AM58">IF(AND(AM$2&lt;&gt;0,TblTech[[#This Row],[Hour]:[Hour]]&gt;=AM$2),1,0)</f>
        <v>0</v>
      </c>
      <c r="AN58" s="304" cm="1">
        <f t="array" ref="AN58">IF(AND(AN$2&lt;&gt;0,TblTech[[#This Row],[Hour]:[Hour]]&gt;=AN$2),1,0)</f>
        <v>0</v>
      </c>
      <c r="AO58" s="304" cm="1">
        <f t="array" ref="AO58">IF(AND(AO$2&lt;&gt;0,TblTech[[#This Row],[Hour]:[Hour]]&gt;=AO$2),1,0)</f>
        <v>0</v>
      </c>
      <c r="AP58" s="304" cm="1">
        <f t="array" ref="AP58">IF(AND(AP$2&lt;&gt;0,TblTech[[#This Row],[Hour]:[Hour]]&gt;=AP$2),1,0)</f>
        <v>0</v>
      </c>
      <c r="AQ58" s="304" cm="1">
        <f t="array" ref="AQ58">IF(AND(AQ$2&lt;&gt;0,TblTech[[#This Row],[Hour]:[Hour]]&gt;=AQ$2),1,0)</f>
        <v>0</v>
      </c>
      <c r="AR58" s="304" cm="1">
        <f t="array" ref="AR58">IF(AND(AR$2&lt;&gt;0,TblTech[[#This Row],[Hour]:[Hour]]&gt;=AR$2),1,0)</f>
        <v>0</v>
      </c>
      <c r="AS58" s="304" cm="1">
        <f t="array" ref="AS58">IF(AND(AS$2&lt;&gt;0,TblTech[[#This Row],[Hour]:[Hour]]&gt;=AS$2),1,0)</f>
        <v>0</v>
      </c>
      <c r="AT58" s="304" cm="1">
        <f t="array" ref="AT58">IF(AND(AT$2&lt;&gt;0,TblTech[[#This Row],[Hour]:[Hour]]&gt;=AT$2),1,0)</f>
        <v>0</v>
      </c>
      <c r="AU58" s="304" cm="1">
        <f t="array" ref="AU58">IF(AND(AU$2&lt;&gt;0,TblTech[[#This Row],[Hour]:[Hour]]&gt;=AU$2),1,0)</f>
        <v>0</v>
      </c>
      <c r="AV58" s="304" cm="1">
        <f t="array" ref="AV58">IF(AND(AV$2&lt;&gt;0,TblTech[[#This Row],[Hour]:[Hour]]&gt;=AV$2),1,0)</f>
        <v>0</v>
      </c>
      <c r="AW58" s="304" cm="1">
        <f t="array" ref="AW58">IF(AND(AW$2&lt;&gt;0,TblTech[[#This Row],[Hour]:[Hour]]&gt;=AW$2),1,0)</f>
        <v>0</v>
      </c>
      <c r="AX58" s="304" cm="1">
        <f t="array" ref="AX58">IF(AND(AX$2&lt;&gt;0,TblTech[[#This Row],[Hour]:[Hour]]&gt;=AX$2),1,0)</f>
        <v>0</v>
      </c>
      <c r="AY58" s="304" cm="1">
        <f t="array" ref="AY58">IF(AND(AY$2&lt;&gt;0,TblTech[[#This Row],[Hour]:[Hour]]&gt;=AY$2),1,0)</f>
        <v>0</v>
      </c>
      <c r="AZ58" s="304" cm="1">
        <f t="array" ref="AZ58">IF(AND(AZ$2&lt;&gt;0,TblTech[[#This Row],[Hour]:[Hour]]&gt;=AZ$2),1,0)</f>
        <v>0</v>
      </c>
      <c r="BA58" s="304" cm="1">
        <f t="array" ref="BA58">IF(AND(BA$2&lt;&gt;0,TblTech[[#This Row],[Hour]:[Hour]]&gt;=BA$2),1,0)</f>
        <v>0</v>
      </c>
      <c r="BB58" s="304" cm="1">
        <f t="array" ref="BB58">IF(AND(BB$2&lt;&gt;0,TblTech[[#This Row],[Hour]:[Hour]]&gt;=BB$2),1,0)</f>
        <v>0</v>
      </c>
      <c r="BC58" s="304" cm="1">
        <f t="array" ref="BC58">IF(AND(BC$2&lt;&gt;0,TblTech[[#This Row],[Hour]:[Hour]]&gt;=BC$2),1,0)</f>
        <v>0</v>
      </c>
      <c r="BD58" s="304" cm="1">
        <f t="array" ref="BD58">IF(AND(BD$2&lt;&gt;0,TblTech[[#This Row],[Hour]:[Hour]]&gt;=BD$2),1,0)</f>
        <v>0</v>
      </c>
      <c r="BE58" s="304" cm="1">
        <f t="array" ref="BE58">IF(AND(BE$2&lt;&gt;0,TblTech[[#This Row],[Hour]:[Hour]]&gt;=BE$2),1,0)</f>
        <v>0</v>
      </c>
      <c r="BF58" s="304" cm="1">
        <f t="array" ref="BF58">IF(AND(BF$2&lt;&gt;0,TblTech[[#This Row],[Hour]:[Hour]]&gt;=BF$2),1,0)</f>
        <v>0</v>
      </c>
      <c r="BG58" s="304" cm="1">
        <f t="array" ref="BG58">IF(AND(BG$2&lt;&gt;0,TblTech[[#This Row],[Hour]:[Hour]]&gt;=BG$2),1,0)</f>
        <v>0</v>
      </c>
      <c r="BH58" s="304" cm="1">
        <f t="array" ref="BH58">IF(AND(BH$2&lt;&gt;0,TblTech[[#This Row],[Hour]:[Hour]]&gt;=BH$2),1,0)</f>
        <v>0</v>
      </c>
      <c r="BI58" s="304" cm="1">
        <f t="array" ref="BI58">IF(AND(BI$2&lt;&gt;0,TblTech[[#This Row],[Hour]:[Hour]]&gt;=BI$2),1,0)</f>
        <v>0</v>
      </c>
      <c r="BJ58" s="304" cm="1">
        <f t="array" ref="BJ58">IF(AND(BJ$2&lt;&gt;0,TblTech[[#This Row],[Hour]:[Hour]]&gt;=BJ$2),1,0)</f>
        <v>0</v>
      </c>
      <c r="BK58" s="304" cm="1">
        <f t="array" ref="BK58">IF(AND(BK$2&lt;&gt;0,TblTech[[#This Row],[Hour]:[Hour]]&gt;=BK$2),1,0)</f>
        <v>0</v>
      </c>
      <c r="BL58" s="304" cm="1">
        <f t="array" ref="BL58">IF(AND(BL$2&lt;&gt;0,TblTech[[#This Row],[Hour]:[Hour]]&gt;=BL$2),1,0)</f>
        <v>0</v>
      </c>
      <c r="BM58" s="304" cm="1">
        <f t="array" ref="BM58">IF(AND(BM$2&lt;&gt;0,TblTech[[#This Row],[Hour]:[Hour]]&gt;=BM$2),1,0)</f>
        <v>0</v>
      </c>
      <c r="BN58" s="304" cm="1">
        <f t="array" ref="BN58">IF(AND(BN$2&lt;&gt;0,TblTech[[#This Row],[Hour]:[Hour]]&gt;=BN$2),1,0)</f>
        <v>0</v>
      </c>
      <c r="BO58" s="304" cm="1">
        <f t="array" ref="BO58">IF(AND(BO$2&lt;&gt;0,TblTech[[#This Row],[Hour]:[Hour]]&gt;=BO$2),1,0)</f>
        <v>0</v>
      </c>
      <c r="BP58" s="304" cm="1">
        <f t="array" ref="BP58">IF(AND(BP$2&lt;&gt;0,TblTech[[#This Row],[Hour]:[Hour]]&gt;=BP$2),1,0)</f>
        <v>0</v>
      </c>
      <c r="BQ58" s="304" cm="1">
        <f t="array" ref="BQ58">IF(AND(BQ$2&lt;&gt;0,TblTech[[#This Row],[Hour]:[Hour]]&gt;=BQ$2),1,0)</f>
        <v>0</v>
      </c>
      <c r="BR58" s="304" cm="1">
        <f t="array" ref="BR58">IF(AND(BR$2&lt;&gt;0,TblTech[[#This Row],[Hour]:[Hour]]&gt;=BR$2),1,0)</f>
        <v>0</v>
      </c>
      <c r="BS58" s="304" cm="1">
        <f t="array" ref="BS58">IF(AND(BS$2&lt;&gt;0,TblTech[[#This Row],[Hour]:[Hour]]&gt;=BS$2),1,0)</f>
        <v>0</v>
      </c>
      <c r="BT58" s="304" cm="1">
        <f t="array" ref="BT58">IF(AND(BT$2&lt;&gt;0,TblTech[[#This Row],[Hour]:[Hour]]&gt;=BT$2),1,0)</f>
        <v>0</v>
      </c>
      <c r="BU58" s="304" cm="1">
        <f t="array" ref="BU58">IF(AND(BU$2&lt;&gt;0,TblTech[[#This Row],[Hour]:[Hour]]&gt;=BU$2),1,0)</f>
        <v>0</v>
      </c>
      <c r="BV58" s="304" cm="1">
        <f t="array" ref="BV58">IF(AND(BV$2&lt;&gt;0,TblTech[[#This Row],[Hour]:[Hour]]&gt;=BV$2),1,0)</f>
        <v>0</v>
      </c>
      <c r="BW58" s="304" cm="1">
        <f t="array" ref="BW58">IF(AND(BW$2&lt;&gt;0,TblTech[[#This Row],[Hour]:[Hour]]&gt;=BW$2),1,0)</f>
        <v>0</v>
      </c>
      <c r="BX58" s="304" cm="1">
        <f t="array" ref="BX58">IF(AND(BX$2&lt;&gt;0,TblTech[[#This Row],[Hour]:[Hour]]&gt;=BX$2),1,0)</f>
        <v>0</v>
      </c>
      <c r="BY58" s="304" cm="1">
        <f t="array" ref="BY58">IF(AND(BY$2&lt;&gt;0,TblTech[[#This Row],[Hour]:[Hour]]&gt;=BY$2),1,0)</f>
        <v>0</v>
      </c>
      <c r="BZ58" s="304" cm="1">
        <f t="array" ref="BZ58">IF(AND(BZ$2&lt;&gt;0,TblTech[[#This Row],[Hour]:[Hour]]&gt;=BZ$2),1,0)</f>
        <v>0</v>
      </c>
      <c r="CA58" s="408">
        <f>IFERROR(INDEX($H$4:$H$79,MATCH(INDEX(TblTech[[#Headers],[1-1]:[11-1]],1,MATCH(TblTech[[#This Row],[Hour]],$M$2:$BZ$2,0)),$G$4:$G$79,0)),)</f>
        <v>0</v>
      </c>
    </row>
    <row r="59" spans="1:79" x14ac:dyDescent="0.2">
      <c r="A59" s="296">
        <f>TblRezone[[#This Row],[Hour]]</f>
        <v>56</v>
      </c>
      <c r="B59" s="297">
        <f ca="1">TblExplore[[#This Row],[Land-DB]]</f>
        <v>250</v>
      </c>
      <c r="C59" s="298">
        <f ca="1">TblProd[[#This Row],[Techpoints]]</f>
        <v>0</v>
      </c>
      <c r="D59" s="298">
        <f ca="1">TblProd[[#This Row],[Required]]</f>
        <v>3750</v>
      </c>
      <c r="E59" s="299"/>
      <c r="F59" s="300"/>
      <c r="G59" s="301" t="s">
        <v>616</v>
      </c>
      <c r="H59" s="302" t="s">
        <v>740</v>
      </c>
      <c r="I59" s="301" t="s">
        <v>763</v>
      </c>
      <c r="J59" s="297"/>
      <c r="K59" s="96">
        <f ca="1">IF(TblTech[[#This Row],[Sum of tech]]&lt;&gt;OFFSET(TblTech[[#This Row],[Sum of tech]],-1,0),1,0)</f>
        <v>0</v>
      </c>
      <c r="L59" s="303">
        <f>COUNTIF(TblTech[[#This Row],[1-1]:[11-1]],1)</f>
        <v>0</v>
      </c>
      <c r="M59" s="304" cm="1">
        <f t="array" ref="M59">IF(AND(M$2&lt;&gt;0,TblTech[[#This Row],[Hour]:[Hour]]&gt;=M$2),1,0)</f>
        <v>0</v>
      </c>
      <c r="N59" s="304" cm="1">
        <f t="array" ref="N59">IF(AND(N$2&lt;&gt;0,TblTech[[#This Row],[Hour]:[Hour]]&gt;=N$2),1,0)</f>
        <v>0</v>
      </c>
      <c r="O59" s="304" cm="1">
        <f t="array" ref="O59">IF(AND(O$2&lt;&gt;0,TblTech[[#This Row],[Hour]:[Hour]]&gt;=O$2),1,0)</f>
        <v>0</v>
      </c>
      <c r="P59" s="304" cm="1">
        <f t="array" ref="P59">IF(AND(P$2&lt;&gt;0,TblTech[[#This Row],[Hour]:[Hour]]&gt;=P$2),1,0)</f>
        <v>0</v>
      </c>
      <c r="Q59" s="304" cm="1">
        <f t="array" ref="Q59">IF(AND(Q$2&lt;&gt;0,TblTech[[#This Row],[Hour]:[Hour]]&gt;=Q$2),1,0)</f>
        <v>0</v>
      </c>
      <c r="R59" s="304" cm="1">
        <f t="array" ref="R59">IF(AND(R$2&lt;&gt;0,TblTech[[#This Row],[Hour]:[Hour]]&gt;=R$2),1,0)</f>
        <v>0</v>
      </c>
      <c r="S59" s="304" cm="1">
        <f t="array" ref="S59">IF(AND(S$2&lt;&gt;0,TblTech[[#This Row],[Hour]:[Hour]]&gt;=S$2),1,0)</f>
        <v>0</v>
      </c>
      <c r="T59" s="304" cm="1">
        <f t="array" ref="T59">IF(AND(T$2&lt;&gt;0,TblTech[[#This Row],[Hour]:[Hour]]&gt;=T$2),1,0)</f>
        <v>0</v>
      </c>
      <c r="U59" s="304" cm="1">
        <f t="array" ref="U59">IF(AND(U$2&lt;&gt;0,TblTech[[#This Row],[Hour]:[Hour]]&gt;=U$2),1,0)</f>
        <v>0</v>
      </c>
      <c r="V59" s="304" cm="1">
        <f t="array" ref="V59">IF(AND(V$2&lt;&gt;0,TblTech[[#This Row],[Hour]:[Hour]]&gt;=V$2),1,0)</f>
        <v>0</v>
      </c>
      <c r="W59" s="304" cm="1">
        <f t="array" ref="W59">IF(AND(W$2&lt;&gt;0,TblTech[[#This Row],[Hour]:[Hour]]&gt;=W$2),1,0)</f>
        <v>0</v>
      </c>
      <c r="X59" s="304" cm="1">
        <f t="array" ref="X59">IF(AND(X$2&lt;&gt;0,TblTech[[#This Row],[Hour]:[Hour]]&gt;=X$2),1,0)</f>
        <v>0</v>
      </c>
      <c r="Y59" s="304" cm="1">
        <f t="array" ref="Y59">IF(AND(Y$2&lt;&gt;0,TblTech[[#This Row],[Hour]:[Hour]]&gt;=Y$2),1,0)</f>
        <v>0</v>
      </c>
      <c r="Z59" s="304" cm="1">
        <f t="array" ref="Z59">IF(AND(Z$2&lt;&gt;0,TblTech[[#This Row],[Hour]:[Hour]]&gt;=Z$2),1,0)</f>
        <v>0</v>
      </c>
      <c r="AA59" s="304" cm="1">
        <f t="array" ref="AA59">IF(AND(AA$2&lt;&gt;0,TblTech[[#This Row],[Hour]:[Hour]]&gt;=AA$2),1,0)</f>
        <v>0</v>
      </c>
      <c r="AB59" s="304" cm="1">
        <f t="array" ref="AB59">IF(AND(AB$2&lt;&gt;0,TblTech[[#This Row],[Hour]:[Hour]]&gt;=AB$2),1,0)</f>
        <v>0</v>
      </c>
      <c r="AC59" s="304" cm="1">
        <f t="array" ref="AC59">IF(AND(AC$2&lt;&gt;0,TblTech[[#This Row],[Hour]:[Hour]]&gt;=AC$2),1,0)</f>
        <v>0</v>
      </c>
      <c r="AD59" s="304" cm="1">
        <f t="array" ref="AD59">IF(AND(AD$2&lt;&gt;0,TblTech[[#This Row],[Hour]:[Hour]]&gt;=AD$2),1,0)</f>
        <v>0</v>
      </c>
      <c r="AE59" s="304" cm="1">
        <f t="array" ref="AE59">IF(AND(AE$2&lt;&gt;0,TblTech[[#This Row],[Hour]:[Hour]]&gt;=AE$2),1,0)</f>
        <v>0</v>
      </c>
      <c r="AF59" s="304" cm="1">
        <f t="array" ref="AF59">IF(AND(AF$2&lt;&gt;0,TblTech[[#This Row],[Hour]:[Hour]]&gt;=AF$2),1,0)</f>
        <v>0</v>
      </c>
      <c r="AG59" s="304" cm="1">
        <f t="array" ref="AG59">IF(AND(AG$2&lt;&gt;0,TblTech[[#This Row],[Hour]:[Hour]]&gt;=AG$2),1,0)</f>
        <v>0</v>
      </c>
      <c r="AH59" s="304" cm="1">
        <f t="array" ref="AH59">IF(AND(AH$2&lt;&gt;0,TblTech[[#This Row],[Hour]:[Hour]]&gt;=AH$2),1,0)</f>
        <v>0</v>
      </c>
      <c r="AI59" s="304" cm="1">
        <f t="array" ref="AI59">IF(AND(AI$2&lt;&gt;0,TblTech[[#This Row],[Hour]:[Hour]]&gt;=AI$2),1,0)</f>
        <v>0</v>
      </c>
      <c r="AJ59" s="304" cm="1">
        <f t="array" ref="AJ59">IF(AND(AJ$2&lt;&gt;0,TblTech[[#This Row],[Hour]:[Hour]]&gt;=AJ$2),1,0)</f>
        <v>0</v>
      </c>
      <c r="AK59" s="304" cm="1">
        <f t="array" ref="AK59">IF(AND(AK$2&lt;&gt;0,TblTech[[#This Row],[Hour]:[Hour]]&gt;=AK$2),1,0)</f>
        <v>0</v>
      </c>
      <c r="AL59" s="304" cm="1">
        <f t="array" ref="AL59">IF(AND(AL$2&lt;&gt;0,TblTech[[#This Row],[Hour]:[Hour]]&gt;=AL$2),1,0)</f>
        <v>0</v>
      </c>
      <c r="AM59" s="304" cm="1">
        <f t="array" ref="AM59">IF(AND(AM$2&lt;&gt;0,TblTech[[#This Row],[Hour]:[Hour]]&gt;=AM$2),1,0)</f>
        <v>0</v>
      </c>
      <c r="AN59" s="304" cm="1">
        <f t="array" ref="AN59">IF(AND(AN$2&lt;&gt;0,TblTech[[#This Row],[Hour]:[Hour]]&gt;=AN$2),1,0)</f>
        <v>0</v>
      </c>
      <c r="AO59" s="304" cm="1">
        <f t="array" ref="AO59">IF(AND(AO$2&lt;&gt;0,TblTech[[#This Row],[Hour]:[Hour]]&gt;=AO$2),1,0)</f>
        <v>0</v>
      </c>
      <c r="AP59" s="304" cm="1">
        <f t="array" ref="AP59">IF(AND(AP$2&lt;&gt;0,TblTech[[#This Row],[Hour]:[Hour]]&gt;=AP$2),1,0)</f>
        <v>0</v>
      </c>
      <c r="AQ59" s="304" cm="1">
        <f t="array" ref="AQ59">IF(AND(AQ$2&lt;&gt;0,TblTech[[#This Row],[Hour]:[Hour]]&gt;=AQ$2),1,0)</f>
        <v>0</v>
      </c>
      <c r="AR59" s="304" cm="1">
        <f t="array" ref="AR59">IF(AND(AR$2&lt;&gt;0,TblTech[[#This Row],[Hour]:[Hour]]&gt;=AR$2),1,0)</f>
        <v>0</v>
      </c>
      <c r="AS59" s="304" cm="1">
        <f t="array" ref="AS59">IF(AND(AS$2&lt;&gt;0,TblTech[[#This Row],[Hour]:[Hour]]&gt;=AS$2),1,0)</f>
        <v>0</v>
      </c>
      <c r="AT59" s="304" cm="1">
        <f t="array" ref="AT59">IF(AND(AT$2&lt;&gt;0,TblTech[[#This Row],[Hour]:[Hour]]&gt;=AT$2),1,0)</f>
        <v>0</v>
      </c>
      <c r="AU59" s="304" cm="1">
        <f t="array" ref="AU59">IF(AND(AU$2&lt;&gt;0,TblTech[[#This Row],[Hour]:[Hour]]&gt;=AU$2),1,0)</f>
        <v>0</v>
      </c>
      <c r="AV59" s="304" cm="1">
        <f t="array" ref="AV59">IF(AND(AV$2&lt;&gt;0,TblTech[[#This Row],[Hour]:[Hour]]&gt;=AV$2),1,0)</f>
        <v>0</v>
      </c>
      <c r="AW59" s="304" cm="1">
        <f t="array" ref="AW59">IF(AND(AW$2&lt;&gt;0,TblTech[[#This Row],[Hour]:[Hour]]&gt;=AW$2),1,0)</f>
        <v>0</v>
      </c>
      <c r="AX59" s="304" cm="1">
        <f t="array" ref="AX59">IF(AND(AX$2&lt;&gt;0,TblTech[[#This Row],[Hour]:[Hour]]&gt;=AX$2),1,0)</f>
        <v>0</v>
      </c>
      <c r="AY59" s="304" cm="1">
        <f t="array" ref="AY59">IF(AND(AY$2&lt;&gt;0,TblTech[[#This Row],[Hour]:[Hour]]&gt;=AY$2),1,0)</f>
        <v>0</v>
      </c>
      <c r="AZ59" s="304" cm="1">
        <f t="array" ref="AZ59">IF(AND(AZ$2&lt;&gt;0,TblTech[[#This Row],[Hour]:[Hour]]&gt;=AZ$2),1,0)</f>
        <v>0</v>
      </c>
      <c r="BA59" s="304" cm="1">
        <f t="array" ref="BA59">IF(AND(BA$2&lt;&gt;0,TblTech[[#This Row],[Hour]:[Hour]]&gt;=BA$2),1,0)</f>
        <v>0</v>
      </c>
      <c r="BB59" s="304" cm="1">
        <f t="array" ref="BB59">IF(AND(BB$2&lt;&gt;0,TblTech[[#This Row],[Hour]:[Hour]]&gt;=BB$2),1,0)</f>
        <v>0</v>
      </c>
      <c r="BC59" s="304" cm="1">
        <f t="array" ref="BC59">IF(AND(BC$2&lt;&gt;0,TblTech[[#This Row],[Hour]:[Hour]]&gt;=BC$2),1,0)</f>
        <v>0</v>
      </c>
      <c r="BD59" s="304" cm="1">
        <f t="array" ref="BD59">IF(AND(BD$2&lt;&gt;0,TblTech[[#This Row],[Hour]:[Hour]]&gt;=BD$2),1,0)</f>
        <v>0</v>
      </c>
      <c r="BE59" s="304" cm="1">
        <f t="array" ref="BE59">IF(AND(BE$2&lt;&gt;0,TblTech[[#This Row],[Hour]:[Hour]]&gt;=BE$2),1,0)</f>
        <v>0</v>
      </c>
      <c r="BF59" s="304" cm="1">
        <f t="array" ref="BF59">IF(AND(BF$2&lt;&gt;0,TblTech[[#This Row],[Hour]:[Hour]]&gt;=BF$2),1,0)</f>
        <v>0</v>
      </c>
      <c r="BG59" s="304" cm="1">
        <f t="array" ref="BG59">IF(AND(BG$2&lt;&gt;0,TblTech[[#This Row],[Hour]:[Hour]]&gt;=BG$2),1,0)</f>
        <v>0</v>
      </c>
      <c r="BH59" s="304" cm="1">
        <f t="array" ref="BH59">IF(AND(BH$2&lt;&gt;0,TblTech[[#This Row],[Hour]:[Hour]]&gt;=BH$2),1,0)</f>
        <v>0</v>
      </c>
      <c r="BI59" s="304" cm="1">
        <f t="array" ref="BI59">IF(AND(BI$2&lt;&gt;0,TblTech[[#This Row],[Hour]:[Hour]]&gt;=BI$2),1,0)</f>
        <v>0</v>
      </c>
      <c r="BJ59" s="304" cm="1">
        <f t="array" ref="BJ59">IF(AND(BJ$2&lt;&gt;0,TblTech[[#This Row],[Hour]:[Hour]]&gt;=BJ$2),1,0)</f>
        <v>0</v>
      </c>
      <c r="BK59" s="304" cm="1">
        <f t="array" ref="BK59">IF(AND(BK$2&lt;&gt;0,TblTech[[#This Row],[Hour]:[Hour]]&gt;=BK$2),1,0)</f>
        <v>0</v>
      </c>
      <c r="BL59" s="304" cm="1">
        <f t="array" ref="BL59">IF(AND(BL$2&lt;&gt;0,TblTech[[#This Row],[Hour]:[Hour]]&gt;=BL$2),1,0)</f>
        <v>0</v>
      </c>
      <c r="BM59" s="304" cm="1">
        <f t="array" ref="BM59">IF(AND(BM$2&lt;&gt;0,TblTech[[#This Row],[Hour]:[Hour]]&gt;=BM$2),1,0)</f>
        <v>0</v>
      </c>
      <c r="BN59" s="304" cm="1">
        <f t="array" ref="BN59">IF(AND(BN$2&lt;&gt;0,TblTech[[#This Row],[Hour]:[Hour]]&gt;=BN$2),1,0)</f>
        <v>0</v>
      </c>
      <c r="BO59" s="304" cm="1">
        <f t="array" ref="BO59">IF(AND(BO$2&lt;&gt;0,TblTech[[#This Row],[Hour]:[Hour]]&gt;=BO$2),1,0)</f>
        <v>0</v>
      </c>
      <c r="BP59" s="304" cm="1">
        <f t="array" ref="BP59">IF(AND(BP$2&lt;&gt;0,TblTech[[#This Row],[Hour]:[Hour]]&gt;=BP$2),1,0)</f>
        <v>0</v>
      </c>
      <c r="BQ59" s="304" cm="1">
        <f t="array" ref="BQ59">IF(AND(BQ$2&lt;&gt;0,TblTech[[#This Row],[Hour]:[Hour]]&gt;=BQ$2),1,0)</f>
        <v>0</v>
      </c>
      <c r="BR59" s="304" cm="1">
        <f t="array" ref="BR59">IF(AND(BR$2&lt;&gt;0,TblTech[[#This Row],[Hour]:[Hour]]&gt;=BR$2),1,0)</f>
        <v>0</v>
      </c>
      <c r="BS59" s="304" cm="1">
        <f t="array" ref="BS59">IF(AND(BS$2&lt;&gt;0,TblTech[[#This Row],[Hour]:[Hour]]&gt;=BS$2),1,0)</f>
        <v>0</v>
      </c>
      <c r="BT59" s="304" cm="1">
        <f t="array" ref="BT59">IF(AND(BT$2&lt;&gt;0,TblTech[[#This Row],[Hour]:[Hour]]&gt;=BT$2),1,0)</f>
        <v>0</v>
      </c>
      <c r="BU59" s="304" cm="1">
        <f t="array" ref="BU59">IF(AND(BU$2&lt;&gt;0,TblTech[[#This Row],[Hour]:[Hour]]&gt;=BU$2),1,0)</f>
        <v>0</v>
      </c>
      <c r="BV59" s="304" cm="1">
        <f t="array" ref="BV59">IF(AND(BV$2&lt;&gt;0,TblTech[[#This Row],[Hour]:[Hour]]&gt;=BV$2),1,0)</f>
        <v>0</v>
      </c>
      <c r="BW59" s="304" cm="1">
        <f t="array" ref="BW59">IF(AND(BW$2&lt;&gt;0,TblTech[[#This Row],[Hour]:[Hour]]&gt;=BW$2),1,0)</f>
        <v>0</v>
      </c>
      <c r="BX59" s="304" cm="1">
        <f t="array" ref="BX59">IF(AND(BX$2&lt;&gt;0,TblTech[[#This Row],[Hour]:[Hour]]&gt;=BX$2),1,0)</f>
        <v>0</v>
      </c>
      <c r="BY59" s="304" cm="1">
        <f t="array" ref="BY59">IF(AND(BY$2&lt;&gt;0,TblTech[[#This Row],[Hour]:[Hour]]&gt;=BY$2),1,0)</f>
        <v>0</v>
      </c>
      <c r="BZ59" s="304" cm="1">
        <f t="array" ref="BZ59">IF(AND(BZ$2&lt;&gt;0,TblTech[[#This Row],[Hour]:[Hour]]&gt;=BZ$2),1,0)</f>
        <v>0</v>
      </c>
      <c r="CA59" s="408">
        <f>IFERROR(INDEX($H$4:$H$79,MATCH(INDEX(TblTech[[#Headers],[1-1]:[11-1]],1,MATCH(TblTech[[#This Row],[Hour]],$M$2:$BZ$2,0)),$G$4:$G$79,0)),)</f>
        <v>0</v>
      </c>
    </row>
    <row r="60" spans="1:79" x14ac:dyDescent="0.2">
      <c r="A60" s="296">
        <f>TblRezone[[#This Row],[Hour]]</f>
        <v>57</v>
      </c>
      <c r="B60" s="297">
        <f ca="1">TblExplore[[#This Row],[Land-DB]]</f>
        <v>250</v>
      </c>
      <c r="C60" s="298">
        <f ca="1">TblProd[[#This Row],[Techpoints]]</f>
        <v>0</v>
      </c>
      <c r="D60" s="298">
        <f ca="1">TblProd[[#This Row],[Required]]</f>
        <v>3750</v>
      </c>
      <c r="E60" s="299"/>
      <c r="F60" s="300"/>
      <c r="G60" s="301"/>
      <c r="H60" s="302"/>
      <c r="I60" s="301"/>
      <c r="J60" s="297"/>
      <c r="K60" s="96">
        <f ca="1">IF(TblTech[[#This Row],[Sum of tech]]&lt;&gt;OFFSET(TblTech[[#This Row],[Sum of tech]],-1,0),1,0)</f>
        <v>0</v>
      </c>
      <c r="L60" s="303">
        <f>COUNTIF(TblTech[[#This Row],[1-1]:[11-1]],1)</f>
        <v>0</v>
      </c>
      <c r="M60" s="304" cm="1">
        <f t="array" ref="M60">IF(AND(M$2&lt;&gt;0,TblTech[[#This Row],[Hour]:[Hour]]&gt;=M$2),1,0)</f>
        <v>0</v>
      </c>
      <c r="N60" s="304" cm="1">
        <f t="array" ref="N60">IF(AND(N$2&lt;&gt;0,TblTech[[#This Row],[Hour]:[Hour]]&gt;=N$2),1,0)</f>
        <v>0</v>
      </c>
      <c r="O60" s="304" cm="1">
        <f t="array" ref="O60">IF(AND(O$2&lt;&gt;0,TblTech[[#This Row],[Hour]:[Hour]]&gt;=O$2),1,0)</f>
        <v>0</v>
      </c>
      <c r="P60" s="304" cm="1">
        <f t="array" ref="P60">IF(AND(P$2&lt;&gt;0,TblTech[[#This Row],[Hour]:[Hour]]&gt;=P$2),1,0)</f>
        <v>0</v>
      </c>
      <c r="Q60" s="304" cm="1">
        <f t="array" ref="Q60">IF(AND(Q$2&lt;&gt;0,TblTech[[#This Row],[Hour]:[Hour]]&gt;=Q$2),1,0)</f>
        <v>0</v>
      </c>
      <c r="R60" s="304" cm="1">
        <f t="array" ref="R60">IF(AND(R$2&lt;&gt;0,TblTech[[#This Row],[Hour]:[Hour]]&gt;=R$2),1,0)</f>
        <v>0</v>
      </c>
      <c r="S60" s="304" cm="1">
        <f t="array" ref="S60">IF(AND(S$2&lt;&gt;0,TblTech[[#This Row],[Hour]:[Hour]]&gt;=S$2),1,0)</f>
        <v>0</v>
      </c>
      <c r="T60" s="304" cm="1">
        <f t="array" ref="T60">IF(AND(T$2&lt;&gt;0,TblTech[[#This Row],[Hour]:[Hour]]&gt;=T$2),1,0)</f>
        <v>0</v>
      </c>
      <c r="U60" s="304" cm="1">
        <f t="array" ref="U60">IF(AND(U$2&lt;&gt;0,TblTech[[#This Row],[Hour]:[Hour]]&gt;=U$2),1,0)</f>
        <v>0</v>
      </c>
      <c r="V60" s="304" cm="1">
        <f t="array" ref="V60">IF(AND(V$2&lt;&gt;0,TblTech[[#This Row],[Hour]:[Hour]]&gt;=V$2),1,0)</f>
        <v>0</v>
      </c>
      <c r="W60" s="304" cm="1">
        <f t="array" ref="W60">IF(AND(W$2&lt;&gt;0,TblTech[[#This Row],[Hour]:[Hour]]&gt;=W$2),1,0)</f>
        <v>0</v>
      </c>
      <c r="X60" s="304" cm="1">
        <f t="array" ref="X60">IF(AND(X$2&lt;&gt;0,TblTech[[#This Row],[Hour]:[Hour]]&gt;=X$2),1,0)</f>
        <v>0</v>
      </c>
      <c r="Y60" s="304" cm="1">
        <f t="array" ref="Y60">IF(AND(Y$2&lt;&gt;0,TblTech[[#This Row],[Hour]:[Hour]]&gt;=Y$2),1,0)</f>
        <v>0</v>
      </c>
      <c r="Z60" s="304" cm="1">
        <f t="array" ref="Z60">IF(AND(Z$2&lt;&gt;0,TblTech[[#This Row],[Hour]:[Hour]]&gt;=Z$2),1,0)</f>
        <v>0</v>
      </c>
      <c r="AA60" s="304" cm="1">
        <f t="array" ref="AA60">IF(AND(AA$2&lt;&gt;0,TblTech[[#This Row],[Hour]:[Hour]]&gt;=AA$2),1,0)</f>
        <v>0</v>
      </c>
      <c r="AB60" s="304" cm="1">
        <f t="array" ref="AB60">IF(AND(AB$2&lt;&gt;0,TblTech[[#This Row],[Hour]:[Hour]]&gt;=AB$2),1,0)</f>
        <v>0</v>
      </c>
      <c r="AC60" s="304" cm="1">
        <f t="array" ref="AC60">IF(AND(AC$2&lt;&gt;0,TblTech[[#This Row],[Hour]:[Hour]]&gt;=AC$2),1,0)</f>
        <v>0</v>
      </c>
      <c r="AD60" s="304" cm="1">
        <f t="array" ref="AD60">IF(AND(AD$2&lt;&gt;0,TblTech[[#This Row],[Hour]:[Hour]]&gt;=AD$2),1,0)</f>
        <v>0</v>
      </c>
      <c r="AE60" s="304" cm="1">
        <f t="array" ref="AE60">IF(AND(AE$2&lt;&gt;0,TblTech[[#This Row],[Hour]:[Hour]]&gt;=AE$2),1,0)</f>
        <v>0</v>
      </c>
      <c r="AF60" s="304" cm="1">
        <f t="array" ref="AF60">IF(AND(AF$2&lt;&gt;0,TblTech[[#This Row],[Hour]:[Hour]]&gt;=AF$2),1,0)</f>
        <v>0</v>
      </c>
      <c r="AG60" s="304" cm="1">
        <f t="array" ref="AG60">IF(AND(AG$2&lt;&gt;0,TblTech[[#This Row],[Hour]:[Hour]]&gt;=AG$2),1,0)</f>
        <v>0</v>
      </c>
      <c r="AH60" s="304" cm="1">
        <f t="array" ref="AH60">IF(AND(AH$2&lt;&gt;0,TblTech[[#This Row],[Hour]:[Hour]]&gt;=AH$2),1,0)</f>
        <v>0</v>
      </c>
      <c r="AI60" s="304" cm="1">
        <f t="array" ref="AI60">IF(AND(AI$2&lt;&gt;0,TblTech[[#This Row],[Hour]:[Hour]]&gt;=AI$2),1,0)</f>
        <v>0</v>
      </c>
      <c r="AJ60" s="304" cm="1">
        <f t="array" ref="AJ60">IF(AND(AJ$2&lt;&gt;0,TblTech[[#This Row],[Hour]:[Hour]]&gt;=AJ$2),1,0)</f>
        <v>0</v>
      </c>
      <c r="AK60" s="304" cm="1">
        <f t="array" ref="AK60">IF(AND(AK$2&lt;&gt;0,TblTech[[#This Row],[Hour]:[Hour]]&gt;=AK$2),1,0)</f>
        <v>0</v>
      </c>
      <c r="AL60" s="304" cm="1">
        <f t="array" ref="AL60">IF(AND(AL$2&lt;&gt;0,TblTech[[#This Row],[Hour]:[Hour]]&gt;=AL$2),1,0)</f>
        <v>0</v>
      </c>
      <c r="AM60" s="304" cm="1">
        <f t="array" ref="AM60">IF(AND(AM$2&lt;&gt;0,TblTech[[#This Row],[Hour]:[Hour]]&gt;=AM$2),1,0)</f>
        <v>0</v>
      </c>
      <c r="AN60" s="304" cm="1">
        <f t="array" ref="AN60">IF(AND(AN$2&lt;&gt;0,TblTech[[#This Row],[Hour]:[Hour]]&gt;=AN$2),1,0)</f>
        <v>0</v>
      </c>
      <c r="AO60" s="304" cm="1">
        <f t="array" ref="AO60">IF(AND(AO$2&lt;&gt;0,TblTech[[#This Row],[Hour]:[Hour]]&gt;=AO$2),1,0)</f>
        <v>0</v>
      </c>
      <c r="AP60" s="304" cm="1">
        <f t="array" ref="AP60">IF(AND(AP$2&lt;&gt;0,TblTech[[#This Row],[Hour]:[Hour]]&gt;=AP$2),1,0)</f>
        <v>0</v>
      </c>
      <c r="AQ60" s="304" cm="1">
        <f t="array" ref="AQ60">IF(AND(AQ$2&lt;&gt;0,TblTech[[#This Row],[Hour]:[Hour]]&gt;=AQ$2),1,0)</f>
        <v>0</v>
      </c>
      <c r="AR60" s="304" cm="1">
        <f t="array" ref="AR60">IF(AND(AR$2&lt;&gt;0,TblTech[[#This Row],[Hour]:[Hour]]&gt;=AR$2),1,0)</f>
        <v>0</v>
      </c>
      <c r="AS60" s="304" cm="1">
        <f t="array" ref="AS60">IF(AND(AS$2&lt;&gt;0,TblTech[[#This Row],[Hour]:[Hour]]&gt;=AS$2),1,0)</f>
        <v>0</v>
      </c>
      <c r="AT60" s="304" cm="1">
        <f t="array" ref="AT60">IF(AND(AT$2&lt;&gt;0,TblTech[[#This Row],[Hour]:[Hour]]&gt;=AT$2),1,0)</f>
        <v>0</v>
      </c>
      <c r="AU60" s="304" cm="1">
        <f t="array" ref="AU60">IF(AND(AU$2&lt;&gt;0,TblTech[[#This Row],[Hour]:[Hour]]&gt;=AU$2),1,0)</f>
        <v>0</v>
      </c>
      <c r="AV60" s="304" cm="1">
        <f t="array" ref="AV60">IF(AND(AV$2&lt;&gt;0,TblTech[[#This Row],[Hour]:[Hour]]&gt;=AV$2),1,0)</f>
        <v>0</v>
      </c>
      <c r="AW60" s="304" cm="1">
        <f t="array" ref="AW60">IF(AND(AW$2&lt;&gt;0,TblTech[[#This Row],[Hour]:[Hour]]&gt;=AW$2),1,0)</f>
        <v>0</v>
      </c>
      <c r="AX60" s="304" cm="1">
        <f t="array" ref="AX60">IF(AND(AX$2&lt;&gt;0,TblTech[[#This Row],[Hour]:[Hour]]&gt;=AX$2),1,0)</f>
        <v>0</v>
      </c>
      <c r="AY60" s="304" cm="1">
        <f t="array" ref="AY60">IF(AND(AY$2&lt;&gt;0,TblTech[[#This Row],[Hour]:[Hour]]&gt;=AY$2),1,0)</f>
        <v>0</v>
      </c>
      <c r="AZ60" s="304" cm="1">
        <f t="array" ref="AZ60">IF(AND(AZ$2&lt;&gt;0,TblTech[[#This Row],[Hour]:[Hour]]&gt;=AZ$2),1,0)</f>
        <v>0</v>
      </c>
      <c r="BA60" s="304" cm="1">
        <f t="array" ref="BA60">IF(AND(BA$2&lt;&gt;0,TblTech[[#This Row],[Hour]:[Hour]]&gt;=BA$2),1,0)</f>
        <v>0</v>
      </c>
      <c r="BB60" s="304" cm="1">
        <f t="array" ref="BB60">IF(AND(BB$2&lt;&gt;0,TblTech[[#This Row],[Hour]:[Hour]]&gt;=BB$2),1,0)</f>
        <v>0</v>
      </c>
      <c r="BC60" s="304" cm="1">
        <f t="array" ref="BC60">IF(AND(BC$2&lt;&gt;0,TblTech[[#This Row],[Hour]:[Hour]]&gt;=BC$2),1,0)</f>
        <v>0</v>
      </c>
      <c r="BD60" s="304" cm="1">
        <f t="array" ref="BD60">IF(AND(BD$2&lt;&gt;0,TblTech[[#This Row],[Hour]:[Hour]]&gt;=BD$2),1,0)</f>
        <v>0</v>
      </c>
      <c r="BE60" s="304" cm="1">
        <f t="array" ref="BE60">IF(AND(BE$2&lt;&gt;0,TblTech[[#This Row],[Hour]:[Hour]]&gt;=BE$2),1,0)</f>
        <v>0</v>
      </c>
      <c r="BF60" s="304" cm="1">
        <f t="array" ref="BF60">IF(AND(BF$2&lt;&gt;0,TblTech[[#This Row],[Hour]:[Hour]]&gt;=BF$2),1,0)</f>
        <v>0</v>
      </c>
      <c r="BG60" s="304" cm="1">
        <f t="array" ref="BG60">IF(AND(BG$2&lt;&gt;0,TblTech[[#This Row],[Hour]:[Hour]]&gt;=BG$2),1,0)</f>
        <v>0</v>
      </c>
      <c r="BH60" s="304" cm="1">
        <f t="array" ref="BH60">IF(AND(BH$2&lt;&gt;0,TblTech[[#This Row],[Hour]:[Hour]]&gt;=BH$2),1,0)</f>
        <v>0</v>
      </c>
      <c r="BI60" s="304" cm="1">
        <f t="array" ref="BI60">IF(AND(BI$2&lt;&gt;0,TblTech[[#This Row],[Hour]:[Hour]]&gt;=BI$2),1,0)</f>
        <v>0</v>
      </c>
      <c r="BJ60" s="304" cm="1">
        <f t="array" ref="BJ60">IF(AND(BJ$2&lt;&gt;0,TblTech[[#This Row],[Hour]:[Hour]]&gt;=BJ$2),1,0)</f>
        <v>0</v>
      </c>
      <c r="BK60" s="304" cm="1">
        <f t="array" ref="BK60">IF(AND(BK$2&lt;&gt;0,TblTech[[#This Row],[Hour]:[Hour]]&gt;=BK$2),1,0)</f>
        <v>0</v>
      </c>
      <c r="BL60" s="304" cm="1">
        <f t="array" ref="BL60">IF(AND(BL$2&lt;&gt;0,TblTech[[#This Row],[Hour]:[Hour]]&gt;=BL$2),1,0)</f>
        <v>0</v>
      </c>
      <c r="BM60" s="304" cm="1">
        <f t="array" ref="BM60">IF(AND(BM$2&lt;&gt;0,TblTech[[#This Row],[Hour]:[Hour]]&gt;=BM$2),1,0)</f>
        <v>0</v>
      </c>
      <c r="BN60" s="304" cm="1">
        <f t="array" ref="BN60">IF(AND(BN$2&lt;&gt;0,TblTech[[#This Row],[Hour]:[Hour]]&gt;=BN$2),1,0)</f>
        <v>0</v>
      </c>
      <c r="BO60" s="304" cm="1">
        <f t="array" ref="BO60">IF(AND(BO$2&lt;&gt;0,TblTech[[#This Row],[Hour]:[Hour]]&gt;=BO$2),1,0)</f>
        <v>0</v>
      </c>
      <c r="BP60" s="304" cm="1">
        <f t="array" ref="BP60">IF(AND(BP$2&lt;&gt;0,TblTech[[#This Row],[Hour]:[Hour]]&gt;=BP$2),1,0)</f>
        <v>0</v>
      </c>
      <c r="BQ60" s="304" cm="1">
        <f t="array" ref="BQ60">IF(AND(BQ$2&lt;&gt;0,TblTech[[#This Row],[Hour]:[Hour]]&gt;=BQ$2),1,0)</f>
        <v>0</v>
      </c>
      <c r="BR60" s="304" cm="1">
        <f t="array" ref="BR60">IF(AND(BR$2&lt;&gt;0,TblTech[[#This Row],[Hour]:[Hour]]&gt;=BR$2),1,0)</f>
        <v>0</v>
      </c>
      <c r="BS60" s="304" cm="1">
        <f t="array" ref="BS60">IF(AND(BS$2&lt;&gt;0,TblTech[[#This Row],[Hour]:[Hour]]&gt;=BS$2),1,0)</f>
        <v>0</v>
      </c>
      <c r="BT60" s="304" cm="1">
        <f t="array" ref="BT60">IF(AND(BT$2&lt;&gt;0,TblTech[[#This Row],[Hour]:[Hour]]&gt;=BT$2),1,0)</f>
        <v>0</v>
      </c>
      <c r="BU60" s="304" cm="1">
        <f t="array" ref="BU60">IF(AND(BU$2&lt;&gt;0,TblTech[[#This Row],[Hour]:[Hour]]&gt;=BU$2),1,0)</f>
        <v>0</v>
      </c>
      <c r="BV60" s="304" cm="1">
        <f t="array" ref="BV60">IF(AND(BV$2&lt;&gt;0,TblTech[[#This Row],[Hour]:[Hour]]&gt;=BV$2),1,0)</f>
        <v>0</v>
      </c>
      <c r="BW60" s="304" cm="1">
        <f t="array" ref="BW60">IF(AND(BW$2&lt;&gt;0,TblTech[[#This Row],[Hour]:[Hour]]&gt;=BW$2),1,0)</f>
        <v>0</v>
      </c>
      <c r="BX60" s="304" cm="1">
        <f t="array" ref="BX60">IF(AND(BX$2&lt;&gt;0,TblTech[[#This Row],[Hour]:[Hour]]&gt;=BX$2),1,0)</f>
        <v>0</v>
      </c>
      <c r="BY60" s="304" cm="1">
        <f t="array" ref="BY60">IF(AND(BY$2&lt;&gt;0,TblTech[[#This Row],[Hour]:[Hour]]&gt;=BY$2),1,0)</f>
        <v>0</v>
      </c>
      <c r="BZ60" s="304" cm="1">
        <f t="array" ref="BZ60">IF(AND(BZ$2&lt;&gt;0,TblTech[[#This Row],[Hour]:[Hour]]&gt;=BZ$2),1,0)</f>
        <v>0</v>
      </c>
      <c r="CA60" s="408">
        <f>IFERROR(INDEX($H$4:$H$79,MATCH(INDEX(TblTech[[#Headers],[1-1]:[11-1]],1,MATCH(TblTech[[#This Row],[Hour]],$M$2:$BZ$2,0)),$G$4:$G$79,0)),)</f>
        <v>0</v>
      </c>
    </row>
    <row r="61" spans="1:79" x14ac:dyDescent="0.2">
      <c r="A61" s="296">
        <f>TblRezone[[#This Row],[Hour]]</f>
        <v>58</v>
      </c>
      <c r="B61" s="297">
        <f ca="1">TblExplore[[#This Row],[Land-DB]]</f>
        <v>250</v>
      </c>
      <c r="C61" s="298">
        <f ca="1">TblProd[[#This Row],[Techpoints]]</f>
        <v>0</v>
      </c>
      <c r="D61" s="298">
        <f ca="1">TblProd[[#This Row],[Required]]</f>
        <v>3750</v>
      </c>
      <c r="E61" s="299"/>
      <c r="F61" s="300"/>
      <c r="G61" s="301" t="s">
        <v>617</v>
      </c>
      <c r="H61" s="302" t="s">
        <v>741</v>
      </c>
      <c r="I61" s="301" t="s">
        <v>618</v>
      </c>
      <c r="J61" s="297"/>
      <c r="K61" s="96">
        <f ca="1">IF(TblTech[[#This Row],[Sum of tech]]&lt;&gt;OFFSET(TblTech[[#This Row],[Sum of tech]],-1,0),1,0)</f>
        <v>0</v>
      </c>
      <c r="L61" s="303">
        <f>COUNTIF(TblTech[[#This Row],[1-1]:[11-1]],1)</f>
        <v>0</v>
      </c>
      <c r="M61" s="304" cm="1">
        <f t="array" ref="M61">IF(AND(M$2&lt;&gt;0,TblTech[[#This Row],[Hour]:[Hour]]&gt;=M$2),1,0)</f>
        <v>0</v>
      </c>
      <c r="N61" s="304" cm="1">
        <f t="array" ref="N61">IF(AND(N$2&lt;&gt;0,TblTech[[#This Row],[Hour]:[Hour]]&gt;=N$2),1,0)</f>
        <v>0</v>
      </c>
      <c r="O61" s="304" cm="1">
        <f t="array" ref="O61">IF(AND(O$2&lt;&gt;0,TblTech[[#This Row],[Hour]:[Hour]]&gt;=O$2),1,0)</f>
        <v>0</v>
      </c>
      <c r="P61" s="304" cm="1">
        <f t="array" ref="P61">IF(AND(P$2&lt;&gt;0,TblTech[[#This Row],[Hour]:[Hour]]&gt;=P$2),1,0)</f>
        <v>0</v>
      </c>
      <c r="Q61" s="304" cm="1">
        <f t="array" ref="Q61">IF(AND(Q$2&lt;&gt;0,TblTech[[#This Row],[Hour]:[Hour]]&gt;=Q$2),1,0)</f>
        <v>0</v>
      </c>
      <c r="R61" s="304" cm="1">
        <f t="array" ref="R61">IF(AND(R$2&lt;&gt;0,TblTech[[#This Row],[Hour]:[Hour]]&gt;=R$2),1,0)</f>
        <v>0</v>
      </c>
      <c r="S61" s="304" cm="1">
        <f t="array" ref="S61">IF(AND(S$2&lt;&gt;0,TblTech[[#This Row],[Hour]:[Hour]]&gt;=S$2),1,0)</f>
        <v>0</v>
      </c>
      <c r="T61" s="304" cm="1">
        <f t="array" ref="T61">IF(AND(T$2&lt;&gt;0,TblTech[[#This Row],[Hour]:[Hour]]&gt;=T$2),1,0)</f>
        <v>0</v>
      </c>
      <c r="U61" s="304" cm="1">
        <f t="array" ref="U61">IF(AND(U$2&lt;&gt;0,TblTech[[#This Row],[Hour]:[Hour]]&gt;=U$2),1,0)</f>
        <v>0</v>
      </c>
      <c r="V61" s="304" cm="1">
        <f t="array" ref="V61">IF(AND(V$2&lt;&gt;0,TblTech[[#This Row],[Hour]:[Hour]]&gt;=V$2),1,0)</f>
        <v>0</v>
      </c>
      <c r="W61" s="304" cm="1">
        <f t="array" ref="W61">IF(AND(W$2&lt;&gt;0,TblTech[[#This Row],[Hour]:[Hour]]&gt;=W$2),1,0)</f>
        <v>0</v>
      </c>
      <c r="X61" s="304" cm="1">
        <f t="array" ref="X61">IF(AND(X$2&lt;&gt;0,TblTech[[#This Row],[Hour]:[Hour]]&gt;=X$2),1,0)</f>
        <v>0</v>
      </c>
      <c r="Y61" s="304" cm="1">
        <f t="array" ref="Y61">IF(AND(Y$2&lt;&gt;0,TblTech[[#This Row],[Hour]:[Hour]]&gt;=Y$2),1,0)</f>
        <v>0</v>
      </c>
      <c r="Z61" s="304" cm="1">
        <f t="array" ref="Z61">IF(AND(Z$2&lt;&gt;0,TblTech[[#This Row],[Hour]:[Hour]]&gt;=Z$2),1,0)</f>
        <v>0</v>
      </c>
      <c r="AA61" s="304" cm="1">
        <f t="array" ref="AA61">IF(AND(AA$2&lt;&gt;0,TblTech[[#This Row],[Hour]:[Hour]]&gt;=AA$2),1,0)</f>
        <v>0</v>
      </c>
      <c r="AB61" s="304" cm="1">
        <f t="array" ref="AB61">IF(AND(AB$2&lt;&gt;0,TblTech[[#This Row],[Hour]:[Hour]]&gt;=AB$2),1,0)</f>
        <v>0</v>
      </c>
      <c r="AC61" s="304" cm="1">
        <f t="array" ref="AC61">IF(AND(AC$2&lt;&gt;0,TblTech[[#This Row],[Hour]:[Hour]]&gt;=AC$2),1,0)</f>
        <v>0</v>
      </c>
      <c r="AD61" s="304" cm="1">
        <f t="array" ref="AD61">IF(AND(AD$2&lt;&gt;0,TblTech[[#This Row],[Hour]:[Hour]]&gt;=AD$2),1,0)</f>
        <v>0</v>
      </c>
      <c r="AE61" s="304" cm="1">
        <f t="array" ref="AE61">IF(AND(AE$2&lt;&gt;0,TblTech[[#This Row],[Hour]:[Hour]]&gt;=AE$2),1,0)</f>
        <v>0</v>
      </c>
      <c r="AF61" s="304" cm="1">
        <f t="array" ref="AF61">IF(AND(AF$2&lt;&gt;0,TblTech[[#This Row],[Hour]:[Hour]]&gt;=AF$2),1,0)</f>
        <v>0</v>
      </c>
      <c r="AG61" s="304" cm="1">
        <f t="array" ref="AG61">IF(AND(AG$2&lt;&gt;0,TblTech[[#This Row],[Hour]:[Hour]]&gt;=AG$2),1,0)</f>
        <v>0</v>
      </c>
      <c r="AH61" s="304" cm="1">
        <f t="array" ref="AH61">IF(AND(AH$2&lt;&gt;0,TblTech[[#This Row],[Hour]:[Hour]]&gt;=AH$2),1,0)</f>
        <v>0</v>
      </c>
      <c r="AI61" s="304" cm="1">
        <f t="array" ref="AI61">IF(AND(AI$2&lt;&gt;0,TblTech[[#This Row],[Hour]:[Hour]]&gt;=AI$2),1,0)</f>
        <v>0</v>
      </c>
      <c r="AJ61" s="304" cm="1">
        <f t="array" ref="AJ61">IF(AND(AJ$2&lt;&gt;0,TblTech[[#This Row],[Hour]:[Hour]]&gt;=AJ$2),1,0)</f>
        <v>0</v>
      </c>
      <c r="AK61" s="304" cm="1">
        <f t="array" ref="AK61">IF(AND(AK$2&lt;&gt;0,TblTech[[#This Row],[Hour]:[Hour]]&gt;=AK$2),1,0)</f>
        <v>0</v>
      </c>
      <c r="AL61" s="304" cm="1">
        <f t="array" ref="AL61">IF(AND(AL$2&lt;&gt;0,TblTech[[#This Row],[Hour]:[Hour]]&gt;=AL$2),1,0)</f>
        <v>0</v>
      </c>
      <c r="AM61" s="304" cm="1">
        <f t="array" ref="AM61">IF(AND(AM$2&lt;&gt;0,TblTech[[#This Row],[Hour]:[Hour]]&gt;=AM$2),1,0)</f>
        <v>0</v>
      </c>
      <c r="AN61" s="304" cm="1">
        <f t="array" ref="AN61">IF(AND(AN$2&lt;&gt;0,TblTech[[#This Row],[Hour]:[Hour]]&gt;=AN$2),1,0)</f>
        <v>0</v>
      </c>
      <c r="AO61" s="304" cm="1">
        <f t="array" ref="AO61">IF(AND(AO$2&lt;&gt;0,TblTech[[#This Row],[Hour]:[Hour]]&gt;=AO$2),1,0)</f>
        <v>0</v>
      </c>
      <c r="AP61" s="304" cm="1">
        <f t="array" ref="AP61">IF(AND(AP$2&lt;&gt;0,TblTech[[#This Row],[Hour]:[Hour]]&gt;=AP$2),1,0)</f>
        <v>0</v>
      </c>
      <c r="AQ61" s="304" cm="1">
        <f t="array" ref="AQ61">IF(AND(AQ$2&lt;&gt;0,TblTech[[#This Row],[Hour]:[Hour]]&gt;=AQ$2),1,0)</f>
        <v>0</v>
      </c>
      <c r="AR61" s="304" cm="1">
        <f t="array" ref="AR61">IF(AND(AR$2&lt;&gt;0,TblTech[[#This Row],[Hour]:[Hour]]&gt;=AR$2),1,0)</f>
        <v>0</v>
      </c>
      <c r="AS61" s="304" cm="1">
        <f t="array" ref="AS61">IF(AND(AS$2&lt;&gt;0,TblTech[[#This Row],[Hour]:[Hour]]&gt;=AS$2),1,0)</f>
        <v>0</v>
      </c>
      <c r="AT61" s="304" cm="1">
        <f t="array" ref="AT61">IF(AND(AT$2&lt;&gt;0,TblTech[[#This Row],[Hour]:[Hour]]&gt;=AT$2),1,0)</f>
        <v>0</v>
      </c>
      <c r="AU61" s="304" cm="1">
        <f t="array" ref="AU61">IF(AND(AU$2&lt;&gt;0,TblTech[[#This Row],[Hour]:[Hour]]&gt;=AU$2),1,0)</f>
        <v>0</v>
      </c>
      <c r="AV61" s="304" cm="1">
        <f t="array" ref="AV61">IF(AND(AV$2&lt;&gt;0,TblTech[[#This Row],[Hour]:[Hour]]&gt;=AV$2),1,0)</f>
        <v>0</v>
      </c>
      <c r="AW61" s="304" cm="1">
        <f t="array" ref="AW61">IF(AND(AW$2&lt;&gt;0,TblTech[[#This Row],[Hour]:[Hour]]&gt;=AW$2),1,0)</f>
        <v>0</v>
      </c>
      <c r="AX61" s="304" cm="1">
        <f t="array" ref="AX61">IF(AND(AX$2&lt;&gt;0,TblTech[[#This Row],[Hour]:[Hour]]&gt;=AX$2),1,0)</f>
        <v>0</v>
      </c>
      <c r="AY61" s="304" cm="1">
        <f t="array" ref="AY61">IF(AND(AY$2&lt;&gt;0,TblTech[[#This Row],[Hour]:[Hour]]&gt;=AY$2),1,0)</f>
        <v>0</v>
      </c>
      <c r="AZ61" s="304" cm="1">
        <f t="array" ref="AZ61">IF(AND(AZ$2&lt;&gt;0,TblTech[[#This Row],[Hour]:[Hour]]&gt;=AZ$2),1,0)</f>
        <v>0</v>
      </c>
      <c r="BA61" s="304" cm="1">
        <f t="array" ref="BA61">IF(AND(BA$2&lt;&gt;0,TblTech[[#This Row],[Hour]:[Hour]]&gt;=BA$2),1,0)</f>
        <v>0</v>
      </c>
      <c r="BB61" s="304" cm="1">
        <f t="array" ref="BB61">IF(AND(BB$2&lt;&gt;0,TblTech[[#This Row],[Hour]:[Hour]]&gt;=BB$2),1,0)</f>
        <v>0</v>
      </c>
      <c r="BC61" s="304" cm="1">
        <f t="array" ref="BC61">IF(AND(BC$2&lt;&gt;0,TblTech[[#This Row],[Hour]:[Hour]]&gt;=BC$2),1,0)</f>
        <v>0</v>
      </c>
      <c r="BD61" s="304" cm="1">
        <f t="array" ref="BD61">IF(AND(BD$2&lt;&gt;0,TblTech[[#This Row],[Hour]:[Hour]]&gt;=BD$2),1,0)</f>
        <v>0</v>
      </c>
      <c r="BE61" s="304" cm="1">
        <f t="array" ref="BE61">IF(AND(BE$2&lt;&gt;0,TblTech[[#This Row],[Hour]:[Hour]]&gt;=BE$2),1,0)</f>
        <v>0</v>
      </c>
      <c r="BF61" s="304" cm="1">
        <f t="array" ref="BF61">IF(AND(BF$2&lt;&gt;0,TblTech[[#This Row],[Hour]:[Hour]]&gt;=BF$2),1,0)</f>
        <v>0</v>
      </c>
      <c r="BG61" s="304" cm="1">
        <f t="array" ref="BG61">IF(AND(BG$2&lt;&gt;0,TblTech[[#This Row],[Hour]:[Hour]]&gt;=BG$2),1,0)</f>
        <v>0</v>
      </c>
      <c r="BH61" s="304" cm="1">
        <f t="array" ref="BH61">IF(AND(BH$2&lt;&gt;0,TblTech[[#This Row],[Hour]:[Hour]]&gt;=BH$2),1,0)</f>
        <v>0</v>
      </c>
      <c r="BI61" s="304" cm="1">
        <f t="array" ref="BI61">IF(AND(BI$2&lt;&gt;0,TblTech[[#This Row],[Hour]:[Hour]]&gt;=BI$2),1,0)</f>
        <v>0</v>
      </c>
      <c r="BJ61" s="304" cm="1">
        <f t="array" ref="BJ61">IF(AND(BJ$2&lt;&gt;0,TblTech[[#This Row],[Hour]:[Hour]]&gt;=BJ$2),1,0)</f>
        <v>0</v>
      </c>
      <c r="BK61" s="304" cm="1">
        <f t="array" ref="BK61">IF(AND(BK$2&lt;&gt;0,TblTech[[#This Row],[Hour]:[Hour]]&gt;=BK$2),1,0)</f>
        <v>0</v>
      </c>
      <c r="BL61" s="304" cm="1">
        <f t="array" ref="BL61">IF(AND(BL$2&lt;&gt;0,TblTech[[#This Row],[Hour]:[Hour]]&gt;=BL$2),1,0)</f>
        <v>0</v>
      </c>
      <c r="BM61" s="304" cm="1">
        <f t="array" ref="BM61">IF(AND(BM$2&lt;&gt;0,TblTech[[#This Row],[Hour]:[Hour]]&gt;=BM$2),1,0)</f>
        <v>0</v>
      </c>
      <c r="BN61" s="304" cm="1">
        <f t="array" ref="BN61">IF(AND(BN$2&lt;&gt;0,TblTech[[#This Row],[Hour]:[Hour]]&gt;=BN$2),1,0)</f>
        <v>0</v>
      </c>
      <c r="BO61" s="304" cm="1">
        <f t="array" ref="BO61">IF(AND(BO$2&lt;&gt;0,TblTech[[#This Row],[Hour]:[Hour]]&gt;=BO$2),1,0)</f>
        <v>0</v>
      </c>
      <c r="BP61" s="304" cm="1">
        <f t="array" ref="BP61">IF(AND(BP$2&lt;&gt;0,TblTech[[#This Row],[Hour]:[Hour]]&gt;=BP$2),1,0)</f>
        <v>0</v>
      </c>
      <c r="BQ61" s="304" cm="1">
        <f t="array" ref="BQ61">IF(AND(BQ$2&lt;&gt;0,TblTech[[#This Row],[Hour]:[Hour]]&gt;=BQ$2),1,0)</f>
        <v>0</v>
      </c>
      <c r="BR61" s="304" cm="1">
        <f t="array" ref="BR61">IF(AND(BR$2&lt;&gt;0,TblTech[[#This Row],[Hour]:[Hour]]&gt;=BR$2),1,0)</f>
        <v>0</v>
      </c>
      <c r="BS61" s="304" cm="1">
        <f t="array" ref="BS61">IF(AND(BS$2&lt;&gt;0,TblTech[[#This Row],[Hour]:[Hour]]&gt;=BS$2),1,0)</f>
        <v>0</v>
      </c>
      <c r="BT61" s="304" cm="1">
        <f t="array" ref="BT61">IF(AND(BT$2&lt;&gt;0,TblTech[[#This Row],[Hour]:[Hour]]&gt;=BT$2),1,0)</f>
        <v>0</v>
      </c>
      <c r="BU61" s="304" cm="1">
        <f t="array" ref="BU61">IF(AND(BU$2&lt;&gt;0,TblTech[[#This Row],[Hour]:[Hour]]&gt;=BU$2),1,0)</f>
        <v>0</v>
      </c>
      <c r="BV61" s="304" cm="1">
        <f t="array" ref="BV61">IF(AND(BV$2&lt;&gt;0,TblTech[[#This Row],[Hour]:[Hour]]&gt;=BV$2),1,0)</f>
        <v>0</v>
      </c>
      <c r="BW61" s="304" cm="1">
        <f t="array" ref="BW61">IF(AND(BW$2&lt;&gt;0,TblTech[[#This Row],[Hour]:[Hour]]&gt;=BW$2),1,0)</f>
        <v>0</v>
      </c>
      <c r="BX61" s="304" cm="1">
        <f t="array" ref="BX61">IF(AND(BX$2&lt;&gt;0,TblTech[[#This Row],[Hour]:[Hour]]&gt;=BX$2),1,0)</f>
        <v>0</v>
      </c>
      <c r="BY61" s="304" cm="1">
        <f t="array" ref="BY61">IF(AND(BY$2&lt;&gt;0,TblTech[[#This Row],[Hour]:[Hour]]&gt;=BY$2),1,0)</f>
        <v>0</v>
      </c>
      <c r="BZ61" s="304" cm="1">
        <f t="array" ref="BZ61">IF(AND(BZ$2&lt;&gt;0,TblTech[[#This Row],[Hour]:[Hour]]&gt;=BZ$2),1,0)</f>
        <v>0</v>
      </c>
      <c r="CA61" s="408">
        <f>IFERROR(INDEX($H$4:$H$79,MATCH(INDEX(TblTech[[#Headers],[1-1]:[11-1]],1,MATCH(TblTech[[#This Row],[Hour]],$M$2:$BZ$2,0)),$G$4:$G$79,0)),)</f>
        <v>0</v>
      </c>
    </row>
    <row r="62" spans="1:79" x14ac:dyDescent="0.2">
      <c r="A62" s="296">
        <f>TblRezone[[#This Row],[Hour]]</f>
        <v>59</v>
      </c>
      <c r="B62" s="297">
        <f ca="1">TblExplore[[#This Row],[Land-DB]]</f>
        <v>250</v>
      </c>
      <c r="C62" s="298">
        <f ca="1">TblProd[[#This Row],[Techpoints]]</f>
        <v>0</v>
      </c>
      <c r="D62" s="298">
        <f ca="1">TblProd[[#This Row],[Required]]</f>
        <v>3750</v>
      </c>
      <c r="E62" s="299"/>
      <c r="F62" s="300"/>
      <c r="G62" s="301" t="s">
        <v>619</v>
      </c>
      <c r="H62" s="302" t="s">
        <v>745</v>
      </c>
      <c r="I62" s="301" t="s">
        <v>1086</v>
      </c>
      <c r="J62" s="297"/>
      <c r="K62" s="96">
        <f ca="1">IF(TblTech[[#This Row],[Sum of tech]]&lt;&gt;OFFSET(TblTech[[#This Row],[Sum of tech]],-1,0),1,0)</f>
        <v>0</v>
      </c>
      <c r="L62" s="303">
        <f>COUNTIF(TblTech[[#This Row],[1-1]:[11-1]],1)</f>
        <v>0</v>
      </c>
      <c r="M62" s="304" cm="1">
        <f t="array" ref="M62">IF(AND(M$2&lt;&gt;0,TblTech[[#This Row],[Hour]:[Hour]]&gt;=M$2),1,0)</f>
        <v>0</v>
      </c>
      <c r="N62" s="304" cm="1">
        <f t="array" ref="N62">IF(AND(N$2&lt;&gt;0,TblTech[[#This Row],[Hour]:[Hour]]&gt;=N$2),1,0)</f>
        <v>0</v>
      </c>
      <c r="O62" s="304" cm="1">
        <f t="array" ref="O62">IF(AND(O$2&lt;&gt;0,TblTech[[#This Row],[Hour]:[Hour]]&gt;=O$2),1,0)</f>
        <v>0</v>
      </c>
      <c r="P62" s="304" cm="1">
        <f t="array" ref="P62">IF(AND(P$2&lt;&gt;0,TblTech[[#This Row],[Hour]:[Hour]]&gt;=P$2),1,0)</f>
        <v>0</v>
      </c>
      <c r="Q62" s="304" cm="1">
        <f t="array" ref="Q62">IF(AND(Q$2&lt;&gt;0,TblTech[[#This Row],[Hour]:[Hour]]&gt;=Q$2),1,0)</f>
        <v>0</v>
      </c>
      <c r="R62" s="304" cm="1">
        <f t="array" ref="R62">IF(AND(R$2&lt;&gt;0,TblTech[[#This Row],[Hour]:[Hour]]&gt;=R$2),1,0)</f>
        <v>0</v>
      </c>
      <c r="S62" s="304" cm="1">
        <f t="array" ref="S62">IF(AND(S$2&lt;&gt;0,TblTech[[#This Row],[Hour]:[Hour]]&gt;=S$2),1,0)</f>
        <v>0</v>
      </c>
      <c r="T62" s="304" cm="1">
        <f t="array" ref="T62">IF(AND(T$2&lt;&gt;0,TblTech[[#This Row],[Hour]:[Hour]]&gt;=T$2),1,0)</f>
        <v>0</v>
      </c>
      <c r="U62" s="304" cm="1">
        <f t="array" ref="U62">IF(AND(U$2&lt;&gt;0,TblTech[[#This Row],[Hour]:[Hour]]&gt;=U$2),1,0)</f>
        <v>0</v>
      </c>
      <c r="V62" s="304" cm="1">
        <f t="array" ref="V62">IF(AND(V$2&lt;&gt;0,TblTech[[#This Row],[Hour]:[Hour]]&gt;=V$2),1,0)</f>
        <v>0</v>
      </c>
      <c r="W62" s="304" cm="1">
        <f t="array" ref="W62">IF(AND(W$2&lt;&gt;0,TblTech[[#This Row],[Hour]:[Hour]]&gt;=W$2),1,0)</f>
        <v>0</v>
      </c>
      <c r="X62" s="304" cm="1">
        <f t="array" ref="X62">IF(AND(X$2&lt;&gt;0,TblTech[[#This Row],[Hour]:[Hour]]&gt;=X$2),1,0)</f>
        <v>0</v>
      </c>
      <c r="Y62" s="304" cm="1">
        <f t="array" ref="Y62">IF(AND(Y$2&lt;&gt;0,TblTech[[#This Row],[Hour]:[Hour]]&gt;=Y$2),1,0)</f>
        <v>0</v>
      </c>
      <c r="Z62" s="304" cm="1">
        <f t="array" ref="Z62">IF(AND(Z$2&lt;&gt;0,TblTech[[#This Row],[Hour]:[Hour]]&gt;=Z$2),1,0)</f>
        <v>0</v>
      </c>
      <c r="AA62" s="304" cm="1">
        <f t="array" ref="AA62">IF(AND(AA$2&lt;&gt;0,TblTech[[#This Row],[Hour]:[Hour]]&gt;=AA$2),1,0)</f>
        <v>0</v>
      </c>
      <c r="AB62" s="304" cm="1">
        <f t="array" ref="AB62">IF(AND(AB$2&lt;&gt;0,TblTech[[#This Row],[Hour]:[Hour]]&gt;=AB$2),1,0)</f>
        <v>0</v>
      </c>
      <c r="AC62" s="304" cm="1">
        <f t="array" ref="AC62">IF(AND(AC$2&lt;&gt;0,TblTech[[#This Row],[Hour]:[Hour]]&gt;=AC$2),1,0)</f>
        <v>0</v>
      </c>
      <c r="AD62" s="304" cm="1">
        <f t="array" ref="AD62">IF(AND(AD$2&lt;&gt;0,TblTech[[#This Row],[Hour]:[Hour]]&gt;=AD$2),1,0)</f>
        <v>0</v>
      </c>
      <c r="AE62" s="304" cm="1">
        <f t="array" ref="AE62">IF(AND(AE$2&lt;&gt;0,TblTech[[#This Row],[Hour]:[Hour]]&gt;=AE$2),1,0)</f>
        <v>0</v>
      </c>
      <c r="AF62" s="304" cm="1">
        <f t="array" ref="AF62">IF(AND(AF$2&lt;&gt;0,TblTech[[#This Row],[Hour]:[Hour]]&gt;=AF$2),1,0)</f>
        <v>0</v>
      </c>
      <c r="AG62" s="304" cm="1">
        <f t="array" ref="AG62">IF(AND(AG$2&lt;&gt;0,TblTech[[#This Row],[Hour]:[Hour]]&gt;=AG$2),1,0)</f>
        <v>0</v>
      </c>
      <c r="AH62" s="304" cm="1">
        <f t="array" ref="AH62">IF(AND(AH$2&lt;&gt;0,TblTech[[#This Row],[Hour]:[Hour]]&gt;=AH$2),1,0)</f>
        <v>0</v>
      </c>
      <c r="AI62" s="304" cm="1">
        <f t="array" ref="AI62">IF(AND(AI$2&lt;&gt;0,TblTech[[#This Row],[Hour]:[Hour]]&gt;=AI$2),1,0)</f>
        <v>0</v>
      </c>
      <c r="AJ62" s="304" cm="1">
        <f t="array" ref="AJ62">IF(AND(AJ$2&lt;&gt;0,TblTech[[#This Row],[Hour]:[Hour]]&gt;=AJ$2),1,0)</f>
        <v>0</v>
      </c>
      <c r="AK62" s="304" cm="1">
        <f t="array" ref="AK62">IF(AND(AK$2&lt;&gt;0,TblTech[[#This Row],[Hour]:[Hour]]&gt;=AK$2),1,0)</f>
        <v>0</v>
      </c>
      <c r="AL62" s="304" cm="1">
        <f t="array" ref="AL62">IF(AND(AL$2&lt;&gt;0,TblTech[[#This Row],[Hour]:[Hour]]&gt;=AL$2),1,0)</f>
        <v>0</v>
      </c>
      <c r="AM62" s="304" cm="1">
        <f t="array" ref="AM62">IF(AND(AM$2&lt;&gt;0,TblTech[[#This Row],[Hour]:[Hour]]&gt;=AM$2),1,0)</f>
        <v>0</v>
      </c>
      <c r="AN62" s="304" cm="1">
        <f t="array" ref="AN62">IF(AND(AN$2&lt;&gt;0,TblTech[[#This Row],[Hour]:[Hour]]&gt;=AN$2),1,0)</f>
        <v>0</v>
      </c>
      <c r="AO62" s="304" cm="1">
        <f t="array" ref="AO62">IF(AND(AO$2&lt;&gt;0,TblTech[[#This Row],[Hour]:[Hour]]&gt;=AO$2),1,0)</f>
        <v>0</v>
      </c>
      <c r="AP62" s="304" cm="1">
        <f t="array" ref="AP62">IF(AND(AP$2&lt;&gt;0,TblTech[[#This Row],[Hour]:[Hour]]&gt;=AP$2),1,0)</f>
        <v>0</v>
      </c>
      <c r="AQ62" s="304" cm="1">
        <f t="array" ref="AQ62">IF(AND(AQ$2&lt;&gt;0,TblTech[[#This Row],[Hour]:[Hour]]&gt;=AQ$2),1,0)</f>
        <v>0</v>
      </c>
      <c r="AR62" s="304" cm="1">
        <f t="array" ref="AR62">IF(AND(AR$2&lt;&gt;0,TblTech[[#This Row],[Hour]:[Hour]]&gt;=AR$2),1,0)</f>
        <v>0</v>
      </c>
      <c r="AS62" s="304" cm="1">
        <f t="array" ref="AS62">IF(AND(AS$2&lt;&gt;0,TblTech[[#This Row],[Hour]:[Hour]]&gt;=AS$2),1,0)</f>
        <v>0</v>
      </c>
      <c r="AT62" s="304" cm="1">
        <f t="array" ref="AT62">IF(AND(AT$2&lt;&gt;0,TblTech[[#This Row],[Hour]:[Hour]]&gt;=AT$2),1,0)</f>
        <v>0</v>
      </c>
      <c r="AU62" s="304" cm="1">
        <f t="array" ref="AU62">IF(AND(AU$2&lt;&gt;0,TblTech[[#This Row],[Hour]:[Hour]]&gt;=AU$2),1,0)</f>
        <v>0</v>
      </c>
      <c r="AV62" s="304" cm="1">
        <f t="array" ref="AV62">IF(AND(AV$2&lt;&gt;0,TblTech[[#This Row],[Hour]:[Hour]]&gt;=AV$2),1,0)</f>
        <v>0</v>
      </c>
      <c r="AW62" s="304" cm="1">
        <f t="array" ref="AW62">IF(AND(AW$2&lt;&gt;0,TblTech[[#This Row],[Hour]:[Hour]]&gt;=AW$2),1,0)</f>
        <v>0</v>
      </c>
      <c r="AX62" s="304" cm="1">
        <f t="array" ref="AX62">IF(AND(AX$2&lt;&gt;0,TblTech[[#This Row],[Hour]:[Hour]]&gt;=AX$2),1,0)</f>
        <v>0</v>
      </c>
      <c r="AY62" s="304" cm="1">
        <f t="array" ref="AY62">IF(AND(AY$2&lt;&gt;0,TblTech[[#This Row],[Hour]:[Hour]]&gt;=AY$2),1,0)</f>
        <v>0</v>
      </c>
      <c r="AZ62" s="304" cm="1">
        <f t="array" ref="AZ62">IF(AND(AZ$2&lt;&gt;0,TblTech[[#This Row],[Hour]:[Hour]]&gt;=AZ$2),1,0)</f>
        <v>0</v>
      </c>
      <c r="BA62" s="304" cm="1">
        <f t="array" ref="BA62">IF(AND(BA$2&lt;&gt;0,TblTech[[#This Row],[Hour]:[Hour]]&gt;=BA$2),1,0)</f>
        <v>0</v>
      </c>
      <c r="BB62" s="304" cm="1">
        <f t="array" ref="BB62">IF(AND(BB$2&lt;&gt;0,TblTech[[#This Row],[Hour]:[Hour]]&gt;=BB$2),1,0)</f>
        <v>0</v>
      </c>
      <c r="BC62" s="304" cm="1">
        <f t="array" ref="BC62">IF(AND(BC$2&lt;&gt;0,TblTech[[#This Row],[Hour]:[Hour]]&gt;=BC$2),1,0)</f>
        <v>0</v>
      </c>
      <c r="BD62" s="304" cm="1">
        <f t="array" ref="BD62">IF(AND(BD$2&lt;&gt;0,TblTech[[#This Row],[Hour]:[Hour]]&gt;=BD$2),1,0)</f>
        <v>0</v>
      </c>
      <c r="BE62" s="304" cm="1">
        <f t="array" ref="BE62">IF(AND(BE$2&lt;&gt;0,TblTech[[#This Row],[Hour]:[Hour]]&gt;=BE$2),1,0)</f>
        <v>0</v>
      </c>
      <c r="BF62" s="304" cm="1">
        <f t="array" ref="BF62">IF(AND(BF$2&lt;&gt;0,TblTech[[#This Row],[Hour]:[Hour]]&gt;=BF$2),1,0)</f>
        <v>0</v>
      </c>
      <c r="BG62" s="304" cm="1">
        <f t="array" ref="BG62">IF(AND(BG$2&lt;&gt;0,TblTech[[#This Row],[Hour]:[Hour]]&gt;=BG$2),1,0)</f>
        <v>0</v>
      </c>
      <c r="BH62" s="304" cm="1">
        <f t="array" ref="BH62">IF(AND(BH$2&lt;&gt;0,TblTech[[#This Row],[Hour]:[Hour]]&gt;=BH$2),1,0)</f>
        <v>0</v>
      </c>
      <c r="BI62" s="304" cm="1">
        <f t="array" ref="BI62">IF(AND(BI$2&lt;&gt;0,TblTech[[#This Row],[Hour]:[Hour]]&gt;=BI$2),1,0)</f>
        <v>0</v>
      </c>
      <c r="BJ62" s="304" cm="1">
        <f t="array" ref="BJ62">IF(AND(BJ$2&lt;&gt;0,TblTech[[#This Row],[Hour]:[Hour]]&gt;=BJ$2),1,0)</f>
        <v>0</v>
      </c>
      <c r="BK62" s="304" cm="1">
        <f t="array" ref="BK62">IF(AND(BK$2&lt;&gt;0,TblTech[[#This Row],[Hour]:[Hour]]&gt;=BK$2),1,0)</f>
        <v>0</v>
      </c>
      <c r="BL62" s="304" cm="1">
        <f t="array" ref="BL62">IF(AND(BL$2&lt;&gt;0,TblTech[[#This Row],[Hour]:[Hour]]&gt;=BL$2),1,0)</f>
        <v>0</v>
      </c>
      <c r="BM62" s="304" cm="1">
        <f t="array" ref="BM62">IF(AND(BM$2&lt;&gt;0,TblTech[[#This Row],[Hour]:[Hour]]&gt;=BM$2),1,0)</f>
        <v>0</v>
      </c>
      <c r="BN62" s="304" cm="1">
        <f t="array" ref="BN62">IF(AND(BN$2&lt;&gt;0,TblTech[[#This Row],[Hour]:[Hour]]&gt;=BN$2),1,0)</f>
        <v>0</v>
      </c>
      <c r="BO62" s="304" cm="1">
        <f t="array" ref="BO62">IF(AND(BO$2&lt;&gt;0,TblTech[[#This Row],[Hour]:[Hour]]&gt;=BO$2),1,0)</f>
        <v>0</v>
      </c>
      <c r="BP62" s="304" cm="1">
        <f t="array" ref="BP62">IF(AND(BP$2&lt;&gt;0,TblTech[[#This Row],[Hour]:[Hour]]&gt;=BP$2),1,0)</f>
        <v>0</v>
      </c>
      <c r="BQ62" s="304" cm="1">
        <f t="array" ref="BQ62">IF(AND(BQ$2&lt;&gt;0,TblTech[[#This Row],[Hour]:[Hour]]&gt;=BQ$2),1,0)</f>
        <v>0</v>
      </c>
      <c r="BR62" s="304" cm="1">
        <f t="array" ref="BR62">IF(AND(BR$2&lt;&gt;0,TblTech[[#This Row],[Hour]:[Hour]]&gt;=BR$2),1,0)</f>
        <v>0</v>
      </c>
      <c r="BS62" s="304" cm="1">
        <f t="array" ref="BS62">IF(AND(BS$2&lt;&gt;0,TblTech[[#This Row],[Hour]:[Hour]]&gt;=BS$2),1,0)</f>
        <v>0</v>
      </c>
      <c r="BT62" s="304" cm="1">
        <f t="array" ref="BT62">IF(AND(BT$2&lt;&gt;0,TblTech[[#This Row],[Hour]:[Hour]]&gt;=BT$2),1,0)</f>
        <v>0</v>
      </c>
      <c r="BU62" s="304" cm="1">
        <f t="array" ref="BU62">IF(AND(BU$2&lt;&gt;0,TblTech[[#This Row],[Hour]:[Hour]]&gt;=BU$2),1,0)</f>
        <v>0</v>
      </c>
      <c r="BV62" s="304" cm="1">
        <f t="array" ref="BV62">IF(AND(BV$2&lt;&gt;0,TblTech[[#This Row],[Hour]:[Hour]]&gt;=BV$2),1,0)</f>
        <v>0</v>
      </c>
      <c r="BW62" s="304" cm="1">
        <f t="array" ref="BW62">IF(AND(BW$2&lt;&gt;0,TblTech[[#This Row],[Hour]:[Hour]]&gt;=BW$2),1,0)</f>
        <v>0</v>
      </c>
      <c r="BX62" s="304" cm="1">
        <f t="array" ref="BX62">IF(AND(BX$2&lt;&gt;0,TblTech[[#This Row],[Hour]:[Hour]]&gt;=BX$2),1,0)</f>
        <v>0</v>
      </c>
      <c r="BY62" s="304" cm="1">
        <f t="array" ref="BY62">IF(AND(BY$2&lt;&gt;0,TblTech[[#This Row],[Hour]:[Hour]]&gt;=BY$2),1,0)</f>
        <v>0</v>
      </c>
      <c r="BZ62" s="304" cm="1">
        <f t="array" ref="BZ62">IF(AND(BZ$2&lt;&gt;0,TblTech[[#This Row],[Hour]:[Hour]]&gt;=BZ$2),1,0)</f>
        <v>0</v>
      </c>
      <c r="CA62" s="408">
        <f>IFERROR(INDEX($H$4:$H$79,MATCH(INDEX(TblTech[[#Headers],[1-1]:[11-1]],1,MATCH(TblTech[[#This Row],[Hour]],$M$2:$BZ$2,0)),$G$4:$G$79,0)),)</f>
        <v>0</v>
      </c>
    </row>
    <row r="63" spans="1:79" x14ac:dyDescent="0.2">
      <c r="A63" s="296">
        <f>TblRezone[[#This Row],[Hour]]</f>
        <v>60</v>
      </c>
      <c r="B63" s="297">
        <f ca="1">TblExplore[[#This Row],[Land-DB]]</f>
        <v>250</v>
      </c>
      <c r="C63" s="298">
        <f ca="1">TblProd[[#This Row],[Techpoints]]</f>
        <v>0</v>
      </c>
      <c r="D63" s="298">
        <f ca="1">TblProd[[#This Row],[Required]]</f>
        <v>3750</v>
      </c>
      <c r="E63" s="299"/>
      <c r="F63" s="300"/>
      <c r="G63" s="301" t="s">
        <v>621</v>
      </c>
      <c r="H63" s="302" t="s">
        <v>1091</v>
      </c>
      <c r="I63" s="301" t="s">
        <v>764</v>
      </c>
      <c r="J63" s="297"/>
      <c r="K63" s="96">
        <f ca="1">IF(TblTech[[#This Row],[Sum of tech]]&lt;&gt;OFFSET(TblTech[[#This Row],[Sum of tech]],-1,0),1,0)</f>
        <v>0</v>
      </c>
      <c r="L63" s="303">
        <f>COUNTIF(TblTech[[#This Row],[1-1]:[11-1]],1)</f>
        <v>0</v>
      </c>
      <c r="M63" s="304" cm="1">
        <f t="array" ref="M63">IF(AND(M$2&lt;&gt;0,TblTech[[#This Row],[Hour]:[Hour]]&gt;=M$2),1,0)</f>
        <v>0</v>
      </c>
      <c r="N63" s="304" cm="1">
        <f t="array" ref="N63">IF(AND(N$2&lt;&gt;0,TblTech[[#This Row],[Hour]:[Hour]]&gt;=N$2),1,0)</f>
        <v>0</v>
      </c>
      <c r="O63" s="304" cm="1">
        <f t="array" ref="O63">IF(AND(O$2&lt;&gt;0,TblTech[[#This Row],[Hour]:[Hour]]&gt;=O$2),1,0)</f>
        <v>0</v>
      </c>
      <c r="P63" s="304" cm="1">
        <f t="array" ref="P63">IF(AND(P$2&lt;&gt;0,TblTech[[#This Row],[Hour]:[Hour]]&gt;=P$2),1,0)</f>
        <v>0</v>
      </c>
      <c r="Q63" s="304" cm="1">
        <f t="array" ref="Q63">IF(AND(Q$2&lt;&gt;0,TblTech[[#This Row],[Hour]:[Hour]]&gt;=Q$2),1,0)</f>
        <v>0</v>
      </c>
      <c r="R63" s="304" cm="1">
        <f t="array" ref="R63">IF(AND(R$2&lt;&gt;0,TblTech[[#This Row],[Hour]:[Hour]]&gt;=R$2),1,0)</f>
        <v>0</v>
      </c>
      <c r="S63" s="304" cm="1">
        <f t="array" ref="S63">IF(AND(S$2&lt;&gt;0,TblTech[[#This Row],[Hour]:[Hour]]&gt;=S$2),1,0)</f>
        <v>0</v>
      </c>
      <c r="T63" s="304" cm="1">
        <f t="array" ref="T63">IF(AND(T$2&lt;&gt;0,TblTech[[#This Row],[Hour]:[Hour]]&gt;=T$2),1,0)</f>
        <v>0</v>
      </c>
      <c r="U63" s="304" cm="1">
        <f t="array" ref="U63">IF(AND(U$2&lt;&gt;0,TblTech[[#This Row],[Hour]:[Hour]]&gt;=U$2),1,0)</f>
        <v>0</v>
      </c>
      <c r="V63" s="304" cm="1">
        <f t="array" ref="V63">IF(AND(V$2&lt;&gt;0,TblTech[[#This Row],[Hour]:[Hour]]&gt;=V$2),1,0)</f>
        <v>0</v>
      </c>
      <c r="W63" s="304" cm="1">
        <f t="array" ref="W63">IF(AND(W$2&lt;&gt;0,TblTech[[#This Row],[Hour]:[Hour]]&gt;=W$2),1,0)</f>
        <v>0</v>
      </c>
      <c r="X63" s="304" cm="1">
        <f t="array" ref="X63">IF(AND(X$2&lt;&gt;0,TblTech[[#This Row],[Hour]:[Hour]]&gt;=X$2),1,0)</f>
        <v>0</v>
      </c>
      <c r="Y63" s="304" cm="1">
        <f t="array" ref="Y63">IF(AND(Y$2&lt;&gt;0,TblTech[[#This Row],[Hour]:[Hour]]&gt;=Y$2),1,0)</f>
        <v>0</v>
      </c>
      <c r="Z63" s="304" cm="1">
        <f t="array" ref="Z63">IF(AND(Z$2&lt;&gt;0,TblTech[[#This Row],[Hour]:[Hour]]&gt;=Z$2),1,0)</f>
        <v>0</v>
      </c>
      <c r="AA63" s="304" cm="1">
        <f t="array" ref="AA63">IF(AND(AA$2&lt;&gt;0,TblTech[[#This Row],[Hour]:[Hour]]&gt;=AA$2),1,0)</f>
        <v>0</v>
      </c>
      <c r="AB63" s="304" cm="1">
        <f t="array" ref="AB63">IF(AND(AB$2&lt;&gt;0,TblTech[[#This Row],[Hour]:[Hour]]&gt;=AB$2),1,0)</f>
        <v>0</v>
      </c>
      <c r="AC63" s="304" cm="1">
        <f t="array" ref="AC63">IF(AND(AC$2&lt;&gt;0,TblTech[[#This Row],[Hour]:[Hour]]&gt;=AC$2),1,0)</f>
        <v>0</v>
      </c>
      <c r="AD63" s="304" cm="1">
        <f t="array" ref="AD63">IF(AND(AD$2&lt;&gt;0,TblTech[[#This Row],[Hour]:[Hour]]&gt;=AD$2),1,0)</f>
        <v>0</v>
      </c>
      <c r="AE63" s="304" cm="1">
        <f t="array" ref="AE63">IF(AND(AE$2&lt;&gt;0,TblTech[[#This Row],[Hour]:[Hour]]&gt;=AE$2),1,0)</f>
        <v>0</v>
      </c>
      <c r="AF63" s="304" cm="1">
        <f t="array" ref="AF63">IF(AND(AF$2&lt;&gt;0,TblTech[[#This Row],[Hour]:[Hour]]&gt;=AF$2),1,0)</f>
        <v>0</v>
      </c>
      <c r="AG63" s="304" cm="1">
        <f t="array" ref="AG63">IF(AND(AG$2&lt;&gt;0,TblTech[[#This Row],[Hour]:[Hour]]&gt;=AG$2),1,0)</f>
        <v>0</v>
      </c>
      <c r="AH63" s="304" cm="1">
        <f t="array" ref="AH63">IF(AND(AH$2&lt;&gt;0,TblTech[[#This Row],[Hour]:[Hour]]&gt;=AH$2),1,0)</f>
        <v>0</v>
      </c>
      <c r="AI63" s="304" cm="1">
        <f t="array" ref="AI63">IF(AND(AI$2&lt;&gt;0,TblTech[[#This Row],[Hour]:[Hour]]&gt;=AI$2),1,0)</f>
        <v>0</v>
      </c>
      <c r="AJ63" s="304" cm="1">
        <f t="array" ref="AJ63">IF(AND(AJ$2&lt;&gt;0,TblTech[[#This Row],[Hour]:[Hour]]&gt;=AJ$2),1,0)</f>
        <v>0</v>
      </c>
      <c r="AK63" s="304" cm="1">
        <f t="array" ref="AK63">IF(AND(AK$2&lt;&gt;0,TblTech[[#This Row],[Hour]:[Hour]]&gt;=AK$2),1,0)</f>
        <v>0</v>
      </c>
      <c r="AL63" s="304" cm="1">
        <f t="array" ref="AL63">IF(AND(AL$2&lt;&gt;0,TblTech[[#This Row],[Hour]:[Hour]]&gt;=AL$2),1,0)</f>
        <v>0</v>
      </c>
      <c r="AM63" s="304" cm="1">
        <f t="array" ref="AM63">IF(AND(AM$2&lt;&gt;0,TblTech[[#This Row],[Hour]:[Hour]]&gt;=AM$2),1,0)</f>
        <v>0</v>
      </c>
      <c r="AN63" s="304" cm="1">
        <f t="array" ref="AN63">IF(AND(AN$2&lt;&gt;0,TblTech[[#This Row],[Hour]:[Hour]]&gt;=AN$2),1,0)</f>
        <v>0</v>
      </c>
      <c r="AO63" s="304" cm="1">
        <f t="array" ref="AO63">IF(AND(AO$2&lt;&gt;0,TblTech[[#This Row],[Hour]:[Hour]]&gt;=AO$2),1,0)</f>
        <v>0</v>
      </c>
      <c r="AP63" s="304" cm="1">
        <f t="array" ref="AP63">IF(AND(AP$2&lt;&gt;0,TblTech[[#This Row],[Hour]:[Hour]]&gt;=AP$2),1,0)</f>
        <v>0</v>
      </c>
      <c r="AQ63" s="304" cm="1">
        <f t="array" ref="AQ63">IF(AND(AQ$2&lt;&gt;0,TblTech[[#This Row],[Hour]:[Hour]]&gt;=AQ$2),1,0)</f>
        <v>0</v>
      </c>
      <c r="AR63" s="304" cm="1">
        <f t="array" ref="AR63">IF(AND(AR$2&lt;&gt;0,TblTech[[#This Row],[Hour]:[Hour]]&gt;=AR$2),1,0)</f>
        <v>0</v>
      </c>
      <c r="AS63" s="304" cm="1">
        <f t="array" ref="AS63">IF(AND(AS$2&lt;&gt;0,TblTech[[#This Row],[Hour]:[Hour]]&gt;=AS$2),1,0)</f>
        <v>0</v>
      </c>
      <c r="AT63" s="304" cm="1">
        <f t="array" ref="AT63">IF(AND(AT$2&lt;&gt;0,TblTech[[#This Row],[Hour]:[Hour]]&gt;=AT$2),1,0)</f>
        <v>0</v>
      </c>
      <c r="AU63" s="304" cm="1">
        <f t="array" ref="AU63">IF(AND(AU$2&lt;&gt;0,TblTech[[#This Row],[Hour]:[Hour]]&gt;=AU$2),1,0)</f>
        <v>0</v>
      </c>
      <c r="AV63" s="304" cm="1">
        <f t="array" ref="AV63">IF(AND(AV$2&lt;&gt;0,TblTech[[#This Row],[Hour]:[Hour]]&gt;=AV$2),1,0)</f>
        <v>0</v>
      </c>
      <c r="AW63" s="304" cm="1">
        <f t="array" ref="AW63">IF(AND(AW$2&lt;&gt;0,TblTech[[#This Row],[Hour]:[Hour]]&gt;=AW$2),1,0)</f>
        <v>0</v>
      </c>
      <c r="AX63" s="304" cm="1">
        <f t="array" ref="AX63">IF(AND(AX$2&lt;&gt;0,TblTech[[#This Row],[Hour]:[Hour]]&gt;=AX$2),1,0)</f>
        <v>0</v>
      </c>
      <c r="AY63" s="304" cm="1">
        <f t="array" ref="AY63">IF(AND(AY$2&lt;&gt;0,TblTech[[#This Row],[Hour]:[Hour]]&gt;=AY$2),1,0)</f>
        <v>0</v>
      </c>
      <c r="AZ63" s="304" cm="1">
        <f t="array" ref="AZ63">IF(AND(AZ$2&lt;&gt;0,TblTech[[#This Row],[Hour]:[Hour]]&gt;=AZ$2),1,0)</f>
        <v>0</v>
      </c>
      <c r="BA63" s="304" cm="1">
        <f t="array" ref="BA63">IF(AND(BA$2&lt;&gt;0,TblTech[[#This Row],[Hour]:[Hour]]&gt;=BA$2),1,0)</f>
        <v>0</v>
      </c>
      <c r="BB63" s="304" cm="1">
        <f t="array" ref="BB63">IF(AND(BB$2&lt;&gt;0,TblTech[[#This Row],[Hour]:[Hour]]&gt;=BB$2),1,0)</f>
        <v>0</v>
      </c>
      <c r="BC63" s="304" cm="1">
        <f t="array" ref="BC63">IF(AND(BC$2&lt;&gt;0,TblTech[[#This Row],[Hour]:[Hour]]&gt;=BC$2),1,0)</f>
        <v>0</v>
      </c>
      <c r="BD63" s="304" cm="1">
        <f t="array" ref="BD63">IF(AND(BD$2&lt;&gt;0,TblTech[[#This Row],[Hour]:[Hour]]&gt;=BD$2),1,0)</f>
        <v>0</v>
      </c>
      <c r="BE63" s="304" cm="1">
        <f t="array" ref="BE63">IF(AND(BE$2&lt;&gt;0,TblTech[[#This Row],[Hour]:[Hour]]&gt;=BE$2),1,0)</f>
        <v>0</v>
      </c>
      <c r="BF63" s="304" cm="1">
        <f t="array" ref="BF63">IF(AND(BF$2&lt;&gt;0,TblTech[[#This Row],[Hour]:[Hour]]&gt;=BF$2),1,0)</f>
        <v>0</v>
      </c>
      <c r="BG63" s="304" cm="1">
        <f t="array" ref="BG63">IF(AND(BG$2&lt;&gt;0,TblTech[[#This Row],[Hour]:[Hour]]&gt;=BG$2),1,0)</f>
        <v>0</v>
      </c>
      <c r="BH63" s="304" cm="1">
        <f t="array" ref="BH63">IF(AND(BH$2&lt;&gt;0,TblTech[[#This Row],[Hour]:[Hour]]&gt;=BH$2),1,0)</f>
        <v>0</v>
      </c>
      <c r="BI63" s="304" cm="1">
        <f t="array" ref="BI63">IF(AND(BI$2&lt;&gt;0,TblTech[[#This Row],[Hour]:[Hour]]&gt;=BI$2),1,0)</f>
        <v>0</v>
      </c>
      <c r="BJ63" s="304" cm="1">
        <f t="array" ref="BJ63">IF(AND(BJ$2&lt;&gt;0,TblTech[[#This Row],[Hour]:[Hour]]&gt;=BJ$2),1,0)</f>
        <v>0</v>
      </c>
      <c r="BK63" s="304" cm="1">
        <f t="array" ref="BK63">IF(AND(BK$2&lt;&gt;0,TblTech[[#This Row],[Hour]:[Hour]]&gt;=BK$2),1,0)</f>
        <v>0</v>
      </c>
      <c r="BL63" s="304" cm="1">
        <f t="array" ref="BL63">IF(AND(BL$2&lt;&gt;0,TblTech[[#This Row],[Hour]:[Hour]]&gt;=BL$2),1,0)</f>
        <v>0</v>
      </c>
      <c r="BM63" s="304" cm="1">
        <f t="array" ref="BM63">IF(AND(BM$2&lt;&gt;0,TblTech[[#This Row],[Hour]:[Hour]]&gt;=BM$2),1,0)</f>
        <v>0</v>
      </c>
      <c r="BN63" s="304" cm="1">
        <f t="array" ref="BN63">IF(AND(BN$2&lt;&gt;0,TblTech[[#This Row],[Hour]:[Hour]]&gt;=BN$2),1,0)</f>
        <v>0</v>
      </c>
      <c r="BO63" s="304" cm="1">
        <f t="array" ref="BO63">IF(AND(BO$2&lt;&gt;0,TblTech[[#This Row],[Hour]:[Hour]]&gt;=BO$2),1,0)</f>
        <v>0</v>
      </c>
      <c r="BP63" s="304" cm="1">
        <f t="array" ref="BP63">IF(AND(BP$2&lt;&gt;0,TblTech[[#This Row],[Hour]:[Hour]]&gt;=BP$2),1,0)</f>
        <v>0</v>
      </c>
      <c r="BQ63" s="304" cm="1">
        <f t="array" ref="BQ63">IF(AND(BQ$2&lt;&gt;0,TblTech[[#This Row],[Hour]:[Hour]]&gt;=BQ$2),1,0)</f>
        <v>0</v>
      </c>
      <c r="BR63" s="304" cm="1">
        <f t="array" ref="BR63">IF(AND(BR$2&lt;&gt;0,TblTech[[#This Row],[Hour]:[Hour]]&gt;=BR$2),1,0)</f>
        <v>0</v>
      </c>
      <c r="BS63" s="304" cm="1">
        <f t="array" ref="BS63">IF(AND(BS$2&lt;&gt;0,TblTech[[#This Row],[Hour]:[Hour]]&gt;=BS$2),1,0)</f>
        <v>0</v>
      </c>
      <c r="BT63" s="304" cm="1">
        <f t="array" ref="BT63">IF(AND(BT$2&lt;&gt;0,TblTech[[#This Row],[Hour]:[Hour]]&gt;=BT$2),1,0)</f>
        <v>0</v>
      </c>
      <c r="BU63" s="304" cm="1">
        <f t="array" ref="BU63">IF(AND(BU$2&lt;&gt;0,TblTech[[#This Row],[Hour]:[Hour]]&gt;=BU$2),1,0)</f>
        <v>0</v>
      </c>
      <c r="BV63" s="304" cm="1">
        <f t="array" ref="BV63">IF(AND(BV$2&lt;&gt;0,TblTech[[#This Row],[Hour]:[Hour]]&gt;=BV$2),1,0)</f>
        <v>0</v>
      </c>
      <c r="BW63" s="304" cm="1">
        <f t="array" ref="BW63">IF(AND(BW$2&lt;&gt;0,TblTech[[#This Row],[Hour]:[Hour]]&gt;=BW$2),1,0)</f>
        <v>0</v>
      </c>
      <c r="BX63" s="304" cm="1">
        <f t="array" ref="BX63">IF(AND(BX$2&lt;&gt;0,TblTech[[#This Row],[Hour]:[Hour]]&gt;=BX$2),1,0)</f>
        <v>0</v>
      </c>
      <c r="BY63" s="304" cm="1">
        <f t="array" ref="BY63">IF(AND(BY$2&lt;&gt;0,TblTech[[#This Row],[Hour]:[Hour]]&gt;=BY$2),1,0)</f>
        <v>0</v>
      </c>
      <c r="BZ63" s="304" cm="1">
        <f t="array" ref="BZ63">IF(AND(BZ$2&lt;&gt;0,TblTech[[#This Row],[Hour]:[Hour]]&gt;=BZ$2),1,0)</f>
        <v>0</v>
      </c>
      <c r="CA63" s="408">
        <f>IFERROR(INDEX($H$4:$H$79,MATCH(INDEX(TblTech[[#Headers],[1-1]:[11-1]],1,MATCH(TblTech[[#This Row],[Hour]],$M$2:$BZ$2,0)),$G$4:$G$79,0)),)</f>
        <v>0</v>
      </c>
    </row>
    <row r="64" spans="1:79" x14ac:dyDescent="0.2">
      <c r="A64" s="296">
        <f>TblRezone[[#This Row],[Hour]]</f>
        <v>61</v>
      </c>
      <c r="B64" s="297">
        <f ca="1">TblExplore[[#This Row],[Land-DB]]</f>
        <v>250</v>
      </c>
      <c r="C64" s="298">
        <f ca="1">TblProd[[#This Row],[Techpoints]]</f>
        <v>0</v>
      </c>
      <c r="D64" s="298">
        <f ca="1">TblProd[[#This Row],[Required]]</f>
        <v>3750</v>
      </c>
      <c r="E64" s="299"/>
      <c r="F64" s="300"/>
      <c r="G64" s="301" t="s">
        <v>622</v>
      </c>
      <c r="H64" s="302" t="s">
        <v>743</v>
      </c>
      <c r="I64" s="301" t="s">
        <v>644</v>
      </c>
      <c r="J64" s="297"/>
      <c r="K64" s="96">
        <f ca="1">IF(TblTech[[#This Row],[Sum of tech]]&lt;&gt;OFFSET(TblTech[[#This Row],[Sum of tech]],-1,0),1,0)</f>
        <v>0</v>
      </c>
      <c r="L64" s="303">
        <f>COUNTIF(TblTech[[#This Row],[1-1]:[11-1]],1)</f>
        <v>0</v>
      </c>
      <c r="M64" s="304" cm="1">
        <f t="array" ref="M64">IF(AND(M$2&lt;&gt;0,TblTech[[#This Row],[Hour]:[Hour]]&gt;=M$2),1,0)</f>
        <v>0</v>
      </c>
      <c r="N64" s="304" cm="1">
        <f t="array" ref="N64">IF(AND(N$2&lt;&gt;0,TblTech[[#This Row],[Hour]:[Hour]]&gt;=N$2),1,0)</f>
        <v>0</v>
      </c>
      <c r="O64" s="304" cm="1">
        <f t="array" ref="O64">IF(AND(O$2&lt;&gt;0,TblTech[[#This Row],[Hour]:[Hour]]&gt;=O$2),1,0)</f>
        <v>0</v>
      </c>
      <c r="P64" s="304" cm="1">
        <f t="array" ref="P64">IF(AND(P$2&lt;&gt;0,TblTech[[#This Row],[Hour]:[Hour]]&gt;=P$2),1,0)</f>
        <v>0</v>
      </c>
      <c r="Q64" s="304" cm="1">
        <f t="array" ref="Q64">IF(AND(Q$2&lt;&gt;0,TblTech[[#This Row],[Hour]:[Hour]]&gt;=Q$2),1,0)</f>
        <v>0</v>
      </c>
      <c r="R64" s="304" cm="1">
        <f t="array" ref="R64">IF(AND(R$2&lt;&gt;0,TblTech[[#This Row],[Hour]:[Hour]]&gt;=R$2),1,0)</f>
        <v>0</v>
      </c>
      <c r="S64" s="304" cm="1">
        <f t="array" ref="S64">IF(AND(S$2&lt;&gt;0,TblTech[[#This Row],[Hour]:[Hour]]&gt;=S$2),1,0)</f>
        <v>0</v>
      </c>
      <c r="T64" s="304" cm="1">
        <f t="array" ref="T64">IF(AND(T$2&lt;&gt;0,TblTech[[#This Row],[Hour]:[Hour]]&gt;=T$2),1,0)</f>
        <v>0</v>
      </c>
      <c r="U64" s="304" cm="1">
        <f t="array" ref="U64">IF(AND(U$2&lt;&gt;0,TblTech[[#This Row],[Hour]:[Hour]]&gt;=U$2),1,0)</f>
        <v>0</v>
      </c>
      <c r="V64" s="304" cm="1">
        <f t="array" ref="V64">IF(AND(V$2&lt;&gt;0,TblTech[[#This Row],[Hour]:[Hour]]&gt;=V$2),1,0)</f>
        <v>0</v>
      </c>
      <c r="W64" s="304" cm="1">
        <f t="array" ref="W64">IF(AND(W$2&lt;&gt;0,TblTech[[#This Row],[Hour]:[Hour]]&gt;=W$2),1,0)</f>
        <v>0</v>
      </c>
      <c r="X64" s="304" cm="1">
        <f t="array" ref="X64">IF(AND(X$2&lt;&gt;0,TblTech[[#This Row],[Hour]:[Hour]]&gt;=X$2),1,0)</f>
        <v>0</v>
      </c>
      <c r="Y64" s="304" cm="1">
        <f t="array" ref="Y64">IF(AND(Y$2&lt;&gt;0,TblTech[[#This Row],[Hour]:[Hour]]&gt;=Y$2),1,0)</f>
        <v>0</v>
      </c>
      <c r="Z64" s="304" cm="1">
        <f t="array" ref="Z64">IF(AND(Z$2&lt;&gt;0,TblTech[[#This Row],[Hour]:[Hour]]&gt;=Z$2),1,0)</f>
        <v>0</v>
      </c>
      <c r="AA64" s="304" cm="1">
        <f t="array" ref="AA64">IF(AND(AA$2&lt;&gt;0,TblTech[[#This Row],[Hour]:[Hour]]&gt;=AA$2),1,0)</f>
        <v>0</v>
      </c>
      <c r="AB64" s="304" cm="1">
        <f t="array" ref="AB64">IF(AND(AB$2&lt;&gt;0,TblTech[[#This Row],[Hour]:[Hour]]&gt;=AB$2),1,0)</f>
        <v>0</v>
      </c>
      <c r="AC64" s="304" cm="1">
        <f t="array" ref="AC64">IF(AND(AC$2&lt;&gt;0,TblTech[[#This Row],[Hour]:[Hour]]&gt;=AC$2),1,0)</f>
        <v>0</v>
      </c>
      <c r="AD64" s="304" cm="1">
        <f t="array" ref="AD64">IF(AND(AD$2&lt;&gt;0,TblTech[[#This Row],[Hour]:[Hour]]&gt;=AD$2),1,0)</f>
        <v>0</v>
      </c>
      <c r="AE64" s="304" cm="1">
        <f t="array" ref="AE64">IF(AND(AE$2&lt;&gt;0,TblTech[[#This Row],[Hour]:[Hour]]&gt;=AE$2),1,0)</f>
        <v>0</v>
      </c>
      <c r="AF64" s="304" cm="1">
        <f t="array" ref="AF64">IF(AND(AF$2&lt;&gt;0,TblTech[[#This Row],[Hour]:[Hour]]&gt;=AF$2),1,0)</f>
        <v>0</v>
      </c>
      <c r="AG64" s="304" cm="1">
        <f t="array" ref="AG64">IF(AND(AG$2&lt;&gt;0,TblTech[[#This Row],[Hour]:[Hour]]&gt;=AG$2),1,0)</f>
        <v>0</v>
      </c>
      <c r="AH64" s="304" cm="1">
        <f t="array" ref="AH64">IF(AND(AH$2&lt;&gt;0,TblTech[[#This Row],[Hour]:[Hour]]&gt;=AH$2),1,0)</f>
        <v>0</v>
      </c>
      <c r="AI64" s="304" cm="1">
        <f t="array" ref="AI64">IF(AND(AI$2&lt;&gt;0,TblTech[[#This Row],[Hour]:[Hour]]&gt;=AI$2),1,0)</f>
        <v>0</v>
      </c>
      <c r="AJ64" s="304" cm="1">
        <f t="array" ref="AJ64">IF(AND(AJ$2&lt;&gt;0,TblTech[[#This Row],[Hour]:[Hour]]&gt;=AJ$2),1,0)</f>
        <v>0</v>
      </c>
      <c r="AK64" s="304" cm="1">
        <f t="array" ref="AK64">IF(AND(AK$2&lt;&gt;0,TblTech[[#This Row],[Hour]:[Hour]]&gt;=AK$2),1,0)</f>
        <v>0</v>
      </c>
      <c r="AL64" s="304" cm="1">
        <f t="array" ref="AL64">IF(AND(AL$2&lt;&gt;0,TblTech[[#This Row],[Hour]:[Hour]]&gt;=AL$2),1,0)</f>
        <v>0</v>
      </c>
      <c r="AM64" s="304" cm="1">
        <f t="array" ref="AM64">IF(AND(AM$2&lt;&gt;0,TblTech[[#This Row],[Hour]:[Hour]]&gt;=AM$2),1,0)</f>
        <v>0</v>
      </c>
      <c r="AN64" s="304" cm="1">
        <f t="array" ref="AN64">IF(AND(AN$2&lt;&gt;0,TblTech[[#This Row],[Hour]:[Hour]]&gt;=AN$2),1,0)</f>
        <v>0</v>
      </c>
      <c r="AO64" s="304" cm="1">
        <f t="array" ref="AO64">IF(AND(AO$2&lt;&gt;0,TblTech[[#This Row],[Hour]:[Hour]]&gt;=AO$2),1,0)</f>
        <v>0</v>
      </c>
      <c r="AP64" s="304" cm="1">
        <f t="array" ref="AP64">IF(AND(AP$2&lt;&gt;0,TblTech[[#This Row],[Hour]:[Hour]]&gt;=AP$2),1,0)</f>
        <v>0</v>
      </c>
      <c r="AQ64" s="304" cm="1">
        <f t="array" ref="AQ64">IF(AND(AQ$2&lt;&gt;0,TblTech[[#This Row],[Hour]:[Hour]]&gt;=AQ$2),1,0)</f>
        <v>0</v>
      </c>
      <c r="AR64" s="304" cm="1">
        <f t="array" ref="AR64">IF(AND(AR$2&lt;&gt;0,TblTech[[#This Row],[Hour]:[Hour]]&gt;=AR$2),1,0)</f>
        <v>0</v>
      </c>
      <c r="AS64" s="304" cm="1">
        <f t="array" ref="AS64">IF(AND(AS$2&lt;&gt;0,TblTech[[#This Row],[Hour]:[Hour]]&gt;=AS$2),1,0)</f>
        <v>0</v>
      </c>
      <c r="AT64" s="304" cm="1">
        <f t="array" ref="AT64">IF(AND(AT$2&lt;&gt;0,TblTech[[#This Row],[Hour]:[Hour]]&gt;=AT$2),1,0)</f>
        <v>0</v>
      </c>
      <c r="AU64" s="304" cm="1">
        <f t="array" ref="AU64">IF(AND(AU$2&lt;&gt;0,TblTech[[#This Row],[Hour]:[Hour]]&gt;=AU$2),1,0)</f>
        <v>0</v>
      </c>
      <c r="AV64" s="304" cm="1">
        <f t="array" ref="AV64">IF(AND(AV$2&lt;&gt;0,TblTech[[#This Row],[Hour]:[Hour]]&gt;=AV$2),1,0)</f>
        <v>0</v>
      </c>
      <c r="AW64" s="304" cm="1">
        <f t="array" ref="AW64">IF(AND(AW$2&lt;&gt;0,TblTech[[#This Row],[Hour]:[Hour]]&gt;=AW$2),1,0)</f>
        <v>0</v>
      </c>
      <c r="AX64" s="304" cm="1">
        <f t="array" ref="AX64">IF(AND(AX$2&lt;&gt;0,TblTech[[#This Row],[Hour]:[Hour]]&gt;=AX$2),1,0)</f>
        <v>0</v>
      </c>
      <c r="AY64" s="304" cm="1">
        <f t="array" ref="AY64">IF(AND(AY$2&lt;&gt;0,TblTech[[#This Row],[Hour]:[Hour]]&gt;=AY$2),1,0)</f>
        <v>0</v>
      </c>
      <c r="AZ64" s="304" cm="1">
        <f t="array" ref="AZ64">IF(AND(AZ$2&lt;&gt;0,TblTech[[#This Row],[Hour]:[Hour]]&gt;=AZ$2),1,0)</f>
        <v>0</v>
      </c>
      <c r="BA64" s="304" cm="1">
        <f t="array" ref="BA64">IF(AND(BA$2&lt;&gt;0,TblTech[[#This Row],[Hour]:[Hour]]&gt;=BA$2),1,0)</f>
        <v>0</v>
      </c>
      <c r="BB64" s="304" cm="1">
        <f t="array" ref="BB64">IF(AND(BB$2&lt;&gt;0,TblTech[[#This Row],[Hour]:[Hour]]&gt;=BB$2),1,0)</f>
        <v>0</v>
      </c>
      <c r="BC64" s="304" cm="1">
        <f t="array" ref="BC64">IF(AND(BC$2&lt;&gt;0,TblTech[[#This Row],[Hour]:[Hour]]&gt;=BC$2),1,0)</f>
        <v>0</v>
      </c>
      <c r="BD64" s="304" cm="1">
        <f t="array" ref="BD64">IF(AND(BD$2&lt;&gt;0,TblTech[[#This Row],[Hour]:[Hour]]&gt;=BD$2),1,0)</f>
        <v>0</v>
      </c>
      <c r="BE64" s="304" cm="1">
        <f t="array" ref="BE64">IF(AND(BE$2&lt;&gt;0,TblTech[[#This Row],[Hour]:[Hour]]&gt;=BE$2),1,0)</f>
        <v>0</v>
      </c>
      <c r="BF64" s="304" cm="1">
        <f t="array" ref="BF64">IF(AND(BF$2&lt;&gt;0,TblTech[[#This Row],[Hour]:[Hour]]&gt;=BF$2),1,0)</f>
        <v>0</v>
      </c>
      <c r="BG64" s="304" cm="1">
        <f t="array" ref="BG64">IF(AND(BG$2&lt;&gt;0,TblTech[[#This Row],[Hour]:[Hour]]&gt;=BG$2),1,0)</f>
        <v>0</v>
      </c>
      <c r="BH64" s="304" cm="1">
        <f t="array" ref="BH64">IF(AND(BH$2&lt;&gt;0,TblTech[[#This Row],[Hour]:[Hour]]&gt;=BH$2),1,0)</f>
        <v>0</v>
      </c>
      <c r="BI64" s="304" cm="1">
        <f t="array" ref="BI64">IF(AND(BI$2&lt;&gt;0,TblTech[[#This Row],[Hour]:[Hour]]&gt;=BI$2),1,0)</f>
        <v>0</v>
      </c>
      <c r="BJ64" s="304" cm="1">
        <f t="array" ref="BJ64">IF(AND(BJ$2&lt;&gt;0,TblTech[[#This Row],[Hour]:[Hour]]&gt;=BJ$2),1,0)</f>
        <v>0</v>
      </c>
      <c r="BK64" s="304" cm="1">
        <f t="array" ref="BK64">IF(AND(BK$2&lt;&gt;0,TblTech[[#This Row],[Hour]:[Hour]]&gt;=BK$2),1,0)</f>
        <v>0</v>
      </c>
      <c r="BL64" s="304" cm="1">
        <f t="array" ref="BL64">IF(AND(BL$2&lt;&gt;0,TblTech[[#This Row],[Hour]:[Hour]]&gt;=BL$2),1,0)</f>
        <v>0</v>
      </c>
      <c r="BM64" s="304" cm="1">
        <f t="array" ref="BM64">IF(AND(BM$2&lt;&gt;0,TblTech[[#This Row],[Hour]:[Hour]]&gt;=BM$2),1,0)</f>
        <v>0</v>
      </c>
      <c r="BN64" s="304" cm="1">
        <f t="array" ref="BN64">IF(AND(BN$2&lt;&gt;0,TblTech[[#This Row],[Hour]:[Hour]]&gt;=BN$2),1,0)</f>
        <v>0</v>
      </c>
      <c r="BO64" s="304" cm="1">
        <f t="array" ref="BO64">IF(AND(BO$2&lt;&gt;0,TblTech[[#This Row],[Hour]:[Hour]]&gt;=BO$2),1,0)</f>
        <v>0</v>
      </c>
      <c r="BP64" s="304" cm="1">
        <f t="array" ref="BP64">IF(AND(BP$2&lt;&gt;0,TblTech[[#This Row],[Hour]:[Hour]]&gt;=BP$2),1,0)</f>
        <v>0</v>
      </c>
      <c r="BQ64" s="304" cm="1">
        <f t="array" ref="BQ64">IF(AND(BQ$2&lt;&gt;0,TblTech[[#This Row],[Hour]:[Hour]]&gt;=BQ$2),1,0)</f>
        <v>0</v>
      </c>
      <c r="BR64" s="304" cm="1">
        <f t="array" ref="BR64">IF(AND(BR$2&lt;&gt;0,TblTech[[#This Row],[Hour]:[Hour]]&gt;=BR$2),1,0)</f>
        <v>0</v>
      </c>
      <c r="BS64" s="304" cm="1">
        <f t="array" ref="BS64">IF(AND(BS$2&lt;&gt;0,TblTech[[#This Row],[Hour]:[Hour]]&gt;=BS$2),1,0)</f>
        <v>0</v>
      </c>
      <c r="BT64" s="304" cm="1">
        <f t="array" ref="BT64">IF(AND(BT$2&lt;&gt;0,TblTech[[#This Row],[Hour]:[Hour]]&gt;=BT$2),1,0)</f>
        <v>0</v>
      </c>
      <c r="BU64" s="304" cm="1">
        <f t="array" ref="BU64">IF(AND(BU$2&lt;&gt;0,TblTech[[#This Row],[Hour]:[Hour]]&gt;=BU$2),1,0)</f>
        <v>0</v>
      </c>
      <c r="BV64" s="304" cm="1">
        <f t="array" ref="BV64">IF(AND(BV$2&lt;&gt;0,TblTech[[#This Row],[Hour]:[Hour]]&gt;=BV$2),1,0)</f>
        <v>0</v>
      </c>
      <c r="BW64" s="304" cm="1">
        <f t="array" ref="BW64">IF(AND(BW$2&lt;&gt;0,TblTech[[#This Row],[Hour]:[Hour]]&gt;=BW$2),1,0)</f>
        <v>0</v>
      </c>
      <c r="BX64" s="304" cm="1">
        <f t="array" ref="BX64">IF(AND(BX$2&lt;&gt;0,TblTech[[#This Row],[Hour]:[Hour]]&gt;=BX$2),1,0)</f>
        <v>0</v>
      </c>
      <c r="BY64" s="304" cm="1">
        <f t="array" ref="BY64">IF(AND(BY$2&lt;&gt;0,TblTech[[#This Row],[Hour]:[Hour]]&gt;=BY$2),1,0)</f>
        <v>0</v>
      </c>
      <c r="BZ64" s="304" cm="1">
        <f t="array" ref="BZ64">IF(AND(BZ$2&lt;&gt;0,TblTech[[#This Row],[Hour]:[Hour]]&gt;=BZ$2),1,0)</f>
        <v>0</v>
      </c>
      <c r="CA64" s="408">
        <f>IFERROR(INDEX($H$4:$H$79,MATCH(INDEX(TblTech[[#Headers],[1-1]:[11-1]],1,MATCH(TblTech[[#This Row],[Hour]],$M$2:$BZ$2,0)),$G$4:$G$79,0)),)</f>
        <v>0</v>
      </c>
    </row>
    <row r="65" spans="1:79" x14ac:dyDescent="0.2">
      <c r="A65" s="296">
        <f>TblRezone[[#This Row],[Hour]]</f>
        <v>62</v>
      </c>
      <c r="B65" s="297">
        <f ca="1">TblExplore[[#This Row],[Land-DB]]</f>
        <v>250</v>
      </c>
      <c r="C65" s="298">
        <f ca="1">TblProd[[#This Row],[Techpoints]]</f>
        <v>0</v>
      </c>
      <c r="D65" s="298">
        <f ca="1">TblProd[[#This Row],[Required]]</f>
        <v>3750</v>
      </c>
      <c r="E65" s="299"/>
      <c r="F65" s="300"/>
      <c r="G65" s="301" t="s">
        <v>623</v>
      </c>
      <c r="H65" s="302" t="s">
        <v>744</v>
      </c>
      <c r="I65" s="301" t="s">
        <v>624</v>
      </c>
      <c r="J65" s="297"/>
      <c r="K65" s="96">
        <f ca="1">IF(TblTech[[#This Row],[Sum of tech]]&lt;&gt;OFFSET(TblTech[[#This Row],[Sum of tech]],-1,0),1,0)</f>
        <v>0</v>
      </c>
      <c r="L65" s="303">
        <f>COUNTIF(TblTech[[#This Row],[1-1]:[11-1]],1)</f>
        <v>0</v>
      </c>
      <c r="M65" s="304" cm="1">
        <f t="array" ref="M65">IF(AND(M$2&lt;&gt;0,TblTech[[#This Row],[Hour]:[Hour]]&gt;=M$2),1,0)</f>
        <v>0</v>
      </c>
      <c r="N65" s="304" cm="1">
        <f t="array" ref="N65">IF(AND(N$2&lt;&gt;0,TblTech[[#This Row],[Hour]:[Hour]]&gt;=N$2),1,0)</f>
        <v>0</v>
      </c>
      <c r="O65" s="304" cm="1">
        <f t="array" ref="O65">IF(AND(O$2&lt;&gt;0,TblTech[[#This Row],[Hour]:[Hour]]&gt;=O$2),1,0)</f>
        <v>0</v>
      </c>
      <c r="P65" s="304" cm="1">
        <f t="array" ref="P65">IF(AND(P$2&lt;&gt;0,TblTech[[#This Row],[Hour]:[Hour]]&gt;=P$2),1,0)</f>
        <v>0</v>
      </c>
      <c r="Q65" s="304" cm="1">
        <f t="array" ref="Q65">IF(AND(Q$2&lt;&gt;0,TblTech[[#This Row],[Hour]:[Hour]]&gt;=Q$2),1,0)</f>
        <v>0</v>
      </c>
      <c r="R65" s="304" cm="1">
        <f t="array" ref="R65">IF(AND(R$2&lt;&gt;0,TblTech[[#This Row],[Hour]:[Hour]]&gt;=R$2),1,0)</f>
        <v>0</v>
      </c>
      <c r="S65" s="304" cm="1">
        <f t="array" ref="S65">IF(AND(S$2&lt;&gt;0,TblTech[[#This Row],[Hour]:[Hour]]&gt;=S$2),1,0)</f>
        <v>0</v>
      </c>
      <c r="T65" s="304" cm="1">
        <f t="array" ref="T65">IF(AND(T$2&lt;&gt;0,TblTech[[#This Row],[Hour]:[Hour]]&gt;=T$2),1,0)</f>
        <v>0</v>
      </c>
      <c r="U65" s="304" cm="1">
        <f t="array" ref="U65">IF(AND(U$2&lt;&gt;0,TblTech[[#This Row],[Hour]:[Hour]]&gt;=U$2),1,0)</f>
        <v>0</v>
      </c>
      <c r="V65" s="304" cm="1">
        <f t="array" ref="V65">IF(AND(V$2&lt;&gt;0,TblTech[[#This Row],[Hour]:[Hour]]&gt;=V$2),1,0)</f>
        <v>0</v>
      </c>
      <c r="W65" s="304" cm="1">
        <f t="array" ref="W65">IF(AND(W$2&lt;&gt;0,TblTech[[#This Row],[Hour]:[Hour]]&gt;=W$2),1,0)</f>
        <v>0</v>
      </c>
      <c r="X65" s="304" cm="1">
        <f t="array" ref="X65">IF(AND(X$2&lt;&gt;0,TblTech[[#This Row],[Hour]:[Hour]]&gt;=X$2),1,0)</f>
        <v>0</v>
      </c>
      <c r="Y65" s="304" cm="1">
        <f t="array" ref="Y65">IF(AND(Y$2&lt;&gt;0,TblTech[[#This Row],[Hour]:[Hour]]&gt;=Y$2),1,0)</f>
        <v>0</v>
      </c>
      <c r="Z65" s="304" cm="1">
        <f t="array" ref="Z65">IF(AND(Z$2&lt;&gt;0,TblTech[[#This Row],[Hour]:[Hour]]&gt;=Z$2),1,0)</f>
        <v>0</v>
      </c>
      <c r="AA65" s="304" cm="1">
        <f t="array" ref="AA65">IF(AND(AA$2&lt;&gt;0,TblTech[[#This Row],[Hour]:[Hour]]&gt;=AA$2),1,0)</f>
        <v>0</v>
      </c>
      <c r="AB65" s="304" cm="1">
        <f t="array" ref="AB65">IF(AND(AB$2&lt;&gt;0,TblTech[[#This Row],[Hour]:[Hour]]&gt;=AB$2),1,0)</f>
        <v>0</v>
      </c>
      <c r="AC65" s="304" cm="1">
        <f t="array" ref="AC65">IF(AND(AC$2&lt;&gt;0,TblTech[[#This Row],[Hour]:[Hour]]&gt;=AC$2),1,0)</f>
        <v>0</v>
      </c>
      <c r="AD65" s="304" cm="1">
        <f t="array" ref="AD65">IF(AND(AD$2&lt;&gt;0,TblTech[[#This Row],[Hour]:[Hour]]&gt;=AD$2),1,0)</f>
        <v>0</v>
      </c>
      <c r="AE65" s="304" cm="1">
        <f t="array" ref="AE65">IF(AND(AE$2&lt;&gt;0,TblTech[[#This Row],[Hour]:[Hour]]&gt;=AE$2),1,0)</f>
        <v>0</v>
      </c>
      <c r="AF65" s="304" cm="1">
        <f t="array" ref="AF65">IF(AND(AF$2&lt;&gt;0,TblTech[[#This Row],[Hour]:[Hour]]&gt;=AF$2),1,0)</f>
        <v>0</v>
      </c>
      <c r="AG65" s="304" cm="1">
        <f t="array" ref="AG65">IF(AND(AG$2&lt;&gt;0,TblTech[[#This Row],[Hour]:[Hour]]&gt;=AG$2),1,0)</f>
        <v>0</v>
      </c>
      <c r="AH65" s="304" cm="1">
        <f t="array" ref="AH65">IF(AND(AH$2&lt;&gt;0,TblTech[[#This Row],[Hour]:[Hour]]&gt;=AH$2),1,0)</f>
        <v>0</v>
      </c>
      <c r="AI65" s="304" cm="1">
        <f t="array" ref="AI65">IF(AND(AI$2&lt;&gt;0,TblTech[[#This Row],[Hour]:[Hour]]&gt;=AI$2),1,0)</f>
        <v>0</v>
      </c>
      <c r="AJ65" s="304" cm="1">
        <f t="array" ref="AJ65">IF(AND(AJ$2&lt;&gt;0,TblTech[[#This Row],[Hour]:[Hour]]&gt;=AJ$2),1,0)</f>
        <v>0</v>
      </c>
      <c r="AK65" s="304" cm="1">
        <f t="array" ref="AK65">IF(AND(AK$2&lt;&gt;0,TblTech[[#This Row],[Hour]:[Hour]]&gt;=AK$2),1,0)</f>
        <v>0</v>
      </c>
      <c r="AL65" s="304" cm="1">
        <f t="array" ref="AL65">IF(AND(AL$2&lt;&gt;0,TblTech[[#This Row],[Hour]:[Hour]]&gt;=AL$2),1,0)</f>
        <v>0</v>
      </c>
      <c r="AM65" s="304" cm="1">
        <f t="array" ref="AM65">IF(AND(AM$2&lt;&gt;0,TblTech[[#This Row],[Hour]:[Hour]]&gt;=AM$2),1,0)</f>
        <v>0</v>
      </c>
      <c r="AN65" s="304" cm="1">
        <f t="array" ref="AN65">IF(AND(AN$2&lt;&gt;0,TblTech[[#This Row],[Hour]:[Hour]]&gt;=AN$2),1,0)</f>
        <v>0</v>
      </c>
      <c r="AO65" s="304" cm="1">
        <f t="array" ref="AO65">IF(AND(AO$2&lt;&gt;0,TblTech[[#This Row],[Hour]:[Hour]]&gt;=AO$2),1,0)</f>
        <v>0</v>
      </c>
      <c r="AP65" s="304" cm="1">
        <f t="array" ref="AP65">IF(AND(AP$2&lt;&gt;0,TblTech[[#This Row],[Hour]:[Hour]]&gt;=AP$2),1,0)</f>
        <v>0</v>
      </c>
      <c r="AQ65" s="304" cm="1">
        <f t="array" ref="AQ65">IF(AND(AQ$2&lt;&gt;0,TblTech[[#This Row],[Hour]:[Hour]]&gt;=AQ$2),1,0)</f>
        <v>0</v>
      </c>
      <c r="AR65" s="304" cm="1">
        <f t="array" ref="AR65">IF(AND(AR$2&lt;&gt;0,TblTech[[#This Row],[Hour]:[Hour]]&gt;=AR$2),1,0)</f>
        <v>0</v>
      </c>
      <c r="AS65" s="304" cm="1">
        <f t="array" ref="AS65">IF(AND(AS$2&lt;&gt;0,TblTech[[#This Row],[Hour]:[Hour]]&gt;=AS$2),1,0)</f>
        <v>0</v>
      </c>
      <c r="AT65" s="304" cm="1">
        <f t="array" ref="AT65">IF(AND(AT$2&lt;&gt;0,TblTech[[#This Row],[Hour]:[Hour]]&gt;=AT$2),1,0)</f>
        <v>0</v>
      </c>
      <c r="AU65" s="304" cm="1">
        <f t="array" ref="AU65">IF(AND(AU$2&lt;&gt;0,TblTech[[#This Row],[Hour]:[Hour]]&gt;=AU$2),1,0)</f>
        <v>0</v>
      </c>
      <c r="AV65" s="304" cm="1">
        <f t="array" ref="AV65">IF(AND(AV$2&lt;&gt;0,TblTech[[#This Row],[Hour]:[Hour]]&gt;=AV$2),1,0)</f>
        <v>0</v>
      </c>
      <c r="AW65" s="304" cm="1">
        <f t="array" ref="AW65">IF(AND(AW$2&lt;&gt;0,TblTech[[#This Row],[Hour]:[Hour]]&gt;=AW$2),1,0)</f>
        <v>0</v>
      </c>
      <c r="AX65" s="304" cm="1">
        <f t="array" ref="AX65">IF(AND(AX$2&lt;&gt;0,TblTech[[#This Row],[Hour]:[Hour]]&gt;=AX$2),1,0)</f>
        <v>0</v>
      </c>
      <c r="AY65" s="304" cm="1">
        <f t="array" ref="AY65">IF(AND(AY$2&lt;&gt;0,TblTech[[#This Row],[Hour]:[Hour]]&gt;=AY$2),1,0)</f>
        <v>0</v>
      </c>
      <c r="AZ65" s="304" cm="1">
        <f t="array" ref="AZ65">IF(AND(AZ$2&lt;&gt;0,TblTech[[#This Row],[Hour]:[Hour]]&gt;=AZ$2),1,0)</f>
        <v>0</v>
      </c>
      <c r="BA65" s="304" cm="1">
        <f t="array" ref="BA65">IF(AND(BA$2&lt;&gt;0,TblTech[[#This Row],[Hour]:[Hour]]&gt;=BA$2),1,0)</f>
        <v>0</v>
      </c>
      <c r="BB65" s="304" cm="1">
        <f t="array" ref="BB65">IF(AND(BB$2&lt;&gt;0,TblTech[[#This Row],[Hour]:[Hour]]&gt;=BB$2),1,0)</f>
        <v>0</v>
      </c>
      <c r="BC65" s="304" cm="1">
        <f t="array" ref="BC65">IF(AND(BC$2&lt;&gt;0,TblTech[[#This Row],[Hour]:[Hour]]&gt;=BC$2),1,0)</f>
        <v>0</v>
      </c>
      <c r="BD65" s="304" cm="1">
        <f t="array" ref="BD65">IF(AND(BD$2&lt;&gt;0,TblTech[[#This Row],[Hour]:[Hour]]&gt;=BD$2),1,0)</f>
        <v>0</v>
      </c>
      <c r="BE65" s="304" cm="1">
        <f t="array" ref="BE65">IF(AND(BE$2&lt;&gt;0,TblTech[[#This Row],[Hour]:[Hour]]&gt;=BE$2),1,0)</f>
        <v>0</v>
      </c>
      <c r="BF65" s="304" cm="1">
        <f t="array" ref="BF65">IF(AND(BF$2&lt;&gt;0,TblTech[[#This Row],[Hour]:[Hour]]&gt;=BF$2),1,0)</f>
        <v>0</v>
      </c>
      <c r="BG65" s="304" cm="1">
        <f t="array" ref="BG65">IF(AND(BG$2&lt;&gt;0,TblTech[[#This Row],[Hour]:[Hour]]&gt;=BG$2),1,0)</f>
        <v>0</v>
      </c>
      <c r="BH65" s="304" cm="1">
        <f t="array" ref="BH65">IF(AND(BH$2&lt;&gt;0,TblTech[[#This Row],[Hour]:[Hour]]&gt;=BH$2),1,0)</f>
        <v>0</v>
      </c>
      <c r="BI65" s="304" cm="1">
        <f t="array" ref="BI65">IF(AND(BI$2&lt;&gt;0,TblTech[[#This Row],[Hour]:[Hour]]&gt;=BI$2),1,0)</f>
        <v>0</v>
      </c>
      <c r="BJ65" s="304" cm="1">
        <f t="array" ref="BJ65">IF(AND(BJ$2&lt;&gt;0,TblTech[[#This Row],[Hour]:[Hour]]&gt;=BJ$2),1,0)</f>
        <v>0</v>
      </c>
      <c r="BK65" s="304" cm="1">
        <f t="array" ref="BK65">IF(AND(BK$2&lt;&gt;0,TblTech[[#This Row],[Hour]:[Hour]]&gt;=BK$2),1,0)</f>
        <v>0</v>
      </c>
      <c r="BL65" s="304" cm="1">
        <f t="array" ref="BL65">IF(AND(BL$2&lt;&gt;0,TblTech[[#This Row],[Hour]:[Hour]]&gt;=BL$2),1,0)</f>
        <v>0</v>
      </c>
      <c r="BM65" s="304" cm="1">
        <f t="array" ref="BM65">IF(AND(BM$2&lt;&gt;0,TblTech[[#This Row],[Hour]:[Hour]]&gt;=BM$2),1,0)</f>
        <v>0</v>
      </c>
      <c r="BN65" s="304" cm="1">
        <f t="array" ref="BN65">IF(AND(BN$2&lt;&gt;0,TblTech[[#This Row],[Hour]:[Hour]]&gt;=BN$2),1,0)</f>
        <v>0</v>
      </c>
      <c r="BO65" s="304" cm="1">
        <f t="array" ref="BO65">IF(AND(BO$2&lt;&gt;0,TblTech[[#This Row],[Hour]:[Hour]]&gt;=BO$2),1,0)</f>
        <v>0</v>
      </c>
      <c r="BP65" s="304" cm="1">
        <f t="array" ref="BP65">IF(AND(BP$2&lt;&gt;0,TblTech[[#This Row],[Hour]:[Hour]]&gt;=BP$2),1,0)</f>
        <v>0</v>
      </c>
      <c r="BQ65" s="304" cm="1">
        <f t="array" ref="BQ65">IF(AND(BQ$2&lt;&gt;0,TblTech[[#This Row],[Hour]:[Hour]]&gt;=BQ$2),1,0)</f>
        <v>0</v>
      </c>
      <c r="BR65" s="304" cm="1">
        <f t="array" ref="BR65">IF(AND(BR$2&lt;&gt;0,TblTech[[#This Row],[Hour]:[Hour]]&gt;=BR$2),1,0)</f>
        <v>0</v>
      </c>
      <c r="BS65" s="304" cm="1">
        <f t="array" ref="BS65">IF(AND(BS$2&lt;&gt;0,TblTech[[#This Row],[Hour]:[Hour]]&gt;=BS$2),1,0)</f>
        <v>0</v>
      </c>
      <c r="BT65" s="304" cm="1">
        <f t="array" ref="BT65">IF(AND(BT$2&lt;&gt;0,TblTech[[#This Row],[Hour]:[Hour]]&gt;=BT$2),1,0)</f>
        <v>0</v>
      </c>
      <c r="BU65" s="304" cm="1">
        <f t="array" ref="BU65">IF(AND(BU$2&lt;&gt;0,TblTech[[#This Row],[Hour]:[Hour]]&gt;=BU$2),1,0)</f>
        <v>0</v>
      </c>
      <c r="BV65" s="304" cm="1">
        <f t="array" ref="BV65">IF(AND(BV$2&lt;&gt;0,TblTech[[#This Row],[Hour]:[Hour]]&gt;=BV$2),1,0)</f>
        <v>0</v>
      </c>
      <c r="BW65" s="304" cm="1">
        <f t="array" ref="BW65">IF(AND(BW$2&lt;&gt;0,TblTech[[#This Row],[Hour]:[Hour]]&gt;=BW$2),1,0)</f>
        <v>0</v>
      </c>
      <c r="BX65" s="304" cm="1">
        <f t="array" ref="BX65">IF(AND(BX$2&lt;&gt;0,TblTech[[#This Row],[Hour]:[Hour]]&gt;=BX$2),1,0)</f>
        <v>0</v>
      </c>
      <c r="BY65" s="304" cm="1">
        <f t="array" ref="BY65">IF(AND(BY$2&lt;&gt;0,TblTech[[#This Row],[Hour]:[Hour]]&gt;=BY$2),1,0)</f>
        <v>0</v>
      </c>
      <c r="BZ65" s="304" cm="1">
        <f t="array" ref="BZ65">IF(AND(BZ$2&lt;&gt;0,TblTech[[#This Row],[Hour]:[Hour]]&gt;=BZ$2),1,0)</f>
        <v>0</v>
      </c>
      <c r="CA65" s="408">
        <f>IFERROR(INDEX($H$4:$H$79,MATCH(INDEX(TblTech[[#Headers],[1-1]:[11-1]],1,MATCH(TblTech[[#This Row],[Hour]],$M$2:$BZ$2,0)),$G$4:$G$79,0)),)</f>
        <v>0</v>
      </c>
    </row>
    <row r="66" spans="1:79" x14ac:dyDescent="0.2">
      <c r="A66" s="296">
        <f>TblRezone[[#This Row],[Hour]]</f>
        <v>63</v>
      </c>
      <c r="B66" s="297">
        <f ca="1">TblExplore[[#This Row],[Land-DB]]</f>
        <v>250</v>
      </c>
      <c r="C66" s="298">
        <f ca="1">TblProd[[#This Row],[Techpoints]]</f>
        <v>0</v>
      </c>
      <c r="D66" s="298">
        <f ca="1">TblProd[[#This Row],[Required]]</f>
        <v>3750</v>
      </c>
      <c r="E66" s="299"/>
      <c r="F66" s="300"/>
      <c r="G66" s="301"/>
      <c r="H66" s="302"/>
      <c r="I66" s="301"/>
      <c r="J66" s="297"/>
      <c r="K66" s="96">
        <f ca="1">IF(TblTech[[#This Row],[Sum of tech]]&lt;&gt;OFFSET(TblTech[[#This Row],[Sum of tech]],-1,0),1,0)</f>
        <v>0</v>
      </c>
      <c r="L66" s="303">
        <f>COUNTIF(TblTech[[#This Row],[1-1]:[11-1]],1)</f>
        <v>0</v>
      </c>
      <c r="M66" s="304" cm="1">
        <f t="array" ref="M66">IF(AND(M$2&lt;&gt;0,TblTech[[#This Row],[Hour]:[Hour]]&gt;=M$2),1,0)</f>
        <v>0</v>
      </c>
      <c r="N66" s="304" cm="1">
        <f t="array" ref="N66">IF(AND(N$2&lt;&gt;0,TblTech[[#This Row],[Hour]:[Hour]]&gt;=N$2),1,0)</f>
        <v>0</v>
      </c>
      <c r="O66" s="304" cm="1">
        <f t="array" ref="O66">IF(AND(O$2&lt;&gt;0,TblTech[[#This Row],[Hour]:[Hour]]&gt;=O$2),1,0)</f>
        <v>0</v>
      </c>
      <c r="P66" s="304" cm="1">
        <f t="array" ref="P66">IF(AND(P$2&lt;&gt;0,TblTech[[#This Row],[Hour]:[Hour]]&gt;=P$2),1,0)</f>
        <v>0</v>
      </c>
      <c r="Q66" s="304" cm="1">
        <f t="array" ref="Q66">IF(AND(Q$2&lt;&gt;0,TblTech[[#This Row],[Hour]:[Hour]]&gt;=Q$2),1,0)</f>
        <v>0</v>
      </c>
      <c r="R66" s="304" cm="1">
        <f t="array" ref="R66">IF(AND(R$2&lt;&gt;0,TblTech[[#This Row],[Hour]:[Hour]]&gt;=R$2),1,0)</f>
        <v>0</v>
      </c>
      <c r="S66" s="304" cm="1">
        <f t="array" ref="S66">IF(AND(S$2&lt;&gt;0,TblTech[[#This Row],[Hour]:[Hour]]&gt;=S$2),1,0)</f>
        <v>0</v>
      </c>
      <c r="T66" s="304" cm="1">
        <f t="array" ref="T66">IF(AND(T$2&lt;&gt;0,TblTech[[#This Row],[Hour]:[Hour]]&gt;=T$2),1,0)</f>
        <v>0</v>
      </c>
      <c r="U66" s="304" cm="1">
        <f t="array" ref="U66">IF(AND(U$2&lt;&gt;0,TblTech[[#This Row],[Hour]:[Hour]]&gt;=U$2),1,0)</f>
        <v>0</v>
      </c>
      <c r="V66" s="304" cm="1">
        <f t="array" ref="V66">IF(AND(V$2&lt;&gt;0,TblTech[[#This Row],[Hour]:[Hour]]&gt;=V$2),1,0)</f>
        <v>0</v>
      </c>
      <c r="W66" s="304" cm="1">
        <f t="array" ref="W66">IF(AND(W$2&lt;&gt;0,TblTech[[#This Row],[Hour]:[Hour]]&gt;=W$2),1,0)</f>
        <v>0</v>
      </c>
      <c r="X66" s="304" cm="1">
        <f t="array" ref="X66">IF(AND(X$2&lt;&gt;0,TblTech[[#This Row],[Hour]:[Hour]]&gt;=X$2),1,0)</f>
        <v>0</v>
      </c>
      <c r="Y66" s="304" cm="1">
        <f t="array" ref="Y66">IF(AND(Y$2&lt;&gt;0,TblTech[[#This Row],[Hour]:[Hour]]&gt;=Y$2),1,0)</f>
        <v>0</v>
      </c>
      <c r="Z66" s="304" cm="1">
        <f t="array" ref="Z66">IF(AND(Z$2&lt;&gt;0,TblTech[[#This Row],[Hour]:[Hour]]&gt;=Z$2),1,0)</f>
        <v>0</v>
      </c>
      <c r="AA66" s="304" cm="1">
        <f t="array" ref="AA66">IF(AND(AA$2&lt;&gt;0,TblTech[[#This Row],[Hour]:[Hour]]&gt;=AA$2),1,0)</f>
        <v>0</v>
      </c>
      <c r="AB66" s="304" cm="1">
        <f t="array" ref="AB66">IF(AND(AB$2&lt;&gt;0,TblTech[[#This Row],[Hour]:[Hour]]&gt;=AB$2),1,0)</f>
        <v>0</v>
      </c>
      <c r="AC66" s="304" cm="1">
        <f t="array" ref="AC66">IF(AND(AC$2&lt;&gt;0,TblTech[[#This Row],[Hour]:[Hour]]&gt;=AC$2),1,0)</f>
        <v>0</v>
      </c>
      <c r="AD66" s="304" cm="1">
        <f t="array" ref="AD66">IF(AND(AD$2&lt;&gt;0,TblTech[[#This Row],[Hour]:[Hour]]&gt;=AD$2),1,0)</f>
        <v>0</v>
      </c>
      <c r="AE66" s="304" cm="1">
        <f t="array" ref="AE66">IF(AND(AE$2&lt;&gt;0,TblTech[[#This Row],[Hour]:[Hour]]&gt;=AE$2),1,0)</f>
        <v>0</v>
      </c>
      <c r="AF66" s="304" cm="1">
        <f t="array" ref="AF66">IF(AND(AF$2&lt;&gt;0,TblTech[[#This Row],[Hour]:[Hour]]&gt;=AF$2),1,0)</f>
        <v>0</v>
      </c>
      <c r="AG66" s="304" cm="1">
        <f t="array" ref="AG66">IF(AND(AG$2&lt;&gt;0,TblTech[[#This Row],[Hour]:[Hour]]&gt;=AG$2),1,0)</f>
        <v>0</v>
      </c>
      <c r="AH66" s="304" cm="1">
        <f t="array" ref="AH66">IF(AND(AH$2&lt;&gt;0,TblTech[[#This Row],[Hour]:[Hour]]&gt;=AH$2),1,0)</f>
        <v>0</v>
      </c>
      <c r="AI66" s="304" cm="1">
        <f t="array" ref="AI66">IF(AND(AI$2&lt;&gt;0,TblTech[[#This Row],[Hour]:[Hour]]&gt;=AI$2),1,0)</f>
        <v>0</v>
      </c>
      <c r="AJ66" s="304" cm="1">
        <f t="array" ref="AJ66">IF(AND(AJ$2&lt;&gt;0,TblTech[[#This Row],[Hour]:[Hour]]&gt;=AJ$2),1,0)</f>
        <v>0</v>
      </c>
      <c r="AK66" s="304" cm="1">
        <f t="array" ref="AK66">IF(AND(AK$2&lt;&gt;0,TblTech[[#This Row],[Hour]:[Hour]]&gt;=AK$2),1,0)</f>
        <v>0</v>
      </c>
      <c r="AL66" s="304" cm="1">
        <f t="array" ref="AL66">IF(AND(AL$2&lt;&gt;0,TblTech[[#This Row],[Hour]:[Hour]]&gt;=AL$2),1,0)</f>
        <v>0</v>
      </c>
      <c r="AM66" s="304" cm="1">
        <f t="array" ref="AM66">IF(AND(AM$2&lt;&gt;0,TblTech[[#This Row],[Hour]:[Hour]]&gt;=AM$2),1,0)</f>
        <v>0</v>
      </c>
      <c r="AN66" s="304" cm="1">
        <f t="array" ref="AN66">IF(AND(AN$2&lt;&gt;0,TblTech[[#This Row],[Hour]:[Hour]]&gt;=AN$2),1,0)</f>
        <v>0</v>
      </c>
      <c r="AO66" s="304" cm="1">
        <f t="array" ref="AO66">IF(AND(AO$2&lt;&gt;0,TblTech[[#This Row],[Hour]:[Hour]]&gt;=AO$2),1,0)</f>
        <v>0</v>
      </c>
      <c r="AP66" s="304" cm="1">
        <f t="array" ref="AP66">IF(AND(AP$2&lt;&gt;0,TblTech[[#This Row],[Hour]:[Hour]]&gt;=AP$2),1,0)</f>
        <v>0</v>
      </c>
      <c r="AQ66" s="304" cm="1">
        <f t="array" ref="AQ66">IF(AND(AQ$2&lt;&gt;0,TblTech[[#This Row],[Hour]:[Hour]]&gt;=AQ$2),1,0)</f>
        <v>0</v>
      </c>
      <c r="AR66" s="304" cm="1">
        <f t="array" ref="AR66">IF(AND(AR$2&lt;&gt;0,TblTech[[#This Row],[Hour]:[Hour]]&gt;=AR$2),1,0)</f>
        <v>0</v>
      </c>
      <c r="AS66" s="304" cm="1">
        <f t="array" ref="AS66">IF(AND(AS$2&lt;&gt;0,TblTech[[#This Row],[Hour]:[Hour]]&gt;=AS$2),1,0)</f>
        <v>0</v>
      </c>
      <c r="AT66" s="304" cm="1">
        <f t="array" ref="AT66">IF(AND(AT$2&lt;&gt;0,TblTech[[#This Row],[Hour]:[Hour]]&gt;=AT$2),1,0)</f>
        <v>0</v>
      </c>
      <c r="AU66" s="304" cm="1">
        <f t="array" ref="AU66">IF(AND(AU$2&lt;&gt;0,TblTech[[#This Row],[Hour]:[Hour]]&gt;=AU$2),1,0)</f>
        <v>0</v>
      </c>
      <c r="AV66" s="304" cm="1">
        <f t="array" ref="AV66">IF(AND(AV$2&lt;&gt;0,TblTech[[#This Row],[Hour]:[Hour]]&gt;=AV$2),1,0)</f>
        <v>0</v>
      </c>
      <c r="AW66" s="304" cm="1">
        <f t="array" ref="AW66">IF(AND(AW$2&lt;&gt;0,TblTech[[#This Row],[Hour]:[Hour]]&gt;=AW$2),1,0)</f>
        <v>0</v>
      </c>
      <c r="AX66" s="304" cm="1">
        <f t="array" ref="AX66">IF(AND(AX$2&lt;&gt;0,TblTech[[#This Row],[Hour]:[Hour]]&gt;=AX$2),1,0)</f>
        <v>0</v>
      </c>
      <c r="AY66" s="304" cm="1">
        <f t="array" ref="AY66">IF(AND(AY$2&lt;&gt;0,TblTech[[#This Row],[Hour]:[Hour]]&gt;=AY$2),1,0)</f>
        <v>0</v>
      </c>
      <c r="AZ66" s="304" cm="1">
        <f t="array" ref="AZ66">IF(AND(AZ$2&lt;&gt;0,TblTech[[#This Row],[Hour]:[Hour]]&gt;=AZ$2),1,0)</f>
        <v>0</v>
      </c>
      <c r="BA66" s="304" cm="1">
        <f t="array" ref="BA66">IF(AND(BA$2&lt;&gt;0,TblTech[[#This Row],[Hour]:[Hour]]&gt;=BA$2),1,0)</f>
        <v>0</v>
      </c>
      <c r="BB66" s="304" cm="1">
        <f t="array" ref="BB66">IF(AND(BB$2&lt;&gt;0,TblTech[[#This Row],[Hour]:[Hour]]&gt;=BB$2),1,0)</f>
        <v>0</v>
      </c>
      <c r="BC66" s="304" cm="1">
        <f t="array" ref="BC66">IF(AND(BC$2&lt;&gt;0,TblTech[[#This Row],[Hour]:[Hour]]&gt;=BC$2),1,0)</f>
        <v>0</v>
      </c>
      <c r="BD66" s="304" cm="1">
        <f t="array" ref="BD66">IF(AND(BD$2&lt;&gt;0,TblTech[[#This Row],[Hour]:[Hour]]&gt;=BD$2),1,0)</f>
        <v>0</v>
      </c>
      <c r="BE66" s="304" cm="1">
        <f t="array" ref="BE66">IF(AND(BE$2&lt;&gt;0,TblTech[[#This Row],[Hour]:[Hour]]&gt;=BE$2),1,0)</f>
        <v>0</v>
      </c>
      <c r="BF66" s="304" cm="1">
        <f t="array" ref="BF66">IF(AND(BF$2&lt;&gt;0,TblTech[[#This Row],[Hour]:[Hour]]&gt;=BF$2),1,0)</f>
        <v>0</v>
      </c>
      <c r="BG66" s="304" cm="1">
        <f t="array" ref="BG66">IF(AND(BG$2&lt;&gt;0,TblTech[[#This Row],[Hour]:[Hour]]&gt;=BG$2),1,0)</f>
        <v>0</v>
      </c>
      <c r="BH66" s="304" cm="1">
        <f t="array" ref="BH66">IF(AND(BH$2&lt;&gt;0,TblTech[[#This Row],[Hour]:[Hour]]&gt;=BH$2),1,0)</f>
        <v>0</v>
      </c>
      <c r="BI66" s="304" cm="1">
        <f t="array" ref="BI66">IF(AND(BI$2&lt;&gt;0,TblTech[[#This Row],[Hour]:[Hour]]&gt;=BI$2),1,0)</f>
        <v>0</v>
      </c>
      <c r="BJ66" s="304" cm="1">
        <f t="array" ref="BJ66">IF(AND(BJ$2&lt;&gt;0,TblTech[[#This Row],[Hour]:[Hour]]&gt;=BJ$2),1,0)</f>
        <v>0</v>
      </c>
      <c r="BK66" s="304" cm="1">
        <f t="array" ref="BK66">IF(AND(BK$2&lt;&gt;0,TblTech[[#This Row],[Hour]:[Hour]]&gt;=BK$2),1,0)</f>
        <v>0</v>
      </c>
      <c r="BL66" s="304" cm="1">
        <f t="array" ref="BL66">IF(AND(BL$2&lt;&gt;0,TblTech[[#This Row],[Hour]:[Hour]]&gt;=BL$2),1,0)</f>
        <v>0</v>
      </c>
      <c r="BM66" s="304" cm="1">
        <f t="array" ref="BM66">IF(AND(BM$2&lt;&gt;0,TblTech[[#This Row],[Hour]:[Hour]]&gt;=BM$2),1,0)</f>
        <v>0</v>
      </c>
      <c r="BN66" s="304" cm="1">
        <f t="array" ref="BN66">IF(AND(BN$2&lt;&gt;0,TblTech[[#This Row],[Hour]:[Hour]]&gt;=BN$2),1,0)</f>
        <v>0</v>
      </c>
      <c r="BO66" s="304" cm="1">
        <f t="array" ref="BO66">IF(AND(BO$2&lt;&gt;0,TblTech[[#This Row],[Hour]:[Hour]]&gt;=BO$2),1,0)</f>
        <v>0</v>
      </c>
      <c r="BP66" s="304" cm="1">
        <f t="array" ref="BP66">IF(AND(BP$2&lt;&gt;0,TblTech[[#This Row],[Hour]:[Hour]]&gt;=BP$2),1,0)</f>
        <v>0</v>
      </c>
      <c r="BQ66" s="304" cm="1">
        <f t="array" ref="BQ66">IF(AND(BQ$2&lt;&gt;0,TblTech[[#This Row],[Hour]:[Hour]]&gt;=BQ$2),1,0)</f>
        <v>0</v>
      </c>
      <c r="BR66" s="304" cm="1">
        <f t="array" ref="BR66">IF(AND(BR$2&lt;&gt;0,TblTech[[#This Row],[Hour]:[Hour]]&gt;=BR$2),1,0)</f>
        <v>0</v>
      </c>
      <c r="BS66" s="304" cm="1">
        <f t="array" ref="BS66">IF(AND(BS$2&lt;&gt;0,TblTech[[#This Row],[Hour]:[Hour]]&gt;=BS$2),1,0)</f>
        <v>0</v>
      </c>
      <c r="BT66" s="304" cm="1">
        <f t="array" ref="BT66">IF(AND(BT$2&lt;&gt;0,TblTech[[#This Row],[Hour]:[Hour]]&gt;=BT$2),1,0)</f>
        <v>0</v>
      </c>
      <c r="BU66" s="304" cm="1">
        <f t="array" ref="BU66">IF(AND(BU$2&lt;&gt;0,TblTech[[#This Row],[Hour]:[Hour]]&gt;=BU$2),1,0)</f>
        <v>0</v>
      </c>
      <c r="BV66" s="304" cm="1">
        <f t="array" ref="BV66">IF(AND(BV$2&lt;&gt;0,TblTech[[#This Row],[Hour]:[Hour]]&gt;=BV$2),1,0)</f>
        <v>0</v>
      </c>
      <c r="BW66" s="304" cm="1">
        <f t="array" ref="BW66">IF(AND(BW$2&lt;&gt;0,TblTech[[#This Row],[Hour]:[Hour]]&gt;=BW$2),1,0)</f>
        <v>0</v>
      </c>
      <c r="BX66" s="304" cm="1">
        <f t="array" ref="BX66">IF(AND(BX$2&lt;&gt;0,TblTech[[#This Row],[Hour]:[Hour]]&gt;=BX$2),1,0)</f>
        <v>0</v>
      </c>
      <c r="BY66" s="304" cm="1">
        <f t="array" ref="BY66">IF(AND(BY$2&lt;&gt;0,TblTech[[#This Row],[Hour]:[Hour]]&gt;=BY$2),1,0)</f>
        <v>0</v>
      </c>
      <c r="BZ66" s="304" cm="1">
        <f t="array" ref="BZ66">IF(AND(BZ$2&lt;&gt;0,TblTech[[#This Row],[Hour]:[Hour]]&gt;=BZ$2),1,0)</f>
        <v>0</v>
      </c>
      <c r="CA66" s="408">
        <f>IFERROR(INDEX($H$4:$H$79,MATCH(INDEX(TblTech[[#Headers],[1-1]:[11-1]],1,MATCH(TblTech[[#This Row],[Hour]],$M$2:$BZ$2,0)),$G$4:$G$79,0)),)</f>
        <v>0</v>
      </c>
    </row>
    <row r="67" spans="1:79" x14ac:dyDescent="0.2">
      <c r="A67" s="296">
        <f>TblRezone[[#This Row],[Hour]]</f>
        <v>64</v>
      </c>
      <c r="B67" s="297">
        <f ca="1">TblExplore[[#This Row],[Land-DB]]</f>
        <v>250</v>
      </c>
      <c r="C67" s="298">
        <f ca="1">TblProd[[#This Row],[Techpoints]]</f>
        <v>0</v>
      </c>
      <c r="D67" s="298">
        <f ca="1">TblProd[[#This Row],[Required]]</f>
        <v>3750</v>
      </c>
      <c r="E67" s="299"/>
      <c r="F67" s="300"/>
      <c r="G67" s="301" t="s">
        <v>625</v>
      </c>
      <c r="H67" s="302" t="s">
        <v>1092</v>
      </c>
      <c r="I67" s="301" t="s">
        <v>765</v>
      </c>
      <c r="J67" s="297"/>
      <c r="K67" s="96">
        <f ca="1">IF(TblTech[[#This Row],[Sum of tech]]&lt;&gt;OFFSET(TblTech[[#This Row],[Sum of tech]],-1,0),1,0)</f>
        <v>0</v>
      </c>
      <c r="L67" s="303">
        <f>COUNTIF(TblTech[[#This Row],[1-1]:[11-1]],1)</f>
        <v>0</v>
      </c>
      <c r="M67" s="304" cm="1">
        <f t="array" ref="M67">IF(AND(M$2&lt;&gt;0,TblTech[[#This Row],[Hour]:[Hour]]&gt;=M$2),1,0)</f>
        <v>0</v>
      </c>
      <c r="N67" s="304" cm="1">
        <f t="array" ref="N67">IF(AND(N$2&lt;&gt;0,TblTech[[#This Row],[Hour]:[Hour]]&gt;=N$2),1,0)</f>
        <v>0</v>
      </c>
      <c r="O67" s="304" cm="1">
        <f t="array" ref="O67">IF(AND(O$2&lt;&gt;0,TblTech[[#This Row],[Hour]:[Hour]]&gt;=O$2),1,0)</f>
        <v>0</v>
      </c>
      <c r="P67" s="304" cm="1">
        <f t="array" ref="P67">IF(AND(P$2&lt;&gt;0,TblTech[[#This Row],[Hour]:[Hour]]&gt;=P$2),1,0)</f>
        <v>0</v>
      </c>
      <c r="Q67" s="304" cm="1">
        <f t="array" ref="Q67">IF(AND(Q$2&lt;&gt;0,TblTech[[#This Row],[Hour]:[Hour]]&gt;=Q$2),1,0)</f>
        <v>0</v>
      </c>
      <c r="R67" s="304" cm="1">
        <f t="array" ref="R67">IF(AND(R$2&lt;&gt;0,TblTech[[#This Row],[Hour]:[Hour]]&gt;=R$2),1,0)</f>
        <v>0</v>
      </c>
      <c r="S67" s="304" cm="1">
        <f t="array" ref="S67">IF(AND(S$2&lt;&gt;0,TblTech[[#This Row],[Hour]:[Hour]]&gt;=S$2),1,0)</f>
        <v>0</v>
      </c>
      <c r="T67" s="304" cm="1">
        <f t="array" ref="T67">IF(AND(T$2&lt;&gt;0,TblTech[[#This Row],[Hour]:[Hour]]&gt;=T$2),1,0)</f>
        <v>0</v>
      </c>
      <c r="U67" s="304" cm="1">
        <f t="array" ref="U67">IF(AND(U$2&lt;&gt;0,TblTech[[#This Row],[Hour]:[Hour]]&gt;=U$2),1,0)</f>
        <v>0</v>
      </c>
      <c r="V67" s="304" cm="1">
        <f t="array" ref="V67">IF(AND(V$2&lt;&gt;0,TblTech[[#This Row],[Hour]:[Hour]]&gt;=V$2),1,0)</f>
        <v>0</v>
      </c>
      <c r="W67" s="304" cm="1">
        <f t="array" ref="W67">IF(AND(W$2&lt;&gt;0,TblTech[[#This Row],[Hour]:[Hour]]&gt;=W$2),1,0)</f>
        <v>0</v>
      </c>
      <c r="X67" s="304" cm="1">
        <f t="array" ref="X67">IF(AND(X$2&lt;&gt;0,TblTech[[#This Row],[Hour]:[Hour]]&gt;=X$2),1,0)</f>
        <v>0</v>
      </c>
      <c r="Y67" s="304" cm="1">
        <f t="array" ref="Y67">IF(AND(Y$2&lt;&gt;0,TblTech[[#This Row],[Hour]:[Hour]]&gt;=Y$2),1,0)</f>
        <v>0</v>
      </c>
      <c r="Z67" s="304" cm="1">
        <f t="array" ref="Z67">IF(AND(Z$2&lt;&gt;0,TblTech[[#This Row],[Hour]:[Hour]]&gt;=Z$2),1,0)</f>
        <v>0</v>
      </c>
      <c r="AA67" s="304" cm="1">
        <f t="array" ref="AA67">IF(AND(AA$2&lt;&gt;0,TblTech[[#This Row],[Hour]:[Hour]]&gt;=AA$2),1,0)</f>
        <v>0</v>
      </c>
      <c r="AB67" s="304" cm="1">
        <f t="array" ref="AB67">IF(AND(AB$2&lt;&gt;0,TblTech[[#This Row],[Hour]:[Hour]]&gt;=AB$2),1,0)</f>
        <v>0</v>
      </c>
      <c r="AC67" s="304" cm="1">
        <f t="array" ref="AC67">IF(AND(AC$2&lt;&gt;0,TblTech[[#This Row],[Hour]:[Hour]]&gt;=AC$2),1,0)</f>
        <v>0</v>
      </c>
      <c r="AD67" s="304" cm="1">
        <f t="array" ref="AD67">IF(AND(AD$2&lt;&gt;0,TblTech[[#This Row],[Hour]:[Hour]]&gt;=AD$2),1,0)</f>
        <v>0</v>
      </c>
      <c r="AE67" s="304" cm="1">
        <f t="array" ref="AE67">IF(AND(AE$2&lt;&gt;0,TblTech[[#This Row],[Hour]:[Hour]]&gt;=AE$2),1,0)</f>
        <v>0</v>
      </c>
      <c r="AF67" s="304" cm="1">
        <f t="array" ref="AF67">IF(AND(AF$2&lt;&gt;0,TblTech[[#This Row],[Hour]:[Hour]]&gt;=AF$2),1,0)</f>
        <v>0</v>
      </c>
      <c r="AG67" s="304" cm="1">
        <f t="array" ref="AG67">IF(AND(AG$2&lt;&gt;0,TblTech[[#This Row],[Hour]:[Hour]]&gt;=AG$2),1,0)</f>
        <v>0</v>
      </c>
      <c r="AH67" s="304" cm="1">
        <f t="array" ref="AH67">IF(AND(AH$2&lt;&gt;0,TblTech[[#This Row],[Hour]:[Hour]]&gt;=AH$2),1,0)</f>
        <v>0</v>
      </c>
      <c r="AI67" s="304" cm="1">
        <f t="array" ref="AI67">IF(AND(AI$2&lt;&gt;0,TblTech[[#This Row],[Hour]:[Hour]]&gt;=AI$2),1,0)</f>
        <v>0</v>
      </c>
      <c r="AJ67" s="304" cm="1">
        <f t="array" ref="AJ67">IF(AND(AJ$2&lt;&gt;0,TblTech[[#This Row],[Hour]:[Hour]]&gt;=AJ$2),1,0)</f>
        <v>0</v>
      </c>
      <c r="AK67" s="304" cm="1">
        <f t="array" ref="AK67">IF(AND(AK$2&lt;&gt;0,TblTech[[#This Row],[Hour]:[Hour]]&gt;=AK$2),1,0)</f>
        <v>0</v>
      </c>
      <c r="AL67" s="304" cm="1">
        <f t="array" ref="AL67">IF(AND(AL$2&lt;&gt;0,TblTech[[#This Row],[Hour]:[Hour]]&gt;=AL$2),1,0)</f>
        <v>0</v>
      </c>
      <c r="AM67" s="304" cm="1">
        <f t="array" ref="AM67">IF(AND(AM$2&lt;&gt;0,TblTech[[#This Row],[Hour]:[Hour]]&gt;=AM$2),1,0)</f>
        <v>0</v>
      </c>
      <c r="AN67" s="304" cm="1">
        <f t="array" ref="AN67">IF(AND(AN$2&lt;&gt;0,TblTech[[#This Row],[Hour]:[Hour]]&gt;=AN$2),1,0)</f>
        <v>0</v>
      </c>
      <c r="AO67" s="304" cm="1">
        <f t="array" ref="AO67">IF(AND(AO$2&lt;&gt;0,TblTech[[#This Row],[Hour]:[Hour]]&gt;=AO$2),1,0)</f>
        <v>0</v>
      </c>
      <c r="AP67" s="304" cm="1">
        <f t="array" ref="AP67">IF(AND(AP$2&lt;&gt;0,TblTech[[#This Row],[Hour]:[Hour]]&gt;=AP$2),1,0)</f>
        <v>0</v>
      </c>
      <c r="AQ67" s="304" cm="1">
        <f t="array" ref="AQ67">IF(AND(AQ$2&lt;&gt;0,TblTech[[#This Row],[Hour]:[Hour]]&gt;=AQ$2),1,0)</f>
        <v>0</v>
      </c>
      <c r="AR67" s="304" cm="1">
        <f t="array" ref="AR67">IF(AND(AR$2&lt;&gt;0,TblTech[[#This Row],[Hour]:[Hour]]&gt;=AR$2),1,0)</f>
        <v>0</v>
      </c>
      <c r="AS67" s="304" cm="1">
        <f t="array" ref="AS67">IF(AND(AS$2&lt;&gt;0,TblTech[[#This Row],[Hour]:[Hour]]&gt;=AS$2),1,0)</f>
        <v>0</v>
      </c>
      <c r="AT67" s="304" cm="1">
        <f t="array" ref="AT67">IF(AND(AT$2&lt;&gt;0,TblTech[[#This Row],[Hour]:[Hour]]&gt;=AT$2),1,0)</f>
        <v>0</v>
      </c>
      <c r="AU67" s="304" cm="1">
        <f t="array" ref="AU67">IF(AND(AU$2&lt;&gt;0,TblTech[[#This Row],[Hour]:[Hour]]&gt;=AU$2),1,0)</f>
        <v>0</v>
      </c>
      <c r="AV67" s="304" cm="1">
        <f t="array" ref="AV67">IF(AND(AV$2&lt;&gt;0,TblTech[[#This Row],[Hour]:[Hour]]&gt;=AV$2),1,0)</f>
        <v>0</v>
      </c>
      <c r="AW67" s="304" cm="1">
        <f t="array" ref="AW67">IF(AND(AW$2&lt;&gt;0,TblTech[[#This Row],[Hour]:[Hour]]&gt;=AW$2),1,0)</f>
        <v>0</v>
      </c>
      <c r="AX67" s="304" cm="1">
        <f t="array" ref="AX67">IF(AND(AX$2&lt;&gt;0,TblTech[[#This Row],[Hour]:[Hour]]&gt;=AX$2),1,0)</f>
        <v>0</v>
      </c>
      <c r="AY67" s="304" cm="1">
        <f t="array" ref="AY67">IF(AND(AY$2&lt;&gt;0,TblTech[[#This Row],[Hour]:[Hour]]&gt;=AY$2),1,0)</f>
        <v>0</v>
      </c>
      <c r="AZ67" s="304" cm="1">
        <f t="array" ref="AZ67">IF(AND(AZ$2&lt;&gt;0,TblTech[[#This Row],[Hour]:[Hour]]&gt;=AZ$2),1,0)</f>
        <v>0</v>
      </c>
      <c r="BA67" s="304" cm="1">
        <f t="array" ref="BA67">IF(AND(BA$2&lt;&gt;0,TblTech[[#This Row],[Hour]:[Hour]]&gt;=BA$2),1,0)</f>
        <v>0</v>
      </c>
      <c r="BB67" s="304" cm="1">
        <f t="array" ref="BB67">IF(AND(BB$2&lt;&gt;0,TblTech[[#This Row],[Hour]:[Hour]]&gt;=BB$2),1,0)</f>
        <v>0</v>
      </c>
      <c r="BC67" s="304" cm="1">
        <f t="array" ref="BC67">IF(AND(BC$2&lt;&gt;0,TblTech[[#This Row],[Hour]:[Hour]]&gt;=BC$2),1,0)</f>
        <v>0</v>
      </c>
      <c r="BD67" s="304" cm="1">
        <f t="array" ref="BD67">IF(AND(BD$2&lt;&gt;0,TblTech[[#This Row],[Hour]:[Hour]]&gt;=BD$2),1,0)</f>
        <v>0</v>
      </c>
      <c r="BE67" s="304" cm="1">
        <f t="array" ref="BE67">IF(AND(BE$2&lt;&gt;0,TblTech[[#This Row],[Hour]:[Hour]]&gt;=BE$2),1,0)</f>
        <v>0</v>
      </c>
      <c r="BF67" s="304" cm="1">
        <f t="array" ref="BF67">IF(AND(BF$2&lt;&gt;0,TblTech[[#This Row],[Hour]:[Hour]]&gt;=BF$2),1,0)</f>
        <v>0</v>
      </c>
      <c r="BG67" s="304" cm="1">
        <f t="array" ref="BG67">IF(AND(BG$2&lt;&gt;0,TblTech[[#This Row],[Hour]:[Hour]]&gt;=BG$2),1,0)</f>
        <v>0</v>
      </c>
      <c r="BH67" s="304" cm="1">
        <f t="array" ref="BH67">IF(AND(BH$2&lt;&gt;0,TblTech[[#This Row],[Hour]:[Hour]]&gt;=BH$2),1,0)</f>
        <v>0</v>
      </c>
      <c r="BI67" s="304" cm="1">
        <f t="array" ref="BI67">IF(AND(BI$2&lt;&gt;0,TblTech[[#This Row],[Hour]:[Hour]]&gt;=BI$2),1,0)</f>
        <v>0</v>
      </c>
      <c r="BJ67" s="304" cm="1">
        <f t="array" ref="BJ67">IF(AND(BJ$2&lt;&gt;0,TblTech[[#This Row],[Hour]:[Hour]]&gt;=BJ$2),1,0)</f>
        <v>0</v>
      </c>
      <c r="BK67" s="304" cm="1">
        <f t="array" ref="BK67">IF(AND(BK$2&lt;&gt;0,TblTech[[#This Row],[Hour]:[Hour]]&gt;=BK$2),1,0)</f>
        <v>0</v>
      </c>
      <c r="BL67" s="304" cm="1">
        <f t="array" ref="BL67">IF(AND(BL$2&lt;&gt;0,TblTech[[#This Row],[Hour]:[Hour]]&gt;=BL$2),1,0)</f>
        <v>0</v>
      </c>
      <c r="BM67" s="304" cm="1">
        <f t="array" ref="BM67">IF(AND(BM$2&lt;&gt;0,TblTech[[#This Row],[Hour]:[Hour]]&gt;=BM$2),1,0)</f>
        <v>0</v>
      </c>
      <c r="BN67" s="304" cm="1">
        <f t="array" ref="BN67">IF(AND(BN$2&lt;&gt;0,TblTech[[#This Row],[Hour]:[Hour]]&gt;=BN$2),1,0)</f>
        <v>0</v>
      </c>
      <c r="BO67" s="304" cm="1">
        <f t="array" ref="BO67">IF(AND(BO$2&lt;&gt;0,TblTech[[#This Row],[Hour]:[Hour]]&gt;=BO$2),1,0)</f>
        <v>0</v>
      </c>
      <c r="BP67" s="304" cm="1">
        <f t="array" ref="BP67">IF(AND(BP$2&lt;&gt;0,TblTech[[#This Row],[Hour]:[Hour]]&gt;=BP$2),1,0)</f>
        <v>0</v>
      </c>
      <c r="BQ67" s="304" cm="1">
        <f t="array" ref="BQ67">IF(AND(BQ$2&lt;&gt;0,TblTech[[#This Row],[Hour]:[Hour]]&gt;=BQ$2),1,0)</f>
        <v>0</v>
      </c>
      <c r="BR67" s="304" cm="1">
        <f t="array" ref="BR67">IF(AND(BR$2&lt;&gt;0,TblTech[[#This Row],[Hour]:[Hour]]&gt;=BR$2),1,0)</f>
        <v>0</v>
      </c>
      <c r="BS67" s="304" cm="1">
        <f t="array" ref="BS67">IF(AND(BS$2&lt;&gt;0,TblTech[[#This Row],[Hour]:[Hour]]&gt;=BS$2),1,0)</f>
        <v>0</v>
      </c>
      <c r="BT67" s="304" cm="1">
        <f t="array" ref="BT67">IF(AND(BT$2&lt;&gt;0,TblTech[[#This Row],[Hour]:[Hour]]&gt;=BT$2),1,0)</f>
        <v>0</v>
      </c>
      <c r="BU67" s="304" cm="1">
        <f t="array" ref="BU67">IF(AND(BU$2&lt;&gt;0,TblTech[[#This Row],[Hour]:[Hour]]&gt;=BU$2),1,0)</f>
        <v>0</v>
      </c>
      <c r="BV67" s="304" cm="1">
        <f t="array" ref="BV67">IF(AND(BV$2&lt;&gt;0,TblTech[[#This Row],[Hour]:[Hour]]&gt;=BV$2),1,0)</f>
        <v>0</v>
      </c>
      <c r="BW67" s="304" cm="1">
        <f t="array" ref="BW67">IF(AND(BW$2&lt;&gt;0,TblTech[[#This Row],[Hour]:[Hour]]&gt;=BW$2),1,0)</f>
        <v>0</v>
      </c>
      <c r="BX67" s="304" cm="1">
        <f t="array" ref="BX67">IF(AND(BX$2&lt;&gt;0,TblTech[[#This Row],[Hour]:[Hour]]&gt;=BX$2),1,0)</f>
        <v>0</v>
      </c>
      <c r="BY67" s="304" cm="1">
        <f t="array" ref="BY67">IF(AND(BY$2&lt;&gt;0,TblTech[[#This Row],[Hour]:[Hour]]&gt;=BY$2),1,0)</f>
        <v>0</v>
      </c>
      <c r="BZ67" s="304" cm="1">
        <f t="array" ref="BZ67">IF(AND(BZ$2&lt;&gt;0,TblTech[[#This Row],[Hour]:[Hour]]&gt;=BZ$2),1,0)</f>
        <v>0</v>
      </c>
      <c r="CA67" s="408">
        <f>IFERROR(INDEX($H$4:$H$79,MATCH(INDEX(TblTech[[#Headers],[1-1]:[11-1]],1,MATCH(TblTech[[#This Row],[Hour]],$M$2:$BZ$2,0)),$G$4:$G$79,0)),)</f>
        <v>0</v>
      </c>
    </row>
    <row r="68" spans="1:79" x14ac:dyDescent="0.2">
      <c r="A68" s="296">
        <f>TblRezone[[#This Row],[Hour]]</f>
        <v>65</v>
      </c>
      <c r="B68" s="297">
        <f ca="1">TblExplore[[#This Row],[Land-DB]]</f>
        <v>250</v>
      </c>
      <c r="C68" s="298">
        <f ca="1">TblProd[[#This Row],[Techpoints]]</f>
        <v>0</v>
      </c>
      <c r="D68" s="298">
        <f ca="1">TblProd[[#This Row],[Required]]</f>
        <v>3750</v>
      </c>
      <c r="E68" s="299"/>
      <c r="F68" s="300"/>
      <c r="G68" s="301" t="s">
        <v>626</v>
      </c>
      <c r="H68" s="302" t="s">
        <v>746</v>
      </c>
      <c r="I68" s="301" t="s">
        <v>627</v>
      </c>
      <c r="J68" s="297"/>
      <c r="K68" s="96">
        <f ca="1">IF(TblTech[[#This Row],[Sum of tech]]&lt;&gt;OFFSET(TblTech[[#This Row],[Sum of tech]],-1,0),1,0)</f>
        <v>0</v>
      </c>
      <c r="L68" s="303">
        <f>COUNTIF(TblTech[[#This Row],[1-1]:[11-1]],1)</f>
        <v>0</v>
      </c>
      <c r="M68" s="304" cm="1">
        <f t="array" ref="M68">IF(AND(M$2&lt;&gt;0,TblTech[[#This Row],[Hour]:[Hour]]&gt;=M$2),1,0)</f>
        <v>0</v>
      </c>
      <c r="N68" s="304" cm="1">
        <f t="array" ref="N68">IF(AND(N$2&lt;&gt;0,TblTech[[#This Row],[Hour]:[Hour]]&gt;=N$2),1,0)</f>
        <v>0</v>
      </c>
      <c r="O68" s="304" cm="1">
        <f t="array" ref="O68">IF(AND(O$2&lt;&gt;0,TblTech[[#This Row],[Hour]:[Hour]]&gt;=O$2),1,0)</f>
        <v>0</v>
      </c>
      <c r="P68" s="304" cm="1">
        <f t="array" ref="P68">IF(AND(P$2&lt;&gt;0,TblTech[[#This Row],[Hour]:[Hour]]&gt;=P$2),1,0)</f>
        <v>0</v>
      </c>
      <c r="Q68" s="304" cm="1">
        <f t="array" ref="Q68">IF(AND(Q$2&lt;&gt;0,TblTech[[#This Row],[Hour]:[Hour]]&gt;=Q$2),1,0)</f>
        <v>0</v>
      </c>
      <c r="R68" s="304" cm="1">
        <f t="array" ref="R68">IF(AND(R$2&lt;&gt;0,TblTech[[#This Row],[Hour]:[Hour]]&gt;=R$2),1,0)</f>
        <v>0</v>
      </c>
      <c r="S68" s="304" cm="1">
        <f t="array" ref="S68">IF(AND(S$2&lt;&gt;0,TblTech[[#This Row],[Hour]:[Hour]]&gt;=S$2),1,0)</f>
        <v>0</v>
      </c>
      <c r="T68" s="304" cm="1">
        <f t="array" ref="T68">IF(AND(T$2&lt;&gt;0,TblTech[[#This Row],[Hour]:[Hour]]&gt;=T$2),1,0)</f>
        <v>0</v>
      </c>
      <c r="U68" s="304" cm="1">
        <f t="array" ref="U68">IF(AND(U$2&lt;&gt;0,TblTech[[#This Row],[Hour]:[Hour]]&gt;=U$2),1,0)</f>
        <v>0</v>
      </c>
      <c r="V68" s="304" cm="1">
        <f t="array" ref="V68">IF(AND(V$2&lt;&gt;0,TblTech[[#This Row],[Hour]:[Hour]]&gt;=V$2),1,0)</f>
        <v>0</v>
      </c>
      <c r="W68" s="304" cm="1">
        <f t="array" ref="W68">IF(AND(W$2&lt;&gt;0,TblTech[[#This Row],[Hour]:[Hour]]&gt;=W$2),1,0)</f>
        <v>0</v>
      </c>
      <c r="X68" s="304" cm="1">
        <f t="array" ref="X68">IF(AND(X$2&lt;&gt;0,TblTech[[#This Row],[Hour]:[Hour]]&gt;=X$2),1,0)</f>
        <v>0</v>
      </c>
      <c r="Y68" s="304" cm="1">
        <f t="array" ref="Y68">IF(AND(Y$2&lt;&gt;0,TblTech[[#This Row],[Hour]:[Hour]]&gt;=Y$2),1,0)</f>
        <v>0</v>
      </c>
      <c r="Z68" s="304" cm="1">
        <f t="array" ref="Z68">IF(AND(Z$2&lt;&gt;0,TblTech[[#This Row],[Hour]:[Hour]]&gt;=Z$2),1,0)</f>
        <v>0</v>
      </c>
      <c r="AA68" s="304" cm="1">
        <f t="array" ref="AA68">IF(AND(AA$2&lt;&gt;0,TblTech[[#This Row],[Hour]:[Hour]]&gt;=AA$2),1,0)</f>
        <v>0</v>
      </c>
      <c r="AB68" s="304" cm="1">
        <f t="array" ref="AB68">IF(AND(AB$2&lt;&gt;0,TblTech[[#This Row],[Hour]:[Hour]]&gt;=AB$2),1,0)</f>
        <v>0</v>
      </c>
      <c r="AC68" s="304" cm="1">
        <f t="array" ref="AC68">IF(AND(AC$2&lt;&gt;0,TblTech[[#This Row],[Hour]:[Hour]]&gt;=AC$2),1,0)</f>
        <v>0</v>
      </c>
      <c r="AD68" s="304" cm="1">
        <f t="array" ref="AD68">IF(AND(AD$2&lt;&gt;0,TblTech[[#This Row],[Hour]:[Hour]]&gt;=AD$2),1,0)</f>
        <v>0</v>
      </c>
      <c r="AE68" s="304" cm="1">
        <f t="array" ref="AE68">IF(AND(AE$2&lt;&gt;0,TblTech[[#This Row],[Hour]:[Hour]]&gt;=AE$2),1,0)</f>
        <v>0</v>
      </c>
      <c r="AF68" s="304" cm="1">
        <f t="array" ref="AF68">IF(AND(AF$2&lt;&gt;0,TblTech[[#This Row],[Hour]:[Hour]]&gt;=AF$2),1,0)</f>
        <v>0</v>
      </c>
      <c r="AG68" s="304" cm="1">
        <f t="array" ref="AG68">IF(AND(AG$2&lt;&gt;0,TblTech[[#This Row],[Hour]:[Hour]]&gt;=AG$2),1,0)</f>
        <v>0</v>
      </c>
      <c r="AH68" s="304" cm="1">
        <f t="array" ref="AH68">IF(AND(AH$2&lt;&gt;0,TblTech[[#This Row],[Hour]:[Hour]]&gt;=AH$2),1,0)</f>
        <v>0</v>
      </c>
      <c r="AI68" s="304" cm="1">
        <f t="array" ref="AI68">IF(AND(AI$2&lt;&gt;0,TblTech[[#This Row],[Hour]:[Hour]]&gt;=AI$2),1,0)</f>
        <v>0</v>
      </c>
      <c r="AJ68" s="304" cm="1">
        <f t="array" ref="AJ68">IF(AND(AJ$2&lt;&gt;0,TblTech[[#This Row],[Hour]:[Hour]]&gt;=AJ$2),1,0)</f>
        <v>0</v>
      </c>
      <c r="AK68" s="304" cm="1">
        <f t="array" ref="AK68">IF(AND(AK$2&lt;&gt;0,TblTech[[#This Row],[Hour]:[Hour]]&gt;=AK$2),1,0)</f>
        <v>0</v>
      </c>
      <c r="AL68" s="304" cm="1">
        <f t="array" ref="AL68">IF(AND(AL$2&lt;&gt;0,TblTech[[#This Row],[Hour]:[Hour]]&gt;=AL$2),1,0)</f>
        <v>0</v>
      </c>
      <c r="AM68" s="304" cm="1">
        <f t="array" ref="AM68">IF(AND(AM$2&lt;&gt;0,TblTech[[#This Row],[Hour]:[Hour]]&gt;=AM$2),1,0)</f>
        <v>0</v>
      </c>
      <c r="AN68" s="304" cm="1">
        <f t="array" ref="AN68">IF(AND(AN$2&lt;&gt;0,TblTech[[#This Row],[Hour]:[Hour]]&gt;=AN$2),1,0)</f>
        <v>0</v>
      </c>
      <c r="AO68" s="304" cm="1">
        <f t="array" ref="AO68">IF(AND(AO$2&lt;&gt;0,TblTech[[#This Row],[Hour]:[Hour]]&gt;=AO$2),1,0)</f>
        <v>0</v>
      </c>
      <c r="AP68" s="304" cm="1">
        <f t="array" ref="AP68">IF(AND(AP$2&lt;&gt;0,TblTech[[#This Row],[Hour]:[Hour]]&gt;=AP$2),1,0)</f>
        <v>0</v>
      </c>
      <c r="AQ68" s="304" cm="1">
        <f t="array" ref="AQ68">IF(AND(AQ$2&lt;&gt;0,TblTech[[#This Row],[Hour]:[Hour]]&gt;=AQ$2),1,0)</f>
        <v>0</v>
      </c>
      <c r="AR68" s="304" cm="1">
        <f t="array" ref="AR68">IF(AND(AR$2&lt;&gt;0,TblTech[[#This Row],[Hour]:[Hour]]&gt;=AR$2),1,0)</f>
        <v>0</v>
      </c>
      <c r="AS68" s="304" cm="1">
        <f t="array" ref="AS68">IF(AND(AS$2&lt;&gt;0,TblTech[[#This Row],[Hour]:[Hour]]&gt;=AS$2),1,0)</f>
        <v>0</v>
      </c>
      <c r="AT68" s="304" cm="1">
        <f t="array" ref="AT68">IF(AND(AT$2&lt;&gt;0,TblTech[[#This Row],[Hour]:[Hour]]&gt;=AT$2),1,0)</f>
        <v>0</v>
      </c>
      <c r="AU68" s="304" cm="1">
        <f t="array" ref="AU68">IF(AND(AU$2&lt;&gt;0,TblTech[[#This Row],[Hour]:[Hour]]&gt;=AU$2),1,0)</f>
        <v>0</v>
      </c>
      <c r="AV68" s="304" cm="1">
        <f t="array" ref="AV68">IF(AND(AV$2&lt;&gt;0,TblTech[[#This Row],[Hour]:[Hour]]&gt;=AV$2),1,0)</f>
        <v>0</v>
      </c>
      <c r="AW68" s="304" cm="1">
        <f t="array" ref="AW68">IF(AND(AW$2&lt;&gt;0,TblTech[[#This Row],[Hour]:[Hour]]&gt;=AW$2),1,0)</f>
        <v>0</v>
      </c>
      <c r="AX68" s="304" cm="1">
        <f t="array" ref="AX68">IF(AND(AX$2&lt;&gt;0,TblTech[[#This Row],[Hour]:[Hour]]&gt;=AX$2),1,0)</f>
        <v>0</v>
      </c>
      <c r="AY68" s="304" cm="1">
        <f t="array" ref="AY68">IF(AND(AY$2&lt;&gt;0,TblTech[[#This Row],[Hour]:[Hour]]&gt;=AY$2),1,0)</f>
        <v>0</v>
      </c>
      <c r="AZ68" s="304" cm="1">
        <f t="array" ref="AZ68">IF(AND(AZ$2&lt;&gt;0,TblTech[[#This Row],[Hour]:[Hour]]&gt;=AZ$2),1,0)</f>
        <v>0</v>
      </c>
      <c r="BA68" s="304" cm="1">
        <f t="array" ref="BA68">IF(AND(BA$2&lt;&gt;0,TblTech[[#This Row],[Hour]:[Hour]]&gt;=BA$2),1,0)</f>
        <v>0</v>
      </c>
      <c r="BB68" s="304" cm="1">
        <f t="array" ref="BB68">IF(AND(BB$2&lt;&gt;0,TblTech[[#This Row],[Hour]:[Hour]]&gt;=BB$2),1,0)</f>
        <v>0</v>
      </c>
      <c r="BC68" s="304" cm="1">
        <f t="array" ref="BC68">IF(AND(BC$2&lt;&gt;0,TblTech[[#This Row],[Hour]:[Hour]]&gt;=BC$2),1,0)</f>
        <v>0</v>
      </c>
      <c r="BD68" s="304" cm="1">
        <f t="array" ref="BD68">IF(AND(BD$2&lt;&gt;0,TblTech[[#This Row],[Hour]:[Hour]]&gt;=BD$2),1,0)</f>
        <v>0</v>
      </c>
      <c r="BE68" s="304" cm="1">
        <f t="array" ref="BE68">IF(AND(BE$2&lt;&gt;0,TblTech[[#This Row],[Hour]:[Hour]]&gt;=BE$2),1,0)</f>
        <v>0</v>
      </c>
      <c r="BF68" s="304" cm="1">
        <f t="array" ref="BF68">IF(AND(BF$2&lt;&gt;0,TblTech[[#This Row],[Hour]:[Hour]]&gt;=BF$2),1,0)</f>
        <v>0</v>
      </c>
      <c r="BG68" s="304" cm="1">
        <f t="array" ref="BG68">IF(AND(BG$2&lt;&gt;0,TblTech[[#This Row],[Hour]:[Hour]]&gt;=BG$2),1,0)</f>
        <v>0</v>
      </c>
      <c r="BH68" s="304" cm="1">
        <f t="array" ref="BH68">IF(AND(BH$2&lt;&gt;0,TblTech[[#This Row],[Hour]:[Hour]]&gt;=BH$2),1,0)</f>
        <v>0</v>
      </c>
      <c r="BI68" s="304" cm="1">
        <f t="array" ref="BI68">IF(AND(BI$2&lt;&gt;0,TblTech[[#This Row],[Hour]:[Hour]]&gt;=BI$2),1,0)</f>
        <v>0</v>
      </c>
      <c r="BJ68" s="304" cm="1">
        <f t="array" ref="BJ68">IF(AND(BJ$2&lt;&gt;0,TblTech[[#This Row],[Hour]:[Hour]]&gt;=BJ$2),1,0)</f>
        <v>0</v>
      </c>
      <c r="BK68" s="304" cm="1">
        <f t="array" ref="BK68">IF(AND(BK$2&lt;&gt;0,TblTech[[#This Row],[Hour]:[Hour]]&gt;=BK$2),1,0)</f>
        <v>0</v>
      </c>
      <c r="BL68" s="304" cm="1">
        <f t="array" ref="BL68">IF(AND(BL$2&lt;&gt;0,TblTech[[#This Row],[Hour]:[Hour]]&gt;=BL$2),1,0)</f>
        <v>0</v>
      </c>
      <c r="BM68" s="304" cm="1">
        <f t="array" ref="BM68">IF(AND(BM$2&lt;&gt;0,TblTech[[#This Row],[Hour]:[Hour]]&gt;=BM$2),1,0)</f>
        <v>0</v>
      </c>
      <c r="BN68" s="304" cm="1">
        <f t="array" ref="BN68">IF(AND(BN$2&lt;&gt;0,TblTech[[#This Row],[Hour]:[Hour]]&gt;=BN$2),1,0)</f>
        <v>0</v>
      </c>
      <c r="BO68" s="304" cm="1">
        <f t="array" ref="BO68">IF(AND(BO$2&lt;&gt;0,TblTech[[#This Row],[Hour]:[Hour]]&gt;=BO$2),1,0)</f>
        <v>0</v>
      </c>
      <c r="BP68" s="304" cm="1">
        <f t="array" ref="BP68">IF(AND(BP$2&lt;&gt;0,TblTech[[#This Row],[Hour]:[Hour]]&gt;=BP$2),1,0)</f>
        <v>0</v>
      </c>
      <c r="BQ68" s="304" cm="1">
        <f t="array" ref="BQ68">IF(AND(BQ$2&lt;&gt;0,TblTech[[#This Row],[Hour]:[Hour]]&gt;=BQ$2),1,0)</f>
        <v>0</v>
      </c>
      <c r="BR68" s="304" cm="1">
        <f t="array" ref="BR68">IF(AND(BR$2&lt;&gt;0,TblTech[[#This Row],[Hour]:[Hour]]&gt;=BR$2),1,0)</f>
        <v>0</v>
      </c>
      <c r="BS68" s="304" cm="1">
        <f t="array" ref="BS68">IF(AND(BS$2&lt;&gt;0,TblTech[[#This Row],[Hour]:[Hour]]&gt;=BS$2),1,0)</f>
        <v>0</v>
      </c>
      <c r="BT68" s="304" cm="1">
        <f t="array" ref="BT68">IF(AND(BT$2&lt;&gt;0,TblTech[[#This Row],[Hour]:[Hour]]&gt;=BT$2),1,0)</f>
        <v>0</v>
      </c>
      <c r="BU68" s="304" cm="1">
        <f t="array" ref="BU68">IF(AND(BU$2&lt;&gt;0,TblTech[[#This Row],[Hour]:[Hour]]&gt;=BU$2),1,0)</f>
        <v>0</v>
      </c>
      <c r="BV68" s="304" cm="1">
        <f t="array" ref="BV68">IF(AND(BV$2&lt;&gt;0,TblTech[[#This Row],[Hour]:[Hour]]&gt;=BV$2),1,0)</f>
        <v>0</v>
      </c>
      <c r="BW68" s="304" cm="1">
        <f t="array" ref="BW68">IF(AND(BW$2&lt;&gt;0,TblTech[[#This Row],[Hour]:[Hour]]&gt;=BW$2),1,0)</f>
        <v>0</v>
      </c>
      <c r="BX68" s="304" cm="1">
        <f t="array" ref="BX68">IF(AND(BX$2&lt;&gt;0,TblTech[[#This Row],[Hour]:[Hour]]&gt;=BX$2),1,0)</f>
        <v>0</v>
      </c>
      <c r="BY68" s="304" cm="1">
        <f t="array" ref="BY68">IF(AND(BY$2&lt;&gt;0,TblTech[[#This Row],[Hour]:[Hour]]&gt;=BY$2),1,0)</f>
        <v>0</v>
      </c>
      <c r="BZ68" s="304" cm="1">
        <f t="array" ref="BZ68">IF(AND(BZ$2&lt;&gt;0,TblTech[[#This Row],[Hour]:[Hour]]&gt;=BZ$2),1,0)</f>
        <v>0</v>
      </c>
      <c r="CA68" s="408">
        <f>IFERROR(INDEX($H$4:$H$79,MATCH(INDEX(TblTech[[#Headers],[1-1]:[11-1]],1,MATCH(TblTech[[#This Row],[Hour]],$M$2:$BZ$2,0)),$G$4:$G$79,0)),)</f>
        <v>0</v>
      </c>
    </row>
    <row r="69" spans="1:79" x14ac:dyDescent="0.2">
      <c r="A69" s="296">
        <f>TblRezone[[#This Row],[Hour]]</f>
        <v>66</v>
      </c>
      <c r="B69" s="297">
        <f ca="1">TblExplore[[#This Row],[Land-DB]]</f>
        <v>250</v>
      </c>
      <c r="C69" s="298">
        <f ca="1">TblProd[[#This Row],[Techpoints]]</f>
        <v>0</v>
      </c>
      <c r="D69" s="298">
        <f ca="1">TblProd[[#This Row],[Required]]</f>
        <v>3750</v>
      </c>
      <c r="E69" s="299"/>
      <c r="F69" s="300"/>
      <c r="G69" s="301" t="s">
        <v>628</v>
      </c>
      <c r="H69" s="302" t="s">
        <v>747</v>
      </c>
      <c r="I69" s="301" t="s">
        <v>629</v>
      </c>
      <c r="J69" s="297"/>
      <c r="K69" s="96">
        <f ca="1">IF(TblTech[[#This Row],[Sum of tech]]&lt;&gt;OFFSET(TblTech[[#This Row],[Sum of tech]],-1,0),1,0)</f>
        <v>0</v>
      </c>
      <c r="L69" s="303">
        <f>COUNTIF(TblTech[[#This Row],[1-1]:[11-1]],1)</f>
        <v>0</v>
      </c>
      <c r="M69" s="304" cm="1">
        <f t="array" ref="M69">IF(AND(M$2&lt;&gt;0,TblTech[[#This Row],[Hour]:[Hour]]&gt;=M$2),1,0)</f>
        <v>0</v>
      </c>
      <c r="N69" s="304" cm="1">
        <f t="array" ref="N69">IF(AND(N$2&lt;&gt;0,TblTech[[#This Row],[Hour]:[Hour]]&gt;=N$2),1,0)</f>
        <v>0</v>
      </c>
      <c r="O69" s="304" cm="1">
        <f t="array" ref="O69">IF(AND(O$2&lt;&gt;0,TblTech[[#This Row],[Hour]:[Hour]]&gt;=O$2),1,0)</f>
        <v>0</v>
      </c>
      <c r="P69" s="304" cm="1">
        <f t="array" ref="P69">IF(AND(P$2&lt;&gt;0,TblTech[[#This Row],[Hour]:[Hour]]&gt;=P$2),1,0)</f>
        <v>0</v>
      </c>
      <c r="Q69" s="304" cm="1">
        <f t="array" ref="Q69">IF(AND(Q$2&lt;&gt;0,TblTech[[#This Row],[Hour]:[Hour]]&gt;=Q$2),1,0)</f>
        <v>0</v>
      </c>
      <c r="R69" s="304" cm="1">
        <f t="array" ref="R69">IF(AND(R$2&lt;&gt;0,TblTech[[#This Row],[Hour]:[Hour]]&gt;=R$2),1,0)</f>
        <v>0</v>
      </c>
      <c r="S69" s="304" cm="1">
        <f t="array" ref="S69">IF(AND(S$2&lt;&gt;0,TblTech[[#This Row],[Hour]:[Hour]]&gt;=S$2),1,0)</f>
        <v>0</v>
      </c>
      <c r="T69" s="304" cm="1">
        <f t="array" ref="T69">IF(AND(T$2&lt;&gt;0,TblTech[[#This Row],[Hour]:[Hour]]&gt;=T$2),1,0)</f>
        <v>0</v>
      </c>
      <c r="U69" s="304" cm="1">
        <f t="array" ref="U69">IF(AND(U$2&lt;&gt;0,TblTech[[#This Row],[Hour]:[Hour]]&gt;=U$2),1,0)</f>
        <v>0</v>
      </c>
      <c r="V69" s="304" cm="1">
        <f t="array" ref="V69">IF(AND(V$2&lt;&gt;0,TblTech[[#This Row],[Hour]:[Hour]]&gt;=V$2),1,0)</f>
        <v>0</v>
      </c>
      <c r="W69" s="304" cm="1">
        <f t="array" ref="W69">IF(AND(W$2&lt;&gt;0,TblTech[[#This Row],[Hour]:[Hour]]&gt;=W$2),1,0)</f>
        <v>0</v>
      </c>
      <c r="X69" s="304" cm="1">
        <f t="array" ref="X69">IF(AND(X$2&lt;&gt;0,TblTech[[#This Row],[Hour]:[Hour]]&gt;=X$2),1,0)</f>
        <v>0</v>
      </c>
      <c r="Y69" s="304" cm="1">
        <f t="array" ref="Y69">IF(AND(Y$2&lt;&gt;0,TblTech[[#This Row],[Hour]:[Hour]]&gt;=Y$2),1,0)</f>
        <v>0</v>
      </c>
      <c r="Z69" s="304" cm="1">
        <f t="array" ref="Z69">IF(AND(Z$2&lt;&gt;0,TblTech[[#This Row],[Hour]:[Hour]]&gt;=Z$2),1,0)</f>
        <v>0</v>
      </c>
      <c r="AA69" s="304" cm="1">
        <f t="array" ref="AA69">IF(AND(AA$2&lt;&gt;0,TblTech[[#This Row],[Hour]:[Hour]]&gt;=AA$2),1,0)</f>
        <v>0</v>
      </c>
      <c r="AB69" s="304" cm="1">
        <f t="array" ref="AB69">IF(AND(AB$2&lt;&gt;0,TblTech[[#This Row],[Hour]:[Hour]]&gt;=AB$2),1,0)</f>
        <v>0</v>
      </c>
      <c r="AC69" s="304" cm="1">
        <f t="array" ref="AC69">IF(AND(AC$2&lt;&gt;0,TblTech[[#This Row],[Hour]:[Hour]]&gt;=AC$2),1,0)</f>
        <v>0</v>
      </c>
      <c r="AD69" s="304" cm="1">
        <f t="array" ref="AD69">IF(AND(AD$2&lt;&gt;0,TblTech[[#This Row],[Hour]:[Hour]]&gt;=AD$2),1,0)</f>
        <v>0</v>
      </c>
      <c r="AE69" s="304" cm="1">
        <f t="array" ref="AE69">IF(AND(AE$2&lt;&gt;0,TblTech[[#This Row],[Hour]:[Hour]]&gt;=AE$2),1,0)</f>
        <v>0</v>
      </c>
      <c r="AF69" s="304" cm="1">
        <f t="array" ref="AF69">IF(AND(AF$2&lt;&gt;0,TblTech[[#This Row],[Hour]:[Hour]]&gt;=AF$2),1,0)</f>
        <v>0</v>
      </c>
      <c r="AG69" s="304" cm="1">
        <f t="array" ref="AG69">IF(AND(AG$2&lt;&gt;0,TblTech[[#This Row],[Hour]:[Hour]]&gt;=AG$2),1,0)</f>
        <v>0</v>
      </c>
      <c r="AH69" s="304" cm="1">
        <f t="array" ref="AH69">IF(AND(AH$2&lt;&gt;0,TblTech[[#This Row],[Hour]:[Hour]]&gt;=AH$2),1,0)</f>
        <v>0</v>
      </c>
      <c r="AI69" s="304" cm="1">
        <f t="array" ref="AI69">IF(AND(AI$2&lt;&gt;0,TblTech[[#This Row],[Hour]:[Hour]]&gt;=AI$2),1,0)</f>
        <v>0</v>
      </c>
      <c r="AJ69" s="304" cm="1">
        <f t="array" ref="AJ69">IF(AND(AJ$2&lt;&gt;0,TblTech[[#This Row],[Hour]:[Hour]]&gt;=AJ$2),1,0)</f>
        <v>0</v>
      </c>
      <c r="AK69" s="304" cm="1">
        <f t="array" ref="AK69">IF(AND(AK$2&lt;&gt;0,TblTech[[#This Row],[Hour]:[Hour]]&gt;=AK$2),1,0)</f>
        <v>0</v>
      </c>
      <c r="AL69" s="304" cm="1">
        <f t="array" ref="AL69">IF(AND(AL$2&lt;&gt;0,TblTech[[#This Row],[Hour]:[Hour]]&gt;=AL$2),1,0)</f>
        <v>0</v>
      </c>
      <c r="AM69" s="304" cm="1">
        <f t="array" ref="AM69">IF(AND(AM$2&lt;&gt;0,TblTech[[#This Row],[Hour]:[Hour]]&gt;=AM$2),1,0)</f>
        <v>0</v>
      </c>
      <c r="AN69" s="304" cm="1">
        <f t="array" ref="AN69">IF(AND(AN$2&lt;&gt;0,TblTech[[#This Row],[Hour]:[Hour]]&gt;=AN$2),1,0)</f>
        <v>0</v>
      </c>
      <c r="AO69" s="304" cm="1">
        <f t="array" ref="AO69">IF(AND(AO$2&lt;&gt;0,TblTech[[#This Row],[Hour]:[Hour]]&gt;=AO$2),1,0)</f>
        <v>0</v>
      </c>
      <c r="AP69" s="304" cm="1">
        <f t="array" ref="AP69">IF(AND(AP$2&lt;&gt;0,TblTech[[#This Row],[Hour]:[Hour]]&gt;=AP$2),1,0)</f>
        <v>0</v>
      </c>
      <c r="AQ69" s="304" cm="1">
        <f t="array" ref="AQ69">IF(AND(AQ$2&lt;&gt;0,TblTech[[#This Row],[Hour]:[Hour]]&gt;=AQ$2),1,0)</f>
        <v>0</v>
      </c>
      <c r="AR69" s="304" cm="1">
        <f t="array" ref="AR69">IF(AND(AR$2&lt;&gt;0,TblTech[[#This Row],[Hour]:[Hour]]&gt;=AR$2),1,0)</f>
        <v>0</v>
      </c>
      <c r="AS69" s="304" cm="1">
        <f t="array" ref="AS69">IF(AND(AS$2&lt;&gt;0,TblTech[[#This Row],[Hour]:[Hour]]&gt;=AS$2),1,0)</f>
        <v>0</v>
      </c>
      <c r="AT69" s="304" cm="1">
        <f t="array" ref="AT69">IF(AND(AT$2&lt;&gt;0,TblTech[[#This Row],[Hour]:[Hour]]&gt;=AT$2),1,0)</f>
        <v>0</v>
      </c>
      <c r="AU69" s="304" cm="1">
        <f t="array" ref="AU69">IF(AND(AU$2&lt;&gt;0,TblTech[[#This Row],[Hour]:[Hour]]&gt;=AU$2),1,0)</f>
        <v>0</v>
      </c>
      <c r="AV69" s="304" cm="1">
        <f t="array" ref="AV69">IF(AND(AV$2&lt;&gt;0,TblTech[[#This Row],[Hour]:[Hour]]&gt;=AV$2),1,0)</f>
        <v>0</v>
      </c>
      <c r="AW69" s="304" cm="1">
        <f t="array" ref="AW69">IF(AND(AW$2&lt;&gt;0,TblTech[[#This Row],[Hour]:[Hour]]&gt;=AW$2),1,0)</f>
        <v>0</v>
      </c>
      <c r="AX69" s="304" cm="1">
        <f t="array" ref="AX69">IF(AND(AX$2&lt;&gt;0,TblTech[[#This Row],[Hour]:[Hour]]&gt;=AX$2),1,0)</f>
        <v>0</v>
      </c>
      <c r="AY69" s="304" cm="1">
        <f t="array" ref="AY69">IF(AND(AY$2&lt;&gt;0,TblTech[[#This Row],[Hour]:[Hour]]&gt;=AY$2),1,0)</f>
        <v>0</v>
      </c>
      <c r="AZ69" s="304" cm="1">
        <f t="array" ref="AZ69">IF(AND(AZ$2&lt;&gt;0,TblTech[[#This Row],[Hour]:[Hour]]&gt;=AZ$2),1,0)</f>
        <v>0</v>
      </c>
      <c r="BA69" s="304" cm="1">
        <f t="array" ref="BA69">IF(AND(BA$2&lt;&gt;0,TblTech[[#This Row],[Hour]:[Hour]]&gt;=BA$2),1,0)</f>
        <v>0</v>
      </c>
      <c r="BB69" s="304" cm="1">
        <f t="array" ref="BB69">IF(AND(BB$2&lt;&gt;0,TblTech[[#This Row],[Hour]:[Hour]]&gt;=BB$2),1,0)</f>
        <v>0</v>
      </c>
      <c r="BC69" s="304" cm="1">
        <f t="array" ref="BC69">IF(AND(BC$2&lt;&gt;0,TblTech[[#This Row],[Hour]:[Hour]]&gt;=BC$2),1,0)</f>
        <v>0</v>
      </c>
      <c r="BD69" s="304" cm="1">
        <f t="array" ref="BD69">IF(AND(BD$2&lt;&gt;0,TblTech[[#This Row],[Hour]:[Hour]]&gt;=BD$2),1,0)</f>
        <v>0</v>
      </c>
      <c r="BE69" s="304" cm="1">
        <f t="array" ref="BE69">IF(AND(BE$2&lt;&gt;0,TblTech[[#This Row],[Hour]:[Hour]]&gt;=BE$2),1,0)</f>
        <v>0</v>
      </c>
      <c r="BF69" s="304" cm="1">
        <f t="array" ref="BF69">IF(AND(BF$2&lt;&gt;0,TblTech[[#This Row],[Hour]:[Hour]]&gt;=BF$2),1,0)</f>
        <v>0</v>
      </c>
      <c r="BG69" s="304" cm="1">
        <f t="array" ref="BG69">IF(AND(BG$2&lt;&gt;0,TblTech[[#This Row],[Hour]:[Hour]]&gt;=BG$2),1,0)</f>
        <v>0</v>
      </c>
      <c r="BH69" s="304" cm="1">
        <f t="array" ref="BH69">IF(AND(BH$2&lt;&gt;0,TblTech[[#This Row],[Hour]:[Hour]]&gt;=BH$2),1,0)</f>
        <v>0</v>
      </c>
      <c r="BI69" s="304" cm="1">
        <f t="array" ref="BI69">IF(AND(BI$2&lt;&gt;0,TblTech[[#This Row],[Hour]:[Hour]]&gt;=BI$2),1,0)</f>
        <v>0</v>
      </c>
      <c r="BJ69" s="304" cm="1">
        <f t="array" ref="BJ69">IF(AND(BJ$2&lt;&gt;0,TblTech[[#This Row],[Hour]:[Hour]]&gt;=BJ$2),1,0)</f>
        <v>0</v>
      </c>
      <c r="BK69" s="304" cm="1">
        <f t="array" ref="BK69">IF(AND(BK$2&lt;&gt;0,TblTech[[#This Row],[Hour]:[Hour]]&gt;=BK$2),1,0)</f>
        <v>0</v>
      </c>
      <c r="BL69" s="304" cm="1">
        <f t="array" ref="BL69">IF(AND(BL$2&lt;&gt;0,TblTech[[#This Row],[Hour]:[Hour]]&gt;=BL$2),1,0)</f>
        <v>0</v>
      </c>
      <c r="BM69" s="304" cm="1">
        <f t="array" ref="BM69">IF(AND(BM$2&lt;&gt;0,TblTech[[#This Row],[Hour]:[Hour]]&gt;=BM$2),1,0)</f>
        <v>0</v>
      </c>
      <c r="BN69" s="304" cm="1">
        <f t="array" ref="BN69">IF(AND(BN$2&lt;&gt;0,TblTech[[#This Row],[Hour]:[Hour]]&gt;=BN$2),1,0)</f>
        <v>0</v>
      </c>
      <c r="BO69" s="304" cm="1">
        <f t="array" ref="BO69">IF(AND(BO$2&lt;&gt;0,TblTech[[#This Row],[Hour]:[Hour]]&gt;=BO$2),1,0)</f>
        <v>0</v>
      </c>
      <c r="BP69" s="304" cm="1">
        <f t="array" ref="BP69">IF(AND(BP$2&lt;&gt;0,TblTech[[#This Row],[Hour]:[Hour]]&gt;=BP$2),1,0)</f>
        <v>0</v>
      </c>
      <c r="BQ69" s="304" cm="1">
        <f t="array" ref="BQ69">IF(AND(BQ$2&lt;&gt;0,TblTech[[#This Row],[Hour]:[Hour]]&gt;=BQ$2),1,0)</f>
        <v>0</v>
      </c>
      <c r="BR69" s="304" cm="1">
        <f t="array" ref="BR69">IF(AND(BR$2&lt;&gt;0,TblTech[[#This Row],[Hour]:[Hour]]&gt;=BR$2),1,0)</f>
        <v>0</v>
      </c>
      <c r="BS69" s="304" cm="1">
        <f t="array" ref="BS69">IF(AND(BS$2&lt;&gt;0,TblTech[[#This Row],[Hour]:[Hour]]&gt;=BS$2),1,0)</f>
        <v>0</v>
      </c>
      <c r="BT69" s="304" cm="1">
        <f t="array" ref="BT69">IF(AND(BT$2&lt;&gt;0,TblTech[[#This Row],[Hour]:[Hour]]&gt;=BT$2),1,0)</f>
        <v>0</v>
      </c>
      <c r="BU69" s="304" cm="1">
        <f t="array" ref="BU69">IF(AND(BU$2&lt;&gt;0,TblTech[[#This Row],[Hour]:[Hour]]&gt;=BU$2),1,0)</f>
        <v>0</v>
      </c>
      <c r="BV69" s="304" cm="1">
        <f t="array" ref="BV69">IF(AND(BV$2&lt;&gt;0,TblTech[[#This Row],[Hour]:[Hour]]&gt;=BV$2),1,0)</f>
        <v>0</v>
      </c>
      <c r="BW69" s="304" cm="1">
        <f t="array" ref="BW69">IF(AND(BW$2&lt;&gt;0,TblTech[[#This Row],[Hour]:[Hour]]&gt;=BW$2),1,0)</f>
        <v>0</v>
      </c>
      <c r="BX69" s="304" cm="1">
        <f t="array" ref="BX69">IF(AND(BX$2&lt;&gt;0,TblTech[[#This Row],[Hour]:[Hour]]&gt;=BX$2),1,0)</f>
        <v>0</v>
      </c>
      <c r="BY69" s="304" cm="1">
        <f t="array" ref="BY69">IF(AND(BY$2&lt;&gt;0,TblTech[[#This Row],[Hour]:[Hour]]&gt;=BY$2),1,0)</f>
        <v>0</v>
      </c>
      <c r="BZ69" s="304" cm="1">
        <f t="array" ref="BZ69">IF(AND(BZ$2&lt;&gt;0,TblTech[[#This Row],[Hour]:[Hour]]&gt;=BZ$2),1,0)</f>
        <v>0</v>
      </c>
      <c r="CA69" s="408">
        <f>IFERROR(INDEX($H$4:$H$79,MATCH(INDEX(TblTech[[#Headers],[1-1]:[11-1]],1,MATCH(TblTech[[#This Row],[Hour]],$M$2:$BZ$2,0)),$G$4:$G$79,0)),)</f>
        <v>0</v>
      </c>
    </row>
    <row r="70" spans="1:79" x14ac:dyDescent="0.2">
      <c r="A70" s="296">
        <f>TblRezone[[#This Row],[Hour]]</f>
        <v>67</v>
      </c>
      <c r="B70" s="297">
        <f ca="1">TblExplore[[#This Row],[Land-DB]]</f>
        <v>250</v>
      </c>
      <c r="C70" s="298">
        <f ca="1">TblProd[[#This Row],[Techpoints]]</f>
        <v>0</v>
      </c>
      <c r="D70" s="298">
        <f ca="1">TblProd[[#This Row],[Required]]</f>
        <v>3750</v>
      </c>
      <c r="E70" s="299"/>
      <c r="F70" s="300"/>
      <c r="G70" s="301" t="s">
        <v>630</v>
      </c>
      <c r="H70" s="302" t="s">
        <v>748</v>
      </c>
      <c r="I70" s="301" t="s">
        <v>777</v>
      </c>
      <c r="J70" s="297"/>
      <c r="K70" s="96">
        <f ca="1">IF(TblTech[[#This Row],[Sum of tech]]&lt;&gt;OFFSET(TblTech[[#This Row],[Sum of tech]],-1,0),1,0)</f>
        <v>0</v>
      </c>
      <c r="L70" s="303">
        <f>COUNTIF(TblTech[[#This Row],[1-1]:[11-1]],1)</f>
        <v>0</v>
      </c>
      <c r="M70" s="304" cm="1">
        <f t="array" ref="M70">IF(AND(M$2&lt;&gt;0,TblTech[[#This Row],[Hour]:[Hour]]&gt;=M$2),1,0)</f>
        <v>0</v>
      </c>
      <c r="N70" s="304" cm="1">
        <f t="array" ref="N70">IF(AND(N$2&lt;&gt;0,TblTech[[#This Row],[Hour]:[Hour]]&gt;=N$2),1,0)</f>
        <v>0</v>
      </c>
      <c r="O70" s="304" cm="1">
        <f t="array" ref="O70">IF(AND(O$2&lt;&gt;0,TblTech[[#This Row],[Hour]:[Hour]]&gt;=O$2),1,0)</f>
        <v>0</v>
      </c>
      <c r="P70" s="304" cm="1">
        <f t="array" ref="P70">IF(AND(P$2&lt;&gt;0,TblTech[[#This Row],[Hour]:[Hour]]&gt;=P$2),1,0)</f>
        <v>0</v>
      </c>
      <c r="Q70" s="304" cm="1">
        <f t="array" ref="Q70">IF(AND(Q$2&lt;&gt;0,TblTech[[#This Row],[Hour]:[Hour]]&gt;=Q$2),1,0)</f>
        <v>0</v>
      </c>
      <c r="R70" s="304" cm="1">
        <f t="array" ref="R70">IF(AND(R$2&lt;&gt;0,TblTech[[#This Row],[Hour]:[Hour]]&gt;=R$2),1,0)</f>
        <v>0</v>
      </c>
      <c r="S70" s="304" cm="1">
        <f t="array" ref="S70">IF(AND(S$2&lt;&gt;0,TblTech[[#This Row],[Hour]:[Hour]]&gt;=S$2),1,0)</f>
        <v>0</v>
      </c>
      <c r="T70" s="304" cm="1">
        <f t="array" ref="T70">IF(AND(T$2&lt;&gt;0,TblTech[[#This Row],[Hour]:[Hour]]&gt;=T$2),1,0)</f>
        <v>0</v>
      </c>
      <c r="U70" s="304" cm="1">
        <f t="array" ref="U70">IF(AND(U$2&lt;&gt;0,TblTech[[#This Row],[Hour]:[Hour]]&gt;=U$2),1,0)</f>
        <v>0</v>
      </c>
      <c r="V70" s="304" cm="1">
        <f t="array" ref="V70">IF(AND(V$2&lt;&gt;0,TblTech[[#This Row],[Hour]:[Hour]]&gt;=V$2),1,0)</f>
        <v>0</v>
      </c>
      <c r="W70" s="304" cm="1">
        <f t="array" ref="W70">IF(AND(W$2&lt;&gt;0,TblTech[[#This Row],[Hour]:[Hour]]&gt;=W$2),1,0)</f>
        <v>0</v>
      </c>
      <c r="X70" s="304" cm="1">
        <f t="array" ref="X70">IF(AND(X$2&lt;&gt;0,TblTech[[#This Row],[Hour]:[Hour]]&gt;=X$2),1,0)</f>
        <v>0</v>
      </c>
      <c r="Y70" s="304" cm="1">
        <f t="array" ref="Y70">IF(AND(Y$2&lt;&gt;0,TblTech[[#This Row],[Hour]:[Hour]]&gt;=Y$2),1,0)</f>
        <v>0</v>
      </c>
      <c r="Z70" s="304" cm="1">
        <f t="array" ref="Z70">IF(AND(Z$2&lt;&gt;0,TblTech[[#This Row],[Hour]:[Hour]]&gt;=Z$2),1,0)</f>
        <v>0</v>
      </c>
      <c r="AA70" s="304" cm="1">
        <f t="array" ref="AA70">IF(AND(AA$2&lt;&gt;0,TblTech[[#This Row],[Hour]:[Hour]]&gt;=AA$2),1,0)</f>
        <v>0</v>
      </c>
      <c r="AB70" s="304" cm="1">
        <f t="array" ref="AB70">IF(AND(AB$2&lt;&gt;0,TblTech[[#This Row],[Hour]:[Hour]]&gt;=AB$2),1,0)</f>
        <v>0</v>
      </c>
      <c r="AC70" s="304" cm="1">
        <f t="array" ref="AC70">IF(AND(AC$2&lt;&gt;0,TblTech[[#This Row],[Hour]:[Hour]]&gt;=AC$2),1,0)</f>
        <v>0</v>
      </c>
      <c r="AD70" s="304" cm="1">
        <f t="array" ref="AD70">IF(AND(AD$2&lt;&gt;0,TblTech[[#This Row],[Hour]:[Hour]]&gt;=AD$2),1,0)</f>
        <v>0</v>
      </c>
      <c r="AE70" s="304" cm="1">
        <f t="array" ref="AE70">IF(AND(AE$2&lt;&gt;0,TblTech[[#This Row],[Hour]:[Hour]]&gt;=AE$2),1,0)</f>
        <v>0</v>
      </c>
      <c r="AF70" s="304" cm="1">
        <f t="array" ref="AF70">IF(AND(AF$2&lt;&gt;0,TblTech[[#This Row],[Hour]:[Hour]]&gt;=AF$2),1,0)</f>
        <v>0</v>
      </c>
      <c r="AG70" s="304" cm="1">
        <f t="array" ref="AG70">IF(AND(AG$2&lt;&gt;0,TblTech[[#This Row],[Hour]:[Hour]]&gt;=AG$2),1,0)</f>
        <v>0</v>
      </c>
      <c r="AH70" s="304" cm="1">
        <f t="array" ref="AH70">IF(AND(AH$2&lt;&gt;0,TblTech[[#This Row],[Hour]:[Hour]]&gt;=AH$2),1,0)</f>
        <v>0</v>
      </c>
      <c r="AI70" s="304" cm="1">
        <f t="array" ref="AI70">IF(AND(AI$2&lt;&gt;0,TblTech[[#This Row],[Hour]:[Hour]]&gt;=AI$2),1,0)</f>
        <v>0</v>
      </c>
      <c r="AJ70" s="304" cm="1">
        <f t="array" ref="AJ70">IF(AND(AJ$2&lt;&gt;0,TblTech[[#This Row],[Hour]:[Hour]]&gt;=AJ$2),1,0)</f>
        <v>0</v>
      </c>
      <c r="AK70" s="304" cm="1">
        <f t="array" ref="AK70">IF(AND(AK$2&lt;&gt;0,TblTech[[#This Row],[Hour]:[Hour]]&gt;=AK$2),1,0)</f>
        <v>0</v>
      </c>
      <c r="AL70" s="304" cm="1">
        <f t="array" ref="AL70">IF(AND(AL$2&lt;&gt;0,TblTech[[#This Row],[Hour]:[Hour]]&gt;=AL$2),1,0)</f>
        <v>0</v>
      </c>
      <c r="AM70" s="304" cm="1">
        <f t="array" ref="AM70">IF(AND(AM$2&lt;&gt;0,TblTech[[#This Row],[Hour]:[Hour]]&gt;=AM$2),1,0)</f>
        <v>0</v>
      </c>
      <c r="AN70" s="304" cm="1">
        <f t="array" ref="AN70">IF(AND(AN$2&lt;&gt;0,TblTech[[#This Row],[Hour]:[Hour]]&gt;=AN$2),1,0)</f>
        <v>0</v>
      </c>
      <c r="AO70" s="304" cm="1">
        <f t="array" ref="AO70">IF(AND(AO$2&lt;&gt;0,TblTech[[#This Row],[Hour]:[Hour]]&gt;=AO$2),1,0)</f>
        <v>0</v>
      </c>
      <c r="AP70" s="304" cm="1">
        <f t="array" ref="AP70">IF(AND(AP$2&lt;&gt;0,TblTech[[#This Row],[Hour]:[Hour]]&gt;=AP$2),1,0)</f>
        <v>0</v>
      </c>
      <c r="AQ70" s="304" cm="1">
        <f t="array" ref="AQ70">IF(AND(AQ$2&lt;&gt;0,TblTech[[#This Row],[Hour]:[Hour]]&gt;=AQ$2),1,0)</f>
        <v>0</v>
      </c>
      <c r="AR70" s="304" cm="1">
        <f t="array" ref="AR70">IF(AND(AR$2&lt;&gt;0,TblTech[[#This Row],[Hour]:[Hour]]&gt;=AR$2),1,0)</f>
        <v>0</v>
      </c>
      <c r="AS70" s="304" cm="1">
        <f t="array" ref="AS70">IF(AND(AS$2&lt;&gt;0,TblTech[[#This Row],[Hour]:[Hour]]&gt;=AS$2),1,0)</f>
        <v>0</v>
      </c>
      <c r="AT70" s="304" cm="1">
        <f t="array" ref="AT70">IF(AND(AT$2&lt;&gt;0,TblTech[[#This Row],[Hour]:[Hour]]&gt;=AT$2),1,0)</f>
        <v>0</v>
      </c>
      <c r="AU70" s="304" cm="1">
        <f t="array" ref="AU70">IF(AND(AU$2&lt;&gt;0,TblTech[[#This Row],[Hour]:[Hour]]&gt;=AU$2),1,0)</f>
        <v>0</v>
      </c>
      <c r="AV70" s="304" cm="1">
        <f t="array" ref="AV70">IF(AND(AV$2&lt;&gt;0,TblTech[[#This Row],[Hour]:[Hour]]&gt;=AV$2),1,0)</f>
        <v>0</v>
      </c>
      <c r="AW70" s="304" cm="1">
        <f t="array" ref="AW70">IF(AND(AW$2&lt;&gt;0,TblTech[[#This Row],[Hour]:[Hour]]&gt;=AW$2),1,0)</f>
        <v>0</v>
      </c>
      <c r="AX70" s="304" cm="1">
        <f t="array" ref="AX70">IF(AND(AX$2&lt;&gt;0,TblTech[[#This Row],[Hour]:[Hour]]&gt;=AX$2),1,0)</f>
        <v>0</v>
      </c>
      <c r="AY70" s="304" cm="1">
        <f t="array" ref="AY70">IF(AND(AY$2&lt;&gt;0,TblTech[[#This Row],[Hour]:[Hour]]&gt;=AY$2),1,0)</f>
        <v>0</v>
      </c>
      <c r="AZ70" s="304" cm="1">
        <f t="array" ref="AZ70">IF(AND(AZ$2&lt;&gt;0,TblTech[[#This Row],[Hour]:[Hour]]&gt;=AZ$2),1,0)</f>
        <v>0</v>
      </c>
      <c r="BA70" s="304" cm="1">
        <f t="array" ref="BA70">IF(AND(BA$2&lt;&gt;0,TblTech[[#This Row],[Hour]:[Hour]]&gt;=BA$2),1,0)</f>
        <v>0</v>
      </c>
      <c r="BB70" s="304" cm="1">
        <f t="array" ref="BB70">IF(AND(BB$2&lt;&gt;0,TblTech[[#This Row],[Hour]:[Hour]]&gt;=BB$2),1,0)</f>
        <v>0</v>
      </c>
      <c r="BC70" s="304" cm="1">
        <f t="array" ref="BC70">IF(AND(BC$2&lt;&gt;0,TblTech[[#This Row],[Hour]:[Hour]]&gt;=BC$2),1,0)</f>
        <v>0</v>
      </c>
      <c r="BD70" s="304" cm="1">
        <f t="array" ref="BD70">IF(AND(BD$2&lt;&gt;0,TblTech[[#This Row],[Hour]:[Hour]]&gt;=BD$2),1,0)</f>
        <v>0</v>
      </c>
      <c r="BE70" s="304" cm="1">
        <f t="array" ref="BE70">IF(AND(BE$2&lt;&gt;0,TblTech[[#This Row],[Hour]:[Hour]]&gt;=BE$2),1,0)</f>
        <v>0</v>
      </c>
      <c r="BF70" s="304" cm="1">
        <f t="array" ref="BF70">IF(AND(BF$2&lt;&gt;0,TblTech[[#This Row],[Hour]:[Hour]]&gt;=BF$2),1,0)</f>
        <v>0</v>
      </c>
      <c r="BG70" s="304" cm="1">
        <f t="array" ref="BG70">IF(AND(BG$2&lt;&gt;0,TblTech[[#This Row],[Hour]:[Hour]]&gt;=BG$2),1,0)</f>
        <v>0</v>
      </c>
      <c r="BH70" s="304" cm="1">
        <f t="array" ref="BH70">IF(AND(BH$2&lt;&gt;0,TblTech[[#This Row],[Hour]:[Hour]]&gt;=BH$2),1,0)</f>
        <v>0</v>
      </c>
      <c r="BI70" s="304" cm="1">
        <f t="array" ref="BI70">IF(AND(BI$2&lt;&gt;0,TblTech[[#This Row],[Hour]:[Hour]]&gt;=BI$2),1,0)</f>
        <v>0</v>
      </c>
      <c r="BJ70" s="304" cm="1">
        <f t="array" ref="BJ70">IF(AND(BJ$2&lt;&gt;0,TblTech[[#This Row],[Hour]:[Hour]]&gt;=BJ$2),1,0)</f>
        <v>0</v>
      </c>
      <c r="BK70" s="304" cm="1">
        <f t="array" ref="BK70">IF(AND(BK$2&lt;&gt;0,TblTech[[#This Row],[Hour]:[Hour]]&gt;=BK$2),1,0)</f>
        <v>0</v>
      </c>
      <c r="BL70" s="304" cm="1">
        <f t="array" ref="BL70">IF(AND(BL$2&lt;&gt;0,TblTech[[#This Row],[Hour]:[Hour]]&gt;=BL$2),1,0)</f>
        <v>0</v>
      </c>
      <c r="BM70" s="304" cm="1">
        <f t="array" ref="BM70">IF(AND(BM$2&lt;&gt;0,TblTech[[#This Row],[Hour]:[Hour]]&gt;=BM$2),1,0)</f>
        <v>0</v>
      </c>
      <c r="BN70" s="304" cm="1">
        <f t="array" ref="BN70">IF(AND(BN$2&lt;&gt;0,TblTech[[#This Row],[Hour]:[Hour]]&gt;=BN$2),1,0)</f>
        <v>0</v>
      </c>
      <c r="BO70" s="304" cm="1">
        <f t="array" ref="BO70">IF(AND(BO$2&lt;&gt;0,TblTech[[#This Row],[Hour]:[Hour]]&gt;=BO$2),1,0)</f>
        <v>0</v>
      </c>
      <c r="BP70" s="304" cm="1">
        <f t="array" ref="BP70">IF(AND(BP$2&lt;&gt;0,TblTech[[#This Row],[Hour]:[Hour]]&gt;=BP$2),1,0)</f>
        <v>0</v>
      </c>
      <c r="BQ70" s="304" cm="1">
        <f t="array" ref="BQ70">IF(AND(BQ$2&lt;&gt;0,TblTech[[#This Row],[Hour]:[Hour]]&gt;=BQ$2),1,0)</f>
        <v>0</v>
      </c>
      <c r="BR70" s="304" cm="1">
        <f t="array" ref="BR70">IF(AND(BR$2&lt;&gt;0,TblTech[[#This Row],[Hour]:[Hour]]&gt;=BR$2),1,0)</f>
        <v>0</v>
      </c>
      <c r="BS70" s="304" cm="1">
        <f t="array" ref="BS70">IF(AND(BS$2&lt;&gt;0,TblTech[[#This Row],[Hour]:[Hour]]&gt;=BS$2),1,0)</f>
        <v>0</v>
      </c>
      <c r="BT70" s="304" cm="1">
        <f t="array" ref="BT70">IF(AND(BT$2&lt;&gt;0,TblTech[[#This Row],[Hour]:[Hour]]&gt;=BT$2),1,0)</f>
        <v>0</v>
      </c>
      <c r="BU70" s="304" cm="1">
        <f t="array" ref="BU70">IF(AND(BU$2&lt;&gt;0,TblTech[[#This Row],[Hour]:[Hour]]&gt;=BU$2),1,0)</f>
        <v>0</v>
      </c>
      <c r="BV70" s="304" cm="1">
        <f t="array" ref="BV70">IF(AND(BV$2&lt;&gt;0,TblTech[[#This Row],[Hour]:[Hour]]&gt;=BV$2),1,0)</f>
        <v>0</v>
      </c>
      <c r="BW70" s="304" cm="1">
        <f t="array" ref="BW70">IF(AND(BW$2&lt;&gt;0,TblTech[[#This Row],[Hour]:[Hour]]&gt;=BW$2),1,0)</f>
        <v>0</v>
      </c>
      <c r="BX70" s="304" cm="1">
        <f t="array" ref="BX70">IF(AND(BX$2&lt;&gt;0,TblTech[[#This Row],[Hour]:[Hour]]&gt;=BX$2),1,0)</f>
        <v>0</v>
      </c>
      <c r="BY70" s="304" cm="1">
        <f t="array" ref="BY70">IF(AND(BY$2&lt;&gt;0,TblTech[[#This Row],[Hour]:[Hour]]&gt;=BY$2),1,0)</f>
        <v>0</v>
      </c>
      <c r="BZ70" s="304" cm="1">
        <f t="array" ref="BZ70">IF(AND(BZ$2&lt;&gt;0,TblTech[[#This Row],[Hour]:[Hour]]&gt;=BZ$2),1,0)</f>
        <v>0</v>
      </c>
      <c r="CA70" s="408">
        <f>IFERROR(INDEX($H$4:$H$79,MATCH(INDEX(TblTech[[#Headers],[1-1]:[11-1]],1,MATCH(TblTech[[#This Row],[Hour]],$M$2:$BZ$2,0)),$G$4:$G$79,0)),)</f>
        <v>0</v>
      </c>
    </row>
    <row r="71" spans="1:79" x14ac:dyDescent="0.2">
      <c r="A71" s="296">
        <f>TblRezone[[#This Row],[Hour]]</f>
        <v>68</v>
      </c>
      <c r="B71" s="297">
        <f ca="1">TblExplore[[#This Row],[Land-DB]]</f>
        <v>250</v>
      </c>
      <c r="C71" s="298">
        <f ca="1">TblProd[[#This Row],[Techpoints]]</f>
        <v>0</v>
      </c>
      <c r="D71" s="298">
        <f ca="1">TblProd[[#This Row],[Required]]</f>
        <v>3750</v>
      </c>
      <c r="E71" s="299"/>
      <c r="F71" s="300"/>
      <c r="G71" s="301"/>
      <c r="H71" s="302"/>
      <c r="I71" s="301"/>
      <c r="J71" s="297"/>
      <c r="K71" s="96">
        <f ca="1">IF(TblTech[[#This Row],[Sum of tech]]&lt;&gt;OFFSET(TblTech[[#This Row],[Sum of tech]],-1,0),1,0)</f>
        <v>0</v>
      </c>
      <c r="L71" s="303">
        <f>COUNTIF(TblTech[[#This Row],[1-1]:[11-1]],1)</f>
        <v>0</v>
      </c>
      <c r="M71" s="304" cm="1">
        <f t="array" ref="M71">IF(AND(M$2&lt;&gt;0,TblTech[[#This Row],[Hour]:[Hour]]&gt;=M$2),1,0)</f>
        <v>0</v>
      </c>
      <c r="N71" s="304" cm="1">
        <f t="array" ref="N71">IF(AND(N$2&lt;&gt;0,TblTech[[#This Row],[Hour]:[Hour]]&gt;=N$2),1,0)</f>
        <v>0</v>
      </c>
      <c r="O71" s="304" cm="1">
        <f t="array" ref="O71">IF(AND(O$2&lt;&gt;0,TblTech[[#This Row],[Hour]:[Hour]]&gt;=O$2),1,0)</f>
        <v>0</v>
      </c>
      <c r="P71" s="304" cm="1">
        <f t="array" ref="P71">IF(AND(P$2&lt;&gt;0,TblTech[[#This Row],[Hour]:[Hour]]&gt;=P$2),1,0)</f>
        <v>0</v>
      </c>
      <c r="Q71" s="304" cm="1">
        <f t="array" ref="Q71">IF(AND(Q$2&lt;&gt;0,TblTech[[#This Row],[Hour]:[Hour]]&gt;=Q$2),1,0)</f>
        <v>0</v>
      </c>
      <c r="R71" s="304" cm="1">
        <f t="array" ref="R71">IF(AND(R$2&lt;&gt;0,TblTech[[#This Row],[Hour]:[Hour]]&gt;=R$2),1,0)</f>
        <v>0</v>
      </c>
      <c r="S71" s="304" cm="1">
        <f t="array" ref="S71">IF(AND(S$2&lt;&gt;0,TblTech[[#This Row],[Hour]:[Hour]]&gt;=S$2),1,0)</f>
        <v>0</v>
      </c>
      <c r="T71" s="304" cm="1">
        <f t="array" ref="T71">IF(AND(T$2&lt;&gt;0,TblTech[[#This Row],[Hour]:[Hour]]&gt;=T$2),1,0)</f>
        <v>0</v>
      </c>
      <c r="U71" s="304" cm="1">
        <f t="array" ref="U71">IF(AND(U$2&lt;&gt;0,TblTech[[#This Row],[Hour]:[Hour]]&gt;=U$2),1,0)</f>
        <v>0</v>
      </c>
      <c r="V71" s="304" cm="1">
        <f t="array" ref="V71">IF(AND(V$2&lt;&gt;0,TblTech[[#This Row],[Hour]:[Hour]]&gt;=V$2),1,0)</f>
        <v>0</v>
      </c>
      <c r="W71" s="304" cm="1">
        <f t="array" ref="W71">IF(AND(W$2&lt;&gt;0,TblTech[[#This Row],[Hour]:[Hour]]&gt;=W$2),1,0)</f>
        <v>0</v>
      </c>
      <c r="X71" s="304" cm="1">
        <f t="array" ref="X71">IF(AND(X$2&lt;&gt;0,TblTech[[#This Row],[Hour]:[Hour]]&gt;=X$2),1,0)</f>
        <v>0</v>
      </c>
      <c r="Y71" s="304" cm="1">
        <f t="array" ref="Y71">IF(AND(Y$2&lt;&gt;0,TblTech[[#This Row],[Hour]:[Hour]]&gt;=Y$2),1,0)</f>
        <v>0</v>
      </c>
      <c r="Z71" s="304" cm="1">
        <f t="array" ref="Z71">IF(AND(Z$2&lt;&gt;0,TblTech[[#This Row],[Hour]:[Hour]]&gt;=Z$2),1,0)</f>
        <v>0</v>
      </c>
      <c r="AA71" s="304" cm="1">
        <f t="array" ref="AA71">IF(AND(AA$2&lt;&gt;0,TblTech[[#This Row],[Hour]:[Hour]]&gt;=AA$2),1,0)</f>
        <v>0</v>
      </c>
      <c r="AB71" s="304" cm="1">
        <f t="array" ref="AB71">IF(AND(AB$2&lt;&gt;0,TblTech[[#This Row],[Hour]:[Hour]]&gt;=AB$2),1,0)</f>
        <v>0</v>
      </c>
      <c r="AC71" s="304" cm="1">
        <f t="array" ref="AC71">IF(AND(AC$2&lt;&gt;0,TblTech[[#This Row],[Hour]:[Hour]]&gt;=AC$2),1,0)</f>
        <v>0</v>
      </c>
      <c r="AD71" s="304" cm="1">
        <f t="array" ref="AD71">IF(AND(AD$2&lt;&gt;0,TblTech[[#This Row],[Hour]:[Hour]]&gt;=AD$2),1,0)</f>
        <v>0</v>
      </c>
      <c r="AE71" s="304" cm="1">
        <f t="array" ref="AE71">IF(AND(AE$2&lt;&gt;0,TblTech[[#This Row],[Hour]:[Hour]]&gt;=AE$2),1,0)</f>
        <v>0</v>
      </c>
      <c r="AF71" s="304" cm="1">
        <f t="array" ref="AF71">IF(AND(AF$2&lt;&gt;0,TblTech[[#This Row],[Hour]:[Hour]]&gt;=AF$2),1,0)</f>
        <v>0</v>
      </c>
      <c r="AG71" s="304" cm="1">
        <f t="array" ref="AG71">IF(AND(AG$2&lt;&gt;0,TblTech[[#This Row],[Hour]:[Hour]]&gt;=AG$2),1,0)</f>
        <v>0</v>
      </c>
      <c r="AH71" s="304" cm="1">
        <f t="array" ref="AH71">IF(AND(AH$2&lt;&gt;0,TblTech[[#This Row],[Hour]:[Hour]]&gt;=AH$2),1,0)</f>
        <v>0</v>
      </c>
      <c r="AI71" s="304" cm="1">
        <f t="array" ref="AI71">IF(AND(AI$2&lt;&gt;0,TblTech[[#This Row],[Hour]:[Hour]]&gt;=AI$2),1,0)</f>
        <v>0</v>
      </c>
      <c r="AJ71" s="304" cm="1">
        <f t="array" ref="AJ71">IF(AND(AJ$2&lt;&gt;0,TblTech[[#This Row],[Hour]:[Hour]]&gt;=AJ$2),1,0)</f>
        <v>0</v>
      </c>
      <c r="AK71" s="304" cm="1">
        <f t="array" ref="AK71">IF(AND(AK$2&lt;&gt;0,TblTech[[#This Row],[Hour]:[Hour]]&gt;=AK$2),1,0)</f>
        <v>0</v>
      </c>
      <c r="AL71" s="304" cm="1">
        <f t="array" ref="AL71">IF(AND(AL$2&lt;&gt;0,TblTech[[#This Row],[Hour]:[Hour]]&gt;=AL$2),1,0)</f>
        <v>0</v>
      </c>
      <c r="AM71" s="304" cm="1">
        <f t="array" ref="AM71">IF(AND(AM$2&lt;&gt;0,TblTech[[#This Row],[Hour]:[Hour]]&gt;=AM$2),1,0)</f>
        <v>0</v>
      </c>
      <c r="AN71" s="304" cm="1">
        <f t="array" ref="AN71">IF(AND(AN$2&lt;&gt;0,TblTech[[#This Row],[Hour]:[Hour]]&gt;=AN$2),1,0)</f>
        <v>0</v>
      </c>
      <c r="AO71" s="304" cm="1">
        <f t="array" ref="AO71">IF(AND(AO$2&lt;&gt;0,TblTech[[#This Row],[Hour]:[Hour]]&gt;=AO$2),1,0)</f>
        <v>0</v>
      </c>
      <c r="AP71" s="304" cm="1">
        <f t="array" ref="AP71">IF(AND(AP$2&lt;&gt;0,TblTech[[#This Row],[Hour]:[Hour]]&gt;=AP$2),1,0)</f>
        <v>0</v>
      </c>
      <c r="AQ71" s="304" cm="1">
        <f t="array" ref="AQ71">IF(AND(AQ$2&lt;&gt;0,TblTech[[#This Row],[Hour]:[Hour]]&gt;=AQ$2),1,0)</f>
        <v>0</v>
      </c>
      <c r="AR71" s="304" cm="1">
        <f t="array" ref="AR71">IF(AND(AR$2&lt;&gt;0,TblTech[[#This Row],[Hour]:[Hour]]&gt;=AR$2),1,0)</f>
        <v>0</v>
      </c>
      <c r="AS71" s="304" cm="1">
        <f t="array" ref="AS71">IF(AND(AS$2&lt;&gt;0,TblTech[[#This Row],[Hour]:[Hour]]&gt;=AS$2),1,0)</f>
        <v>0</v>
      </c>
      <c r="AT71" s="304" cm="1">
        <f t="array" ref="AT71">IF(AND(AT$2&lt;&gt;0,TblTech[[#This Row],[Hour]:[Hour]]&gt;=AT$2),1,0)</f>
        <v>0</v>
      </c>
      <c r="AU71" s="304" cm="1">
        <f t="array" ref="AU71">IF(AND(AU$2&lt;&gt;0,TblTech[[#This Row],[Hour]:[Hour]]&gt;=AU$2),1,0)</f>
        <v>0</v>
      </c>
      <c r="AV71" s="304" cm="1">
        <f t="array" ref="AV71">IF(AND(AV$2&lt;&gt;0,TblTech[[#This Row],[Hour]:[Hour]]&gt;=AV$2),1,0)</f>
        <v>0</v>
      </c>
      <c r="AW71" s="304" cm="1">
        <f t="array" ref="AW71">IF(AND(AW$2&lt;&gt;0,TblTech[[#This Row],[Hour]:[Hour]]&gt;=AW$2),1,0)</f>
        <v>0</v>
      </c>
      <c r="AX71" s="304" cm="1">
        <f t="array" ref="AX71">IF(AND(AX$2&lt;&gt;0,TblTech[[#This Row],[Hour]:[Hour]]&gt;=AX$2),1,0)</f>
        <v>0</v>
      </c>
      <c r="AY71" s="304" cm="1">
        <f t="array" ref="AY71">IF(AND(AY$2&lt;&gt;0,TblTech[[#This Row],[Hour]:[Hour]]&gt;=AY$2),1,0)</f>
        <v>0</v>
      </c>
      <c r="AZ71" s="304" cm="1">
        <f t="array" ref="AZ71">IF(AND(AZ$2&lt;&gt;0,TblTech[[#This Row],[Hour]:[Hour]]&gt;=AZ$2),1,0)</f>
        <v>0</v>
      </c>
      <c r="BA71" s="304" cm="1">
        <f t="array" ref="BA71">IF(AND(BA$2&lt;&gt;0,TblTech[[#This Row],[Hour]:[Hour]]&gt;=BA$2),1,0)</f>
        <v>0</v>
      </c>
      <c r="BB71" s="304" cm="1">
        <f t="array" ref="BB71">IF(AND(BB$2&lt;&gt;0,TblTech[[#This Row],[Hour]:[Hour]]&gt;=BB$2),1,0)</f>
        <v>0</v>
      </c>
      <c r="BC71" s="304" cm="1">
        <f t="array" ref="BC71">IF(AND(BC$2&lt;&gt;0,TblTech[[#This Row],[Hour]:[Hour]]&gt;=BC$2),1,0)</f>
        <v>0</v>
      </c>
      <c r="BD71" s="304" cm="1">
        <f t="array" ref="BD71">IF(AND(BD$2&lt;&gt;0,TblTech[[#This Row],[Hour]:[Hour]]&gt;=BD$2),1,0)</f>
        <v>0</v>
      </c>
      <c r="BE71" s="304" cm="1">
        <f t="array" ref="BE71">IF(AND(BE$2&lt;&gt;0,TblTech[[#This Row],[Hour]:[Hour]]&gt;=BE$2),1,0)</f>
        <v>0</v>
      </c>
      <c r="BF71" s="304" cm="1">
        <f t="array" ref="BF71">IF(AND(BF$2&lt;&gt;0,TblTech[[#This Row],[Hour]:[Hour]]&gt;=BF$2),1,0)</f>
        <v>0</v>
      </c>
      <c r="BG71" s="304" cm="1">
        <f t="array" ref="BG71">IF(AND(BG$2&lt;&gt;0,TblTech[[#This Row],[Hour]:[Hour]]&gt;=BG$2),1,0)</f>
        <v>0</v>
      </c>
      <c r="BH71" s="304" cm="1">
        <f t="array" ref="BH71">IF(AND(BH$2&lt;&gt;0,TblTech[[#This Row],[Hour]:[Hour]]&gt;=BH$2),1,0)</f>
        <v>0</v>
      </c>
      <c r="BI71" s="304" cm="1">
        <f t="array" ref="BI71">IF(AND(BI$2&lt;&gt;0,TblTech[[#This Row],[Hour]:[Hour]]&gt;=BI$2),1,0)</f>
        <v>0</v>
      </c>
      <c r="BJ71" s="304" cm="1">
        <f t="array" ref="BJ71">IF(AND(BJ$2&lt;&gt;0,TblTech[[#This Row],[Hour]:[Hour]]&gt;=BJ$2),1,0)</f>
        <v>0</v>
      </c>
      <c r="BK71" s="304" cm="1">
        <f t="array" ref="BK71">IF(AND(BK$2&lt;&gt;0,TblTech[[#This Row],[Hour]:[Hour]]&gt;=BK$2),1,0)</f>
        <v>0</v>
      </c>
      <c r="BL71" s="304" cm="1">
        <f t="array" ref="BL71">IF(AND(BL$2&lt;&gt;0,TblTech[[#This Row],[Hour]:[Hour]]&gt;=BL$2),1,0)</f>
        <v>0</v>
      </c>
      <c r="BM71" s="304" cm="1">
        <f t="array" ref="BM71">IF(AND(BM$2&lt;&gt;0,TblTech[[#This Row],[Hour]:[Hour]]&gt;=BM$2),1,0)</f>
        <v>0</v>
      </c>
      <c r="BN71" s="304" cm="1">
        <f t="array" ref="BN71">IF(AND(BN$2&lt;&gt;0,TblTech[[#This Row],[Hour]:[Hour]]&gt;=BN$2),1,0)</f>
        <v>0</v>
      </c>
      <c r="BO71" s="304" cm="1">
        <f t="array" ref="BO71">IF(AND(BO$2&lt;&gt;0,TblTech[[#This Row],[Hour]:[Hour]]&gt;=BO$2),1,0)</f>
        <v>0</v>
      </c>
      <c r="BP71" s="304" cm="1">
        <f t="array" ref="BP71">IF(AND(BP$2&lt;&gt;0,TblTech[[#This Row],[Hour]:[Hour]]&gt;=BP$2),1,0)</f>
        <v>0</v>
      </c>
      <c r="BQ71" s="304" cm="1">
        <f t="array" ref="BQ71">IF(AND(BQ$2&lt;&gt;0,TblTech[[#This Row],[Hour]:[Hour]]&gt;=BQ$2),1,0)</f>
        <v>0</v>
      </c>
      <c r="BR71" s="304" cm="1">
        <f t="array" ref="BR71">IF(AND(BR$2&lt;&gt;0,TblTech[[#This Row],[Hour]:[Hour]]&gt;=BR$2),1,0)</f>
        <v>0</v>
      </c>
      <c r="BS71" s="304" cm="1">
        <f t="array" ref="BS71">IF(AND(BS$2&lt;&gt;0,TblTech[[#This Row],[Hour]:[Hour]]&gt;=BS$2),1,0)</f>
        <v>0</v>
      </c>
      <c r="BT71" s="304" cm="1">
        <f t="array" ref="BT71">IF(AND(BT$2&lt;&gt;0,TblTech[[#This Row],[Hour]:[Hour]]&gt;=BT$2),1,0)</f>
        <v>0</v>
      </c>
      <c r="BU71" s="304" cm="1">
        <f t="array" ref="BU71">IF(AND(BU$2&lt;&gt;0,TblTech[[#This Row],[Hour]:[Hour]]&gt;=BU$2),1,0)</f>
        <v>0</v>
      </c>
      <c r="BV71" s="304" cm="1">
        <f t="array" ref="BV71">IF(AND(BV$2&lt;&gt;0,TblTech[[#This Row],[Hour]:[Hour]]&gt;=BV$2),1,0)</f>
        <v>0</v>
      </c>
      <c r="BW71" s="304" cm="1">
        <f t="array" ref="BW71">IF(AND(BW$2&lt;&gt;0,TblTech[[#This Row],[Hour]:[Hour]]&gt;=BW$2),1,0)</f>
        <v>0</v>
      </c>
      <c r="BX71" s="304" cm="1">
        <f t="array" ref="BX71">IF(AND(BX$2&lt;&gt;0,TblTech[[#This Row],[Hour]:[Hour]]&gt;=BX$2),1,0)</f>
        <v>0</v>
      </c>
      <c r="BY71" s="304" cm="1">
        <f t="array" ref="BY71">IF(AND(BY$2&lt;&gt;0,TblTech[[#This Row],[Hour]:[Hour]]&gt;=BY$2),1,0)</f>
        <v>0</v>
      </c>
      <c r="BZ71" s="304" cm="1">
        <f t="array" ref="BZ71">IF(AND(BZ$2&lt;&gt;0,TblTech[[#This Row],[Hour]:[Hour]]&gt;=BZ$2),1,0)</f>
        <v>0</v>
      </c>
      <c r="CA71" s="408">
        <f>IFERROR(INDEX($H$4:$H$79,MATCH(INDEX(TblTech[[#Headers],[1-1]:[11-1]],1,MATCH(TblTech[[#This Row],[Hour]],$M$2:$BZ$2,0)),$G$4:$G$79,0)),)</f>
        <v>0</v>
      </c>
    </row>
    <row r="72" spans="1:79" x14ac:dyDescent="0.2">
      <c r="A72" s="296">
        <f>TblRezone[[#This Row],[Hour]]</f>
        <v>69</v>
      </c>
      <c r="B72" s="297">
        <f ca="1">TblExplore[[#This Row],[Land-DB]]</f>
        <v>250</v>
      </c>
      <c r="C72" s="298">
        <f ca="1">TblProd[[#This Row],[Techpoints]]</f>
        <v>0</v>
      </c>
      <c r="D72" s="298">
        <f ca="1">TblProd[[#This Row],[Required]]</f>
        <v>3750</v>
      </c>
      <c r="E72" s="299"/>
      <c r="F72" s="300"/>
      <c r="G72" s="301" t="s">
        <v>631</v>
      </c>
      <c r="H72" s="302" t="s">
        <v>749</v>
      </c>
      <c r="I72" s="301" t="s">
        <v>632</v>
      </c>
      <c r="J72" s="297"/>
      <c r="K72" s="96">
        <f ca="1">IF(TblTech[[#This Row],[Sum of tech]]&lt;&gt;OFFSET(TblTech[[#This Row],[Sum of tech]],-1,0),1,0)</f>
        <v>0</v>
      </c>
      <c r="L72" s="303">
        <f>COUNTIF(TblTech[[#This Row],[1-1]:[11-1]],1)</f>
        <v>0</v>
      </c>
      <c r="M72" s="304" cm="1">
        <f t="array" ref="M72">IF(AND(M$2&lt;&gt;0,TblTech[[#This Row],[Hour]:[Hour]]&gt;=M$2),1,0)</f>
        <v>0</v>
      </c>
      <c r="N72" s="304" cm="1">
        <f t="array" ref="N72">IF(AND(N$2&lt;&gt;0,TblTech[[#This Row],[Hour]:[Hour]]&gt;=N$2),1,0)</f>
        <v>0</v>
      </c>
      <c r="O72" s="304" cm="1">
        <f t="array" ref="O72">IF(AND(O$2&lt;&gt;0,TblTech[[#This Row],[Hour]:[Hour]]&gt;=O$2),1,0)</f>
        <v>0</v>
      </c>
      <c r="P72" s="304" cm="1">
        <f t="array" ref="P72">IF(AND(P$2&lt;&gt;0,TblTech[[#This Row],[Hour]:[Hour]]&gt;=P$2),1,0)</f>
        <v>0</v>
      </c>
      <c r="Q72" s="304" cm="1">
        <f t="array" ref="Q72">IF(AND(Q$2&lt;&gt;0,TblTech[[#This Row],[Hour]:[Hour]]&gt;=Q$2),1,0)</f>
        <v>0</v>
      </c>
      <c r="R72" s="304" cm="1">
        <f t="array" ref="R72">IF(AND(R$2&lt;&gt;0,TblTech[[#This Row],[Hour]:[Hour]]&gt;=R$2),1,0)</f>
        <v>0</v>
      </c>
      <c r="S72" s="304" cm="1">
        <f t="array" ref="S72">IF(AND(S$2&lt;&gt;0,TblTech[[#This Row],[Hour]:[Hour]]&gt;=S$2),1,0)</f>
        <v>0</v>
      </c>
      <c r="T72" s="304" cm="1">
        <f t="array" ref="T72">IF(AND(T$2&lt;&gt;0,TblTech[[#This Row],[Hour]:[Hour]]&gt;=T$2),1,0)</f>
        <v>0</v>
      </c>
      <c r="U72" s="304" cm="1">
        <f t="array" ref="U72">IF(AND(U$2&lt;&gt;0,TblTech[[#This Row],[Hour]:[Hour]]&gt;=U$2),1,0)</f>
        <v>0</v>
      </c>
      <c r="V72" s="304" cm="1">
        <f t="array" ref="V72">IF(AND(V$2&lt;&gt;0,TblTech[[#This Row],[Hour]:[Hour]]&gt;=V$2),1,0)</f>
        <v>0</v>
      </c>
      <c r="W72" s="304" cm="1">
        <f t="array" ref="W72">IF(AND(W$2&lt;&gt;0,TblTech[[#This Row],[Hour]:[Hour]]&gt;=W$2),1,0)</f>
        <v>0</v>
      </c>
      <c r="X72" s="304" cm="1">
        <f t="array" ref="X72">IF(AND(X$2&lt;&gt;0,TblTech[[#This Row],[Hour]:[Hour]]&gt;=X$2),1,0)</f>
        <v>0</v>
      </c>
      <c r="Y72" s="304" cm="1">
        <f t="array" ref="Y72">IF(AND(Y$2&lt;&gt;0,TblTech[[#This Row],[Hour]:[Hour]]&gt;=Y$2),1,0)</f>
        <v>0</v>
      </c>
      <c r="Z72" s="304" cm="1">
        <f t="array" ref="Z72">IF(AND(Z$2&lt;&gt;0,TblTech[[#This Row],[Hour]:[Hour]]&gt;=Z$2),1,0)</f>
        <v>0</v>
      </c>
      <c r="AA72" s="304" cm="1">
        <f t="array" ref="AA72">IF(AND(AA$2&lt;&gt;0,TblTech[[#This Row],[Hour]:[Hour]]&gt;=AA$2),1,0)</f>
        <v>0</v>
      </c>
      <c r="AB72" s="304" cm="1">
        <f t="array" ref="AB72">IF(AND(AB$2&lt;&gt;0,TblTech[[#This Row],[Hour]:[Hour]]&gt;=AB$2),1,0)</f>
        <v>0</v>
      </c>
      <c r="AC72" s="304" cm="1">
        <f t="array" ref="AC72">IF(AND(AC$2&lt;&gt;0,TblTech[[#This Row],[Hour]:[Hour]]&gt;=AC$2),1,0)</f>
        <v>0</v>
      </c>
      <c r="AD72" s="304" cm="1">
        <f t="array" ref="AD72">IF(AND(AD$2&lt;&gt;0,TblTech[[#This Row],[Hour]:[Hour]]&gt;=AD$2),1,0)</f>
        <v>0</v>
      </c>
      <c r="AE72" s="304" cm="1">
        <f t="array" ref="AE72">IF(AND(AE$2&lt;&gt;0,TblTech[[#This Row],[Hour]:[Hour]]&gt;=AE$2),1,0)</f>
        <v>0</v>
      </c>
      <c r="AF72" s="304" cm="1">
        <f t="array" ref="AF72">IF(AND(AF$2&lt;&gt;0,TblTech[[#This Row],[Hour]:[Hour]]&gt;=AF$2),1,0)</f>
        <v>0</v>
      </c>
      <c r="AG72" s="304" cm="1">
        <f t="array" ref="AG72">IF(AND(AG$2&lt;&gt;0,TblTech[[#This Row],[Hour]:[Hour]]&gt;=AG$2),1,0)</f>
        <v>0</v>
      </c>
      <c r="AH72" s="304" cm="1">
        <f t="array" ref="AH72">IF(AND(AH$2&lt;&gt;0,TblTech[[#This Row],[Hour]:[Hour]]&gt;=AH$2),1,0)</f>
        <v>0</v>
      </c>
      <c r="AI72" s="304" cm="1">
        <f t="array" ref="AI72">IF(AND(AI$2&lt;&gt;0,TblTech[[#This Row],[Hour]:[Hour]]&gt;=AI$2),1,0)</f>
        <v>0</v>
      </c>
      <c r="AJ72" s="304" cm="1">
        <f t="array" ref="AJ72">IF(AND(AJ$2&lt;&gt;0,TblTech[[#This Row],[Hour]:[Hour]]&gt;=AJ$2),1,0)</f>
        <v>0</v>
      </c>
      <c r="AK72" s="304" cm="1">
        <f t="array" ref="AK72">IF(AND(AK$2&lt;&gt;0,TblTech[[#This Row],[Hour]:[Hour]]&gt;=AK$2),1,0)</f>
        <v>0</v>
      </c>
      <c r="AL72" s="304" cm="1">
        <f t="array" ref="AL72">IF(AND(AL$2&lt;&gt;0,TblTech[[#This Row],[Hour]:[Hour]]&gt;=AL$2),1,0)</f>
        <v>0</v>
      </c>
      <c r="AM72" s="304" cm="1">
        <f t="array" ref="AM72">IF(AND(AM$2&lt;&gt;0,TblTech[[#This Row],[Hour]:[Hour]]&gt;=AM$2),1,0)</f>
        <v>0</v>
      </c>
      <c r="AN72" s="304" cm="1">
        <f t="array" ref="AN72">IF(AND(AN$2&lt;&gt;0,TblTech[[#This Row],[Hour]:[Hour]]&gt;=AN$2),1,0)</f>
        <v>0</v>
      </c>
      <c r="AO72" s="304" cm="1">
        <f t="array" ref="AO72">IF(AND(AO$2&lt;&gt;0,TblTech[[#This Row],[Hour]:[Hour]]&gt;=AO$2),1,0)</f>
        <v>0</v>
      </c>
      <c r="AP72" s="304" cm="1">
        <f t="array" ref="AP72">IF(AND(AP$2&lt;&gt;0,TblTech[[#This Row],[Hour]:[Hour]]&gt;=AP$2),1,0)</f>
        <v>0</v>
      </c>
      <c r="AQ72" s="304" cm="1">
        <f t="array" ref="AQ72">IF(AND(AQ$2&lt;&gt;0,TblTech[[#This Row],[Hour]:[Hour]]&gt;=AQ$2),1,0)</f>
        <v>0</v>
      </c>
      <c r="AR72" s="304" cm="1">
        <f t="array" ref="AR72">IF(AND(AR$2&lt;&gt;0,TblTech[[#This Row],[Hour]:[Hour]]&gt;=AR$2),1,0)</f>
        <v>0</v>
      </c>
      <c r="AS72" s="304" cm="1">
        <f t="array" ref="AS72">IF(AND(AS$2&lt;&gt;0,TblTech[[#This Row],[Hour]:[Hour]]&gt;=AS$2),1,0)</f>
        <v>0</v>
      </c>
      <c r="AT72" s="304" cm="1">
        <f t="array" ref="AT72">IF(AND(AT$2&lt;&gt;0,TblTech[[#This Row],[Hour]:[Hour]]&gt;=AT$2),1,0)</f>
        <v>0</v>
      </c>
      <c r="AU72" s="304" cm="1">
        <f t="array" ref="AU72">IF(AND(AU$2&lt;&gt;0,TblTech[[#This Row],[Hour]:[Hour]]&gt;=AU$2),1,0)</f>
        <v>0</v>
      </c>
      <c r="AV72" s="304" cm="1">
        <f t="array" ref="AV72">IF(AND(AV$2&lt;&gt;0,TblTech[[#This Row],[Hour]:[Hour]]&gt;=AV$2),1,0)</f>
        <v>0</v>
      </c>
      <c r="AW72" s="304" cm="1">
        <f t="array" ref="AW72">IF(AND(AW$2&lt;&gt;0,TblTech[[#This Row],[Hour]:[Hour]]&gt;=AW$2),1,0)</f>
        <v>0</v>
      </c>
      <c r="AX72" s="304" cm="1">
        <f t="array" ref="AX72">IF(AND(AX$2&lt;&gt;0,TblTech[[#This Row],[Hour]:[Hour]]&gt;=AX$2),1,0)</f>
        <v>0</v>
      </c>
      <c r="AY72" s="304" cm="1">
        <f t="array" ref="AY72">IF(AND(AY$2&lt;&gt;0,TblTech[[#This Row],[Hour]:[Hour]]&gt;=AY$2),1,0)</f>
        <v>0</v>
      </c>
      <c r="AZ72" s="304" cm="1">
        <f t="array" ref="AZ72">IF(AND(AZ$2&lt;&gt;0,TblTech[[#This Row],[Hour]:[Hour]]&gt;=AZ$2),1,0)</f>
        <v>0</v>
      </c>
      <c r="BA72" s="304" cm="1">
        <f t="array" ref="BA72">IF(AND(BA$2&lt;&gt;0,TblTech[[#This Row],[Hour]:[Hour]]&gt;=BA$2),1,0)</f>
        <v>0</v>
      </c>
      <c r="BB72" s="304" cm="1">
        <f t="array" ref="BB72">IF(AND(BB$2&lt;&gt;0,TblTech[[#This Row],[Hour]:[Hour]]&gt;=BB$2),1,0)</f>
        <v>0</v>
      </c>
      <c r="BC72" s="304" cm="1">
        <f t="array" ref="BC72">IF(AND(BC$2&lt;&gt;0,TblTech[[#This Row],[Hour]:[Hour]]&gt;=BC$2),1,0)</f>
        <v>0</v>
      </c>
      <c r="BD72" s="304" cm="1">
        <f t="array" ref="BD72">IF(AND(BD$2&lt;&gt;0,TblTech[[#This Row],[Hour]:[Hour]]&gt;=BD$2),1,0)</f>
        <v>0</v>
      </c>
      <c r="BE72" s="304" cm="1">
        <f t="array" ref="BE72">IF(AND(BE$2&lt;&gt;0,TblTech[[#This Row],[Hour]:[Hour]]&gt;=BE$2),1,0)</f>
        <v>0</v>
      </c>
      <c r="BF72" s="304" cm="1">
        <f t="array" ref="BF72">IF(AND(BF$2&lt;&gt;0,TblTech[[#This Row],[Hour]:[Hour]]&gt;=BF$2),1,0)</f>
        <v>0</v>
      </c>
      <c r="BG72" s="304" cm="1">
        <f t="array" ref="BG72">IF(AND(BG$2&lt;&gt;0,TblTech[[#This Row],[Hour]:[Hour]]&gt;=BG$2),1,0)</f>
        <v>0</v>
      </c>
      <c r="BH72" s="304" cm="1">
        <f t="array" ref="BH72">IF(AND(BH$2&lt;&gt;0,TblTech[[#This Row],[Hour]:[Hour]]&gt;=BH$2),1,0)</f>
        <v>0</v>
      </c>
      <c r="BI72" s="304" cm="1">
        <f t="array" ref="BI72">IF(AND(BI$2&lt;&gt;0,TblTech[[#This Row],[Hour]:[Hour]]&gt;=BI$2),1,0)</f>
        <v>0</v>
      </c>
      <c r="BJ72" s="304" cm="1">
        <f t="array" ref="BJ72">IF(AND(BJ$2&lt;&gt;0,TblTech[[#This Row],[Hour]:[Hour]]&gt;=BJ$2),1,0)</f>
        <v>0</v>
      </c>
      <c r="BK72" s="304" cm="1">
        <f t="array" ref="BK72">IF(AND(BK$2&lt;&gt;0,TblTech[[#This Row],[Hour]:[Hour]]&gt;=BK$2),1,0)</f>
        <v>0</v>
      </c>
      <c r="BL72" s="304" cm="1">
        <f t="array" ref="BL72">IF(AND(BL$2&lt;&gt;0,TblTech[[#This Row],[Hour]:[Hour]]&gt;=BL$2),1,0)</f>
        <v>0</v>
      </c>
      <c r="BM72" s="304" cm="1">
        <f t="array" ref="BM72">IF(AND(BM$2&lt;&gt;0,TblTech[[#This Row],[Hour]:[Hour]]&gt;=BM$2),1,0)</f>
        <v>0</v>
      </c>
      <c r="BN72" s="304" cm="1">
        <f t="array" ref="BN72">IF(AND(BN$2&lt;&gt;0,TblTech[[#This Row],[Hour]:[Hour]]&gt;=BN$2),1,0)</f>
        <v>0</v>
      </c>
      <c r="BO72" s="304" cm="1">
        <f t="array" ref="BO72">IF(AND(BO$2&lt;&gt;0,TblTech[[#This Row],[Hour]:[Hour]]&gt;=BO$2),1,0)</f>
        <v>0</v>
      </c>
      <c r="BP72" s="304" cm="1">
        <f t="array" ref="BP72">IF(AND(BP$2&lt;&gt;0,TblTech[[#This Row],[Hour]:[Hour]]&gt;=BP$2),1,0)</f>
        <v>0</v>
      </c>
      <c r="BQ72" s="304" cm="1">
        <f t="array" ref="BQ72">IF(AND(BQ$2&lt;&gt;0,TblTech[[#This Row],[Hour]:[Hour]]&gt;=BQ$2),1,0)</f>
        <v>0</v>
      </c>
      <c r="BR72" s="304" cm="1">
        <f t="array" ref="BR72">IF(AND(BR$2&lt;&gt;0,TblTech[[#This Row],[Hour]:[Hour]]&gt;=BR$2),1,0)</f>
        <v>0</v>
      </c>
      <c r="BS72" s="304" cm="1">
        <f t="array" ref="BS72">IF(AND(BS$2&lt;&gt;0,TblTech[[#This Row],[Hour]:[Hour]]&gt;=BS$2),1,0)</f>
        <v>0</v>
      </c>
      <c r="BT72" s="304" cm="1">
        <f t="array" ref="BT72">IF(AND(BT$2&lt;&gt;0,TblTech[[#This Row],[Hour]:[Hour]]&gt;=BT$2),1,0)</f>
        <v>0</v>
      </c>
      <c r="BU72" s="304" cm="1">
        <f t="array" ref="BU72">IF(AND(BU$2&lt;&gt;0,TblTech[[#This Row],[Hour]:[Hour]]&gt;=BU$2),1,0)</f>
        <v>0</v>
      </c>
      <c r="BV72" s="304" cm="1">
        <f t="array" ref="BV72">IF(AND(BV$2&lt;&gt;0,TblTech[[#This Row],[Hour]:[Hour]]&gt;=BV$2),1,0)</f>
        <v>0</v>
      </c>
      <c r="BW72" s="304" cm="1">
        <f t="array" ref="BW72">IF(AND(BW$2&lt;&gt;0,TblTech[[#This Row],[Hour]:[Hour]]&gt;=BW$2),1,0)</f>
        <v>0</v>
      </c>
      <c r="BX72" s="304" cm="1">
        <f t="array" ref="BX72">IF(AND(BX$2&lt;&gt;0,TblTech[[#This Row],[Hour]:[Hour]]&gt;=BX$2),1,0)</f>
        <v>0</v>
      </c>
      <c r="BY72" s="304" cm="1">
        <f t="array" ref="BY72">IF(AND(BY$2&lt;&gt;0,TblTech[[#This Row],[Hour]:[Hour]]&gt;=BY$2),1,0)</f>
        <v>0</v>
      </c>
      <c r="BZ72" s="304" cm="1">
        <f t="array" ref="BZ72">IF(AND(BZ$2&lt;&gt;0,TblTech[[#This Row],[Hour]:[Hour]]&gt;=BZ$2),1,0)</f>
        <v>0</v>
      </c>
      <c r="CA72" s="408">
        <f>IFERROR(INDEX($H$4:$H$79,MATCH(INDEX(TblTech[[#Headers],[1-1]:[11-1]],1,MATCH(TblTech[[#This Row],[Hour]],$M$2:$BZ$2,0)),$G$4:$G$79,0)),)</f>
        <v>0</v>
      </c>
    </row>
    <row r="73" spans="1:79" x14ac:dyDescent="0.2">
      <c r="A73" s="296">
        <f>TblRezone[[#This Row],[Hour]]</f>
        <v>70</v>
      </c>
      <c r="B73" s="297">
        <f ca="1">TblExplore[[#This Row],[Land-DB]]</f>
        <v>250</v>
      </c>
      <c r="C73" s="298">
        <f ca="1">TblProd[[#This Row],[Techpoints]]</f>
        <v>0</v>
      </c>
      <c r="D73" s="298">
        <f ca="1">TblProd[[#This Row],[Required]]</f>
        <v>3750</v>
      </c>
      <c r="E73" s="299"/>
      <c r="F73" s="300"/>
      <c r="G73" s="301" t="s">
        <v>633</v>
      </c>
      <c r="H73" s="302" t="s">
        <v>750</v>
      </c>
      <c r="I73" s="301" t="s">
        <v>577</v>
      </c>
      <c r="J73" s="297"/>
      <c r="K73" s="96">
        <f ca="1">IF(TblTech[[#This Row],[Sum of tech]]&lt;&gt;OFFSET(TblTech[[#This Row],[Sum of tech]],-1,0),1,0)</f>
        <v>0</v>
      </c>
      <c r="L73" s="303">
        <f>COUNTIF(TblTech[[#This Row],[1-1]:[11-1]],1)</f>
        <v>0</v>
      </c>
      <c r="M73" s="304" cm="1">
        <f t="array" ref="M73">IF(AND(M$2&lt;&gt;0,TblTech[[#This Row],[Hour]:[Hour]]&gt;=M$2),1,0)</f>
        <v>0</v>
      </c>
      <c r="N73" s="304" cm="1">
        <f t="array" ref="N73">IF(AND(N$2&lt;&gt;0,TblTech[[#This Row],[Hour]:[Hour]]&gt;=N$2),1,0)</f>
        <v>0</v>
      </c>
      <c r="O73" s="304" cm="1">
        <f t="array" ref="O73">IF(AND(O$2&lt;&gt;0,TblTech[[#This Row],[Hour]:[Hour]]&gt;=O$2),1,0)</f>
        <v>0</v>
      </c>
      <c r="P73" s="304" cm="1">
        <f t="array" ref="P73">IF(AND(P$2&lt;&gt;0,TblTech[[#This Row],[Hour]:[Hour]]&gt;=P$2),1,0)</f>
        <v>0</v>
      </c>
      <c r="Q73" s="304" cm="1">
        <f t="array" ref="Q73">IF(AND(Q$2&lt;&gt;0,TblTech[[#This Row],[Hour]:[Hour]]&gt;=Q$2),1,0)</f>
        <v>0</v>
      </c>
      <c r="R73" s="304" cm="1">
        <f t="array" ref="R73">IF(AND(R$2&lt;&gt;0,TblTech[[#This Row],[Hour]:[Hour]]&gt;=R$2),1,0)</f>
        <v>0</v>
      </c>
      <c r="S73" s="304" cm="1">
        <f t="array" ref="S73">IF(AND(S$2&lt;&gt;0,TblTech[[#This Row],[Hour]:[Hour]]&gt;=S$2),1,0)</f>
        <v>0</v>
      </c>
      <c r="T73" s="304" cm="1">
        <f t="array" ref="T73">IF(AND(T$2&lt;&gt;0,TblTech[[#This Row],[Hour]:[Hour]]&gt;=T$2),1,0)</f>
        <v>0</v>
      </c>
      <c r="U73" s="304" cm="1">
        <f t="array" ref="U73">IF(AND(U$2&lt;&gt;0,TblTech[[#This Row],[Hour]:[Hour]]&gt;=U$2),1,0)</f>
        <v>0</v>
      </c>
      <c r="V73" s="304" cm="1">
        <f t="array" ref="V73">IF(AND(V$2&lt;&gt;0,TblTech[[#This Row],[Hour]:[Hour]]&gt;=V$2),1,0)</f>
        <v>0</v>
      </c>
      <c r="W73" s="304" cm="1">
        <f t="array" ref="W73">IF(AND(W$2&lt;&gt;0,TblTech[[#This Row],[Hour]:[Hour]]&gt;=W$2),1,0)</f>
        <v>0</v>
      </c>
      <c r="X73" s="304" cm="1">
        <f t="array" ref="X73">IF(AND(X$2&lt;&gt;0,TblTech[[#This Row],[Hour]:[Hour]]&gt;=X$2),1,0)</f>
        <v>0</v>
      </c>
      <c r="Y73" s="304" cm="1">
        <f t="array" ref="Y73">IF(AND(Y$2&lt;&gt;0,TblTech[[#This Row],[Hour]:[Hour]]&gt;=Y$2),1,0)</f>
        <v>0</v>
      </c>
      <c r="Z73" s="304" cm="1">
        <f t="array" ref="Z73">IF(AND(Z$2&lt;&gt;0,TblTech[[#This Row],[Hour]:[Hour]]&gt;=Z$2),1,0)</f>
        <v>0</v>
      </c>
      <c r="AA73" s="304" cm="1">
        <f t="array" ref="AA73">IF(AND(AA$2&lt;&gt;0,TblTech[[#This Row],[Hour]:[Hour]]&gt;=AA$2),1,0)</f>
        <v>0</v>
      </c>
      <c r="AB73" s="304" cm="1">
        <f t="array" ref="AB73">IF(AND(AB$2&lt;&gt;0,TblTech[[#This Row],[Hour]:[Hour]]&gt;=AB$2),1,0)</f>
        <v>0</v>
      </c>
      <c r="AC73" s="304" cm="1">
        <f t="array" ref="AC73">IF(AND(AC$2&lt;&gt;0,TblTech[[#This Row],[Hour]:[Hour]]&gt;=AC$2),1,0)</f>
        <v>0</v>
      </c>
      <c r="AD73" s="304" cm="1">
        <f t="array" ref="AD73">IF(AND(AD$2&lt;&gt;0,TblTech[[#This Row],[Hour]:[Hour]]&gt;=AD$2),1,0)</f>
        <v>0</v>
      </c>
      <c r="AE73" s="304" cm="1">
        <f t="array" ref="AE73">IF(AND(AE$2&lt;&gt;0,TblTech[[#This Row],[Hour]:[Hour]]&gt;=AE$2),1,0)</f>
        <v>0</v>
      </c>
      <c r="AF73" s="304" cm="1">
        <f t="array" ref="AF73">IF(AND(AF$2&lt;&gt;0,TblTech[[#This Row],[Hour]:[Hour]]&gt;=AF$2),1,0)</f>
        <v>0</v>
      </c>
      <c r="AG73" s="304" cm="1">
        <f t="array" ref="AG73">IF(AND(AG$2&lt;&gt;0,TblTech[[#This Row],[Hour]:[Hour]]&gt;=AG$2),1,0)</f>
        <v>0</v>
      </c>
      <c r="AH73" s="304" cm="1">
        <f t="array" ref="AH73">IF(AND(AH$2&lt;&gt;0,TblTech[[#This Row],[Hour]:[Hour]]&gt;=AH$2),1,0)</f>
        <v>0</v>
      </c>
      <c r="AI73" s="304" cm="1">
        <f t="array" ref="AI73">IF(AND(AI$2&lt;&gt;0,TblTech[[#This Row],[Hour]:[Hour]]&gt;=AI$2),1,0)</f>
        <v>0</v>
      </c>
      <c r="AJ73" s="304" cm="1">
        <f t="array" ref="AJ73">IF(AND(AJ$2&lt;&gt;0,TblTech[[#This Row],[Hour]:[Hour]]&gt;=AJ$2),1,0)</f>
        <v>0</v>
      </c>
      <c r="AK73" s="304" cm="1">
        <f t="array" ref="AK73">IF(AND(AK$2&lt;&gt;0,TblTech[[#This Row],[Hour]:[Hour]]&gt;=AK$2),1,0)</f>
        <v>0</v>
      </c>
      <c r="AL73" s="304" cm="1">
        <f t="array" ref="AL73">IF(AND(AL$2&lt;&gt;0,TblTech[[#This Row],[Hour]:[Hour]]&gt;=AL$2),1,0)</f>
        <v>0</v>
      </c>
      <c r="AM73" s="304" cm="1">
        <f t="array" ref="AM73">IF(AND(AM$2&lt;&gt;0,TblTech[[#This Row],[Hour]:[Hour]]&gt;=AM$2),1,0)</f>
        <v>0</v>
      </c>
      <c r="AN73" s="304" cm="1">
        <f t="array" ref="AN73">IF(AND(AN$2&lt;&gt;0,TblTech[[#This Row],[Hour]:[Hour]]&gt;=AN$2),1,0)</f>
        <v>0</v>
      </c>
      <c r="AO73" s="304" cm="1">
        <f t="array" ref="AO73">IF(AND(AO$2&lt;&gt;0,TblTech[[#This Row],[Hour]:[Hour]]&gt;=AO$2),1,0)</f>
        <v>0</v>
      </c>
      <c r="AP73" s="304" cm="1">
        <f t="array" ref="AP73">IF(AND(AP$2&lt;&gt;0,TblTech[[#This Row],[Hour]:[Hour]]&gt;=AP$2),1,0)</f>
        <v>0</v>
      </c>
      <c r="AQ73" s="304" cm="1">
        <f t="array" ref="AQ73">IF(AND(AQ$2&lt;&gt;0,TblTech[[#This Row],[Hour]:[Hour]]&gt;=AQ$2),1,0)</f>
        <v>0</v>
      </c>
      <c r="AR73" s="304" cm="1">
        <f t="array" ref="AR73">IF(AND(AR$2&lt;&gt;0,TblTech[[#This Row],[Hour]:[Hour]]&gt;=AR$2),1,0)</f>
        <v>0</v>
      </c>
      <c r="AS73" s="304" cm="1">
        <f t="array" ref="AS73">IF(AND(AS$2&lt;&gt;0,TblTech[[#This Row],[Hour]:[Hour]]&gt;=AS$2),1,0)</f>
        <v>0</v>
      </c>
      <c r="AT73" s="304" cm="1">
        <f t="array" ref="AT73">IF(AND(AT$2&lt;&gt;0,TblTech[[#This Row],[Hour]:[Hour]]&gt;=AT$2),1,0)</f>
        <v>0</v>
      </c>
      <c r="AU73" s="304" cm="1">
        <f t="array" ref="AU73">IF(AND(AU$2&lt;&gt;0,TblTech[[#This Row],[Hour]:[Hour]]&gt;=AU$2),1,0)</f>
        <v>0</v>
      </c>
      <c r="AV73" s="304" cm="1">
        <f t="array" ref="AV73">IF(AND(AV$2&lt;&gt;0,TblTech[[#This Row],[Hour]:[Hour]]&gt;=AV$2),1,0)</f>
        <v>0</v>
      </c>
      <c r="AW73" s="304" cm="1">
        <f t="array" ref="AW73">IF(AND(AW$2&lt;&gt;0,TblTech[[#This Row],[Hour]:[Hour]]&gt;=AW$2),1,0)</f>
        <v>0</v>
      </c>
      <c r="AX73" s="304" cm="1">
        <f t="array" ref="AX73">IF(AND(AX$2&lt;&gt;0,TblTech[[#This Row],[Hour]:[Hour]]&gt;=AX$2),1,0)</f>
        <v>0</v>
      </c>
      <c r="AY73" s="304" cm="1">
        <f t="array" ref="AY73">IF(AND(AY$2&lt;&gt;0,TblTech[[#This Row],[Hour]:[Hour]]&gt;=AY$2),1,0)</f>
        <v>0</v>
      </c>
      <c r="AZ73" s="304" cm="1">
        <f t="array" ref="AZ73">IF(AND(AZ$2&lt;&gt;0,TblTech[[#This Row],[Hour]:[Hour]]&gt;=AZ$2),1,0)</f>
        <v>0</v>
      </c>
      <c r="BA73" s="304" cm="1">
        <f t="array" ref="BA73">IF(AND(BA$2&lt;&gt;0,TblTech[[#This Row],[Hour]:[Hour]]&gt;=BA$2),1,0)</f>
        <v>0</v>
      </c>
      <c r="BB73" s="304" cm="1">
        <f t="array" ref="BB73">IF(AND(BB$2&lt;&gt;0,TblTech[[#This Row],[Hour]:[Hour]]&gt;=BB$2),1,0)</f>
        <v>0</v>
      </c>
      <c r="BC73" s="304" cm="1">
        <f t="array" ref="BC73">IF(AND(BC$2&lt;&gt;0,TblTech[[#This Row],[Hour]:[Hour]]&gt;=BC$2),1,0)</f>
        <v>0</v>
      </c>
      <c r="BD73" s="304" cm="1">
        <f t="array" ref="BD73">IF(AND(BD$2&lt;&gt;0,TblTech[[#This Row],[Hour]:[Hour]]&gt;=BD$2),1,0)</f>
        <v>0</v>
      </c>
      <c r="BE73" s="304" cm="1">
        <f t="array" ref="BE73">IF(AND(BE$2&lt;&gt;0,TblTech[[#This Row],[Hour]:[Hour]]&gt;=BE$2),1,0)</f>
        <v>0</v>
      </c>
      <c r="BF73" s="304" cm="1">
        <f t="array" ref="BF73">IF(AND(BF$2&lt;&gt;0,TblTech[[#This Row],[Hour]:[Hour]]&gt;=BF$2),1,0)</f>
        <v>0</v>
      </c>
      <c r="BG73" s="304" cm="1">
        <f t="array" ref="BG73">IF(AND(BG$2&lt;&gt;0,TblTech[[#This Row],[Hour]:[Hour]]&gt;=BG$2),1,0)</f>
        <v>0</v>
      </c>
      <c r="BH73" s="304" cm="1">
        <f t="array" ref="BH73">IF(AND(BH$2&lt;&gt;0,TblTech[[#This Row],[Hour]:[Hour]]&gt;=BH$2),1,0)</f>
        <v>0</v>
      </c>
      <c r="BI73" s="304" cm="1">
        <f t="array" ref="BI73">IF(AND(BI$2&lt;&gt;0,TblTech[[#This Row],[Hour]:[Hour]]&gt;=BI$2),1,0)</f>
        <v>0</v>
      </c>
      <c r="BJ73" s="304" cm="1">
        <f t="array" ref="BJ73">IF(AND(BJ$2&lt;&gt;0,TblTech[[#This Row],[Hour]:[Hour]]&gt;=BJ$2),1,0)</f>
        <v>0</v>
      </c>
      <c r="BK73" s="304" cm="1">
        <f t="array" ref="BK73">IF(AND(BK$2&lt;&gt;0,TblTech[[#This Row],[Hour]:[Hour]]&gt;=BK$2),1,0)</f>
        <v>0</v>
      </c>
      <c r="BL73" s="304" cm="1">
        <f t="array" ref="BL73">IF(AND(BL$2&lt;&gt;0,TblTech[[#This Row],[Hour]:[Hour]]&gt;=BL$2),1,0)</f>
        <v>0</v>
      </c>
      <c r="BM73" s="304" cm="1">
        <f t="array" ref="BM73">IF(AND(BM$2&lt;&gt;0,TblTech[[#This Row],[Hour]:[Hour]]&gt;=BM$2),1,0)</f>
        <v>0</v>
      </c>
      <c r="BN73" s="304" cm="1">
        <f t="array" ref="BN73">IF(AND(BN$2&lt;&gt;0,TblTech[[#This Row],[Hour]:[Hour]]&gt;=BN$2),1,0)</f>
        <v>0</v>
      </c>
      <c r="BO73" s="304" cm="1">
        <f t="array" ref="BO73">IF(AND(BO$2&lt;&gt;0,TblTech[[#This Row],[Hour]:[Hour]]&gt;=BO$2),1,0)</f>
        <v>0</v>
      </c>
      <c r="BP73" s="304" cm="1">
        <f t="array" ref="BP73">IF(AND(BP$2&lt;&gt;0,TblTech[[#This Row],[Hour]:[Hour]]&gt;=BP$2),1,0)</f>
        <v>0</v>
      </c>
      <c r="BQ73" s="304" cm="1">
        <f t="array" ref="BQ73">IF(AND(BQ$2&lt;&gt;0,TblTech[[#This Row],[Hour]:[Hour]]&gt;=BQ$2),1,0)</f>
        <v>0</v>
      </c>
      <c r="BR73" s="304" cm="1">
        <f t="array" ref="BR73">IF(AND(BR$2&lt;&gt;0,TblTech[[#This Row],[Hour]:[Hour]]&gt;=BR$2),1,0)</f>
        <v>0</v>
      </c>
      <c r="BS73" s="304" cm="1">
        <f t="array" ref="BS73">IF(AND(BS$2&lt;&gt;0,TblTech[[#This Row],[Hour]:[Hour]]&gt;=BS$2),1,0)</f>
        <v>0</v>
      </c>
      <c r="BT73" s="304" cm="1">
        <f t="array" ref="BT73">IF(AND(BT$2&lt;&gt;0,TblTech[[#This Row],[Hour]:[Hour]]&gt;=BT$2),1,0)</f>
        <v>0</v>
      </c>
      <c r="BU73" s="304" cm="1">
        <f t="array" ref="BU73">IF(AND(BU$2&lt;&gt;0,TblTech[[#This Row],[Hour]:[Hour]]&gt;=BU$2),1,0)</f>
        <v>0</v>
      </c>
      <c r="BV73" s="304" cm="1">
        <f t="array" ref="BV73">IF(AND(BV$2&lt;&gt;0,TblTech[[#This Row],[Hour]:[Hour]]&gt;=BV$2),1,0)</f>
        <v>0</v>
      </c>
      <c r="BW73" s="304" cm="1">
        <f t="array" ref="BW73">IF(AND(BW$2&lt;&gt;0,TblTech[[#This Row],[Hour]:[Hour]]&gt;=BW$2),1,0)</f>
        <v>0</v>
      </c>
      <c r="BX73" s="304" cm="1">
        <f t="array" ref="BX73">IF(AND(BX$2&lt;&gt;0,TblTech[[#This Row],[Hour]:[Hour]]&gt;=BX$2),1,0)</f>
        <v>0</v>
      </c>
      <c r="BY73" s="304" cm="1">
        <f t="array" ref="BY73">IF(AND(BY$2&lt;&gt;0,TblTech[[#This Row],[Hour]:[Hour]]&gt;=BY$2),1,0)</f>
        <v>0</v>
      </c>
      <c r="BZ73" s="304" cm="1">
        <f t="array" ref="BZ73">IF(AND(BZ$2&lt;&gt;0,TblTech[[#This Row],[Hour]:[Hour]]&gt;=BZ$2),1,0)</f>
        <v>0</v>
      </c>
      <c r="CA73" s="408">
        <f>IFERROR(INDEX($H$4:$H$79,MATCH(INDEX(TblTech[[#Headers],[1-1]:[11-1]],1,MATCH(TblTech[[#This Row],[Hour]],$M$2:$BZ$2,0)),$G$4:$G$79,0)),)</f>
        <v>0</v>
      </c>
    </row>
    <row r="74" spans="1:79" x14ac:dyDescent="0.2">
      <c r="A74" s="296">
        <f>TblRezone[[#This Row],[Hour]]</f>
        <v>71</v>
      </c>
      <c r="B74" s="297">
        <f ca="1">TblExplore[[#This Row],[Land-DB]]</f>
        <v>250</v>
      </c>
      <c r="C74" s="298">
        <f ca="1">TblProd[[#This Row],[Techpoints]]</f>
        <v>0</v>
      </c>
      <c r="D74" s="298">
        <f ca="1">TblProd[[#This Row],[Required]]</f>
        <v>3750</v>
      </c>
      <c r="E74" s="299"/>
      <c r="F74" s="300"/>
      <c r="G74" s="301" t="s">
        <v>634</v>
      </c>
      <c r="H74" s="302" t="s">
        <v>751</v>
      </c>
      <c r="I74" s="301" t="s">
        <v>778</v>
      </c>
      <c r="J74" s="297"/>
      <c r="K74" s="96">
        <f ca="1">IF(TblTech[[#This Row],[Sum of tech]]&lt;&gt;OFFSET(TblTech[[#This Row],[Sum of tech]],-1,0),1,0)</f>
        <v>0</v>
      </c>
      <c r="L74" s="303">
        <f>COUNTIF(TblTech[[#This Row],[1-1]:[11-1]],1)</f>
        <v>0</v>
      </c>
      <c r="M74" s="304" cm="1">
        <f t="array" ref="M74">IF(AND(M$2&lt;&gt;0,TblTech[[#This Row],[Hour]:[Hour]]&gt;=M$2),1,0)</f>
        <v>0</v>
      </c>
      <c r="N74" s="304" cm="1">
        <f t="array" ref="N74">IF(AND(N$2&lt;&gt;0,TblTech[[#This Row],[Hour]:[Hour]]&gt;=N$2),1,0)</f>
        <v>0</v>
      </c>
      <c r="O74" s="304" cm="1">
        <f t="array" ref="O74">IF(AND(O$2&lt;&gt;0,TblTech[[#This Row],[Hour]:[Hour]]&gt;=O$2),1,0)</f>
        <v>0</v>
      </c>
      <c r="P74" s="304" cm="1">
        <f t="array" ref="P74">IF(AND(P$2&lt;&gt;0,TblTech[[#This Row],[Hour]:[Hour]]&gt;=P$2),1,0)</f>
        <v>0</v>
      </c>
      <c r="Q74" s="304" cm="1">
        <f t="array" ref="Q74">IF(AND(Q$2&lt;&gt;0,TblTech[[#This Row],[Hour]:[Hour]]&gt;=Q$2),1,0)</f>
        <v>0</v>
      </c>
      <c r="R74" s="304" cm="1">
        <f t="array" ref="R74">IF(AND(R$2&lt;&gt;0,TblTech[[#This Row],[Hour]:[Hour]]&gt;=R$2),1,0)</f>
        <v>0</v>
      </c>
      <c r="S74" s="304" cm="1">
        <f t="array" ref="S74">IF(AND(S$2&lt;&gt;0,TblTech[[#This Row],[Hour]:[Hour]]&gt;=S$2),1,0)</f>
        <v>0</v>
      </c>
      <c r="T74" s="304" cm="1">
        <f t="array" ref="T74">IF(AND(T$2&lt;&gt;0,TblTech[[#This Row],[Hour]:[Hour]]&gt;=T$2),1,0)</f>
        <v>0</v>
      </c>
      <c r="U74" s="304" cm="1">
        <f t="array" ref="U74">IF(AND(U$2&lt;&gt;0,TblTech[[#This Row],[Hour]:[Hour]]&gt;=U$2),1,0)</f>
        <v>0</v>
      </c>
      <c r="V74" s="304" cm="1">
        <f t="array" ref="V74">IF(AND(V$2&lt;&gt;0,TblTech[[#This Row],[Hour]:[Hour]]&gt;=V$2),1,0)</f>
        <v>0</v>
      </c>
      <c r="W74" s="304" cm="1">
        <f t="array" ref="W74">IF(AND(W$2&lt;&gt;0,TblTech[[#This Row],[Hour]:[Hour]]&gt;=W$2),1,0)</f>
        <v>0</v>
      </c>
      <c r="X74" s="304" cm="1">
        <f t="array" ref="X74">IF(AND(X$2&lt;&gt;0,TblTech[[#This Row],[Hour]:[Hour]]&gt;=X$2),1,0)</f>
        <v>0</v>
      </c>
      <c r="Y74" s="304" cm="1">
        <f t="array" ref="Y74">IF(AND(Y$2&lt;&gt;0,TblTech[[#This Row],[Hour]:[Hour]]&gt;=Y$2),1,0)</f>
        <v>0</v>
      </c>
      <c r="Z74" s="304" cm="1">
        <f t="array" ref="Z74">IF(AND(Z$2&lt;&gt;0,TblTech[[#This Row],[Hour]:[Hour]]&gt;=Z$2),1,0)</f>
        <v>0</v>
      </c>
      <c r="AA74" s="304" cm="1">
        <f t="array" ref="AA74">IF(AND(AA$2&lt;&gt;0,TblTech[[#This Row],[Hour]:[Hour]]&gt;=AA$2),1,0)</f>
        <v>0</v>
      </c>
      <c r="AB74" s="304" cm="1">
        <f t="array" ref="AB74">IF(AND(AB$2&lt;&gt;0,TblTech[[#This Row],[Hour]:[Hour]]&gt;=AB$2),1,0)</f>
        <v>0</v>
      </c>
      <c r="AC74" s="304" cm="1">
        <f t="array" ref="AC74">IF(AND(AC$2&lt;&gt;0,TblTech[[#This Row],[Hour]:[Hour]]&gt;=AC$2),1,0)</f>
        <v>0</v>
      </c>
      <c r="AD74" s="304" cm="1">
        <f t="array" ref="AD74">IF(AND(AD$2&lt;&gt;0,TblTech[[#This Row],[Hour]:[Hour]]&gt;=AD$2),1,0)</f>
        <v>0</v>
      </c>
      <c r="AE74" s="304" cm="1">
        <f t="array" ref="AE74">IF(AND(AE$2&lt;&gt;0,TblTech[[#This Row],[Hour]:[Hour]]&gt;=AE$2),1,0)</f>
        <v>0</v>
      </c>
      <c r="AF74" s="304" cm="1">
        <f t="array" ref="AF74">IF(AND(AF$2&lt;&gt;0,TblTech[[#This Row],[Hour]:[Hour]]&gt;=AF$2),1,0)</f>
        <v>0</v>
      </c>
      <c r="AG74" s="304" cm="1">
        <f t="array" ref="AG74">IF(AND(AG$2&lt;&gt;0,TblTech[[#This Row],[Hour]:[Hour]]&gt;=AG$2),1,0)</f>
        <v>0</v>
      </c>
      <c r="AH74" s="304" cm="1">
        <f t="array" ref="AH74">IF(AND(AH$2&lt;&gt;0,TblTech[[#This Row],[Hour]:[Hour]]&gt;=AH$2),1,0)</f>
        <v>0</v>
      </c>
      <c r="AI74" s="304" cm="1">
        <f t="array" ref="AI74">IF(AND(AI$2&lt;&gt;0,TblTech[[#This Row],[Hour]:[Hour]]&gt;=AI$2),1,0)</f>
        <v>0</v>
      </c>
      <c r="AJ74" s="304" cm="1">
        <f t="array" ref="AJ74">IF(AND(AJ$2&lt;&gt;0,TblTech[[#This Row],[Hour]:[Hour]]&gt;=AJ$2),1,0)</f>
        <v>0</v>
      </c>
      <c r="AK74" s="304" cm="1">
        <f t="array" ref="AK74">IF(AND(AK$2&lt;&gt;0,TblTech[[#This Row],[Hour]:[Hour]]&gt;=AK$2),1,0)</f>
        <v>0</v>
      </c>
      <c r="AL74" s="304" cm="1">
        <f t="array" ref="AL74">IF(AND(AL$2&lt;&gt;0,TblTech[[#This Row],[Hour]:[Hour]]&gt;=AL$2),1,0)</f>
        <v>0</v>
      </c>
      <c r="AM74" s="304" cm="1">
        <f t="array" ref="AM74">IF(AND(AM$2&lt;&gt;0,TblTech[[#This Row],[Hour]:[Hour]]&gt;=AM$2),1,0)</f>
        <v>0</v>
      </c>
      <c r="AN74" s="304" cm="1">
        <f t="array" ref="AN74">IF(AND(AN$2&lt;&gt;0,TblTech[[#This Row],[Hour]:[Hour]]&gt;=AN$2),1,0)</f>
        <v>0</v>
      </c>
      <c r="AO74" s="304" cm="1">
        <f t="array" ref="AO74">IF(AND(AO$2&lt;&gt;0,TblTech[[#This Row],[Hour]:[Hour]]&gt;=AO$2),1,0)</f>
        <v>0</v>
      </c>
      <c r="AP74" s="304" cm="1">
        <f t="array" ref="AP74">IF(AND(AP$2&lt;&gt;0,TblTech[[#This Row],[Hour]:[Hour]]&gt;=AP$2),1,0)</f>
        <v>0</v>
      </c>
      <c r="AQ74" s="304" cm="1">
        <f t="array" ref="AQ74">IF(AND(AQ$2&lt;&gt;0,TblTech[[#This Row],[Hour]:[Hour]]&gt;=AQ$2),1,0)</f>
        <v>0</v>
      </c>
      <c r="AR74" s="304" cm="1">
        <f t="array" ref="AR74">IF(AND(AR$2&lt;&gt;0,TblTech[[#This Row],[Hour]:[Hour]]&gt;=AR$2),1,0)</f>
        <v>0</v>
      </c>
      <c r="AS74" s="304" cm="1">
        <f t="array" ref="AS74">IF(AND(AS$2&lt;&gt;0,TblTech[[#This Row],[Hour]:[Hour]]&gt;=AS$2),1,0)</f>
        <v>0</v>
      </c>
      <c r="AT74" s="304" cm="1">
        <f t="array" ref="AT74">IF(AND(AT$2&lt;&gt;0,TblTech[[#This Row],[Hour]:[Hour]]&gt;=AT$2),1,0)</f>
        <v>0</v>
      </c>
      <c r="AU74" s="304" cm="1">
        <f t="array" ref="AU74">IF(AND(AU$2&lt;&gt;0,TblTech[[#This Row],[Hour]:[Hour]]&gt;=AU$2),1,0)</f>
        <v>0</v>
      </c>
      <c r="AV74" s="304" cm="1">
        <f t="array" ref="AV74">IF(AND(AV$2&lt;&gt;0,TblTech[[#This Row],[Hour]:[Hour]]&gt;=AV$2),1,0)</f>
        <v>0</v>
      </c>
      <c r="AW74" s="304" cm="1">
        <f t="array" ref="AW74">IF(AND(AW$2&lt;&gt;0,TblTech[[#This Row],[Hour]:[Hour]]&gt;=AW$2),1,0)</f>
        <v>0</v>
      </c>
      <c r="AX74" s="304" cm="1">
        <f t="array" ref="AX74">IF(AND(AX$2&lt;&gt;0,TblTech[[#This Row],[Hour]:[Hour]]&gt;=AX$2),1,0)</f>
        <v>0</v>
      </c>
      <c r="AY74" s="304" cm="1">
        <f t="array" ref="AY74">IF(AND(AY$2&lt;&gt;0,TblTech[[#This Row],[Hour]:[Hour]]&gt;=AY$2),1,0)</f>
        <v>0</v>
      </c>
      <c r="AZ74" s="304" cm="1">
        <f t="array" ref="AZ74">IF(AND(AZ$2&lt;&gt;0,TblTech[[#This Row],[Hour]:[Hour]]&gt;=AZ$2),1,0)</f>
        <v>0</v>
      </c>
      <c r="BA74" s="304" cm="1">
        <f t="array" ref="BA74">IF(AND(BA$2&lt;&gt;0,TblTech[[#This Row],[Hour]:[Hour]]&gt;=BA$2),1,0)</f>
        <v>0</v>
      </c>
      <c r="BB74" s="304" cm="1">
        <f t="array" ref="BB74">IF(AND(BB$2&lt;&gt;0,TblTech[[#This Row],[Hour]:[Hour]]&gt;=BB$2),1,0)</f>
        <v>0</v>
      </c>
      <c r="BC74" s="304" cm="1">
        <f t="array" ref="BC74">IF(AND(BC$2&lt;&gt;0,TblTech[[#This Row],[Hour]:[Hour]]&gt;=BC$2),1,0)</f>
        <v>0</v>
      </c>
      <c r="BD74" s="304" cm="1">
        <f t="array" ref="BD74">IF(AND(BD$2&lt;&gt;0,TblTech[[#This Row],[Hour]:[Hour]]&gt;=BD$2),1,0)</f>
        <v>0</v>
      </c>
      <c r="BE74" s="304" cm="1">
        <f t="array" ref="BE74">IF(AND(BE$2&lt;&gt;0,TblTech[[#This Row],[Hour]:[Hour]]&gt;=BE$2),1,0)</f>
        <v>0</v>
      </c>
      <c r="BF74" s="304" cm="1">
        <f t="array" ref="BF74">IF(AND(BF$2&lt;&gt;0,TblTech[[#This Row],[Hour]:[Hour]]&gt;=BF$2),1,0)</f>
        <v>0</v>
      </c>
      <c r="BG74" s="304" cm="1">
        <f t="array" ref="BG74">IF(AND(BG$2&lt;&gt;0,TblTech[[#This Row],[Hour]:[Hour]]&gt;=BG$2),1,0)</f>
        <v>0</v>
      </c>
      <c r="BH74" s="304" cm="1">
        <f t="array" ref="BH74">IF(AND(BH$2&lt;&gt;0,TblTech[[#This Row],[Hour]:[Hour]]&gt;=BH$2),1,0)</f>
        <v>0</v>
      </c>
      <c r="BI74" s="304" cm="1">
        <f t="array" ref="BI74">IF(AND(BI$2&lt;&gt;0,TblTech[[#This Row],[Hour]:[Hour]]&gt;=BI$2),1,0)</f>
        <v>0</v>
      </c>
      <c r="BJ74" s="304" cm="1">
        <f t="array" ref="BJ74">IF(AND(BJ$2&lt;&gt;0,TblTech[[#This Row],[Hour]:[Hour]]&gt;=BJ$2),1,0)</f>
        <v>0</v>
      </c>
      <c r="BK74" s="304" cm="1">
        <f t="array" ref="BK74">IF(AND(BK$2&lt;&gt;0,TblTech[[#This Row],[Hour]:[Hour]]&gt;=BK$2),1,0)</f>
        <v>0</v>
      </c>
      <c r="BL74" s="304" cm="1">
        <f t="array" ref="BL74">IF(AND(BL$2&lt;&gt;0,TblTech[[#This Row],[Hour]:[Hour]]&gt;=BL$2),1,0)</f>
        <v>0</v>
      </c>
      <c r="BM74" s="304" cm="1">
        <f t="array" ref="BM74">IF(AND(BM$2&lt;&gt;0,TblTech[[#This Row],[Hour]:[Hour]]&gt;=BM$2),1,0)</f>
        <v>0</v>
      </c>
      <c r="BN74" s="304" cm="1">
        <f t="array" ref="BN74">IF(AND(BN$2&lt;&gt;0,TblTech[[#This Row],[Hour]:[Hour]]&gt;=BN$2),1,0)</f>
        <v>0</v>
      </c>
      <c r="BO74" s="304" cm="1">
        <f t="array" ref="BO74">IF(AND(BO$2&lt;&gt;0,TblTech[[#This Row],[Hour]:[Hour]]&gt;=BO$2),1,0)</f>
        <v>0</v>
      </c>
      <c r="BP74" s="304" cm="1">
        <f t="array" ref="BP74">IF(AND(BP$2&lt;&gt;0,TblTech[[#This Row],[Hour]:[Hour]]&gt;=BP$2),1,0)</f>
        <v>0</v>
      </c>
      <c r="BQ74" s="304" cm="1">
        <f t="array" ref="BQ74">IF(AND(BQ$2&lt;&gt;0,TblTech[[#This Row],[Hour]:[Hour]]&gt;=BQ$2),1,0)</f>
        <v>0</v>
      </c>
      <c r="BR74" s="304" cm="1">
        <f t="array" ref="BR74">IF(AND(BR$2&lt;&gt;0,TblTech[[#This Row],[Hour]:[Hour]]&gt;=BR$2),1,0)</f>
        <v>0</v>
      </c>
      <c r="BS74" s="304" cm="1">
        <f t="array" ref="BS74">IF(AND(BS$2&lt;&gt;0,TblTech[[#This Row],[Hour]:[Hour]]&gt;=BS$2),1,0)</f>
        <v>0</v>
      </c>
      <c r="BT74" s="304" cm="1">
        <f t="array" ref="BT74">IF(AND(BT$2&lt;&gt;0,TblTech[[#This Row],[Hour]:[Hour]]&gt;=BT$2),1,0)</f>
        <v>0</v>
      </c>
      <c r="BU74" s="304" cm="1">
        <f t="array" ref="BU74">IF(AND(BU$2&lt;&gt;0,TblTech[[#This Row],[Hour]:[Hour]]&gt;=BU$2),1,0)</f>
        <v>0</v>
      </c>
      <c r="BV74" s="304" cm="1">
        <f t="array" ref="BV74">IF(AND(BV$2&lt;&gt;0,TblTech[[#This Row],[Hour]:[Hour]]&gt;=BV$2),1,0)</f>
        <v>0</v>
      </c>
      <c r="BW74" s="304" cm="1">
        <f t="array" ref="BW74">IF(AND(BW$2&lt;&gt;0,TblTech[[#This Row],[Hour]:[Hour]]&gt;=BW$2),1,0)</f>
        <v>0</v>
      </c>
      <c r="BX74" s="304" cm="1">
        <f t="array" ref="BX74">IF(AND(BX$2&lt;&gt;0,TblTech[[#This Row],[Hour]:[Hour]]&gt;=BX$2),1,0)</f>
        <v>0</v>
      </c>
      <c r="BY74" s="304" cm="1">
        <f t="array" ref="BY74">IF(AND(BY$2&lt;&gt;0,TblTech[[#This Row],[Hour]:[Hour]]&gt;=BY$2),1,0)</f>
        <v>0</v>
      </c>
      <c r="BZ74" s="304" cm="1">
        <f t="array" ref="BZ74">IF(AND(BZ$2&lt;&gt;0,TblTech[[#This Row],[Hour]:[Hour]]&gt;=BZ$2),1,0)</f>
        <v>0</v>
      </c>
      <c r="CA74" s="408">
        <f>IFERROR(INDEX($H$4:$H$79,MATCH(INDEX(TblTech[[#Headers],[1-1]:[11-1]],1,MATCH(TblTech[[#This Row],[Hour]],$M$2:$BZ$2,0)),$G$4:$G$79,0)),)</f>
        <v>0</v>
      </c>
    </row>
    <row r="75" spans="1:79" x14ac:dyDescent="0.2">
      <c r="A75" s="296">
        <f>TblRezone[[#This Row],[Hour]]</f>
        <v>72</v>
      </c>
      <c r="B75" s="297">
        <f ca="1">TblExplore[[#This Row],[Land-DB]]</f>
        <v>250</v>
      </c>
      <c r="C75" s="298">
        <f ca="1">TblProd[[#This Row],[Techpoints]]</f>
        <v>0</v>
      </c>
      <c r="D75" s="298">
        <f ca="1">TblProd[[#This Row],[Required]]</f>
        <v>3750</v>
      </c>
      <c r="E75" s="299"/>
      <c r="F75" s="300"/>
      <c r="G75" s="301"/>
      <c r="H75" s="302"/>
      <c r="I75" s="301"/>
      <c r="J75" s="297"/>
      <c r="K75" s="96">
        <f ca="1">IF(TblTech[[#This Row],[Sum of tech]]&lt;&gt;OFFSET(TblTech[[#This Row],[Sum of tech]],-1,0),1,0)</f>
        <v>0</v>
      </c>
      <c r="L75" s="303">
        <f>COUNTIF(TblTech[[#This Row],[1-1]:[11-1]],1)</f>
        <v>0</v>
      </c>
      <c r="M75" s="304" cm="1">
        <f t="array" ref="M75">IF(AND(M$2&lt;&gt;0,TblTech[[#This Row],[Hour]:[Hour]]&gt;=M$2),1,0)</f>
        <v>0</v>
      </c>
      <c r="N75" s="304" cm="1">
        <f t="array" ref="N75">IF(AND(N$2&lt;&gt;0,TblTech[[#This Row],[Hour]:[Hour]]&gt;=N$2),1,0)</f>
        <v>0</v>
      </c>
      <c r="O75" s="304" cm="1">
        <f t="array" ref="O75">IF(AND(O$2&lt;&gt;0,TblTech[[#This Row],[Hour]:[Hour]]&gt;=O$2),1,0)</f>
        <v>0</v>
      </c>
      <c r="P75" s="304" cm="1">
        <f t="array" ref="P75">IF(AND(P$2&lt;&gt;0,TblTech[[#This Row],[Hour]:[Hour]]&gt;=P$2),1,0)</f>
        <v>0</v>
      </c>
      <c r="Q75" s="304" cm="1">
        <f t="array" ref="Q75">IF(AND(Q$2&lt;&gt;0,TblTech[[#This Row],[Hour]:[Hour]]&gt;=Q$2),1,0)</f>
        <v>0</v>
      </c>
      <c r="R75" s="304" cm="1">
        <f t="array" ref="R75">IF(AND(R$2&lt;&gt;0,TblTech[[#This Row],[Hour]:[Hour]]&gt;=R$2),1,0)</f>
        <v>0</v>
      </c>
      <c r="S75" s="304" cm="1">
        <f t="array" ref="S75">IF(AND(S$2&lt;&gt;0,TblTech[[#This Row],[Hour]:[Hour]]&gt;=S$2),1,0)</f>
        <v>0</v>
      </c>
      <c r="T75" s="304" cm="1">
        <f t="array" ref="T75">IF(AND(T$2&lt;&gt;0,TblTech[[#This Row],[Hour]:[Hour]]&gt;=T$2),1,0)</f>
        <v>0</v>
      </c>
      <c r="U75" s="304" cm="1">
        <f t="array" ref="U75">IF(AND(U$2&lt;&gt;0,TblTech[[#This Row],[Hour]:[Hour]]&gt;=U$2),1,0)</f>
        <v>0</v>
      </c>
      <c r="V75" s="304" cm="1">
        <f t="array" ref="V75">IF(AND(V$2&lt;&gt;0,TblTech[[#This Row],[Hour]:[Hour]]&gt;=V$2),1,0)</f>
        <v>0</v>
      </c>
      <c r="W75" s="304" cm="1">
        <f t="array" ref="W75">IF(AND(W$2&lt;&gt;0,TblTech[[#This Row],[Hour]:[Hour]]&gt;=W$2),1,0)</f>
        <v>0</v>
      </c>
      <c r="X75" s="304" cm="1">
        <f t="array" ref="X75">IF(AND(X$2&lt;&gt;0,TblTech[[#This Row],[Hour]:[Hour]]&gt;=X$2),1,0)</f>
        <v>0</v>
      </c>
      <c r="Y75" s="304" cm="1">
        <f t="array" ref="Y75">IF(AND(Y$2&lt;&gt;0,TblTech[[#This Row],[Hour]:[Hour]]&gt;=Y$2),1,0)</f>
        <v>0</v>
      </c>
      <c r="Z75" s="304" cm="1">
        <f t="array" ref="Z75">IF(AND(Z$2&lt;&gt;0,TblTech[[#This Row],[Hour]:[Hour]]&gt;=Z$2),1,0)</f>
        <v>0</v>
      </c>
      <c r="AA75" s="304" cm="1">
        <f t="array" ref="AA75">IF(AND(AA$2&lt;&gt;0,TblTech[[#This Row],[Hour]:[Hour]]&gt;=AA$2),1,0)</f>
        <v>0</v>
      </c>
      <c r="AB75" s="304" cm="1">
        <f t="array" ref="AB75">IF(AND(AB$2&lt;&gt;0,TblTech[[#This Row],[Hour]:[Hour]]&gt;=AB$2),1,0)</f>
        <v>0</v>
      </c>
      <c r="AC75" s="304" cm="1">
        <f t="array" ref="AC75">IF(AND(AC$2&lt;&gt;0,TblTech[[#This Row],[Hour]:[Hour]]&gt;=AC$2),1,0)</f>
        <v>0</v>
      </c>
      <c r="AD75" s="304" cm="1">
        <f t="array" ref="AD75">IF(AND(AD$2&lt;&gt;0,TblTech[[#This Row],[Hour]:[Hour]]&gt;=AD$2),1,0)</f>
        <v>0</v>
      </c>
      <c r="AE75" s="304" cm="1">
        <f t="array" ref="AE75">IF(AND(AE$2&lt;&gt;0,TblTech[[#This Row],[Hour]:[Hour]]&gt;=AE$2),1,0)</f>
        <v>0</v>
      </c>
      <c r="AF75" s="304" cm="1">
        <f t="array" ref="AF75">IF(AND(AF$2&lt;&gt;0,TblTech[[#This Row],[Hour]:[Hour]]&gt;=AF$2),1,0)</f>
        <v>0</v>
      </c>
      <c r="AG75" s="304" cm="1">
        <f t="array" ref="AG75">IF(AND(AG$2&lt;&gt;0,TblTech[[#This Row],[Hour]:[Hour]]&gt;=AG$2),1,0)</f>
        <v>0</v>
      </c>
      <c r="AH75" s="304" cm="1">
        <f t="array" ref="AH75">IF(AND(AH$2&lt;&gt;0,TblTech[[#This Row],[Hour]:[Hour]]&gt;=AH$2),1,0)</f>
        <v>0</v>
      </c>
      <c r="AI75" s="304" cm="1">
        <f t="array" ref="AI75">IF(AND(AI$2&lt;&gt;0,TblTech[[#This Row],[Hour]:[Hour]]&gt;=AI$2),1,0)</f>
        <v>0</v>
      </c>
      <c r="AJ75" s="304" cm="1">
        <f t="array" ref="AJ75">IF(AND(AJ$2&lt;&gt;0,TblTech[[#This Row],[Hour]:[Hour]]&gt;=AJ$2),1,0)</f>
        <v>0</v>
      </c>
      <c r="AK75" s="304" cm="1">
        <f t="array" ref="AK75">IF(AND(AK$2&lt;&gt;0,TblTech[[#This Row],[Hour]:[Hour]]&gt;=AK$2),1,0)</f>
        <v>0</v>
      </c>
      <c r="AL75" s="304" cm="1">
        <f t="array" ref="AL75">IF(AND(AL$2&lt;&gt;0,TblTech[[#This Row],[Hour]:[Hour]]&gt;=AL$2),1,0)</f>
        <v>0</v>
      </c>
      <c r="AM75" s="304" cm="1">
        <f t="array" ref="AM75">IF(AND(AM$2&lt;&gt;0,TblTech[[#This Row],[Hour]:[Hour]]&gt;=AM$2),1,0)</f>
        <v>0</v>
      </c>
      <c r="AN75" s="304" cm="1">
        <f t="array" ref="AN75">IF(AND(AN$2&lt;&gt;0,TblTech[[#This Row],[Hour]:[Hour]]&gt;=AN$2),1,0)</f>
        <v>0</v>
      </c>
      <c r="AO75" s="304" cm="1">
        <f t="array" ref="AO75">IF(AND(AO$2&lt;&gt;0,TblTech[[#This Row],[Hour]:[Hour]]&gt;=AO$2),1,0)</f>
        <v>0</v>
      </c>
      <c r="AP75" s="304" cm="1">
        <f t="array" ref="AP75">IF(AND(AP$2&lt;&gt;0,TblTech[[#This Row],[Hour]:[Hour]]&gt;=AP$2),1,0)</f>
        <v>0</v>
      </c>
      <c r="AQ75" s="304" cm="1">
        <f t="array" ref="AQ75">IF(AND(AQ$2&lt;&gt;0,TblTech[[#This Row],[Hour]:[Hour]]&gt;=AQ$2),1,0)</f>
        <v>0</v>
      </c>
      <c r="AR75" s="304" cm="1">
        <f t="array" ref="AR75">IF(AND(AR$2&lt;&gt;0,TblTech[[#This Row],[Hour]:[Hour]]&gt;=AR$2),1,0)</f>
        <v>0</v>
      </c>
      <c r="AS75" s="304" cm="1">
        <f t="array" ref="AS75">IF(AND(AS$2&lt;&gt;0,TblTech[[#This Row],[Hour]:[Hour]]&gt;=AS$2),1,0)</f>
        <v>0</v>
      </c>
      <c r="AT75" s="304" cm="1">
        <f t="array" ref="AT75">IF(AND(AT$2&lt;&gt;0,TblTech[[#This Row],[Hour]:[Hour]]&gt;=AT$2),1,0)</f>
        <v>0</v>
      </c>
      <c r="AU75" s="304" cm="1">
        <f t="array" ref="AU75">IF(AND(AU$2&lt;&gt;0,TblTech[[#This Row],[Hour]:[Hour]]&gt;=AU$2),1,0)</f>
        <v>0</v>
      </c>
      <c r="AV75" s="304" cm="1">
        <f t="array" ref="AV75">IF(AND(AV$2&lt;&gt;0,TblTech[[#This Row],[Hour]:[Hour]]&gt;=AV$2),1,0)</f>
        <v>0</v>
      </c>
      <c r="AW75" s="304" cm="1">
        <f t="array" ref="AW75">IF(AND(AW$2&lt;&gt;0,TblTech[[#This Row],[Hour]:[Hour]]&gt;=AW$2),1,0)</f>
        <v>0</v>
      </c>
      <c r="AX75" s="304" cm="1">
        <f t="array" ref="AX75">IF(AND(AX$2&lt;&gt;0,TblTech[[#This Row],[Hour]:[Hour]]&gt;=AX$2),1,0)</f>
        <v>0</v>
      </c>
      <c r="AY75" s="304" cm="1">
        <f t="array" ref="AY75">IF(AND(AY$2&lt;&gt;0,TblTech[[#This Row],[Hour]:[Hour]]&gt;=AY$2),1,0)</f>
        <v>0</v>
      </c>
      <c r="AZ75" s="304" cm="1">
        <f t="array" ref="AZ75">IF(AND(AZ$2&lt;&gt;0,TblTech[[#This Row],[Hour]:[Hour]]&gt;=AZ$2),1,0)</f>
        <v>0</v>
      </c>
      <c r="BA75" s="304" cm="1">
        <f t="array" ref="BA75">IF(AND(BA$2&lt;&gt;0,TblTech[[#This Row],[Hour]:[Hour]]&gt;=BA$2),1,0)</f>
        <v>0</v>
      </c>
      <c r="BB75" s="304" cm="1">
        <f t="array" ref="BB75">IF(AND(BB$2&lt;&gt;0,TblTech[[#This Row],[Hour]:[Hour]]&gt;=BB$2),1,0)</f>
        <v>0</v>
      </c>
      <c r="BC75" s="304" cm="1">
        <f t="array" ref="BC75">IF(AND(BC$2&lt;&gt;0,TblTech[[#This Row],[Hour]:[Hour]]&gt;=BC$2),1,0)</f>
        <v>0</v>
      </c>
      <c r="BD75" s="304" cm="1">
        <f t="array" ref="BD75">IF(AND(BD$2&lt;&gt;0,TblTech[[#This Row],[Hour]:[Hour]]&gt;=BD$2),1,0)</f>
        <v>0</v>
      </c>
      <c r="BE75" s="304" cm="1">
        <f t="array" ref="BE75">IF(AND(BE$2&lt;&gt;0,TblTech[[#This Row],[Hour]:[Hour]]&gt;=BE$2),1,0)</f>
        <v>0</v>
      </c>
      <c r="BF75" s="304" cm="1">
        <f t="array" ref="BF75">IF(AND(BF$2&lt;&gt;0,TblTech[[#This Row],[Hour]:[Hour]]&gt;=BF$2),1,0)</f>
        <v>0</v>
      </c>
      <c r="BG75" s="304" cm="1">
        <f t="array" ref="BG75">IF(AND(BG$2&lt;&gt;0,TblTech[[#This Row],[Hour]:[Hour]]&gt;=BG$2),1,0)</f>
        <v>0</v>
      </c>
      <c r="BH75" s="304" cm="1">
        <f t="array" ref="BH75">IF(AND(BH$2&lt;&gt;0,TblTech[[#This Row],[Hour]:[Hour]]&gt;=BH$2),1,0)</f>
        <v>0</v>
      </c>
      <c r="BI75" s="304" cm="1">
        <f t="array" ref="BI75">IF(AND(BI$2&lt;&gt;0,TblTech[[#This Row],[Hour]:[Hour]]&gt;=BI$2),1,0)</f>
        <v>0</v>
      </c>
      <c r="BJ75" s="304" cm="1">
        <f t="array" ref="BJ75">IF(AND(BJ$2&lt;&gt;0,TblTech[[#This Row],[Hour]:[Hour]]&gt;=BJ$2),1,0)</f>
        <v>0</v>
      </c>
      <c r="BK75" s="304" cm="1">
        <f t="array" ref="BK75">IF(AND(BK$2&lt;&gt;0,TblTech[[#This Row],[Hour]:[Hour]]&gt;=BK$2),1,0)</f>
        <v>0</v>
      </c>
      <c r="BL75" s="304" cm="1">
        <f t="array" ref="BL75">IF(AND(BL$2&lt;&gt;0,TblTech[[#This Row],[Hour]:[Hour]]&gt;=BL$2),1,0)</f>
        <v>0</v>
      </c>
      <c r="BM75" s="304" cm="1">
        <f t="array" ref="BM75">IF(AND(BM$2&lt;&gt;0,TblTech[[#This Row],[Hour]:[Hour]]&gt;=BM$2),1,0)</f>
        <v>0</v>
      </c>
      <c r="BN75" s="304" cm="1">
        <f t="array" ref="BN75">IF(AND(BN$2&lt;&gt;0,TblTech[[#This Row],[Hour]:[Hour]]&gt;=BN$2),1,0)</f>
        <v>0</v>
      </c>
      <c r="BO75" s="304" cm="1">
        <f t="array" ref="BO75">IF(AND(BO$2&lt;&gt;0,TblTech[[#This Row],[Hour]:[Hour]]&gt;=BO$2),1,0)</f>
        <v>0</v>
      </c>
      <c r="BP75" s="304" cm="1">
        <f t="array" ref="BP75">IF(AND(BP$2&lt;&gt;0,TblTech[[#This Row],[Hour]:[Hour]]&gt;=BP$2),1,0)</f>
        <v>0</v>
      </c>
      <c r="BQ75" s="304" cm="1">
        <f t="array" ref="BQ75">IF(AND(BQ$2&lt;&gt;0,TblTech[[#This Row],[Hour]:[Hour]]&gt;=BQ$2),1,0)</f>
        <v>0</v>
      </c>
      <c r="BR75" s="304" cm="1">
        <f t="array" ref="BR75">IF(AND(BR$2&lt;&gt;0,TblTech[[#This Row],[Hour]:[Hour]]&gt;=BR$2),1,0)</f>
        <v>0</v>
      </c>
      <c r="BS75" s="304" cm="1">
        <f t="array" ref="BS75">IF(AND(BS$2&lt;&gt;0,TblTech[[#This Row],[Hour]:[Hour]]&gt;=BS$2),1,0)</f>
        <v>0</v>
      </c>
      <c r="BT75" s="304" cm="1">
        <f t="array" ref="BT75">IF(AND(BT$2&lt;&gt;0,TblTech[[#This Row],[Hour]:[Hour]]&gt;=BT$2),1,0)</f>
        <v>0</v>
      </c>
      <c r="BU75" s="304" cm="1">
        <f t="array" ref="BU75">IF(AND(BU$2&lt;&gt;0,TblTech[[#This Row],[Hour]:[Hour]]&gt;=BU$2),1,0)</f>
        <v>0</v>
      </c>
      <c r="BV75" s="304" cm="1">
        <f t="array" ref="BV75">IF(AND(BV$2&lt;&gt;0,TblTech[[#This Row],[Hour]:[Hour]]&gt;=BV$2),1,0)</f>
        <v>0</v>
      </c>
      <c r="BW75" s="304" cm="1">
        <f t="array" ref="BW75">IF(AND(BW$2&lt;&gt;0,TblTech[[#This Row],[Hour]:[Hour]]&gt;=BW$2),1,0)</f>
        <v>0</v>
      </c>
      <c r="BX75" s="304" cm="1">
        <f t="array" ref="BX75">IF(AND(BX$2&lt;&gt;0,TblTech[[#This Row],[Hour]:[Hour]]&gt;=BX$2),1,0)</f>
        <v>0</v>
      </c>
      <c r="BY75" s="304" cm="1">
        <f t="array" ref="BY75">IF(AND(BY$2&lt;&gt;0,TblTech[[#This Row],[Hour]:[Hour]]&gt;=BY$2),1,0)</f>
        <v>0</v>
      </c>
      <c r="BZ75" s="304" cm="1">
        <f t="array" ref="BZ75">IF(AND(BZ$2&lt;&gt;0,TblTech[[#This Row],[Hour]:[Hour]]&gt;=BZ$2),1,0)</f>
        <v>0</v>
      </c>
      <c r="CA75" s="408">
        <f>IFERROR(INDEX($H$4:$H$79,MATCH(INDEX(TblTech[[#Headers],[1-1]:[11-1]],1,MATCH(TblTech[[#This Row],[Hour]],$M$2:$BZ$2,0)),$G$4:$G$79,0)),)</f>
        <v>0</v>
      </c>
    </row>
    <row r="76" spans="1:79" x14ac:dyDescent="0.2">
      <c r="A76" s="296">
        <f>TblRezone[[#This Row],[Hour]]</f>
        <v>73</v>
      </c>
      <c r="B76" s="297">
        <f ca="1">TblExplore[[#This Row],[Land-DB]]</f>
        <v>250</v>
      </c>
      <c r="C76" s="298">
        <f ca="1">TblProd[[#This Row],[Techpoints]]</f>
        <v>0</v>
      </c>
      <c r="D76" s="298">
        <f ca="1">TblProd[[#This Row],[Required]]</f>
        <v>3750</v>
      </c>
      <c r="E76" s="299"/>
      <c r="F76" s="300"/>
      <c r="G76" s="301" t="s">
        <v>635</v>
      </c>
      <c r="H76" s="302" t="s">
        <v>742</v>
      </c>
      <c r="I76" s="301" t="s">
        <v>620</v>
      </c>
      <c r="J76" s="297"/>
      <c r="K76" s="96">
        <f ca="1">IF(TblTech[[#This Row],[Sum of tech]]&lt;&gt;OFFSET(TblTech[[#This Row],[Sum of tech]],-1,0),1,0)</f>
        <v>0</v>
      </c>
      <c r="L76" s="303">
        <f>COUNTIF(TblTech[[#This Row],[1-1]:[11-1]],1)</f>
        <v>0</v>
      </c>
      <c r="M76" s="304" cm="1">
        <f t="array" ref="M76">IF(AND(M$2&lt;&gt;0,TblTech[[#This Row],[Hour]:[Hour]]&gt;=M$2),1,0)</f>
        <v>0</v>
      </c>
      <c r="N76" s="304" cm="1">
        <f t="array" ref="N76">IF(AND(N$2&lt;&gt;0,TblTech[[#This Row],[Hour]:[Hour]]&gt;=N$2),1,0)</f>
        <v>0</v>
      </c>
      <c r="O76" s="304" cm="1">
        <f t="array" ref="O76">IF(AND(O$2&lt;&gt;0,TblTech[[#This Row],[Hour]:[Hour]]&gt;=O$2),1,0)</f>
        <v>0</v>
      </c>
      <c r="P76" s="304" cm="1">
        <f t="array" ref="P76">IF(AND(P$2&lt;&gt;0,TblTech[[#This Row],[Hour]:[Hour]]&gt;=P$2),1,0)</f>
        <v>0</v>
      </c>
      <c r="Q76" s="304" cm="1">
        <f t="array" ref="Q76">IF(AND(Q$2&lt;&gt;0,TblTech[[#This Row],[Hour]:[Hour]]&gt;=Q$2),1,0)</f>
        <v>0</v>
      </c>
      <c r="R76" s="304" cm="1">
        <f t="array" ref="R76">IF(AND(R$2&lt;&gt;0,TblTech[[#This Row],[Hour]:[Hour]]&gt;=R$2),1,0)</f>
        <v>0</v>
      </c>
      <c r="S76" s="304" cm="1">
        <f t="array" ref="S76">IF(AND(S$2&lt;&gt;0,TblTech[[#This Row],[Hour]:[Hour]]&gt;=S$2),1,0)</f>
        <v>0</v>
      </c>
      <c r="T76" s="304" cm="1">
        <f t="array" ref="T76">IF(AND(T$2&lt;&gt;0,TblTech[[#This Row],[Hour]:[Hour]]&gt;=T$2),1,0)</f>
        <v>0</v>
      </c>
      <c r="U76" s="304" cm="1">
        <f t="array" ref="U76">IF(AND(U$2&lt;&gt;0,TblTech[[#This Row],[Hour]:[Hour]]&gt;=U$2),1,0)</f>
        <v>0</v>
      </c>
      <c r="V76" s="304" cm="1">
        <f t="array" ref="V76">IF(AND(V$2&lt;&gt;0,TblTech[[#This Row],[Hour]:[Hour]]&gt;=V$2),1,0)</f>
        <v>0</v>
      </c>
      <c r="W76" s="304" cm="1">
        <f t="array" ref="W76">IF(AND(W$2&lt;&gt;0,TblTech[[#This Row],[Hour]:[Hour]]&gt;=W$2),1,0)</f>
        <v>0</v>
      </c>
      <c r="X76" s="304" cm="1">
        <f t="array" ref="X76">IF(AND(X$2&lt;&gt;0,TblTech[[#This Row],[Hour]:[Hour]]&gt;=X$2),1,0)</f>
        <v>0</v>
      </c>
      <c r="Y76" s="304" cm="1">
        <f t="array" ref="Y76">IF(AND(Y$2&lt;&gt;0,TblTech[[#This Row],[Hour]:[Hour]]&gt;=Y$2),1,0)</f>
        <v>0</v>
      </c>
      <c r="Z76" s="304" cm="1">
        <f t="array" ref="Z76">IF(AND(Z$2&lt;&gt;0,TblTech[[#This Row],[Hour]:[Hour]]&gt;=Z$2),1,0)</f>
        <v>0</v>
      </c>
      <c r="AA76" s="304" cm="1">
        <f t="array" ref="AA76">IF(AND(AA$2&lt;&gt;0,TblTech[[#This Row],[Hour]:[Hour]]&gt;=AA$2),1,0)</f>
        <v>0</v>
      </c>
      <c r="AB76" s="304" cm="1">
        <f t="array" ref="AB76">IF(AND(AB$2&lt;&gt;0,TblTech[[#This Row],[Hour]:[Hour]]&gt;=AB$2),1,0)</f>
        <v>0</v>
      </c>
      <c r="AC76" s="304" cm="1">
        <f t="array" ref="AC76">IF(AND(AC$2&lt;&gt;0,TblTech[[#This Row],[Hour]:[Hour]]&gt;=AC$2),1,0)</f>
        <v>0</v>
      </c>
      <c r="AD76" s="304" cm="1">
        <f t="array" ref="AD76">IF(AND(AD$2&lt;&gt;0,TblTech[[#This Row],[Hour]:[Hour]]&gt;=AD$2),1,0)</f>
        <v>0</v>
      </c>
      <c r="AE76" s="304" cm="1">
        <f t="array" ref="AE76">IF(AND(AE$2&lt;&gt;0,TblTech[[#This Row],[Hour]:[Hour]]&gt;=AE$2),1,0)</f>
        <v>0</v>
      </c>
      <c r="AF76" s="304" cm="1">
        <f t="array" ref="AF76">IF(AND(AF$2&lt;&gt;0,TblTech[[#This Row],[Hour]:[Hour]]&gt;=AF$2),1,0)</f>
        <v>0</v>
      </c>
      <c r="AG76" s="304" cm="1">
        <f t="array" ref="AG76">IF(AND(AG$2&lt;&gt;0,TblTech[[#This Row],[Hour]:[Hour]]&gt;=AG$2),1,0)</f>
        <v>0</v>
      </c>
      <c r="AH76" s="304" cm="1">
        <f t="array" ref="AH76">IF(AND(AH$2&lt;&gt;0,TblTech[[#This Row],[Hour]:[Hour]]&gt;=AH$2),1,0)</f>
        <v>0</v>
      </c>
      <c r="AI76" s="304" cm="1">
        <f t="array" ref="AI76">IF(AND(AI$2&lt;&gt;0,TblTech[[#This Row],[Hour]:[Hour]]&gt;=AI$2),1,0)</f>
        <v>0</v>
      </c>
      <c r="AJ76" s="304" cm="1">
        <f t="array" ref="AJ76">IF(AND(AJ$2&lt;&gt;0,TblTech[[#This Row],[Hour]:[Hour]]&gt;=AJ$2),1,0)</f>
        <v>0</v>
      </c>
      <c r="AK76" s="304" cm="1">
        <f t="array" ref="AK76">IF(AND(AK$2&lt;&gt;0,TblTech[[#This Row],[Hour]:[Hour]]&gt;=AK$2),1,0)</f>
        <v>0</v>
      </c>
      <c r="AL76" s="304" cm="1">
        <f t="array" ref="AL76">IF(AND(AL$2&lt;&gt;0,TblTech[[#This Row],[Hour]:[Hour]]&gt;=AL$2),1,0)</f>
        <v>0</v>
      </c>
      <c r="AM76" s="304" cm="1">
        <f t="array" ref="AM76">IF(AND(AM$2&lt;&gt;0,TblTech[[#This Row],[Hour]:[Hour]]&gt;=AM$2),1,0)</f>
        <v>0</v>
      </c>
      <c r="AN76" s="304" cm="1">
        <f t="array" ref="AN76">IF(AND(AN$2&lt;&gt;0,TblTech[[#This Row],[Hour]:[Hour]]&gt;=AN$2),1,0)</f>
        <v>0</v>
      </c>
      <c r="AO76" s="304" cm="1">
        <f t="array" ref="AO76">IF(AND(AO$2&lt;&gt;0,TblTech[[#This Row],[Hour]:[Hour]]&gt;=AO$2),1,0)</f>
        <v>0</v>
      </c>
      <c r="AP76" s="304" cm="1">
        <f t="array" ref="AP76">IF(AND(AP$2&lt;&gt;0,TblTech[[#This Row],[Hour]:[Hour]]&gt;=AP$2),1,0)</f>
        <v>0</v>
      </c>
      <c r="AQ76" s="304" cm="1">
        <f t="array" ref="AQ76">IF(AND(AQ$2&lt;&gt;0,TblTech[[#This Row],[Hour]:[Hour]]&gt;=AQ$2),1,0)</f>
        <v>0</v>
      </c>
      <c r="AR76" s="304" cm="1">
        <f t="array" ref="AR76">IF(AND(AR$2&lt;&gt;0,TblTech[[#This Row],[Hour]:[Hour]]&gt;=AR$2),1,0)</f>
        <v>0</v>
      </c>
      <c r="AS76" s="304" cm="1">
        <f t="array" ref="AS76">IF(AND(AS$2&lt;&gt;0,TblTech[[#This Row],[Hour]:[Hour]]&gt;=AS$2),1,0)</f>
        <v>0</v>
      </c>
      <c r="AT76" s="304" cm="1">
        <f t="array" ref="AT76">IF(AND(AT$2&lt;&gt;0,TblTech[[#This Row],[Hour]:[Hour]]&gt;=AT$2),1,0)</f>
        <v>0</v>
      </c>
      <c r="AU76" s="304" cm="1">
        <f t="array" ref="AU76">IF(AND(AU$2&lt;&gt;0,TblTech[[#This Row],[Hour]:[Hour]]&gt;=AU$2),1,0)</f>
        <v>0</v>
      </c>
      <c r="AV76" s="304" cm="1">
        <f t="array" ref="AV76">IF(AND(AV$2&lt;&gt;0,TblTech[[#This Row],[Hour]:[Hour]]&gt;=AV$2),1,0)</f>
        <v>0</v>
      </c>
      <c r="AW76" s="304" cm="1">
        <f t="array" ref="AW76">IF(AND(AW$2&lt;&gt;0,TblTech[[#This Row],[Hour]:[Hour]]&gt;=AW$2),1,0)</f>
        <v>0</v>
      </c>
      <c r="AX76" s="304" cm="1">
        <f t="array" ref="AX76">IF(AND(AX$2&lt;&gt;0,TblTech[[#This Row],[Hour]:[Hour]]&gt;=AX$2),1,0)</f>
        <v>0</v>
      </c>
      <c r="AY76" s="304" cm="1">
        <f t="array" ref="AY76">IF(AND(AY$2&lt;&gt;0,TblTech[[#This Row],[Hour]:[Hour]]&gt;=AY$2),1,0)</f>
        <v>0</v>
      </c>
      <c r="AZ76" s="304" cm="1">
        <f t="array" ref="AZ76">IF(AND(AZ$2&lt;&gt;0,TblTech[[#This Row],[Hour]:[Hour]]&gt;=AZ$2),1,0)</f>
        <v>0</v>
      </c>
      <c r="BA76" s="304" cm="1">
        <f t="array" ref="BA76">IF(AND(BA$2&lt;&gt;0,TblTech[[#This Row],[Hour]:[Hour]]&gt;=BA$2),1,0)</f>
        <v>0</v>
      </c>
      <c r="BB76" s="304" cm="1">
        <f t="array" ref="BB76">IF(AND(BB$2&lt;&gt;0,TblTech[[#This Row],[Hour]:[Hour]]&gt;=BB$2),1,0)</f>
        <v>0</v>
      </c>
      <c r="BC76" s="304" cm="1">
        <f t="array" ref="BC76">IF(AND(BC$2&lt;&gt;0,TblTech[[#This Row],[Hour]:[Hour]]&gt;=BC$2),1,0)</f>
        <v>0</v>
      </c>
      <c r="BD76" s="304" cm="1">
        <f t="array" ref="BD76">IF(AND(BD$2&lt;&gt;0,TblTech[[#This Row],[Hour]:[Hour]]&gt;=BD$2),1,0)</f>
        <v>0</v>
      </c>
      <c r="BE76" s="304" cm="1">
        <f t="array" ref="BE76">IF(AND(BE$2&lt;&gt;0,TblTech[[#This Row],[Hour]:[Hour]]&gt;=BE$2),1,0)</f>
        <v>0</v>
      </c>
      <c r="BF76" s="304" cm="1">
        <f t="array" ref="BF76">IF(AND(BF$2&lt;&gt;0,TblTech[[#This Row],[Hour]:[Hour]]&gt;=BF$2),1,0)</f>
        <v>0</v>
      </c>
      <c r="BG76" s="304" cm="1">
        <f t="array" ref="BG76">IF(AND(BG$2&lt;&gt;0,TblTech[[#This Row],[Hour]:[Hour]]&gt;=BG$2),1,0)</f>
        <v>0</v>
      </c>
      <c r="BH76" s="304" cm="1">
        <f t="array" ref="BH76">IF(AND(BH$2&lt;&gt;0,TblTech[[#This Row],[Hour]:[Hour]]&gt;=BH$2),1,0)</f>
        <v>0</v>
      </c>
      <c r="BI76" s="304" cm="1">
        <f t="array" ref="BI76">IF(AND(BI$2&lt;&gt;0,TblTech[[#This Row],[Hour]:[Hour]]&gt;=BI$2),1,0)</f>
        <v>0</v>
      </c>
      <c r="BJ76" s="304" cm="1">
        <f t="array" ref="BJ76">IF(AND(BJ$2&lt;&gt;0,TblTech[[#This Row],[Hour]:[Hour]]&gt;=BJ$2),1,0)</f>
        <v>0</v>
      </c>
      <c r="BK76" s="304" cm="1">
        <f t="array" ref="BK76">IF(AND(BK$2&lt;&gt;0,TblTech[[#This Row],[Hour]:[Hour]]&gt;=BK$2),1,0)</f>
        <v>0</v>
      </c>
      <c r="BL76" s="304" cm="1">
        <f t="array" ref="BL76">IF(AND(BL$2&lt;&gt;0,TblTech[[#This Row],[Hour]:[Hour]]&gt;=BL$2),1,0)</f>
        <v>0</v>
      </c>
      <c r="BM76" s="304" cm="1">
        <f t="array" ref="BM76">IF(AND(BM$2&lt;&gt;0,TblTech[[#This Row],[Hour]:[Hour]]&gt;=BM$2),1,0)</f>
        <v>0</v>
      </c>
      <c r="BN76" s="304" cm="1">
        <f t="array" ref="BN76">IF(AND(BN$2&lt;&gt;0,TblTech[[#This Row],[Hour]:[Hour]]&gt;=BN$2),1,0)</f>
        <v>0</v>
      </c>
      <c r="BO76" s="304" cm="1">
        <f t="array" ref="BO76">IF(AND(BO$2&lt;&gt;0,TblTech[[#This Row],[Hour]:[Hour]]&gt;=BO$2),1,0)</f>
        <v>0</v>
      </c>
      <c r="BP76" s="304" cm="1">
        <f t="array" ref="BP76">IF(AND(BP$2&lt;&gt;0,TblTech[[#This Row],[Hour]:[Hour]]&gt;=BP$2),1,0)</f>
        <v>0</v>
      </c>
      <c r="BQ76" s="304" cm="1">
        <f t="array" ref="BQ76">IF(AND(BQ$2&lt;&gt;0,TblTech[[#This Row],[Hour]:[Hour]]&gt;=BQ$2),1,0)</f>
        <v>0</v>
      </c>
      <c r="BR76" s="304" cm="1">
        <f t="array" ref="BR76">IF(AND(BR$2&lt;&gt;0,TblTech[[#This Row],[Hour]:[Hour]]&gt;=BR$2),1,0)</f>
        <v>0</v>
      </c>
      <c r="BS76" s="304" cm="1">
        <f t="array" ref="BS76">IF(AND(BS$2&lt;&gt;0,TblTech[[#This Row],[Hour]:[Hour]]&gt;=BS$2),1,0)</f>
        <v>0</v>
      </c>
      <c r="BT76" s="304" cm="1">
        <f t="array" ref="BT76">IF(AND(BT$2&lt;&gt;0,TblTech[[#This Row],[Hour]:[Hour]]&gt;=BT$2),1,0)</f>
        <v>0</v>
      </c>
      <c r="BU76" s="304" cm="1">
        <f t="array" ref="BU76">IF(AND(BU$2&lt;&gt;0,TblTech[[#This Row],[Hour]:[Hour]]&gt;=BU$2),1,0)</f>
        <v>0</v>
      </c>
      <c r="BV76" s="304" cm="1">
        <f t="array" ref="BV76">IF(AND(BV$2&lt;&gt;0,TblTech[[#This Row],[Hour]:[Hour]]&gt;=BV$2),1,0)</f>
        <v>0</v>
      </c>
      <c r="BW76" s="304" cm="1">
        <f t="array" ref="BW76">IF(AND(BW$2&lt;&gt;0,TblTech[[#This Row],[Hour]:[Hour]]&gt;=BW$2),1,0)</f>
        <v>0</v>
      </c>
      <c r="BX76" s="304" cm="1">
        <f t="array" ref="BX76">IF(AND(BX$2&lt;&gt;0,TblTech[[#This Row],[Hour]:[Hour]]&gt;=BX$2),1,0)</f>
        <v>0</v>
      </c>
      <c r="BY76" s="304" cm="1">
        <f t="array" ref="BY76">IF(AND(BY$2&lt;&gt;0,TblTech[[#This Row],[Hour]:[Hour]]&gt;=BY$2),1,0)</f>
        <v>0</v>
      </c>
      <c r="BZ76" s="304" cm="1">
        <f t="array" ref="BZ76">IF(AND(BZ$2&lt;&gt;0,TblTech[[#This Row],[Hour]:[Hour]]&gt;=BZ$2),1,0)</f>
        <v>0</v>
      </c>
      <c r="CA76" s="408">
        <f>IFERROR(INDEX($H$4:$H$79,MATCH(INDEX(TblTech[[#Headers],[1-1]:[11-1]],1,MATCH(TblTech[[#This Row],[Hour]],$M$2:$BZ$2,0)),$G$4:$G$79,0)),)</f>
        <v>0</v>
      </c>
    </row>
    <row r="77" spans="1:79" x14ac:dyDescent="0.2">
      <c r="A77" s="296">
        <f>TblRezone[[#This Row],[Hour]]</f>
        <v>74</v>
      </c>
      <c r="B77" s="297">
        <f ca="1">TblExplore[[#This Row],[Land-DB]]</f>
        <v>250</v>
      </c>
      <c r="C77" s="298">
        <f ca="1">TblProd[[#This Row],[Techpoints]]</f>
        <v>0</v>
      </c>
      <c r="D77" s="298">
        <f ca="1">TblProd[[#This Row],[Required]]</f>
        <v>3750</v>
      </c>
      <c r="E77" s="299"/>
      <c r="F77" s="300"/>
      <c r="G77" s="301" t="s">
        <v>637</v>
      </c>
      <c r="H77" s="302" t="s">
        <v>752</v>
      </c>
      <c r="I77" s="301" t="s">
        <v>636</v>
      </c>
      <c r="J77" s="297"/>
      <c r="K77" s="96">
        <f ca="1">IF(TblTech[[#This Row],[Sum of tech]]&lt;&gt;OFFSET(TblTech[[#This Row],[Sum of tech]],-1,0),1,0)</f>
        <v>0</v>
      </c>
      <c r="L77" s="303">
        <f>COUNTIF(TblTech[[#This Row],[1-1]:[11-1]],1)</f>
        <v>0</v>
      </c>
      <c r="M77" s="304" cm="1">
        <f t="array" ref="M77">IF(AND(M$2&lt;&gt;0,TblTech[[#This Row],[Hour]:[Hour]]&gt;=M$2),1,0)</f>
        <v>0</v>
      </c>
      <c r="N77" s="304" cm="1">
        <f t="array" ref="N77">IF(AND(N$2&lt;&gt;0,TblTech[[#This Row],[Hour]:[Hour]]&gt;=N$2),1,0)</f>
        <v>0</v>
      </c>
      <c r="O77" s="304" cm="1">
        <f t="array" ref="O77">IF(AND(O$2&lt;&gt;0,TblTech[[#This Row],[Hour]:[Hour]]&gt;=O$2),1,0)</f>
        <v>0</v>
      </c>
      <c r="P77" s="304" cm="1">
        <f t="array" ref="P77">IF(AND(P$2&lt;&gt;0,TblTech[[#This Row],[Hour]:[Hour]]&gt;=P$2),1,0)</f>
        <v>0</v>
      </c>
      <c r="Q77" s="304" cm="1">
        <f t="array" ref="Q77">IF(AND(Q$2&lt;&gt;0,TblTech[[#This Row],[Hour]:[Hour]]&gt;=Q$2),1,0)</f>
        <v>0</v>
      </c>
      <c r="R77" s="304" cm="1">
        <f t="array" ref="R77">IF(AND(R$2&lt;&gt;0,TblTech[[#This Row],[Hour]:[Hour]]&gt;=R$2),1,0)</f>
        <v>0</v>
      </c>
      <c r="S77" s="304" cm="1">
        <f t="array" ref="S77">IF(AND(S$2&lt;&gt;0,TblTech[[#This Row],[Hour]:[Hour]]&gt;=S$2),1,0)</f>
        <v>0</v>
      </c>
      <c r="T77" s="304" cm="1">
        <f t="array" ref="T77">IF(AND(T$2&lt;&gt;0,TblTech[[#This Row],[Hour]:[Hour]]&gt;=T$2),1,0)</f>
        <v>0</v>
      </c>
      <c r="U77" s="304" cm="1">
        <f t="array" ref="U77">IF(AND(U$2&lt;&gt;0,TblTech[[#This Row],[Hour]:[Hour]]&gt;=U$2),1,0)</f>
        <v>0</v>
      </c>
      <c r="V77" s="304" cm="1">
        <f t="array" ref="V77">IF(AND(V$2&lt;&gt;0,TblTech[[#This Row],[Hour]:[Hour]]&gt;=V$2),1,0)</f>
        <v>0</v>
      </c>
      <c r="W77" s="304" cm="1">
        <f t="array" ref="W77">IF(AND(W$2&lt;&gt;0,TblTech[[#This Row],[Hour]:[Hour]]&gt;=W$2),1,0)</f>
        <v>0</v>
      </c>
      <c r="X77" s="304" cm="1">
        <f t="array" ref="X77">IF(AND(X$2&lt;&gt;0,TblTech[[#This Row],[Hour]:[Hour]]&gt;=X$2),1,0)</f>
        <v>0</v>
      </c>
      <c r="Y77" s="304" cm="1">
        <f t="array" ref="Y77">IF(AND(Y$2&lt;&gt;0,TblTech[[#This Row],[Hour]:[Hour]]&gt;=Y$2),1,0)</f>
        <v>0</v>
      </c>
      <c r="Z77" s="304" cm="1">
        <f t="array" ref="Z77">IF(AND(Z$2&lt;&gt;0,TblTech[[#This Row],[Hour]:[Hour]]&gt;=Z$2),1,0)</f>
        <v>0</v>
      </c>
      <c r="AA77" s="304" cm="1">
        <f t="array" ref="AA77">IF(AND(AA$2&lt;&gt;0,TblTech[[#This Row],[Hour]:[Hour]]&gt;=AA$2),1,0)</f>
        <v>0</v>
      </c>
      <c r="AB77" s="304" cm="1">
        <f t="array" ref="AB77">IF(AND(AB$2&lt;&gt;0,TblTech[[#This Row],[Hour]:[Hour]]&gt;=AB$2),1,0)</f>
        <v>0</v>
      </c>
      <c r="AC77" s="304" cm="1">
        <f t="array" ref="AC77">IF(AND(AC$2&lt;&gt;0,TblTech[[#This Row],[Hour]:[Hour]]&gt;=AC$2),1,0)</f>
        <v>0</v>
      </c>
      <c r="AD77" s="304" cm="1">
        <f t="array" ref="AD77">IF(AND(AD$2&lt;&gt;0,TblTech[[#This Row],[Hour]:[Hour]]&gt;=AD$2),1,0)</f>
        <v>0</v>
      </c>
      <c r="AE77" s="304" cm="1">
        <f t="array" ref="AE77">IF(AND(AE$2&lt;&gt;0,TblTech[[#This Row],[Hour]:[Hour]]&gt;=AE$2),1,0)</f>
        <v>0</v>
      </c>
      <c r="AF77" s="304" cm="1">
        <f t="array" ref="AF77">IF(AND(AF$2&lt;&gt;0,TblTech[[#This Row],[Hour]:[Hour]]&gt;=AF$2),1,0)</f>
        <v>0</v>
      </c>
      <c r="AG77" s="304" cm="1">
        <f t="array" ref="AG77">IF(AND(AG$2&lt;&gt;0,TblTech[[#This Row],[Hour]:[Hour]]&gt;=AG$2),1,0)</f>
        <v>0</v>
      </c>
      <c r="AH77" s="304" cm="1">
        <f t="array" ref="AH77">IF(AND(AH$2&lt;&gt;0,TblTech[[#This Row],[Hour]:[Hour]]&gt;=AH$2),1,0)</f>
        <v>0</v>
      </c>
      <c r="AI77" s="304" cm="1">
        <f t="array" ref="AI77">IF(AND(AI$2&lt;&gt;0,TblTech[[#This Row],[Hour]:[Hour]]&gt;=AI$2),1,0)</f>
        <v>0</v>
      </c>
      <c r="AJ77" s="304" cm="1">
        <f t="array" ref="AJ77">IF(AND(AJ$2&lt;&gt;0,TblTech[[#This Row],[Hour]:[Hour]]&gt;=AJ$2),1,0)</f>
        <v>0</v>
      </c>
      <c r="AK77" s="304" cm="1">
        <f t="array" ref="AK77">IF(AND(AK$2&lt;&gt;0,TblTech[[#This Row],[Hour]:[Hour]]&gt;=AK$2),1,0)</f>
        <v>0</v>
      </c>
      <c r="AL77" s="304" cm="1">
        <f t="array" ref="AL77">IF(AND(AL$2&lt;&gt;0,TblTech[[#This Row],[Hour]:[Hour]]&gt;=AL$2),1,0)</f>
        <v>0</v>
      </c>
      <c r="AM77" s="304" cm="1">
        <f t="array" ref="AM77">IF(AND(AM$2&lt;&gt;0,TblTech[[#This Row],[Hour]:[Hour]]&gt;=AM$2),1,0)</f>
        <v>0</v>
      </c>
      <c r="AN77" s="304" cm="1">
        <f t="array" ref="AN77">IF(AND(AN$2&lt;&gt;0,TblTech[[#This Row],[Hour]:[Hour]]&gt;=AN$2),1,0)</f>
        <v>0</v>
      </c>
      <c r="AO77" s="304" cm="1">
        <f t="array" ref="AO77">IF(AND(AO$2&lt;&gt;0,TblTech[[#This Row],[Hour]:[Hour]]&gt;=AO$2),1,0)</f>
        <v>0</v>
      </c>
      <c r="AP77" s="304" cm="1">
        <f t="array" ref="AP77">IF(AND(AP$2&lt;&gt;0,TblTech[[#This Row],[Hour]:[Hour]]&gt;=AP$2),1,0)</f>
        <v>0</v>
      </c>
      <c r="AQ77" s="304" cm="1">
        <f t="array" ref="AQ77">IF(AND(AQ$2&lt;&gt;0,TblTech[[#This Row],[Hour]:[Hour]]&gt;=AQ$2),1,0)</f>
        <v>0</v>
      </c>
      <c r="AR77" s="304" cm="1">
        <f t="array" ref="AR77">IF(AND(AR$2&lt;&gt;0,TblTech[[#This Row],[Hour]:[Hour]]&gt;=AR$2),1,0)</f>
        <v>0</v>
      </c>
      <c r="AS77" s="304" cm="1">
        <f t="array" ref="AS77">IF(AND(AS$2&lt;&gt;0,TblTech[[#This Row],[Hour]:[Hour]]&gt;=AS$2),1,0)</f>
        <v>0</v>
      </c>
      <c r="AT77" s="304" cm="1">
        <f t="array" ref="AT77">IF(AND(AT$2&lt;&gt;0,TblTech[[#This Row],[Hour]:[Hour]]&gt;=AT$2),1,0)</f>
        <v>0</v>
      </c>
      <c r="AU77" s="304" cm="1">
        <f t="array" ref="AU77">IF(AND(AU$2&lt;&gt;0,TblTech[[#This Row],[Hour]:[Hour]]&gt;=AU$2),1,0)</f>
        <v>0</v>
      </c>
      <c r="AV77" s="304" cm="1">
        <f t="array" ref="AV77">IF(AND(AV$2&lt;&gt;0,TblTech[[#This Row],[Hour]:[Hour]]&gt;=AV$2),1,0)</f>
        <v>0</v>
      </c>
      <c r="AW77" s="304" cm="1">
        <f t="array" ref="AW77">IF(AND(AW$2&lt;&gt;0,TblTech[[#This Row],[Hour]:[Hour]]&gt;=AW$2),1,0)</f>
        <v>0</v>
      </c>
      <c r="AX77" s="304" cm="1">
        <f t="array" ref="AX77">IF(AND(AX$2&lt;&gt;0,TblTech[[#This Row],[Hour]:[Hour]]&gt;=AX$2),1,0)</f>
        <v>0</v>
      </c>
      <c r="AY77" s="304" cm="1">
        <f t="array" ref="AY77">IF(AND(AY$2&lt;&gt;0,TblTech[[#This Row],[Hour]:[Hour]]&gt;=AY$2),1,0)</f>
        <v>0</v>
      </c>
      <c r="AZ77" s="304" cm="1">
        <f t="array" ref="AZ77">IF(AND(AZ$2&lt;&gt;0,TblTech[[#This Row],[Hour]:[Hour]]&gt;=AZ$2),1,0)</f>
        <v>0</v>
      </c>
      <c r="BA77" s="304" cm="1">
        <f t="array" ref="BA77">IF(AND(BA$2&lt;&gt;0,TblTech[[#This Row],[Hour]:[Hour]]&gt;=BA$2),1,0)</f>
        <v>0</v>
      </c>
      <c r="BB77" s="304" cm="1">
        <f t="array" ref="BB77">IF(AND(BB$2&lt;&gt;0,TblTech[[#This Row],[Hour]:[Hour]]&gt;=BB$2),1,0)</f>
        <v>0</v>
      </c>
      <c r="BC77" s="304" cm="1">
        <f t="array" ref="BC77">IF(AND(BC$2&lt;&gt;0,TblTech[[#This Row],[Hour]:[Hour]]&gt;=BC$2),1,0)</f>
        <v>0</v>
      </c>
      <c r="BD77" s="304" cm="1">
        <f t="array" ref="BD77">IF(AND(BD$2&lt;&gt;0,TblTech[[#This Row],[Hour]:[Hour]]&gt;=BD$2),1,0)</f>
        <v>0</v>
      </c>
      <c r="BE77" s="304" cm="1">
        <f t="array" ref="BE77">IF(AND(BE$2&lt;&gt;0,TblTech[[#This Row],[Hour]:[Hour]]&gt;=BE$2),1,0)</f>
        <v>0</v>
      </c>
      <c r="BF77" s="304" cm="1">
        <f t="array" ref="BF77">IF(AND(BF$2&lt;&gt;0,TblTech[[#This Row],[Hour]:[Hour]]&gt;=BF$2),1,0)</f>
        <v>0</v>
      </c>
      <c r="BG77" s="304" cm="1">
        <f t="array" ref="BG77">IF(AND(BG$2&lt;&gt;0,TblTech[[#This Row],[Hour]:[Hour]]&gt;=BG$2),1,0)</f>
        <v>0</v>
      </c>
      <c r="BH77" s="304" cm="1">
        <f t="array" ref="BH77">IF(AND(BH$2&lt;&gt;0,TblTech[[#This Row],[Hour]:[Hour]]&gt;=BH$2),1,0)</f>
        <v>0</v>
      </c>
      <c r="BI77" s="304" cm="1">
        <f t="array" ref="BI77">IF(AND(BI$2&lt;&gt;0,TblTech[[#This Row],[Hour]:[Hour]]&gt;=BI$2),1,0)</f>
        <v>0</v>
      </c>
      <c r="BJ77" s="304" cm="1">
        <f t="array" ref="BJ77">IF(AND(BJ$2&lt;&gt;0,TblTech[[#This Row],[Hour]:[Hour]]&gt;=BJ$2),1,0)</f>
        <v>0</v>
      </c>
      <c r="BK77" s="304" cm="1">
        <f t="array" ref="BK77">IF(AND(BK$2&lt;&gt;0,TblTech[[#This Row],[Hour]:[Hour]]&gt;=BK$2),1,0)</f>
        <v>0</v>
      </c>
      <c r="BL77" s="304" cm="1">
        <f t="array" ref="BL77">IF(AND(BL$2&lt;&gt;0,TblTech[[#This Row],[Hour]:[Hour]]&gt;=BL$2),1,0)</f>
        <v>0</v>
      </c>
      <c r="BM77" s="304" cm="1">
        <f t="array" ref="BM77">IF(AND(BM$2&lt;&gt;0,TblTech[[#This Row],[Hour]:[Hour]]&gt;=BM$2),1,0)</f>
        <v>0</v>
      </c>
      <c r="BN77" s="304" cm="1">
        <f t="array" ref="BN77">IF(AND(BN$2&lt;&gt;0,TblTech[[#This Row],[Hour]:[Hour]]&gt;=BN$2),1,0)</f>
        <v>0</v>
      </c>
      <c r="BO77" s="304" cm="1">
        <f t="array" ref="BO77">IF(AND(BO$2&lt;&gt;0,TblTech[[#This Row],[Hour]:[Hour]]&gt;=BO$2),1,0)</f>
        <v>0</v>
      </c>
      <c r="BP77" s="304" cm="1">
        <f t="array" ref="BP77">IF(AND(BP$2&lt;&gt;0,TblTech[[#This Row],[Hour]:[Hour]]&gt;=BP$2),1,0)</f>
        <v>0</v>
      </c>
      <c r="BQ77" s="304" cm="1">
        <f t="array" ref="BQ77">IF(AND(BQ$2&lt;&gt;0,TblTech[[#This Row],[Hour]:[Hour]]&gt;=BQ$2),1,0)</f>
        <v>0</v>
      </c>
      <c r="BR77" s="304" cm="1">
        <f t="array" ref="BR77">IF(AND(BR$2&lt;&gt;0,TblTech[[#This Row],[Hour]:[Hour]]&gt;=BR$2),1,0)</f>
        <v>0</v>
      </c>
      <c r="BS77" s="304" cm="1">
        <f t="array" ref="BS77">IF(AND(BS$2&lt;&gt;0,TblTech[[#This Row],[Hour]:[Hour]]&gt;=BS$2),1,0)</f>
        <v>0</v>
      </c>
      <c r="BT77" s="304" cm="1">
        <f t="array" ref="BT77">IF(AND(BT$2&lt;&gt;0,TblTech[[#This Row],[Hour]:[Hour]]&gt;=BT$2),1,0)</f>
        <v>0</v>
      </c>
      <c r="BU77" s="304" cm="1">
        <f t="array" ref="BU77">IF(AND(BU$2&lt;&gt;0,TblTech[[#This Row],[Hour]:[Hour]]&gt;=BU$2),1,0)</f>
        <v>0</v>
      </c>
      <c r="BV77" s="304" cm="1">
        <f t="array" ref="BV77">IF(AND(BV$2&lt;&gt;0,TblTech[[#This Row],[Hour]:[Hour]]&gt;=BV$2),1,0)</f>
        <v>0</v>
      </c>
      <c r="BW77" s="304" cm="1">
        <f t="array" ref="BW77">IF(AND(BW$2&lt;&gt;0,TblTech[[#This Row],[Hour]:[Hour]]&gt;=BW$2),1,0)</f>
        <v>0</v>
      </c>
      <c r="BX77" s="304" cm="1">
        <f t="array" ref="BX77">IF(AND(BX$2&lt;&gt;0,TblTech[[#This Row],[Hour]:[Hour]]&gt;=BX$2),1,0)</f>
        <v>0</v>
      </c>
      <c r="BY77" s="304" cm="1">
        <f t="array" ref="BY77">IF(AND(BY$2&lt;&gt;0,TblTech[[#This Row],[Hour]:[Hour]]&gt;=BY$2),1,0)</f>
        <v>0</v>
      </c>
      <c r="BZ77" s="304" cm="1">
        <f t="array" ref="BZ77">IF(AND(BZ$2&lt;&gt;0,TblTech[[#This Row],[Hour]:[Hour]]&gt;=BZ$2),1,0)</f>
        <v>0</v>
      </c>
      <c r="CA77" s="408">
        <f>IFERROR(INDEX($H$4:$H$79,MATCH(INDEX(TblTech[[#Headers],[1-1]:[11-1]],1,MATCH(TblTech[[#This Row],[Hour]],$M$2:$BZ$2,0)),$G$4:$G$79,0)),)</f>
        <v>0</v>
      </c>
    </row>
    <row r="78" spans="1:79" x14ac:dyDescent="0.2">
      <c r="A78" s="296">
        <f>TblRezone[[#This Row],[Hour]]</f>
        <v>75</v>
      </c>
      <c r="B78" s="297">
        <f ca="1">TblExplore[[#This Row],[Land-DB]]</f>
        <v>250</v>
      </c>
      <c r="C78" s="298">
        <f ca="1">TblProd[[#This Row],[Techpoints]]</f>
        <v>0</v>
      </c>
      <c r="D78" s="298">
        <f ca="1">TblProd[[#This Row],[Required]]</f>
        <v>3750</v>
      </c>
      <c r="E78" s="299"/>
      <c r="F78" s="300"/>
      <c r="G78" s="301"/>
      <c r="H78" s="302"/>
      <c r="I78" s="301"/>
      <c r="J78" s="297"/>
      <c r="K78" s="96">
        <f ca="1">IF(TblTech[[#This Row],[Sum of tech]]&lt;&gt;OFFSET(TblTech[[#This Row],[Sum of tech]],-1,0),1,0)</f>
        <v>0</v>
      </c>
      <c r="L78" s="303">
        <f>COUNTIF(TblTech[[#This Row],[1-1]:[11-1]],1)</f>
        <v>0</v>
      </c>
      <c r="M78" s="304" cm="1">
        <f t="array" ref="M78">IF(AND(M$2&lt;&gt;0,TblTech[[#This Row],[Hour]:[Hour]]&gt;=M$2),1,0)</f>
        <v>0</v>
      </c>
      <c r="N78" s="304" cm="1">
        <f t="array" ref="N78">IF(AND(N$2&lt;&gt;0,TblTech[[#This Row],[Hour]:[Hour]]&gt;=N$2),1,0)</f>
        <v>0</v>
      </c>
      <c r="O78" s="304" cm="1">
        <f t="array" ref="O78">IF(AND(O$2&lt;&gt;0,TblTech[[#This Row],[Hour]:[Hour]]&gt;=O$2),1,0)</f>
        <v>0</v>
      </c>
      <c r="P78" s="304" cm="1">
        <f t="array" ref="P78">IF(AND(P$2&lt;&gt;0,TblTech[[#This Row],[Hour]:[Hour]]&gt;=P$2),1,0)</f>
        <v>0</v>
      </c>
      <c r="Q78" s="304" cm="1">
        <f t="array" ref="Q78">IF(AND(Q$2&lt;&gt;0,TblTech[[#This Row],[Hour]:[Hour]]&gt;=Q$2),1,0)</f>
        <v>0</v>
      </c>
      <c r="R78" s="304" cm="1">
        <f t="array" ref="R78">IF(AND(R$2&lt;&gt;0,TblTech[[#This Row],[Hour]:[Hour]]&gt;=R$2),1,0)</f>
        <v>0</v>
      </c>
      <c r="S78" s="304" cm="1">
        <f t="array" ref="S78">IF(AND(S$2&lt;&gt;0,TblTech[[#This Row],[Hour]:[Hour]]&gt;=S$2),1,0)</f>
        <v>0</v>
      </c>
      <c r="T78" s="304" cm="1">
        <f t="array" ref="T78">IF(AND(T$2&lt;&gt;0,TblTech[[#This Row],[Hour]:[Hour]]&gt;=T$2),1,0)</f>
        <v>0</v>
      </c>
      <c r="U78" s="304" cm="1">
        <f t="array" ref="U78">IF(AND(U$2&lt;&gt;0,TblTech[[#This Row],[Hour]:[Hour]]&gt;=U$2),1,0)</f>
        <v>0</v>
      </c>
      <c r="V78" s="304" cm="1">
        <f t="array" ref="V78">IF(AND(V$2&lt;&gt;0,TblTech[[#This Row],[Hour]:[Hour]]&gt;=V$2),1,0)</f>
        <v>0</v>
      </c>
      <c r="W78" s="304" cm="1">
        <f t="array" ref="W78">IF(AND(W$2&lt;&gt;0,TblTech[[#This Row],[Hour]:[Hour]]&gt;=W$2),1,0)</f>
        <v>0</v>
      </c>
      <c r="X78" s="304" cm="1">
        <f t="array" ref="X78">IF(AND(X$2&lt;&gt;0,TblTech[[#This Row],[Hour]:[Hour]]&gt;=X$2),1,0)</f>
        <v>0</v>
      </c>
      <c r="Y78" s="304" cm="1">
        <f t="array" ref="Y78">IF(AND(Y$2&lt;&gt;0,TblTech[[#This Row],[Hour]:[Hour]]&gt;=Y$2),1,0)</f>
        <v>0</v>
      </c>
      <c r="Z78" s="304" cm="1">
        <f t="array" ref="Z78">IF(AND(Z$2&lt;&gt;0,TblTech[[#This Row],[Hour]:[Hour]]&gt;=Z$2),1,0)</f>
        <v>0</v>
      </c>
      <c r="AA78" s="304" cm="1">
        <f t="array" ref="AA78">IF(AND(AA$2&lt;&gt;0,TblTech[[#This Row],[Hour]:[Hour]]&gt;=AA$2),1,0)</f>
        <v>0</v>
      </c>
      <c r="AB78" s="304" cm="1">
        <f t="array" ref="AB78">IF(AND(AB$2&lt;&gt;0,TblTech[[#This Row],[Hour]:[Hour]]&gt;=AB$2),1,0)</f>
        <v>0</v>
      </c>
      <c r="AC78" s="304" cm="1">
        <f t="array" ref="AC78">IF(AND(AC$2&lt;&gt;0,TblTech[[#This Row],[Hour]:[Hour]]&gt;=AC$2),1,0)</f>
        <v>0</v>
      </c>
      <c r="AD78" s="304" cm="1">
        <f t="array" ref="AD78">IF(AND(AD$2&lt;&gt;0,TblTech[[#This Row],[Hour]:[Hour]]&gt;=AD$2),1,0)</f>
        <v>0</v>
      </c>
      <c r="AE78" s="304" cm="1">
        <f t="array" ref="AE78">IF(AND(AE$2&lt;&gt;0,TblTech[[#This Row],[Hour]:[Hour]]&gt;=AE$2),1,0)</f>
        <v>0</v>
      </c>
      <c r="AF78" s="304" cm="1">
        <f t="array" ref="AF78">IF(AND(AF$2&lt;&gt;0,TblTech[[#This Row],[Hour]:[Hour]]&gt;=AF$2),1,0)</f>
        <v>0</v>
      </c>
      <c r="AG78" s="304" cm="1">
        <f t="array" ref="AG78">IF(AND(AG$2&lt;&gt;0,TblTech[[#This Row],[Hour]:[Hour]]&gt;=AG$2),1,0)</f>
        <v>0</v>
      </c>
      <c r="AH78" s="304" cm="1">
        <f t="array" ref="AH78">IF(AND(AH$2&lt;&gt;0,TblTech[[#This Row],[Hour]:[Hour]]&gt;=AH$2),1,0)</f>
        <v>0</v>
      </c>
      <c r="AI78" s="304" cm="1">
        <f t="array" ref="AI78">IF(AND(AI$2&lt;&gt;0,TblTech[[#This Row],[Hour]:[Hour]]&gt;=AI$2),1,0)</f>
        <v>0</v>
      </c>
      <c r="AJ78" s="304" cm="1">
        <f t="array" ref="AJ78">IF(AND(AJ$2&lt;&gt;0,TblTech[[#This Row],[Hour]:[Hour]]&gt;=AJ$2),1,0)</f>
        <v>0</v>
      </c>
      <c r="AK78" s="304" cm="1">
        <f t="array" ref="AK78">IF(AND(AK$2&lt;&gt;0,TblTech[[#This Row],[Hour]:[Hour]]&gt;=AK$2),1,0)</f>
        <v>0</v>
      </c>
      <c r="AL78" s="304" cm="1">
        <f t="array" ref="AL78">IF(AND(AL$2&lt;&gt;0,TblTech[[#This Row],[Hour]:[Hour]]&gt;=AL$2),1,0)</f>
        <v>0</v>
      </c>
      <c r="AM78" s="304" cm="1">
        <f t="array" ref="AM78">IF(AND(AM$2&lt;&gt;0,TblTech[[#This Row],[Hour]:[Hour]]&gt;=AM$2),1,0)</f>
        <v>0</v>
      </c>
      <c r="AN78" s="304" cm="1">
        <f t="array" ref="AN78">IF(AND(AN$2&lt;&gt;0,TblTech[[#This Row],[Hour]:[Hour]]&gt;=AN$2),1,0)</f>
        <v>0</v>
      </c>
      <c r="AO78" s="304" cm="1">
        <f t="array" ref="AO78">IF(AND(AO$2&lt;&gt;0,TblTech[[#This Row],[Hour]:[Hour]]&gt;=AO$2),1,0)</f>
        <v>0</v>
      </c>
      <c r="AP78" s="304" cm="1">
        <f t="array" ref="AP78">IF(AND(AP$2&lt;&gt;0,TblTech[[#This Row],[Hour]:[Hour]]&gt;=AP$2),1,0)</f>
        <v>0</v>
      </c>
      <c r="AQ78" s="304" cm="1">
        <f t="array" ref="AQ78">IF(AND(AQ$2&lt;&gt;0,TblTech[[#This Row],[Hour]:[Hour]]&gt;=AQ$2),1,0)</f>
        <v>0</v>
      </c>
      <c r="AR78" s="304" cm="1">
        <f t="array" ref="AR78">IF(AND(AR$2&lt;&gt;0,TblTech[[#This Row],[Hour]:[Hour]]&gt;=AR$2),1,0)</f>
        <v>0</v>
      </c>
      <c r="AS78" s="304" cm="1">
        <f t="array" ref="AS78">IF(AND(AS$2&lt;&gt;0,TblTech[[#This Row],[Hour]:[Hour]]&gt;=AS$2),1,0)</f>
        <v>0</v>
      </c>
      <c r="AT78" s="304" cm="1">
        <f t="array" ref="AT78">IF(AND(AT$2&lt;&gt;0,TblTech[[#This Row],[Hour]:[Hour]]&gt;=AT$2),1,0)</f>
        <v>0</v>
      </c>
      <c r="AU78" s="304" cm="1">
        <f t="array" ref="AU78">IF(AND(AU$2&lt;&gt;0,TblTech[[#This Row],[Hour]:[Hour]]&gt;=AU$2),1,0)</f>
        <v>0</v>
      </c>
      <c r="AV78" s="304" cm="1">
        <f t="array" ref="AV78">IF(AND(AV$2&lt;&gt;0,TblTech[[#This Row],[Hour]:[Hour]]&gt;=AV$2),1,0)</f>
        <v>0</v>
      </c>
      <c r="AW78" s="304" cm="1">
        <f t="array" ref="AW78">IF(AND(AW$2&lt;&gt;0,TblTech[[#This Row],[Hour]:[Hour]]&gt;=AW$2),1,0)</f>
        <v>0</v>
      </c>
      <c r="AX78" s="304" cm="1">
        <f t="array" ref="AX78">IF(AND(AX$2&lt;&gt;0,TblTech[[#This Row],[Hour]:[Hour]]&gt;=AX$2),1,0)</f>
        <v>0</v>
      </c>
      <c r="AY78" s="304" cm="1">
        <f t="array" ref="AY78">IF(AND(AY$2&lt;&gt;0,TblTech[[#This Row],[Hour]:[Hour]]&gt;=AY$2),1,0)</f>
        <v>0</v>
      </c>
      <c r="AZ78" s="304" cm="1">
        <f t="array" ref="AZ78">IF(AND(AZ$2&lt;&gt;0,TblTech[[#This Row],[Hour]:[Hour]]&gt;=AZ$2),1,0)</f>
        <v>0</v>
      </c>
      <c r="BA78" s="304" cm="1">
        <f t="array" ref="BA78">IF(AND(BA$2&lt;&gt;0,TblTech[[#This Row],[Hour]:[Hour]]&gt;=BA$2),1,0)</f>
        <v>0</v>
      </c>
      <c r="BB78" s="304" cm="1">
        <f t="array" ref="BB78">IF(AND(BB$2&lt;&gt;0,TblTech[[#This Row],[Hour]:[Hour]]&gt;=BB$2),1,0)</f>
        <v>0</v>
      </c>
      <c r="BC78" s="304" cm="1">
        <f t="array" ref="BC78">IF(AND(BC$2&lt;&gt;0,TblTech[[#This Row],[Hour]:[Hour]]&gt;=BC$2),1,0)</f>
        <v>0</v>
      </c>
      <c r="BD78" s="304" cm="1">
        <f t="array" ref="BD78">IF(AND(BD$2&lt;&gt;0,TblTech[[#This Row],[Hour]:[Hour]]&gt;=BD$2),1,0)</f>
        <v>0</v>
      </c>
      <c r="BE78" s="304" cm="1">
        <f t="array" ref="BE78">IF(AND(BE$2&lt;&gt;0,TblTech[[#This Row],[Hour]:[Hour]]&gt;=BE$2),1,0)</f>
        <v>0</v>
      </c>
      <c r="BF78" s="304" cm="1">
        <f t="array" ref="BF78">IF(AND(BF$2&lt;&gt;0,TblTech[[#This Row],[Hour]:[Hour]]&gt;=BF$2),1,0)</f>
        <v>0</v>
      </c>
      <c r="BG78" s="304" cm="1">
        <f t="array" ref="BG78">IF(AND(BG$2&lt;&gt;0,TblTech[[#This Row],[Hour]:[Hour]]&gt;=BG$2),1,0)</f>
        <v>0</v>
      </c>
      <c r="BH78" s="304" cm="1">
        <f t="array" ref="BH78">IF(AND(BH$2&lt;&gt;0,TblTech[[#This Row],[Hour]:[Hour]]&gt;=BH$2),1,0)</f>
        <v>0</v>
      </c>
      <c r="BI78" s="304" cm="1">
        <f t="array" ref="BI78">IF(AND(BI$2&lt;&gt;0,TblTech[[#This Row],[Hour]:[Hour]]&gt;=BI$2),1,0)</f>
        <v>0</v>
      </c>
      <c r="BJ78" s="304" cm="1">
        <f t="array" ref="BJ78">IF(AND(BJ$2&lt;&gt;0,TblTech[[#This Row],[Hour]:[Hour]]&gt;=BJ$2),1,0)</f>
        <v>0</v>
      </c>
      <c r="BK78" s="304" cm="1">
        <f t="array" ref="BK78">IF(AND(BK$2&lt;&gt;0,TblTech[[#This Row],[Hour]:[Hour]]&gt;=BK$2),1,0)</f>
        <v>0</v>
      </c>
      <c r="BL78" s="304" cm="1">
        <f t="array" ref="BL78">IF(AND(BL$2&lt;&gt;0,TblTech[[#This Row],[Hour]:[Hour]]&gt;=BL$2),1,0)</f>
        <v>0</v>
      </c>
      <c r="BM78" s="304" cm="1">
        <f t="array" ref="BM78">IF(AND(BM$2&lt;&gt;0,TblTech[[#This Row],[Hour]:[Hour]]&gt;=BM$2),1,0)</f>
        <v>0</v>
      </c>
      <c r="BN78" s="304" cm="1">
        <f t="array" ref="BN78">IF(AND(BN$2&lt;&gt;0,TblTech[[#This Row],[Hour]:[Hour]]&gt;=BN$2),1,0)</f>
        <v>0</v>
      </c>
      <c r="BO78" s="304" cm="1">
        <f t="array" ref="BO78">IF(AND(BO$2&lt;&gt;0,TblTech[[#This Row],[Hour]:[Hour]]&gt;=BO$2),1,0)</f>
        <v>0</v>
      </c>
      <c r="BP78" s="304" cm="1">
        <f t="array" ref="BP78">IF(AND(BP$2&lt;&gt;0,TblTech[[#This Row],[Hour]:[Hour]]&gt;=BP$2),1,0)</f>
        <v>0</v>
      </c>
      <c r="BQ78" s="304" cm="1">
        <f t="array" ref="BQ78">IF(AND(BQ$2&lt;&gt;0,TblTech[[#This Row],[Hour]:[Hour]]&gt;=BQ$2),1,0)</f>
        <v>0</v>
      </c>
      <c r="BR78" s="304" cm="1">
        <f t="array" ref="BR78">IF(AND(BR$2&lt;&gt;0,TblTech[[#This Row],[Hour]:[Hour]]&gt;=BR$2),1,0)</f>
        <v>0</v>
      </c>
      <c r="BS78" s="304" cm="1">
        <f t="array" ref="BS78">IF(AND(BS$2&lt;&gt;0,TblTech[[#This Row],[Hour]:[Hour]]&gt;=BS$2),1,0)</f>
        <v>0</v>
      </c>
      <c r="BT78" s="304" cm="1">
        <f t="array" ref="BT78">IF(AND(BT$2&lt;&gt;0,TblTech[[#This Row],[Hour]:[Hour]]&gt;=BT$2),1,0)</f>
        <v>0</v>
      </c>
      <c r="BU78" s="304" cm="1">
        <f t="array" ref="BU78">IF(AND(BU$2&lt;&gt;0,TblTech[[#This Row],[Hour]:[Hour]]&gt;=BU$2),1,0)</f>
        <v>0</v>
      </c>
      <c r="BV78" s="304" cm="1">
        <f t="array" ref="BV78">IF(AND(BV$2&lt;&gt;0,TblTech[[#This Row],[Hour]:[Hour]]&gt;=BV$2),1,0)</f>
        <v>0</v>
      </c>
      <c r="BW78" s="304" cm="1">
        <f t="array" ref="BW78">IF(AND(BW$2&lt;&gt;0,TblTech[[#This Row],[Hour]:[Hour]]&gt;=BW$2),1,0)</f>
        <v>0</v>
      </c>
      <c r="BX78" s="304" cm="1">
        <f t="array" ref="BX78">IF(AND(BX$2&lt;&gt;0,TblTech[[#This Row],[Hour]:[Hour]]&gt;=BX$2),1,0)</f>
        <v>0</v>
      </c>
      <c r="BY78" s="304" cm="1">
        <f t="array" ref="BY78">IF(AND(BY$2&lt;&gt;0,TblTech[[#This Row],[Hour]:[Hour]]&gt;=BY$2),1,0)</f>
        <v>0</v>
      </c>
      <c r="BZ78" s="304" cm="1">
        <f t="array" ref="BZ78">IF(AND(BZ$2&lt;&gt;0,TblTech[[#This Row],[Hour]:[Hour]]&gt;=BZ$2),1,0)</f>
        <v>0</v>
      </c>
      <c r="CA78" s="408">
        <f>IFERROR(INDEX($H$4:$H$79,MATCH(INDEX(TblTech[[#Headers],[1-1]:[11-1]],1,MATCH(TblTech[[#This Row],[Hour]],$M$2:$BZ$2,0)),$G$4:$G$79,0)),)</f>
        <v>0</v>
      </c>
    </row>
    <row r="79" spans="1:79" x14ac:dyDescent="0.2">
      <c r="A79" s="296">
        <f>TblRezone[[#This Row],[Hour]]</f>
        <v>76</v>
      </c>
      <c r="B79" s="297">
        <f ca="1">TblExplore[[#This Row],[Land-DB]]</f>
        <v>250</v>
      </c>
      <c r="C79" s="298">
        <f ca="1">TblProd[[#This Row],[Techpoints]]</f>
        <v>0</v>
      </c>
      <c r="D79" s="298">
        <f ca="1">TblProd[[#This Row],[Required]]</f>
        <v>3750</v>
      </c>
      <c r="E79" s="299"/>
      <c r="F79" s="300"/>
      <c r="G79" s="301" t="s">
        <v>638</v>
      </c>
      <c r="H79" s="302" t="s">
        <v>753</v>
      </c>
      <c r="I79" s="301" t="s">
        <v>639</v>
      </c>
      <c r="J79" s="297"/>
      <c r="K79" s="96">
        <f ca="1">IF(TblTech[[#This Row],[Sum of tech]]&lt;&gt;OFFSET(TblTech[[#This Row],[Sum of tech]],-1,0),1,0)</f>
        <v>0</v>
      </c>
      <c r="L79" s="303">
        <f>COUNTIF(TblTech[[#This Row],[1-1]:[11-1]],1)</f>
        <v>0</v>
      </c>
      <c r="M79" s="304" cm="1">
        <f t="array" ref="M79">IF(AND(M$2&lt;&gt;0,TblTech[[#This Row],[Hour]:[Hour]]&gt;=M$2),1,0)</f>
        <v>0</v>
      </c>
      <c r="N79" s="304" cm="1">
        <f t="array" ref="N79">IF(AND(N$2&lt;&gt;0,TblTech[[#This Row],[Hour]:[Hour]]&gt;=N$2),1,0)</f>
        <v>0</v>
      </c>
      <c r="O79" s="304" cm="1">
        <f t="array" ref="O79">IF(AND(O$2&lt;&gt;0,TblTech[[#This Row],[Hour]:[Hour]]&gt;=O$2),1,0)</f>
        <v>0</v>
      </c>
      <c r="P79" s="304" cm="1">
        <f t="array" ref="P79">IF(AND(P$2&lt;&gt;0,TblTech[[#This Row],[Hour]:[Hour]]&gt;=P$2),1,0)</f>
        <v>0</v>
      </c>
      <c r="Q79" s="304" cm="1">
        <f t="array" ref="Q79">IF(AND(Q$2&lt;&gt;0,TblTech[[#This Row],[Hour]:[Hour]]&gt;=Q$2),1,0)</f>
        <v>0</v>
      </c>
      <c r="R79" s="304" cm="1">
        <f t="array" ref="R79">IF(AND(R$2&lt;&gt;0,TblTech[[#This Row],[Hour]:[Hour]]&gt;=R$2),1,0)</f>
        <v>0</v>
      </c>
      <c r="S79" s="304" cm="1">
        <f t="array" ref="S79">IF(AND(S$2&lt;&gt;0,TblTech[[#This Row],[Hour]:[Hour]]&gt;=S$2),1,0)</f>
        <v>0</v>
      </c>
      <c r="T79" s="304" cm="1">
        <f t="array" ref="T79">IF(AND(T$2&lt;&gt;0,TblTech[[#This Row],[Hour]:[Hour]]&gt;=T$2),1,0)</f>
        <v>0</v>
      </c>
      <c r="U79" s="304" cm="1">
        <f t="array" ref="U79">IF(AND(U$2&lt;&gt;0,TblTech[[#This Row],[Hour]:[Hour]]&gt;=U$2),1,0)</f>
        <v>0</v>
      </c>
      <c r="V79" s="304" cm="1">
        <f t="array" ref="V79">IF(AND(V$2&lt;&gt;0,TblTech[[#This Row],[Hour]:[Hour]]&gt;=V$2),1,0)</f>
        <v>0</v>
      </c>
      <c r="W79" s="304" cm="1">
        <f t="array" ref="W79">IF(AND(W$2&lt;&gt;0,TblTech[[#This Row],[Hour]:[Hour]]&gt;=W$2),1,0)</f>
        <v>0</v>
      </c>
      <c r="X79" s="304" cm="1">
        <f t="array" ref="X79">IF(AND(X$2&lt;&gt;0,TblTech[[#This Row],[Hour]:[Hour]]&gt;=X$2),1,0)</f>
        <v>0</v>
      </c>
      <c r="Y79" s="304" cm="1">
        <f t="array" ref="Y79">IF(AND(Y$2&lt;&gt;0,TblTech[[#This Row],[Hour]:[Hour]]&gt;=Y$2),1,0)</f>
        <v>0</v>
      </c>
      <c r="Z79" s="304" cm="1">
        <f t="array" ref="Z79">IF(AND(Z$2&lt;&gt;0,TblTech[[#This Row],[Hour]:[Hour]]&gt;=Z$2),1,0)</f>
        <v>0</v>
      </c>
      <c r="AA79" s="304" cm="1">
        <f t="array" ref="AA79">IF(AND(AA$2&lt;&gt;0,TblTech[[#This Row],[Hour]:[Hour]]&gt;=AA$2),1,0)</f>
        <v>0</v>
      </c>
      <c r="AB79" s="304" cm="1">
        <f t="array" ref="AB79">IF(AND(AB$2&lt;&gt;0,TblTech[[#This Row],[Hour]:[Hour]]&gt;=AB$2),1,0)</f>
        <v>0</v>
      </c>
      <c r="AC79" s="304" cm="1">
        <f t="array" ref="AC79">IF(AND(AC$2&lt;&gt;0,TblTech[[#This Row],[Hour]:[Hour]]&gt;=AC$2),1,0)</f>
        <v>0</v>
      </c>
      <c r="AD79" s="304" cm="1">
        <f t="array" ref="AD79">IF(AND(AD$2&lt;&gt;0,TblTech[[#This Row],[Hour]:[Hour]]&gt;=AD$2),1,0)</f>
        <v>0</v>
      </c>
      <c r="AE79" s="304" cm="1">
        <f t="array" ref="AE79">IF(AND(AE$2&lt;&gt;0,TblTech[[#This Row],[Hour]:[Hour]]&gt;=AE$2),1,0)</f>
        <v>0</v>
      </c>
      <c r="AF79" s="304" cm="1">
        <f t="array" ref="AF79">IF(AND(AF$2&lt;&gt;0,TblTech[[#This Row],[Hour]:[Hour]]&gt;=AF$2),1,0)</f>
        <v>0</v>
      </c>
      <c r="AG79" s="304" cm="1">
        <f t="array" ref="AG79">IF(AND(AG$2&lt;&gt;0,TblTech[[#This Row],[Hour]:[Hour]]&gt;=AG$2),1,0)</f>
        <v>0</v>
      </c>
      <c r="AH79" s="304" cm="1">
        <f t="array" ref="AH79">IF(AND(AH$2&lt;&gt;0,TblTech[[#This Row],[Hour]:[Hour]]&gt;=AH$2),1,0)</f>
        <v>0</v>
      </c>
      <c r="AI79" s="304" cm="1">
        <f t="array" ref="AI79">IF(AND(AI$2&lt;&gt;0,TblTech[[#This Row],[Hour]:[Hour]]&gt;=AI$2),1,0)</f>
        <v>0</v>
      </c>
      <c r="AJ79" s="304" cm="1">
        <f t="array" ref="AJ79">IF(AND(AJ$2&lt;&gt;0,TblTech[[#This Row],[Hour]:[Hour]]&gt;=AJ$2),1,0)</f>
        <v>0</v>
      </c>
      <c r="AK79" s="304" cm="1">
        <f t="array" ref="AK79">IF(AND(AK$2&lt;&gt;0,TblTech[[#This Row],[Hour]:[Hour]]&gt;=AK$2),1,0)</f>
        <v>0</v>
      </c>
      <c r="AL79" s="304" cm="1">
        <f t="array" ref="AL79">IF(AND(AL$2&lt;&gt;0,TblTech[[#This Row],[Hour]:[Hour]]&gt;=AL$2),1,0)</f>
        <v>0</v>
      </c>
      <c r="AM79" s="304" cm="1">
        <f t="array" ref="AM79">IF(AND(AM$2&lt;&gt;0,TblTech[[#This Row],[Hour]:[Hour]]&gt;=AM$2),1,0)</f>
        <v>0</v>
      </c>
      <c r="AN79" s="304" cm="1">
        <f t="array" ref="AN79">IF(AND(AN$2&lt;&gt;0,TblTech[[#This Row],[Hour]:[Hour]]&gt;=AN$2),1,0)</f>
        <v>0</v>
      </c>
      <c r="AO79" s="304" cm="1">
        <f t="array" ref="AO79">IF(AND(AO$2&lt;&gt;0,TblTech[[#This Row],[Hour]:[Hour]]&gt;=AO$2),1,0)</f>
        <v>0</v>
      </c>
      <c r="AP79" s="304" cm="1">
        <f t="array" ref="AP79">IF(AND(AP$2&lt;&gt;0,TblTech[[#This Row],[Hour]:[Hour]]&gt;=AP$2),1,0)</f>
        <v>0</v>
      </c>
      <c r="AQ79" s="304" cm="1">
        <f t="array" ref="AQ79">IF(AND(AQ$2&lt;&gt;0,TblTech[[#This Row],[Hour]:[Hour]]&gt;=AQ$2),1,0)</f>
        <v>0</v>
      </c>
      <c r="AR79" s="304" cm="1">
        <f t="array" ref="AR79">IF(AND(AR$2&lt;&gt;0,TblTech[[#This Row],[Hour]:[Hour]]&gt;=AR$2),1,0)</f>
        <v>0</v>
      </c>
      <c r="AS79" s="304" cm="1">
        <f t="array" ref="AS79">IF(AND(AS$2&lt;&gt;0,TblTech[[#This Row],[Hour]:[Hour]]&gt;=AS$2),1,0)</f>
        <v>0</v>
      </c>
      <c r="AT79" s="304" cm="1">
        <f t="array" ref="AT79">IF(AND(AT$2&lt;&gt;0,TblTech[[#This Row],[Hour]:[Hour]]&gt;=AT$2),1,0)</f>
        <v>0</v>
      </c>
      <c r="AU79" s="304" cm="1">
        <f t="array" ref="AU79">IF(AND(AU$2&lt;&gt;0,TblTech[[#This Row],[Hour]:[Hour]]&gt;=AU$2),1,0)</f>
        <v>0</v>
      </c>
      <c r="AV79" s="304" cm="1">
        <f t="array" ref="AV79">IF(AND(AV$2&lt;&gt;0,TblTech[[#This Row],[Hour]:[Hour]]&gt;=AV$2),1,0)</f>
        <v>0</v>
      </c>
      <c r="AW79" s="304" cm="1">
        <f t="array" ref="AW79">IF(AND(AW$2&lt;&gt;0,TblTech[[#This Row],[Hour]:[Hour]]&gt;=AW$2),1,0)</f>
        <v>0</v>
      </c>
      <c r="AX79" s="304" cm="1">
        <f t="array" ref="AX79">IF(AND(AX$2&lt;&gt;0,TblTech[[#This Row],[Hour]:[Hour]]&gt;=AX$2),1,0)</f>
        <v>0</v>
      </c>
      <c r="AY79" s="304" cm="1">
        <f t="array" ref="AY79">IF(AND(AY$2&lt;&gt;0,TblTech[[#This Row],[Hour]:[Hour]]&gt;=AY$2),1,0)</f>
        <v>0</v>
      </c>
      <c r="AZ79" s="304" cm="1">
        <f t="array" ref="AZ79">IF(AND(AZ$2&lt;&gt;0,TblTech[[#This Row],[Hour]:[Hour]]&gt;=AZ$2),1,0)</f>
        <v>0</v>
      </c>
      <c r="BA79" s="304" cm="1">
        <f t="array" ref="BA79">IF(AND(BA$2&lt;&gt;0,TblTech[[#This Row],[Hour]:[Hour]]&gt;=BA$2),1,0)</f>
        <v>0</v>
      </c>
      <c r="BB79" s="304" cm="1">
        <f t="array" ref="BB79">IF(AND(BB$2&lt;&gt;0,TblTech[[#This Row],[Hour]:[Hour]]&gt;=BB$2),1,0)</f>
        <v>0</v>
      </c>
      <c r="BC79" s="304" cm="1">
        <f t="array" ref="BC79">IF(AND(BC$2&lt;&gt;0,TblTech[[#This Row],[Hour]:[Hour]]&gt;=BC$2),1,0)</f>
        <v>0</v>
      </c>
      <c r="BD79" s="304" cm="1">
        <f t="array" ref="BD79">IF(AND(BD$2&lt;&gt;0,TblTech[[#This Row],[Hour]:[Hour]]&gt;=BD$2),1,0)</f>
        <v>0</v>
      </c>
      <c r="BE79" s="304" cm="1">
        <f t="array" ref="BE79">IF(AND(BE$2&lt;&gt;0,TblTech[[#This Row],[Hour]:[Hour]]&gt;=BE$2),1,0)</f>
        <v>0</v>
      </c>
      <c r="BF79" s="304" cm="1">
        <f t="array" ref="BF79">IF(AND(BF$2&lt;&gt;0,TblTech[[#This Row],[Hour]:[Hour]]&gt;=BF$2),1,0)</f>
        <v>0</v>
      </c>
      <c r="BG79" s="304" cm="1">
        <f t="array" ref="BG79">IF(AND(BG$2&lt;&gt;0,TblTech[[#This Row],[Hour]:[Hour]]&gt;=BG$2),1,0)</f>
        <v>0</v>
      </c>
      <c r="BH79" s="304" cm="1">
        <f t="array" ref="BH79">IF(AND(BH$2&lt;&gt;0,TblTech[[#This Row],[Hour]:[Hour]]&gt;=BH$2),1,0)</f>
        <v>0</v>
      </c>
      <c r="BI79" s="304" cm="1">
        <f t="array" ref="BI79">IF(AND(BI$2&lt;&gt;0,TblTech[[#This Row],[Hour]:[Hour]]&gt;=BI$2),1,0)</f>
        <v>0</v>
      </c>
      <c r="BJ79" s="304" cm="1">
        <f t="array" ref="BJ79">IF(AND(BJ$2&lt;&gt;0,TblTech[[#This Row],[Hour]:[Hour]]&gt;=BJ$2),1,0)</f>
        <v>0</v>
      </c>
      <c r="BK79" s="304" cm="1">
        <f t="array" ref="BK79">IF(AND(BK$2&lt;&gt;0,TblTech[[#This Row],[Hour]:[Hour]]&gt;=BK$2),1,0)</f>
        <v>0</v>
      </c>
      <c r="BL79" s="304" cm="1">
        <f t="array" ref="BL79">IF(AND(BL$2&lt;&gt;0,TblTech[[#This Row],[Hour]:[Hour]]&gt;=BL$2),1,0)</f>
        <v>0</v>
      </c>
      <c r="BM79" s="304" cm="1">
        <f t="array" ref="BM79">IF(AND(BM$2&lt;&gt;0,TblTech[[#This Row],[Hour]:[Hour]]&gt;=BM$2),1,0)</f>
        <v>0</v>
      </c>
      <c r="BN79" s="304" cm="1">
        <f t="array" ref="BN79">IF(AND(BN$2&lt;&gt;0,TblTech[[#This Row],[Hour]:[Hour]]&gt;=BN$2),1,0)</f>
        <v>0</v>
      </c>
      <c r="BO79" s="304" cm="1">
        <f t="array" ref="BO79">IF(AND(BO$2&lt;&gt;0,TblTech[[#This Row],[Hour]:[Hour]]&gt;=BO$2),1,0)</f>
        <v>0</v>
      </c>
      <c r="BP79" s="304" cm="1">
        <f t="array" ref="BP79">IF(AND(BP$2&lt;&gt;0,TblTech[[#This Row],[Hour]:[Hour]]&gt;=BP$2),1,0)</f>
        <v>0</v>
      </c>
      <c r="BQ79" s="304" cm="1">
        <f t="array" ref="BQ79">IF(AND(BQ$2&lt;&gt;0,TblTech[[#This Row],[Hour]:[Hour]]&gt;=BQ$2),1,0)</f>
        <v>0</v>
      </c>
      <c r="BR79" s="304" cm="1">
        <f t="array" ref="BR79">IF(AND(BR$2&lt;&gt;0,TblTech[[#This Row],[Hour]:[Hour]]&gt;=BR$2),1,0)</f>
        <v>0</v>
      </c>
      <c r="BS79" s="304" cm="1">
        <f t="array" ref="BS79">IF(AND(BS$2&lt;&gt;0,TblTech[[#This Row],[Hour]:[Hour]]&gt;=BS$2),1,0)</f>
        <v>0</v>
      </c>
      <c r="BT79" s="304" cm="1">
        <f t="array" ref="BT79">IF(AND(BT$2&lt;&gt;0,TblTech[[#This Row],[Hour]:[Hour]]&gt;=BT$2),1,0)</f>
        <v>0</v>
      </c>
      <c r="BU79" s="304" cm="1">
        <f t="array" ref="BU79">IF(AND(BU$2&lt;&gt;0,TblTech[[#This Row],[Hour]:[Hour]]&gt;=BU$2),1,0)</f>
        <v>0</v>
      </c>
      <c r="BV79" s="304" cm="1">
        <f t="array" ref="BV79">IF(AND(BV$2&lt;&gt;0,TblTech[[#This Row],[Hour]:[Hour]]&gt;=BV$2),1,0)</f>
        <v>0</v>
      </c>
      <c r="BW79" s="304" cm="1">
        <f t="array" ref="BW79">IF(AND(BW$2&lt;&gt;0,TblTech[[#This Row],[Hour]:[Hour]]&gt;=BW$2),1,0)</f>
        <v>0</v>
      </c>
      <c r="BX79" s="304" cm="1">
        <f t="array" ref="BX79">IF(AND(BX$2&lt;&gt;0,TblTech[[#This Row],[Hour]:[Hour]]&gt;=BX$2),1,0)</f>
        <v>0</v>
      </c>
      <c r="BY79" s="304" cm="1">
        <f t="array" ref="BY79">IF(AND(BY$2&lt;&gt;0,TblTech[[#This Row],[Hour]:[Hour]]&gt;=BY$2),1,0)</f>
        <v>0</v>
      </c>
      <c r="BZ79" s="304" cm="1">
        <f t="array" ref="BZ79">IF(AND(BZ$2&lt;&gt;0,TblTech[[#This Row],[Hour]:[Hour]]&gt;=BZ$2),1,0)</f>
        <v>0</v>
      </c>
      <c r="CA79" s="408">
        <f>IFERROR(INDEX($H$4:$H$79,MATCH(INDEX(TblTech[[#Headers],[1-1]:[11-1]],1,MATCH(TblTech[[#This Row],[Hour]],$M$2:$BZ$2,0)),$G$4:$G$79,0)),)</f>
        <v>0</v>
      </c>
    </row>
    <row r="80" spans="1:79" x14ac:dyDescent="0.2">
      <c r="A80" s="296">
        <f>TblRezone[[#This Row],[Hour]]</f>
        <v>77</v>
      </c>
      <c r="B80" s="297">
        <f ca="1">TblExplore[[#This Row],[Land-DB]]</f>
        <v>250</v>
      </c>
      <c r="C80" s="298">
        <f ca="1">TblProd[[#This Row],[Techpoints]]</f>
        <v>0</v>
      </c>
      <c r="D80" s="298">
        <f ca="1">TblProd[[#This Row],[Required]]</f>
        <v>3750</v>
      </c>
      <c r="E80" s="299"/>
      <c r="F80" s="305"/>
      <c r="G80" s="306"/>
      <c r="H80" s="297"/>
      <c r="I80" s="297"/>
      <c r="J80" s="297"/>
      <c r="K80" s="96">
        <f ca="1">IF(TblTech[[#This Row],[Sum of tech]]&lt;&gt;OFFSET(TblTech[[#This Row],[Sum of tech]],-1,0),1,0)</f>
        <v>0</v>
      </c>
      <c r="L80" s="303">
        <f>COUNTIF(TblTech[[#This Row],[1-1]:[11-1]],1)</f>
        <v>0</v>
      </c>
      <c r="M80" s="304" cm="1">
        <f t="array" ref="M80">IF(AND(M$2&lt;&gt;0,TblTech[[#This Row],[Hour]:[Hour]]&gt;=M$2),1,0)</f>
        <v>0</v>
      </c>
      <c r="N80" s="304" cm="1">
        <f t="array" ref="N80">IF(AND(N$2&lt;&gt;0,TblTech[[#This Row],[Hour]:[Hour]]&gt;=N$2),1,0)</f>
        <v>0</v>
      </c>
      <c r="O80" s="304" cm="1">
        <f t="array" ref="O80">IF(AND(O$2&lt;&gt;0,TblTech[[#This Row],[Hour]:[Hour]]&gt;=O$2),1,0)</f>
        <v>0</v>
      </c>
      <c r="P80" s="304" cm="1">
        <f t="array" ref="P80">IF(AND(P$2&lt;&gt;0,TblTech[[#This Row],[Hour]:[Hour]]&gt;=P$2),1,0)</f>
        <v>0</v>
      </c>
      <c r="Q80" s="304" cm="1">
        <f t="array" ref="Q80">IF(AND(Q$2&lt;&gt;0,TblTech[[#This Row],[Hour]:[Hour]]&gt;=Q$2),1,0)</f>
        <v>0</v>
      </c>
      <c r="R80" s="304" cm="1">
        <f t="array" ref="R80">IF(AND(R$2&lt;&gt;0,TblTech[[#This Row],[Hour]:[Hour]]&gt;=R$2),1,0)</f>
        <v>0</v>
      </c>
      <c r="S80" s="304" cm="1">
        <f t="array" ref="S80">IF(AND(S$2&lt;&gt;0,TblTech[[#This Row],[Hour]:[Hour]]&gt;=S$2),1,0)</f>
        <v>0</v>
      </c>
      <c r="T80" s="304" cm="1">
        <f t="array" ref="T80">IF(AND(T$2&lt;&gt;0,TblTech[[#This Row],[Hour]:[Hour]]&gt;=T$2),1,0)</f>
        <v>0</v>
      </c>
      <c r="U80" s="304" cm="1">
        <f t="array" ref="U80">IF(AND(U$2&lt;&gt;0,TblTech[[#This Row],[Hour]:[Hour]]&gt;=U$2),1,0)</f>
        <v>0</v>
      </c>
      <c r="V80" s="304" cm="1">
        <f t="array" ref="V80">IF(AND(V$2&lt;&gt;0,TblTech[[#This Row],[Hour]:[Hour]]&gt;=V$2),1,0)</f>
        <v>0</v>
      </c>
      <c r="W80" s="304" cm="1">
        <f t="array" ref="W80">IF(AND(W$2&lt;&gt;0,TblTech[[#This Row],[Hour]:[Hour]]&gt;=W$2),1,0)</f>
        <v>0</v>
      </c>
      <c r="X80" s="304" cm="1">
        <f t="array" ref="X80">IF(AND(X$2&lt;&gt;0,TblTech[[#This Row],[Hour]:[Hour]]&gt;=X$2),1,0)</f>
        <v>0</v>
      </c>
      <c r="Y80" s="304" cm="1">
        <f t="array" ref="Y80">IF(AND(Y$2&lt;&gt;0,TblTech[[#This Row],[Hour]:[Hour]]&gt;=Y$2),1,0)</f>
        <v>0</v>
      </c>
      <c r="Z80" s="304" cm="1">
        <f t="array" ref="Z80">IF(AND(Z$2&lt;&gt;0,TblTech[[#This Row],[Hour]:[Hour]]&gt;=Z$2),1,0)</f>
        <v>0</v>
      </c>
      <c r="AA80" s="304" cm="1">
        <f t="array" ref="AA80">IF(AND(AA$2&lt;&gt;0,TblTech[[#This Row],[Hour]:[Hour]]&gt;=AA$2),1,0)</f>
        <v>0</v>
      </c>
      <c r="AB80" s="304" cm="1">
        <f t="array" ref="AB80">IF(AND(AB$2&lt;&gt;0,TblTech[[#This Row],[Hour]:[Hour]]&gt;=AB$2),1,0)</f>
        <v>0</v>
      </c>
      <c r="AC80" s="304" cm="1">
        <f t="array" ref="AC80">IF(AND(AC$2&lt;&gt;0,TblTech[[#This Row],[Hour]:[Hour]]&gt;=AC$2),1,0)</f>
        <v>0</v>
      </c>
      <c r="AD80" s="304" cm="1">
        <f t="array" ref="AD80">IF(AND(AD$2&lt;&gt;0,TblTech[[#This Row],[Hour]:[Hour]]&gt;=AD$2),1,0)</f>
        <v>0</v>
      </c>
      <c r="AE80" s="304" cm="1">
        <f t="array" ref="AE80">IF(AND(AE$2&lt;&gt;0,TblTech[[#This Row],[Hour]:[Hour]]&gt;=AE$2),1,0)</f>
        <v>0</v>
      </c>
      <c r="AF80" s="304" cm="1">
        <f t="array" ref="AF80">IF(AND(AF$2&lt;&gt;0,TblTech[[#This Row],[Hour]:[Hour]]&gt;=AF$2),1,0)</f>
        <v>0</v>
      </c>
      <c r="AG80" s="304" cm="1">
        <f t="array" ref="AG80">IF(AND(AG$2&lt;&gt;0,TblTech[[#This Row],[Hour]:[Hour]]&gt;=AG$2),1,0)</f>
        <v>0</v>
      </c>
      <c r="AH80" s="304" cm="1">
        <f t="array" ref="AH80">IF(AND(AH$2&lt;&gt;0,TblTech[[#This Row],[Hour]:[Hour]]&gt;=AH$2),1,0)</f>
        <v>0</v>
      </c>
      <c r="AI80" s="304" cm="1">
        <f t="array" ref="AI80">IF(AND(AI$2&lt;&gt;0,TblTech[[#This Row],[Hour]:[Hour]]&gt;=AI$2),1,0)</f>
        <v>0</v>
      </c>
      <c r="AJ80" s="304" cm="1">
        <f t="array" ref="AJ80">IF(AND(AJ$2&lt;&gt;0,TblTech[[#This Row],[Hour]:[Hour]]&gt;=AJ$2),1,0)</f>
        <v>0</v>
      </c>
      <c r="AK80" s="304" cm="1">
        <f t="array" ref="AK80">IF(AND(AK$2&lt;&gt;0,TblTech[[#This Row],[Hour]:[Hour]]&gt;=AK$2),1,0)</f>
        <v>0</v>
      </c>
      <c r="AL80" s="304" cm="1">
        <f t="array" ref="AL80">IF(AND(AL$2&lt;&gt;0,TblTech[[#This Row],[Hour]:[Hour]]&gt;=AL$2),1,0)</f>
        <v>0</v>
      </c>
      <c r="AM80" s="304" cm="1">
        <f t="array" ref="AM80">IF(AND(AM$2&lt;&gt;0,TblTech[[#This Row],[Hour]:[Hour]]&gt;=AM$2),1,0)</f>
        <v>0</v>
      </c>
      <c r="AN80" s="304" cm="1">
        <f t="array" ref="AN80">IF(AND(AN$2&lt;&gt;0,TblTech[[#This Row],[Hour]:[Hour]]&gt;=AN$2),1,0)</f>
        <v>0</v>
      </c>
      <c r="AO80" s="304" cm="1">
        <f t="array" ref="AO80">IF(AND(AO$2&lt;&gt;0,TblTech[[#This Row],[Hour]:[Hour]]&gt;=AO$2),1,0)</f>
        <v>0</v>
      </c>
      <c r="AP80" s="304" cm="1">
        <f t="array" ref="AP80">IF(AND(AP$2&lt;&gt;0,TblTech[[#This Row],[Hour]:[Hour]]&gt;=AP$2),1,0)</f>
        <v>0</v>
      </c>
      <c r="AQ80" s="304" cm="1">
        <f t="array" ref="AQ80">IF(AND(AQ$2&lt;&gt;0,TblTech[[#This Row],[Hour]:[Hour]]&gt;=AQ$2),1,0)</f>
        <v>0</v>
      </c>
      <c r="AR80" s="304" cm="1">
        <f t="array" ref="AR80">IF(AND(AR$2&lt;&gt;0,TblTech[[#This Row],[Hour]:[Hour]]&gt;=AR$2),1,0)</f>
        <v>0</v>
      </c>
      <c r="AS80" s="304" cm="1">
        <f t="array" ref="AS80">IF(AND(AS$2&lt;&gt;0,TblTech[[#This Row],[Hour]:[Hour]]&gt;=AS$2),1,0)</f>
        <v>0</v>
      </c>
      <c r="AT80" s="304" cm="1">
        <f t="array" ref="AT80">IF(AND(AT$2&lt;&gt;0,TblTech[[#This Row],[Hour]:[Hour]]&gt;=AT$2),1,0)</f>
        <v>0</v>
      </c>
      <c r="AU80" s="304" cm="1">
        <f t="array" ref="AU80">IF(AND(AU$2&lt;&gt;0,TblTech[[#This Row],[Hour]:[Hour]]&gt;=AU$2),1,0)</f>
        <v>0</v>
      </c>
      <c r="AV80" s="304" cm="1">
        <f t="array" ref="AV80">IF(AND(AV$2&lt;&gt;0,TblTech[[#This Row],[Hour]:[Hour]]&gt;=AV$2),1,0)</f>
        <v>0</v>
      </c>
      <c r="AW80" s="304" cm="1">
        <f t="array" ref="AW80">IF(AND(AW$2&lt;&gt;0,TblTech[[#This Row],[Hour]:[Hour]]&gt;=AW$2),1,0)</f>
        <v>0</v>
      </c>
      <c r="AX80" s="304" cm="1">
        <f t="array" ref="AX80">IF(AND(AX$2&lt;&gt;0,TblTech[[#This Row],[Hour]:[Hour]]&gt;=AX$2),1,0)</f>
        <v>0</v>
      </c>
      <c r="AY80" s="304" cm="1">
        <f t="array" ref="AY80">IF(AND(AY$2&lt;&gt;0,TblTech[[#This Row],[Hour]:[Hour]]&gt;=AY$2),1,0)</f>
        <v>0</v>
      </c>
      <c r="AZ80" s="304" cm="1">
        <f t="array" ref="AZ80">IF(AND(AZ$2&lt;&gt;0,TblTech[[#This Row],[Hour]:[Hour]]&gt;=AZ$2),1,0)</f>
        <v>0</v>
      </c>
      <c r="BA80" s="304" cm="1">
        <f t="array" ref="BA80">IF(AND(BA$2&lt;&gt;0,TblTech[[#This Row],[Hour]:[Hour]]&gt;=BA$2),1,0)</f>
        <v>0</v>
      </c>
      <c r="BB80" s="304" cm="1">
        <f t="array" ref="BB80">IF(AND(BB$2&lt;&gt;0,TblTech[[#This Row],[Hour]:[Hour]]&gt;=BB$2),1,0)</f>
        <v>0</v>
      </c>
      <c r="BC80" s="304" cm="1">
        <f t="array" ref="BC80">IF(AND(BC$2&lt;&gt;0,TblTech[[#This Row],[Hour]:[Hour]]&gt;=BC$2),1,0)</f>
        <v>0</v>
      </c>
      <c r="BD80" s="304" cm="1">
        <f t="array" ref="BD80">IF(AND(BD$2&lt;&gt;0,TblTech[[#This Row],[Hour]:[Hour]]&gt;=BD$2),1,0)</f>
        <v>0</v>
      </c>
      <c r="BE80" s="304" cm="1">
        <f t="array" ref="BE80">IF(AND(BE$2&lt;&gt;0,TblTech[[#This Row],[Hour]:[Hour]]&gt;=BE$2),1,0)</f>
        <v>0</v>
      </c>
      <c r="BF80" s="304" cm="1">
        <f t="array" ref="BF80">IF(AND(BF$2&lt;&gt;0,TblTech[[#This Row],[Hour]:[Hour]]&gt;=BF$2),1,0)</f>
        <v>0</v>
      </c>
      <c r="BG80" s="304" cm="1">
        <f t="array" ref="BG80">IF(AND(BG$2&lt;&gt;0,TblTech[[#This Row],[Hour]:[Hour]]&gt;=BG$2),1,0)</f>
        <v>0</v>
      </c>
      <c r="BH80" s="304" cm="1">
        <f t="array" ref="BH80">IF(AND(BH$2&lt;&gt;0,TblTech[[#This Row],[Hour]:[Hour]]&gt;=BH$2),1,0)</f>
        <v>0</v>
      </c>
      <c r="BI80" s="304" cm="1">
        <f t="array" ref="BI80">IF(AND(BI$2&lt;&gt;0,TblTech[[#This Row],[Hour]:[Hour]]&gt;=BI$2),1,0)</f>
        <v>0</v>
      </c>
      <c r="BJ80" s="304" cm="1">
        <f t="array" ref="BJ80">IF(AND(BJ$2&lt;&gt;0,TblTech[[#This Row],[Hour]:[Hour]]&gt;=BJ$2),1,0)</f>
        <v>0</v>
      </c>
      <c r="BK80" s="304" cm="1">
        <f t="array" ref="BK80">IF(AND(BK$2&lt;&gt;0,TblTech[[#This Row],[Hour]:[Hour]]&gt;=BK$2),1,0)</f>
        <v>0</v>
      </c>
      <c r="BL80" s="304" cm="1">
        <f t="array" ref="BL80">IF(AND(BL$2&lt;&gt;0,TblTech[[#This Row],[Hour]:[Hour]]&gt;=BL$2),1,0)</f>
        <v>0</v>
      </c>
      <c r="BM80" s="304" cm="1">
        <f t="array" ref="BM80">IF(AND(BM$2&lt;&gt;0,TblTech[[#This Row],[Hour]:[Hour]]&gt;=BM$2),1,0)</f>
        <v>0</v>
      </c>
      <c r="BN80" s="304" cm="1">
        <f t="array" ref="BN80">IF(AND(BN$2&lt;&gt;0,TblTech[[#This Row],[Hour]:[Hour]]&gt;=BN$2),1,0)</f>
        <v>0</v>
      </c>
      <c r="BO80" s="304" cm="1">
        <f t="array" ref="BO80">IF(AND(BO$2&lt;&gt;0,TblTech[[#This Row],[Hour]:[Hour]]&gt;=BO$2),1,0)</f>
        <v>0</v>
      </c>
      <c r="BP80" s="304" cm="1">
        <f t="array" ref="BP80">IF(AND(BP$2&lt;&gt;0,TblTech[[#This Row],[Hour]:[Hour]]&gt;=BP$2),1,0)</f>
        <v>0</v>
      </c>
      <c r="BQ80" s="304" cm="1">
        <f t="array" ref="BQ80">IF(AND(BQ$2&lt;&gt;0,TblTech[[#This Row],[Hour]:[Hour]]&gt;=BQ$2),1,0)</f>
        <v>0</v>
      </c>
      <c r="BR80" s="304" cm="1">
        <f t="array" ref="BR80">IF(AND(BR$2&lt;&gt;0,TblTech[[#This Row],[Hour]:[Hour]]&gt;=BR$2),1,0)</f>
        <v>0</v>
      </c>
      <c r="BS80" s="304" cm="1">
        <f t="array" ref="BS80">IF(AND(BS$2&lt;&gt;0,TblTech[[#This Row],[Hour]:[Hour]]&gt;=BS$2),1,0)</f>
        <v>0</v>
      </c>
      <c r="BT80" s="304" cm="1">
        <f t="array" ref="BT80">IF(AND(BT$2&lt;&gt;0,TblTech[[#This Row],[Hour]:[Hour]]&gt;=BT$2),1,0)</f>
        <v>0</v>
      </c>
      <c r="BU80" s="304" cm="1">
        <f t="array" ref="BU80">IF(AND(BU$2&lt;&gt;0,TblTech[[#This Row],[Hour]:[Hour]]&gt;=BU$2),1,0)</f>
        <v>0</v>
      </c>
      <c r="BV80" s="304" cm="1">
        <f t="array" ref="BV80">IF(AND(BV$2&lt;&gt;0,TblTech[[#This Row],[Hour]:[Hour]]&gt;=BV$2),1,0)</f>
        <v>0</v>
      </c>
      <c r="BW80" s="304" cm="1">
        <f t="array" ref="BW80">IF(AND(BW$2&lt;&gt;0,TblTech[[#This Row],[Hour]:[Hour]]&gt;=BW$2),1,0)</f>
        <v>0</v>
      </c>
      <c r="BX80" s="304" cm="1">
        <f t="array" ref="BX80">IF(AND(BX$2&lt;&gt;0,TblTech[[#This Row],[Hour]:[Hour]]&gt;=BX$2),1,0)</f>
        <v>0</v>
      </c>
      <c r="BY80" s="304" cm="1">
        <f t="array" ref="BY80">IF(AND(BY$2&lt;&gt;0,TblTech[[#This Row],[Hour]:[Hour]]&gt;=BY$2),1,0)</f>
        <v>0</v>
      </c>
      <c r="BZ80" s="304" cm="1">
        <f t="array" ref="BZ80">IF(AND(BZ$2&lt;&gt;0,TblTech[[#This Row],[Hour]:[Hour]]&gt;=BZ$2),1,0)</f>
        <v>0</v>
      </c>
      <c r="CA80" s="408">
        <f>IFERROR(INDEX($H$4:$H$79,MATCH(INDEX(TblTech[[#Headers],[1-1]:[11-1]],1,MATCH(TblTech[[#This Row],[Hour]],$M$2:$BZ$2,0)),$G$4:$G$79,0)),)</f>
        <v>0</v>
      </c>
    </row>
    <row r="81" spans="1:79" x14ac:dyDescent="0.2">
      <c r="A81" s="296">
        <f>TblRezone[[#This Row],[Hour]]</f>
        <v>78</v>
      </c>
      <c r="B81" s="297">
        <f ca="1">TblExplore[[#This Row],[Land-DB]]</f>
        <v>250</v>
      </c>
      <c r="C81" s="298">
        <f ca="1">TblProd[[#This Row],[Techpoints]]</f>
        <v>0</v>
      </c>
      <c r="D81" s="298">
        <f ca="1">TblProd[[#This Row],[Required]]</f>
        <v>3750</v>
      </c>
      <c r="E81" s="307"/>
      <c r="F81" s="308"/>
      <c r="G81" s="301"/>
      <c r="H81" s="302"/>
      <c r="I81" s="302"/>
      <c r="J81" s="302"/>
      <c r="K81" s="96">
        <f ca="1">IF(TblTech[[#This Row],[Sum of tech]]&lt;&gt;OFFSET(TblTech[[#This Row],[Sum of tech]],-1,0),1,0)</f>
        <v>0</v>
      </c>
      <c r="L81" s="303">
        <f>COUNTIF(TblTech[[#This Row],[1-1]:[11-1]],1)</f>
        <v>0</v>
      </c>
      <c r="M81" s="304" cm="1">
        <f t="array" ref="M81">IF(AND(M$2&lt;&gt;0,TblTech[[#This Row],[Hour]:[Hour]]&gt;=M$2),1,0)</f>
        <v>0</v>
      </c>
      <c r="N81" s="304" cm="1">
        <f t="array" ref="N81">IF(AND(N$2&lt;&gt;0,TblTech[[#This Row],[Hour]:[Hour]]&gt;=N$2),1,0)</f>
        <v>0</v>
      </c>
      <c r="O81" s="304" cm="1">
        <f t="array" ref="O81">IF(AND(O$2&lt;&gt;0,TblTech[[#This Row],[Hour]:[Hour]]&gt;=O$2),1,0)</f>
        <v>0</v>
      </c>
      <c r="P81" s="304" cm="1">
        <f t="array" ref="P81">IF(AND(P$2&lt;&gt;0,TblTech[[#This Row],[Hour]:[Hour]]&gt;=P$2),1,0)</f>
        <v>0</v>
      </c>
      <c r="Q81" s="304" cm="1">
        <f t="array" ref="Q81">IF(AND(Q$2&lt;&gt;0,TblTech[[#This Row],[Hour]:[Hour]]&gt;=Q$2),1,0)</f>
        <v>0</v>
      </c>
      <c r="R81" s="304" cm="1">
        <f t="array" ref="R81">IF(AND(R$2&lt;&gt;0,TblTech[[#This Row],[Hour]:[Hour]]&gt;=R$2),1,0)</f>
        <v>0</v>
      </c>
      <c r="S81" s="304" cm="1">
        <f t="array" ref="S81">IF(AND(S$2&lt;&gt;0,TblTech[[#This Row],[Hour]:[Hour]]&gt;=S$2),1,0)</f>
        <v>0</v>
      </c>
      <c r="T81" s="304" cm="1">
        <f t="array" ref="T81">IF(AND(T$2&lt;&gt;0,TblTech[[#This Row],[Hour]:[Hour]]&gt;=T$2),1,0)</f>
        <v>0</v>
      </c>
      <c r="U81" s="304" cm="1">
        <f t="array" ref="U81">IF(AND(U$2&lt;&gt;0,TblTech[[#This Row],[Hour]:[Hour]]&gt;=U$2),1,0)</f>
        <v>0</v>
      </c>
      <c r="V81" s="304" cm="1">
        <f t="array" ref="V81">IF(AND(V$2&lt;&gt;0,TblTech[[#This Row],[Hour]:[Hour]]&gt;=V$2),1,0)</f>
        <v>0</v>
      </c>
      <c r="W81" s="304" cm="1">
        <f t="array" ref="W81">IF(AND(W$2&lt;&gt;0,TblTech[[#This Row],[Hour]:[Hour]]&gt;=W$2),1,0)</f>
        <v>0</v>
      </c>
      <c r="X81" s="304" cm="1">
        <f t="array" ref="X81">IF(AND(X$2&lt;&gt;0,TblTech[[#This Row],[Hour]:[Hour]]&gt;=X$2),1,0)</f>
        <v>0</v>
      </c>
      <c r="Y81" s="304" cm="1">
        <f t="array" ref="Y81">IF(AND(Y$2&lt;&gt;0,TblTech[[#This Row],[Hour]:[Hour]]&gt;=Y$2),1,0)</f>
        <v>0</v>
      </c>
      <c r="Z81" s="304" cm="1">
        <f t="array" ref="Z81">IF(AND(Z$2&lt;&gt;0,TblTech[[#This Row],[Hour]:[Hour]]&gt;=Z$2),1,0)</f>
        <v>0</v>
      </c>
      <c r="AA81" s="304" cm="1">
        <f t="array" ref="AA81">IF(AND(AA$2&lt;&gt;0,TblTech[[#This Row],[Hour]:[Hour]]&gt;=AA$2),1,0)</f>
        <v>0</v>
      </c>
      <c r="AB81" s="304" cm="1">
        <f t="array" ref="AB81">IF(AND(AB$2&lt;&gt;0,TblTech[[#This Row],[Hour]:[Hour]]&gt;=AB$2),1,0)</f>
        <v>0</v>
      </c>
      <c r="AC81" s="304" cm="1">
        <f t="array" ref="AC81">IF(AND(AC$2&lt;&gt;0,TblTech[[#This Row],[Hour]:[Hour]]&gt;=AC$2),1,0)</f>
        <v>0</v>
      </c>
      <c r="AD81" s="304" cm="1">
        <f t="array" ref="AD81">IF(AND(AD$2&lt;&gt;0,TblTech[[#This Row],[Hour]:[Hour]]&gt;=AD$2),1,0)</f>
        <v>0</v>
      </c>
      <c r="AE81" s="304" cm="1">
        <f t="array" ref="AE81">IF(AND(AE$2&lt;&gt;0,TblTech[[#This Row],[Hour]:[Hour]]&gt;=AE$2),1,0)</f>
        <v>0</v>
      </c>
      <c r="AF81" s="304" cm="1">
        <f t="array" ref="AF81">IF(AND(AF$2&lt;&gt;0,TblTech[[#This Row],[Hour]:[Hour]]&gt;=AF$2),1,0)</f>
        <v>0</v>
      </c>
      <c r="AG81" s="304" cm="1">
        <f t="array" ref="AG81">IF(AND(AG$2&lt;&gt;0,TblTech[[#This Row],[Hour]:[Hour]]&gt;=AG$2),1,0)</f>
        <v>0</v>
      </c>
      <c r="AH81" s="304" cm="1">
        <f t="array" ref="AH81">IF(AND(AH$2&lt;&gt;0,TblTech[[#This Row],[Hour]:[Hour]]&gt;=AH$2),1,0)</f>
        <v>0</v>
      </c>
      <c r="AI81" s="304" cm="1">
        <f t="array" ref="AI81">IF(AND(AI$2&lt;&gt;0,TblTech[[#This Row],[Hour]:[Hour]]&gt;=AI$2),1,0)</f>
        <v>0</v>
      </c>
      <c r="AJ81" s="304" cm="1">
        <f t="array" ref="AJ81">IF(AND(AJ$2&lt;&gt;0,TblTech[[#This Row],[Hour]:[Hour]]&gt;=AJ$2),1,0)</f>
        <v>0</v>
      </c>
      <c r="AK81" s="304" cm="1">
        <f t="array" ref="AK81">IF(AND(AK$2&lt;&gt;0,TblTech[[#This Row],[Hour]:[Hour]]&gt;=AK$2),1,0)</f>
        <v>0</v>
      </c>
      <c r="AL81" s="304" cm="1">
        <f t="array" ref="AL81">IF(AND(AL$2&lt;&gt;0,TblTech[[#This Row],[Hour]:[Hour]]&gt;=AL$2),1,0)</f>
        <v>0</v>
      </c>
      <c r="AM81" s="304" cm="1">
        <f t="array" ref="AM81">IF(AND(AM$2&lt;&gt;0,TblTech[[#This Row],[Hour]:[Hour]]&gt;=AM$2),1,0)</f>
        <v>0</v>
      </c>
      <c r="AN81" s="304" cm="1">
        <f t="array" ref="AN81">IF(AND(AN$2&lt;&gt;0,TblTech[[#This Row],[Hour]:[Hour]]&gt;=AN$2),1,0)</f>
        <v>0</v>
      </c>
      <c r="AO81" s="304" cm="1">
        <f t="array" ref="AO81">IF(AND(AO$2&lt;&gt;0,TblTech[[#This Row],[Hour]:[Hour]]&gt;=AO$2),1,0)</f>
        <v>0</v>
      </c>
      <c r="AP81" s="304" cm="1">
        <f t="array" ref="AP81">IF(AND(AP$2&lt;&gt;0,TblTech[[#This Row],[Hour]:[Hour]]&gt;=AP$2),1,0)</f>
        <v>0</v>
      </c>
      <c r="AQ81" s="304" cm="1">
        <f t="array" ref="AQ81">IF(AND(AQ$2&lt;&gt;0,TblTech[[#This Row],[Hour]:[Hour]]&gt;=AQ$2),1,0)</f>
        <v>0</v>
      </c>
      <c r="AR81" s="304" cm="1">
        <f t="array" ref="AR81">IF(AND(AR$2&lt;&gt;0,TblTech[[#This Row],[Hour]:[Hour]]&gt;=AR$2),1,0)</f>
        <v>0</v>
      </c>
      <c r="AS81" s="304" cm="1">
        <f t="array" ref="AS81">IF(AND(AS$2&lt;&gt;0,TblTech[[#This Row],[Hour]:[Hour]]&gt;=AS$2),1,0)</f>
        <v>0</v>
      </c>
      <c r="AT81" s="304" cm="1">
        <f t="array" ref="AT81">IF(AND(AT$2&lt;&gt;0,TblTech[[#This Row],[Hour]:[Hour]]&gt;=AT$2),1,0)</f>
        <v>0</v>
      </c>
      <c r="AU81" s="304" cm="1">
        <f t="array" ref="AU81">IF(AND(AU$2&lt;&gt;0,TblTech[[#This Row],[Hour]:[Hour]]&gt;=AU$2),1,0)</f>
        <v>0</v>
      </c>
      <c r="AV81" s="304" cm="1">
        <f t="array" ref="AV81">IF(AND(AV$2&lt;&gt;0,TblTech[[#This Row],[Hour]:[Hour]]&gt;=AV$2),1,0)</f>
        <v>0</v>
      </c>
      <c r="AW81" s="304" cm="1">
        <f t="array" ref="AW81">IF(AND(AW$2&lt;&gt;0,TblTech[[#This Row],[Hour]:[Hour]]&gt;=AW$2),1,0)</f>
        <v>0</v>
      </c>
      <c r="AX81" s="304" cm="1">
        <f t="array" ref="AX81">IF(AND(AX$2&lt;&gt;0,TblTech[[#This Row],[Hour]:[Hour]]&gt;=AX$2),1,0)</f>
        <v>0</v>
      </c>
      <c r="AY81" s="304" cm="1">
        <f t="array" ref="AY81">IF(AND(AY$2&lt;&gt;0,TblTech[[#This Row],[Hour]:[Hour]]&gt;=AY$2),1,0)</f>
        <v>0</v>
      </c>
      <c r="AZ81" s="304" cm="1">
        <f t="array" ref="AZ81">IF(AND(AZ$2&lt;&gt;0,TblTech[[#This Row],[Hour]:[Hour]]&gt;=AZ$2),1,0)</f>
        <v>0</v>
      </c>
      <c r="BA81" s="304" cm="1">
        <f t="array" ref="BA81">IF(AND(BA$2&lt;&gt;0,TblTech[[#This Row],[Hour]:[Hour]]&gt;=BA$2),1,0)</f>
        <v>0</v>
      </c>
      <c r="BB81" s="304" cm="1">
        <f t="array" ref="BB81">IF(AND(BB$2&lt;&gt;0,TblTech[[#This Row],[Hour]:[Hour]]&gt;=BB$2),1,0)</f>
        <v>0</v>
      </c>
      <c r="BC81" s="304" cm="1">
        <f t="array" ref="BC81">IF(AND(BC$2&lt;&gt;0,TblTech[[#This Row],[Hour]:[Hour]]&gt;=BC$2),1,0)</f>
        <v>0</v>
      </c>
      <c r="BD81" s="304" cm="1">
        <f t="array" ref="BD81">IF(AND(BD$2&lt;&gt;0,TblTech[[#This Row],[Hour]:[Hour]]&gt;=BD$2),1,0)</f>
        <v>0</v>
      </c>
      <c r="BE81" s="304" cm="1">
        <f t="array" ref="BE81">IF(AND(BE$2&lt;&gt;0,TblTech[[#This Row],[Hour]:[Hour]]&gt;=BE$2),1,0)</f>
        <v>0</v>
      </c>
      <c r="BF81" s="304" cm="1">
        <f t="array" ref="BF81">IF(AND(BF$2&lt;&gt;0,TblTech[[#This Row],[Hour]:[Hour]]&gt;=BF$2),1,0)</f>
        <v>0</v>
      </c>
      <c r="BG81" s="304" cm="1">
        <f t="array" ref="BG81">IF(AND(BG$2&lt;&gt;0,TblTech[[#This Row],[Hour]:[Hour]]&gt;=BG$2),1,0)</f>
        <v>0</v>
      </c>
      <c r="BH81" s="304" cm="1">
        <f t="array" ref="BH81">IF(AND(BH$2&lt;&gt;0,TblTech[[#This Row],[Hour]:[Hour]]&gt;=BH$2),1,0)</f>
        <v>0</v>
      </c>
      <c r="BI81" s="304" cm="1">
        <f t="array" ref="BI81">IF(AND(BI$2&lt;&gt;0,TblTech[[#This Row],[Hour]:[Hour]]&gt;=BI$2),1,0)</f>
        <v>0</v>
      </c>
      <c r="BJ81" s="304" cm="1">
        <f t="array" ref="BJ81">IF(AND(BJ$2&lt;&gt;0,TblTech[[#This Row],[Hour]:[Hour]]&gt;=BJ$2),1,0)</f>
        <v>0</v>
      </c>
      <c r="BK81" s="304" cm="1">
        <f t="array" ref="BK81">IF(AND(BK$2&lt;&gt;0,TblTech[[#This Row],[Hour]:[Hour]]&gt;=BK$2),1,0)</f>
        <v>0</v>
      </c>
      <c r="BL81" s="304" cm="1">
        <f t="array" ref="BL81">IF(AND(BL$2&lt;&gt;0,TblTech[[#This Row],[Hour]:[Hour]]&gt;=BL$2),1,0)</f>
        <v>0</v>
      </c>
      <c r="BM81" s="304" cm="1">
        <f t="array" ref="BM81">IF(AND(BM$2&lt;&gt;0,TblTech[[#This Row],[Hour]:[Hour]]&gt;=BM$2),1,0)</f>
        <v>0</v>
      </c>
      <c r="BN81" s="304" cm="1">
        <f t="array" ref="BN81">IF(AND(BN$2&lt;&gt;0,TblTech[[#This Row],[Hour]:[Hour]]&gt;=BN$2),1,0)</f>
        <v>0</v>
      </c>
      <c r="BO81" s="304" cm="1">
        <f t="array" ref="BO81">IF(AND(BO$2&lt;&gt;0,TblTech[[#This Row],[Hour]:[Hour]]&gt;=BO$2),1,0)</f>
        <v>0</v>
      </c>
      <c r="BP81" s="304" cm="1">
        <f t="array" ref="BP81">IF(AND(BP$2&lt;&gt;0,TblTech[[#This Row],[Hour]:[Hour]]&gt;=BP$2),1,0)</f>
        <v>0</v>
      </c>
      <c r="BQ81" s="304" cm="1">
        <f t="array" ref="BQ81">IF(AND(BQ$2&lt;&gt;0,TblTech[[#This Row],[Hour]:[Hour]]&gt;=BQ$2),1,0)</f>
        <v>0</v>
      </c>
      <c r="BR81" s="304" cm="1">
        <f t="array" ref="BR81">IF(AND(BR$2&lt;&gt;0,TblTech[[#This Row],[Hour]:[Hour]]&gt;=BR$2),1,0)</f>
        <v>0</v>
      </c>
      <c r="BS81" s="304" cm="1">
        <f t="array" ref="BS81">IF(AND(BS$2&lt;&gt;0,TblTech[[#This Row],[Hour]:[Hour]]&gt;=BS$2),1,0)</f>
        <v>0</v>
      </c>
      <c r="BT81" s="304" cm="1">
        <f t="array" ref="BT81">IF(AND(BT$2&lt;&gt;0,TblTech[[#This Row],[Hour]:[Hour]]&gt;=BT$2),1,0)</f>
        <v>0</v>
      </c>
      <c r="BU81" s="304" cm="1">
        <f t="array" ref="BU81">IF(AND(BU$2&lt;&gt;0,TblTech[[#This Row],[Hour]:[Hour]]&gt;=BU$2),1,0)</f>
        <v>0</v>
      </c>
      <c r="BV81" s="304" cm="1">
        <f t="array" ref="BV81">IF(AND(BV$2&lt;&gt;0,TblTech[[#This Row],[Hour]:[Hour]]&gt;=BV$2),1,0)</f>
        <v>0</v>
      </c>
      <c r="BW81" s="304" cm="1">
        <f t="array" ref="BW81">IF(AND(BW$2&lt;&gt;0,TblTech[[#This Row],[Hour]:[Hour]]&gt;=BW$2),1,0)</f>
        <v>0</v>
      </c>
      <c r="BX81" s="304" cm="1">
        <f t="array" ref="BX81">IF(AND(BX$2&lt;&gt;0,TblTech[[#This Row],[Hour]:[Hour]]&gt;=BX$2),1,0)</f>
        <v>0</v>
      </c>
      <c r="BY81" s="304" cm="1">
        <f t="array" ref="BY81">IF(AND(BY$2&lt;&gt;0,TblTech[[#This Row],[Hour]:[Hour]]&gt;=BY$2),1,0)</f>
        <v>0</v>
      </c>
      <c r="BZ81" s="304" cm="1">
        <f t="array" ref="BZ81">IF(AND(BZ$2&lt;&gt;0,TblTech[[#This Row],[Hour]:[Hour]]&gt;=BZ$2),1,0)</f>
        <v>0</v>
      </c>
      <c r="CA81" s="408">
        <f>IFERROR(INDEX($H$4:$H$79,MATCH(INDEX(TblTech[[#Headers],[1-1]:[11-1]],1,MATCH(TblTech[[#This Row],[Hour]],$M$2:$BZ$2,0)),$G$4:$G$79,0)),)</f>
        <v>0</v>
      </c>
    </row>
    <row r="82" spans="1:79" x14ac:dyDescent="0.2">
      <c r="A82" s="296">
        <f>TblRezone[[#This Row],[Hour]]</f>
        <v>79</v>
      </c>
      <c r="B82" s="297">
        <f ca="1">TblExplore[[#This Row],[Land-DB]]</f>
        <v>250</v>
      </c>
      <c r="C82" s="298">
        <f ca="1">TblProd[[#This Row],[Techpoints]]</f>
        <v>0</v>
      </c>
      <c r="D82" s="298">
        <f ca="1">TblProd[[#This Row],[Required]]</f>
        <v>3750</v>
      </c>
      <c r="E82" s="307"/>
      <c r="F82" s="308"/>
      <c r="G82" s="301" t="s">
        <v>1003</v>
      </c>
      <c r="H82" s="302"/>
      <c r="I82" s="302"/>
      <c r="J82" s="302"/>
      <c r="K82" s="96">
        <f ca="1">IF(TblTech[[#This Row],[Sum of tech]]&lt;&gt;OFFSET(TblTech[[#This Row],[Sum of tech]],-1,0),1,0)</f>
        <v>0</v>
      </c>
      <c r="L82" s="303">
        <f>COUNTIF(TblTech[[#This Row],[1-1]:[11-1]],1)</f>
        <v>0</v>
      </c>
      <c r="M82" s="304" cm="1">
        <f t="array" ref="M82">IF(AND(M$2&lt;&gt;0,TblTech[[#This Row],[Hour]:[Hour]]&gt;=M$2),1,0)</f>
        <v>0</v>
      </c>
      <c r="N82" s="304" cm="1">
        <f t="array" ref="N82">IF(AND(N$2&lt;&gt;0,TblTech[[#This Row],[Hour]:[Hour]]&gt;=N$2),1,0)</f>
        <v>0</v>
      </c>
      <c r="O82" s="304" cm="1">
        <f t="array" ref="O82">IF(AND(O$2&lt;&gt;0,TblTech[[#This Row],[Hour]:[Hour]]&gt;=O$2),1,0)</f>
        <v>0</v>
      </c>
      <c r="P82" s="304" cm="1">
        <f t="array" ref="P82">IF(AND(P$2&lt;&gt;0,TblTech[[#This Row],[Hour]:[Hour]]&gt;=P$2),1,0)</f>
        <v>0</v>
      </c>
      <c r="Q82" s="304" cm="1">
        <f t="array" ref="Q82">IF(AND(Q$2&lt;&gt;0,TblTech[[#This Row],[Hour]:[Hour]]&gt;=Q$2),1,0)</f>
        <v>0</v>
      </c>
      <c r="R82" s="304" cm="1">
        <f t="array" ref="R82">IF(AND(R$2&lt;&gt;0,TblTech[[#This Row],[Hour]:[Hour]]&gt;=R$2),1,0)</f>
        <v>0</v>
      </c>
      <c r="S82" s="304" cm="1">
        <f t="array" ref="S82">IF(AND(S$2&lt;&gt;0,TblTech[[#This Row],[Hour]:[Hour]]&gt;=S$2),1,0)</f>
        <v>0</v>
      </c>
      <c r="T82" s="304" cm="1">
        <f t="array" ref="T82">IF(AND(T$2&lt;&gt;0,TblTech[[#This Row],[Hour]:[Hour]]&gt;=T$2),1,0)</f>
        <v>0</v>
      </c>
      <c r="U82" s="304" cm="1">
        <f t="array" ref="U82">IF(AND(U$2&lt;&gt;0,TblTech[[#This Row],[Hour]:[Hour]]&gt;=U$2),1,0)</f>
        <v>0</v>
      </c>
      <c r="V82" s="304" cm="1">
        <f t="array" ref="V82">IF(AND(V$2&lt;&gt;0,TblTech[[#This Row],[Hour]:[Hour]]&gt;=V$2),1,0)</f>
        <v>0</v>
      </c>
      <c r="W82" s="304" cm="1">
        <f t="array" ref="W82">IF(AND(W$2&lt;&gt;0,TblTech[[#This Row],[Hour]:[Hour]]&gt;=W$2),1,0)</f>
        <v>0</v>
      </c>
      <c r="X82" s="304" cm="1">
        <f t="array" ref="X82">IF(AND(X$2&lt;&gt;0,TblTech[[#This Row],[Hour]:[Hour]]&gt;=X$2),1,0)</f>
        <v>0</v>
      </c>
      <c r="Y82" s="304" cm="1">
        <f t="array" ref="Y82">IF(AND(Y$2&lt;&gt;0,TblTech[[#This Row],[Hour]:[Hour]]&gt;=Y$2),1,0)</f>
        <v>0</v>
      </c>
      <c r="Z82" s="304" cm="1">
        <f t="array" ref="Z82">IF(AND(Z$2&lt;&gt;0,TblTech[[#This Row],[Hour]:[Hour]]&gt;=Z$2),1,0)</f>
        <v>0</v>
      </c>
      <c r="AA82" s="304" cm="1">
        <f t="array" ref="AA82">IF(AND(AA$2&lt;&gt;0,TblTech[[#This Row],[Hour]:[Hour]]&gt;=AA$2),1,0)</f>
        <v>0</v>
      </c>
      <c r="AB82" s="304" cm="1">
        <f t="array" ref="AB82">IF(AND(AB$2&lt;&gt;0,TblTech[[#This Row],[Hour]:[Hour]]&gt;=AB$2),1,0)</f>
        <v>0</v>
      </c>
      <c r="AC82" s="304" cm="1">
        <f t="array" ref="AC82">IF(AND(AC$2&lt;&gt;0,TblTech[[#This Row],[Hour]:[Hour]]&gt;=AC$2),1,0)</f>
        <v>0</v>
      </c>
      <c r="AD82" s="304" cm="1">
        <f t="array" ref="AD82">IF(AND(AD$2&lt;&gt;0,TblTech[[#This Row],[Hour]:[Hour]]&gt;=AD$2),1,0)</f>
        <v>0</v>
      </c>
      <c r="AE82" s="304" cm="1">
        <f t="array" ref="AE82">IF(AND(AE$2&lt;&gt;0,TblTech[[#This Row],[Hour]:[Hour]]&gt;=AE$2),1,0)</f>
        <v>0</v>
      </c>
      <c r="AF82" s="304" cm="1">
        <f t="array" ref="AF82">IF(AND(AF$2&lt;&gt;0,TblTech[[#This Row],[Hour]:[Hour]]&gt;=AF$2),1,0)</f>
        <v>0</v>
      </c>
      <c r="AG82" s="304" cm="1">
        <f t="array" ref="AG82">IF(AND(AG$2&lt;&gt;0,TblTech[[#This Row],[Hour]:[Hour]]&gt;=AG$2),1,0)</f>
        <v>0</v>
      </c>
      <c r="AH82" s="304" cm="1">
        <f t="array" ref="AH82">IF(AND(AH$2&lt;&gt;0,TblTech[[#This Row],[Hour]:[Hour]]&gt;=AH$2),1,0)</f>
        <v>0</v>
      </c>
      <c r="AI82" s="304" cm="1">
        <f t="array" ref="AI82">IF(AND(AI$2&lt;&gt;0,TblTech[[#This Row],[Hour]:[Hour]]&gt;=AI$2),1,0)</f>
        <v>0</v>
      </c>
      <c r="AJ82" s="304" cm="1">
        <f t="array" ref="AJ82">IF(AND(AJ$2&lt;&gt;0,TblTech[[#This Row],[Hour]:[Hour]]&gt;=AJ$2),1,0)</f>
        <v>0</v>
      </c>
      <c r="AK82" s="304" cm="1">
        <f t="array" ref="AK82">IF(AND(AK$2&lt;&gt;0,TblTech[[#This Row],[Hour]:[Hour]]&gt;=AK$2),1,0)</f>
        <v>0</v>
      </c>
      <c r="AL82" s="304" cm="1">
        <f t="array" ref="AL82">IF(AND(AL$2&lt;&gt;0,TblTech[[#This Row],[Hour]:[Hour]]&gt;=AL$2),1,0)</f>
        <v>0</v>
      </c>
      <c r="AM82" s="304" cm="1">
        <f t="array" ref="AM82">IF(AND(AM$2&lt;&gt;0,TblTech[[#This Row],[Hour]:[Hour]]&gt;=AM$2),1,0)</f>
        <v>0</v>
      </c>
      <c r="AN82" s="304" cm="1">
        <f t="array" ref="AN82">IF(AND(AN$2&lt;&gt;0,TblTech[[#This Row],[Hour]:[Hour]]&gt;=AN$2),1,0)</f>
        <v>0</v>
      </c>
      <c r="AO82" s="304" cm="1">
        <f t="array" ref="AO82">IF(AND(AO$2&lt;&gt;0,TblTech[[#This Row],[Hour]:[Hour]]&gt;=AO$2),1,0)</f>
        <v>0</v>
      </c>
      <c r="AP82" s="304" cm="1">
        <f t="array" ref="AP82">IF(AND(AP$2&lt;&gt;0,TblTech[[#This Row],[Hour]:[Hour]]&gt;=AP$2),1,0)</f>
        <v>0</v>
      </c>
      <c r="AQ82" s="304" cm="1">
        <f t="array" ref="AQ82">IF(AND(AQ$2&lt;&gt;0,TblTech[[#This Row],[Hour]:[Hour]]&gt;=AQ$2),1,0)</f>
        <v>0</v>
      </c>
      <c r="AR82" s="304" cm="1">
        <f t="array" ref="AR82">IF(AND(AR$2&lt;&gt;0,TblTech[[#This Row],[Hour]:[Hour]]&gt;=AR$2),1,0)</f>
        <v>0</v>
      </c>
      <c r="AS82" s="304" cm="1">
        <f t="array" ref="AS82">IF(AND(AS$2&lt;&gt;0,TblTech[[#This Row],[Hour]:[Hour]]&gt;=AS$2),1,0)</f>
        <v>0</v>
      </c>
      <c r="AT82" s="304" cm="1">
        <f t="array" ref="AT82">IF(AND(AT$2&lt;&gt;0,TblTech[[#This Row],[Hour]:[Hour]]&gt;=AT$2),1,0)</f>
        <v>0</v>
      </c>
      <c r="AU82" s="304" cm="1">
        <f t="array" ref="AU82">IF(AND(AU$2&lt;&gt;0,TblTech[[#This Row],[Hour]:[Hour]]&gt;=AU$2),1,0)</f>
        <v>0</v>
      </c>
      <c r="AV82" s="304" cm="1">
        <f t="array" ref="AV82">IF(AND(AV$2&lt;&gt;0,TblTech[[#This Row],[Hour]:[Hour]]&gt;=AV$2),1,0)</f>
        <v>0</v>
      </c>
      <c r="AW82" s="304" cm="1">
        <f t="array" ref="AW82">IF(AND(AW$2&lt;&gt;0,TblTech[[#This Row],[Hour]:[Hour]]&gt;=AW$2),1,0)</f>
        <v>0</v>
      </c>
      <c r="AX82" s="304" cm="1">
        <f t="array" ref="AX82">IF(AND(AX$2&lt;&gt;0,TblTech[[#This Row],[Hour]:[Hour]]&gt;=AX$2),1,0)</f>
        <v>0</v>
      </c>
      <c r="AY82" s="304" cm="1">
        <f t="array" ref="AY82">IF(AND(AY$2&lt;&gt;0,TblTech[[#This Row],[Hour]:[Hour]]&gt;=AY$2),1,0)</f>
        <v>0</v>
      </c>
      <c r="AZ82" s="304" cm="1">
        <f t="array" ref="AZ82">IF(AND(AZ$2&lt;&gt;0,TblTech[[#This Row],[Hour]:[Hour]]&gt;=AZ$2),1,0)</f>
        <v>0</v>
      </c>
      <c r="BA82" s="304" cm="1">
        <f t="array" ref="BA82">IF(AND(BA$2&lt;&gt;0,TblTech[[#This Row],[Hour]:[Hour]]&gt;=BA$2),1,0)</f>
        <v>0</v>
      </c>
      <c r="BB82" s="304" cm="1">
        <f t="array" ref="BB82">IF(AND(BB$2&lt;&gt;0,TblTech[[#This Row],[Hour]:[Hour]]&gt;=BB$2),1,0)</f>
        <v>0</v>
      </c>
      <c r="BC82" s="304" cm="1">
        <f t="array" ref="BC82">IF(AND(BC$2&lt;&gt;0,TblTech[[#This Row],[Hour]:[Hour]]&gt;=BC$2),1,0)</f>
        <v>0</v>
      </c>
      <c r="BD82" s="304" cm="1">
        <f t="array" ref="BD82">IF(AND(BD$2&lt;&gt;0,TblTech[[#This Row],[Hour]:[Hour]]&gt;=BD$2),1,0)</f>
        <v>0</v>
      </c>
      <c r="BE82" s="304" cm="1">
        <f t="array" ref="BE82">IF(AND(BE$2&lt;&gt;0,TblTech[[#This Row],[Hour]:[Hour]]&gt;=BE$2),1,0)</f>
        <v>0</v>
      </c>
      <c r="BF82" s="304" cm="1">
        <f t="array" ref="BF82">IF(AND(BF$2&lt;&gt;0,TblTech[[#This Row],[Hour]:[Hour]]&gt;=BF$2),1,0)</f>
        <v>0</v>
      </c>
      <c r="BG82" s="304" cm="1">
        <f t="array" ref="BG82">IF(AND(BG$2&lt;&gt;0,TblTech[[#This Row],[Hour]:[Hour]]&gt;=BG$2),1,0)</f>
        <v>0</v>
      </c>
      <c r="BH82" s="304" cm="1">
        <f t="array" ref="BH82">IF(AND(BH$2&lt;&gt;0,TblTech[[#This Row],[Hour]:[Hour]]&gt;=BH$2),1,0)</f>
        <v>0</v>
      </c>
      <c r="BI82" s="304" cm="1">
        <f t="array" ref="BI82">IF(AND(BI$2&lt;&gt;0,TblTech[[#This Row],[Hour]:[Hour]]&gt;=BI$2),1,0)</f>
        <v>0</v>
      </c>
      <c r="BJ82" s="304" cm="1">
        <f t="array" ref="BJ82">IF(AND(BJ$2&lt;&gt;0,TblTech[[#This Row],[Hour]:[Hour]]&gt;=BJ$2),1,0)</f>
        <v>0</v>
      </c>
      <c r="BK82" s="304" cm="1">
        <f t="array" ref="BK82">IF(AND(BK$2&lt;&gt;0,TblTech[[#This Row],[Hour]:[Hour]]&gt;=BK$2),1,0)</f>
        <v>0</v>
      </c>
      <c r="BL82" s="304" cm="1">
        <f t="array" ref="BL82">IF(AND(BL$2&lt;&gt;0,TblTech[[#This Row],[Hour]:[Hour]]&gt;=BL$2),1,0)</f>
        <v>0</v>
      </c>
      <c r="BM82" s="304" cm="1">
        <f t="array" ref="BM82">IF(AND(BM$2&lt;&gt;0,TblTech[[#This Row],[Hour]:[Hour]]&gt;=BM$2),1,0)</f>
        <v>0</v>
      </c>
      <c r="BN82" s="304" cm="1">
        <f t="array" ref="BN82">IF(AND(BN$2&lt;&gt;0,TblTech[[#This Row],[Hour]:[Hour]]&gt;=BN$2),1,0)</f>
        <v>0</v>
      </c>
      <c r="BO82" s="304" cm="1">
        <f t="array" ref="BO82">IF(AND(BO$2&lt;&gt;0,TblTech[[#This Row],[Hour]:[Hour]]&gt;=BO$2),1,0)</f>
        <v>0</v>
      </c>
      <c r="BP82" s="304" cm="1">
        <f t="array" ref="BP82">IF(AND(BP$2&lt;&gt;0,TblTech[[#This Row],[Hour]:[Hour]]&gt;=BP$2),1,0)</f>
        <v>0</v>
      </c>
      <c r="BQ82" s="304" cm="1">
        <f t="array" ref="BQ82">IF(AND(BQ$2&lt;&gt;0,TblTech[[#This Row],[Hour]:[Hour]]&gt;=BQ$2),1,0)</f>
        <v>0</v>
      </c>
      <c r="BR82" s="304" cm="1">
        <f t="array" ref="BR82">IF(AND(BR$2&lt;&gt;0,TblTech[[#This Row],[Hour]:[Hour]]&gt;=BR$2),1,0)</f>
        <v>0</v>
      </c>
      <c r="BS82" s="304" cm="1">
        <f t="array" ref="BS82">IF(AND(BS$2&lt;&gt;0,TblTech[[#This Row],[Hour]:[Hour]]&gt;=BS$2),1,0)</f>
        <v>0</v>
      </c>
      <c r="BT82" s="304" cm="1">
        <f t="array" ref="BT82">IF(AND(BT$2&lt;&gt;0,TblTech[[#This Row],[Hour]:[Hour]]&gt;=BT$2),1,0)</f>
        <v>0</v>
      </c>
      <c r="BU82" s="304" cm="1">
        <f t="array" ref="BU82">IF(AND(BU$2&lt;&gt;0,TblTech[[#This Row],[Hour]:[Hour]]&gt;=BU$2),1,0)</f>
        <v>0</v>
      </c>
      <c r="BV82" s="304" cm="1">
        <f t="array" ref="BV82">IF(AND(BV$2&lt;&gt;0,TblTech[[#This Row],[Hour]:[Hour]]&gt;=BV$2),1,0)</f>
        <v>0</v>
      </c>
      <c r="BW82" s="304" cm="1">
        <f t="array" ref="BW82">IF(AND(BW$2&lt;&gt;0,TblTech[[#This Row],[Hour]:[Hour]]&gt;=BW$2),1,0)</f>
        <v>0</v>
      </c>
      <c r="BX82" s="304" cm="1">
        <f t="array" ref="BX82">IF(AND(BX$2&lt;&gt;0,TblTech[[#This Row],[Hour]:[Hour]]&gt;=BX$2),1,0)</f>
        <v>0</v>
      </c>
      <c r="BY82" s="304" cm="1">
        <f t="array" ref="BY82">IF(AND(BY$2&lt;&gt;0,TblTech[[#This Row],[Hour]:[Hour]]&gt;=BY$2),1,0)</f>
        <v>0</v>
      </c>
      <c r="BZ82" s="304" cm="1">
        <f t="array" ref="BZ82">IF(AND(BZ$2&lt;&gt;0,TblTech[[#This Row],[Hour]:[Hour]]&gt;=BZ$2),1,0)</f>
        <v>0</v>
      </c>
      <c r="CA82" s="408">
        <f>IFERROR(INDEX($H$4:$H$79,MATCH(INDEX(TblTech[[#Headers],[1-1]:[11-1]],1,MATCH(TblTech[[#This Row],[Hour]],$M$2:$BZ$2,0)),$G$4:$G$79,0)),)</f>
        <v>0</v>
      </c>
    </row>
    <row r="83" spans="1:79" x14ac:dyDescent="0.2">
      <c r="A83" s="296">
        <f>TblRezone[[#This Row],[Hour]]</f>
        <v>80</v>
      </c>
      <c r="B83" s="297">
        <f ca="1">TblExplore[[#This Row],[Land-DB]]</f>
        <v>250</v>
      </c>
      <c r="C83" s="298">
        <f ca="1">TblProd[[#This Row],[Techpoints]]</f>
        <v>0</v>
      </c>
      <c r="D83" s="298">
        <f ca="1">TblProd[[#This Row],[Required]]</f>
        <v>3750</v>
      </c>
      <c r="E83" s="307"/>
      <c r="F83" s="308"/>
      <c r="G83" s="301"/>
      <c r="H83" s="302"/>
      <c r="I83" s="302"/>
      <c r="J83" s="302"/>
      <c r="K83" s="96">
        <f ca="1">IF(TblTech[[#This Row],[Sum of tech]]&lt;&gt;OFFSET(TblTech[[#This Row],[Sum of tech]],-1,0),1,0)</f>
        <v>0</v>
      </c>
      <c r="L83" s="303">
        <f>COUNTIF(TblTech[[#This Row],[1-1]:[11-1]],1)</f>
        <v>0</v>
      </c>
      <c r="M83" s="304" cm="1">
        <f t="array" ref="M83">IF(AND(M$2&lt;&gt;0,TblTech[[#This Row],[Hour]:[Hour]]&gt;=M$2),1,0)</f>
        <v>0</v>
      </c>
      <c r="N83" s="304" cm="1">
        <f t="array" ref="N83">IF(AND(N$2&lt;&gt;0,TblTech[[#This Row],[Hour]:[Hour]]&gt;=N$2),1,0)</f>
        <v>0</v>
      </c>
      <c r="O83" s="304" cm="1">
        <f t="array" ref="O83">IF(AND(O$2&lt;&gt;0,TblTech[[#This Row],[Hour]:[Hour]]&gt;=O$2),1,0)</f>
        <v>0</v>
      </c>
      <c r="P83" s="304" cm="1">
        <f t="array" ref="P83">IF(AND(P$2&lt;&gt;0,TblTech[[#This Row],[Hour]:[Hour]]&gt;=P$2),1,0)</f>
        <v>0</v>
      </c>
      <c r="Q83" s="304" cm="1">
        <f t="array" ref="Q83">IF(AND(Q$2&lt;&gt;0,TblTech[[#This Row],[Hour]:[Hour]]&gt;=Q$2),1,0)</f>
        <v>0</v>
      </c>
      <c r="R83" s="304" cm="1">
        <f t="array" ref="R83">IF(AND(R$2&lt;&gt;0,TblTech[[#This Row],[Hour]:[Hour]]&gt;=R$2),1,0)</f>
        <v>0</v>
      </c>
      <c r="S83" s="304" cm="1">
        <f t="array" ref="S83">IF(AND(S$2&lt;&gt;0,TblTech[[#This Row],[Hour]:[Hour]]&gt;=S$2),1,0)</f>
        <v>0</v>
      </c>
      <c r="T83" s="304" cm="1">
        <f t="array" ref="T83">IF(AND(T$2&lt;&gt;0,TblTech[[#This Row],[Hour]:[Hour]]&gt;=T$2),1,0)</f>
        <v>0</v>
      </c>
      <c r="U83" s="304" cm="1">
        <f t="array" ref="U83">IF(AND(U$2&lt;&gt;0,TblTech[[#This Row],[Hour]:[Hour]]&gt;=U$2),1,0)</f>
        <v>0</v>
      </c>
      <c r="V83" s="304" cm="1">
        <f t="array" ref="V83">IF(AND(V$2&lt;&gt;0,TblTech[[#This Row],[Hour]:[Hour]]&gt;=V$2),1,0)</f>
        <v>0</v>
      </c>
      <c r="W83" s="304" cm="1">
        <f t="array" ref="W83">IF(AND(W$2&lt;&gt;0,TblTech[[#This Row],[Hour]:[Hour]]&gt;=W$2),1,0)</f>
        <v>0</v>
      </c>
      <c r="X83" s="304" cm="1">
        <f t="array" ref="X83">IF(AND(X$2&lt;&gt;0,TblTech[[#This Row],[Hour]:[Hour]]&gt;=X$2),1,0)</f>
        <v>0</v>
      </c>
      <c r="Y83" s="304" cm="1">
        <f t="array" ref="Y83">IF(AND(Y$2&lt;&gt;0,TblTech[[#This Row],[Hour]:[Hour]]&gt;=Y$2),1,0)</f>
        <v>0</v>
      </c>
      <c r="Z83" s="304" cm="1">
        <f t="array" ref="Z83">IF(AND(Z$2&lt;&gt;0,TblTech[[#This Row],[Hour]:[Hour]]&gt;=Z$2),1,0)</f>
        <v>0</v>
      </c>
      <c r="AA83" s="304" cm="1">
        <f t="array" ref="AA83">IF(AND(AA$2&lt;&gt;0,TblTech[[#This Row],[Hour]:[Hour]]&gt;=AA$2),1,0)</f>
        <v>0</v>
      </c>
      <c r="AB83" s="304" cm="1">
        <f t="array" ref="AB83">IF(AND(AB$2&lt;&gt;0,TblTech[[#This Row],[Hour]:[Hour]]&gt;=AB$2),1,0)</f>
        <v>0</v>
      </c>
      <c r="AC83" s="304" cm="1">
        <f t="array" ref="AC83">IF(AND(AC$2&lt;&gt;0,TblTech[[#This Row],[Hour]:[Hour]]&gt;=AC$2),1,0)</f>
        <v>0</v>
      </c>
      <c r="AD83" s="304" cm="1">
        <f t="array" ref="AD83">IF(AND(AD$2&lt;&gt;0,TblTech[[#This Row],[Hour]:[Hour]]&gt;=AD$2),1,0)</f>
        <v>0</v>
      </c>
      <c r="AE83" s="304" cm="1">
        <f t="array" ref="AE83">IF(AND(AE$2&lt;&gt;0,TblTech[[#This Row],[Hour]:[Hour]]&gt;=AE$2),1,0)</f>
        <v>0</v>
      </c>
      <c r="AF83" s="304" cm="1">
        <f t="array" ref="AF83">IF(AND(AF$2&lt;&gt;0,TblTech[[#This Row],[Hour]:[Hour]]&gt;=AF$2),1,0)</f>
        <v>0</v>
      </c>
      <c r="AG83" s="304" cm="1">
        <f t="array" ref="AG83">IF(AND(AG$2&lt;&gt;0,TblTech[[#This Row],[Hour]:[Hour]]&gt;=AG$2),1,0)</f>
        <v>0</v>
      </c>
      <c r="AH83" s="304" cm="1">
        <f t="array" ref="AH83">IF(AND(AH$2&lt;&gt;0,TblTech[[#This Row],[Hour]:[Hour]]&gt;=AH$2),1,0)</f>
        <v>0</v>
      </c>
      <c r="AI83" s="304" cm="1">
        <f t="array" ref="AI83">IF(AND(AI$2&lt;&gt;0,TblTech[[#This Row],[Hour]:[Hour]]&gt;=AI$2),1,0)</f>
        <v>0</v>
      </c>
      <c r="AJ83" s="304" cm="1">
        <f t="array" ref="AJ83">IF(AND(AJ$2&lt;&gt;0,TblTech[[#This Row],[Hour]:[Hour]]&gt;=AJ$2),1,0)</f>
        <v>0</v>
      </c>
      <c r="AK83" s="304" cm="1">
        <f t="array" ref="AK83">IF(AND(AK$2&lt;&gt;0,TblTech[[#This Row],[Hour]:[Hour]]&gt;=AK$2),1,0)</f>
        <v>0</v>
      </c>
      <c r="AL83" s="304" cm="1">
        <f t="array" ref="AL83">IF(AND(AL$2&lt;&gt;0,TblTech[[#This Row],[Hour]:[Hour]]&gt;=AL$2),1,0)</f>
        <v>0</v>
      </c>
      <c r="AM83" s="304" cm="1">
        <f t="array" ref="AM83">IF(AND(AM$2&lt;&gt;0,TblTech[[#This Row],[Hour]:[Hour]]&gt;=AM$2),1,0)</f>
        <v>0</v>
      </c>
      <c r="AN83" s="304" cm="1">
        <f t="array" ref="AN83">IF(AND(AN$2&lt;&gt;0,TblTech[[#This Row],[Hour]:[Hour]]&gt;=AN$2),1,0)</f>
        <v>0</v>
      </c>
      <c r="AO83" s="304" cm="1">
        <f t="array" ref="AO83">IF(AND(AO$2&lt;&gt;0,TblTech[[#This Row],[Hour]:[Hour]]&gt;=AO$2),1,0)</f>
        <v>0</v>
      </c>
      <c r="AP83" s="304" cm="1">
        <f t="array" ref="AP83">IF(AND(AP$2&lt;&gt;0,TblTech[[#This Row],[Hour]:[Hour]]&gt;=AP$2),1,0)</f>
        <v>0</v>
      </c>
      <c r="AQ83" s="304" cm="1">
        <f t="array" ref="AQ83">IF(AND(AQ$2&lt;&gt;0,TblTech[[#This Row],[Hour]:[Hour]]&gt;=AQ$2),1,0)</f>
        <v>0</v>
      </c>
      <c r="AR83" s="304" cm="1">
        <f t="array" ref="AR83">IF(AND(AR$2&lt;&gt;0,TblTech[[#This Row],[Hour]:[Hour]]&gt;=AR$2),1,0)</f>
        <v>0</v>
      </c>
      <c r="AS83" s="304" cm="1">
        <f t="array" ref="AS83">IF(AND(AS$2&lt;&gt;0,TblTech[[#This Row],[Hour]:[Hour]]&gt;=AS$2),1,0)</f>
        <v>0</v>
      </c>
      <c r="AT83" s="304" cm="1">
        <f t="array" ref="AT83">IF(AND(AT$2&lt;&gt;0,TblTech[[#This Row],[Hour]:[Hour]]&gt;=AT$2),1,0)</f>
        <v>0</v>
      </c>
      <c r="AU83" s="304" cm="1">
        <f t="array" ref="AU83">IF(AND(AU$2&lt;&gt;0,TblTech[[#This Row],[Hour]:[Hour]]&gt;=AU$2),1,0)</f>
        <v>0</v>
      </c>
      <c r="AV83" s="304" cm="1">
        <f t="array" ref="AV83">IF(AND(AV$2&lt;&gt;0,TblTech[[#This Row],[Hour]:[Hour]]&gt;=AV$2),1,0)</f>
        <v>0</v>
      </c>
      <c r="AW83" s="304" cm="1">
        <f t="array" ref="AW83">IF(AND(AW$2&lt;&gt;0,TblTech[[#This Row],[Hour]:[Hour]]&gt;=AW$2),1,0)</f>
        <v>0</v>
      </c>
      <c r="AX83" s="304" cm="1">
        <f t="array" ref="AX83">IF(AND(AX$2&lt;&gt;0,TblTech[[#This Row],[Hour]:[Hour]]&gt;=AX$2),1,0)</f>
        <v>0</v>
      </c>
      <c r="AY83" s="304" cm="1">
        <f t="array" ref="AY83">IF(AND(AY$2&lt;&gt;0,TblTech[[#This Row],[Hour]:[Hour]]&gt;=AY$2),1,0)</f>
        <v>0</v>
      </c>
      <c r="AZ83" s="304" cm="1">
        <f t="array" ref="AZ83">IF(AND(AZ$2&lt;&gt;0,TblTech[[#This Row],[Hour]:[Hour]]&gt;=AZ$2),1,0)</f>
        <v>0</v>
      </c>
      <c r="BA83" s="304" cm="1">
        <f t="array" ref="BA83">IF(AND(BA$2&lt;&gt;0,TblTech[[#This Row],[Hour]:[Hour]]&gt;=BA$2),1,0)</f>
        <v>0</v>
      </c>
      <c r="BB83" s="304" cm="1">
        <f t="array" ref="BB83">IF(AND(BB$2&lt;&gt;0,TblTech[[#This Row],[Hour]:[Hour]]&gt;=BB$2),1,0)</f>
        <v>0</v>
      </c>
      <c r="BC83" s="304" cm="1">
        <f t="array" ref="BC83">IF(AND(BC$2&lt;&gt;0,TblTech[[#This Row],[Hour]:[Hour]]&gt;=BC$2),1,0)</f>
        <v>0</v>
      </c>
      <c r="BD83" s="304" cm="1">
        <f t="array" ref="BD83">IF(AND(BD$2&lt;&gt;0,TblTech[[#This Row],[Hour]:[Hour]]&gt;=BD$2),1,0)</f>
        <v>0</v>
      </c>
      <c r="BE83" s="304" cm="1">
        <f t="array" ref="BE83">IF(AND(BE$2&lt;&gt;0,TblTech[[#This Row],[Hour]:[Hour]]&gt;=BE$2),1,0)</f>
        <v>0</v>
      </c>
      <c r="BF83" s="304" cm="1">
        <f t="array" ref="BF83">IF(AND(BF$2&lt;&gt;0,TblTech[[#This Row],[Hour]:[Hour]]&gt;=BF$2),1,0)</f>
        <v>0</v>
      </c>
      <c r="BG83" s="304" cm="1">
        <f t="array" ref="BG83">IF(AND(BG$2&lt;&gt;0,TblTech[[#This Row],[Hour]:[Hour]]&gt;=BG$2),1,0)</f>
        <v>0</v>
      </c>
      <c r="BH83" s="304" cm="1">
        <f t="array" ref="BH83">IF(AND(BH$2&lt;&gt;0,TblTech[[#This Row],[Hour]:[Hour]]&gt;=BH$2),1,0)</f>
        <v>0</v>
      </c>
      <c r="BI83" s="304" cm="1">
        <f t="array" ref="BI83">IF(AND(BI$2&lt;&gt;0,TblTech[[#This Row],[Hour]:[Hour]]&gt;=BI$2),1,0)</f>
        <v>0</v>
      </c>
      <c r="BJ83" s="304" cm="1">
        <f t="array" ref="BJ83">IF(AND(BJ$2&lt;&gt;0,TblTech[[#This Row],[Hour]:[Hour]]&gt;=BJ$2),1,0)</f>
        <v>0</v>
      </c>
      <c r="BK83" s="304" cm="1">
        <f t="array" ref="BK83">IF(AND(BK$2&lt;&gt;0,TblTech[[#This Row],[Hour]:[Hour]]&gt;=BK$2),1,0)</f>
        <v>0</v>
      </c>
      <c r="BL83" s="304" cm="1">
        <f t="array" ref="BL83">IF(AND(BL$2&lt;&gt;0,TblTech[[#This Row],[Hour]:[Hour]]&gt;=BL$2),1,0)</f>
        <v>0</v>
      </c>
      <c r="BM83" s="304" cm="1">
        <f t="array" ref="BM83">IF(AND(BM$2&lt;&gt;0,TblTech[[#This Row],[Hour]:[Hour]]&gt;=BM$2),1,0)</f>
        <v>0</v>
      </c>
      <c r="BN83" s="304" cm="1">
        <f t="array" ref="BN83">IF(AND(BN$2&lt;&gt;0,TblTech[[#This Row],[Hour]:[Hour]]&gt;=BN$2),1,0)</f>
        <v>0</v>
      </c>
      <c r="BO83" s="304" cm="1">
        <f t="array" ref="BO83">IF(AND(BO$2&lt;&gt;0,TblTech[[#This Row],[Hour]:[Hour]]&gt;=BO$2),1,0)</f>
        <v>0</v>
      </c>
      <c r="BP83" s="304" cm="1">
        <f t="array" ref="BP83">IF(AND(BP$2&lt;&gt;0,TblTech[[#This Row],[Hour]:[Hour]]&gt;=BP$2),1,0)</f>
        <v>0</v>
      </c>
      <c r="BQ83" s="304" cm="1">
        <f t="array" ref="BQ83">IF(AND(BQ$2&lt;&gt;0,TblTech[[#This Row],[Hour]:[Hour]]&gt;=BQ$2),1,0)</f>
        <v>0</v>
      </c>
      <c r="BR83" s="304" cm="1">
        <f t="array" ref="BR83">IF(AND(BR$2&lt;&gt;0,TblTech[[#This Row],[Hour]:[Hour]]&gt;=BR$2),1,0)</f>
        <v>0</v>
      </c>
      <c r="BS83" s="304" cm="1">
        <f t="array" ref="BS83">IF(AND(BS$2&lt;&gt;0,TblTech[[#This Row],[Hour]:[Hour]]&gt;=BS$2),1,0)</f>
        <v>0</v>
      </c>
      <c r="BT83" s="304" cm="1">
        <f t="array" ref="BT83">IF(AND(BT$2&lt;&gt;0,TblTech[[#This Row],[Hour]:[Hour]]&gt;=BT$2),1,0)</f>
        <v>0</v>
      </c>
      <c r="BU83" s="304" cm="1">
        <f t="array" ref="BU83">IF(AND(BU$2&lt;&gt;0,TblTech[[#This Row],[Hour]:[Hour]]&gt;=BU$2),1,0)</f>
        <v>0</v>
      </c>
      <c r="BV83" s="304" cm="1">
        <f t="array" ref="BV83">IF(AND(BV$2&lt;&gt;0,TblTech[[#This Row],[Hour]:[Hour]]&gt;=BV$2),1,0)</f>
        <v>0</v>
      </c>
      <c r="BW83" s="304" cm="1">
        <f t="array" ref="BW83">IF(AND(BW$2&lt;&gt;0,TblTech[[#This Row],[Hour]:[Hour]]&gt;=BW$2),1,0)</f>
        <v>0</v>
      </c>
      <c r="BX83" s="304" cm="1">
        <f t="array" ref="BX83">IF(AND(BX$2&lt;&gt;0,TblTech[[#This Row],[Hour]:[Hour]]&gt;=BX$2),1,0)</f>
        <v>0</v>
      </c>
      <c r="BY83" s="304" cm="1">
        <f t="array" ref="BY83">IF(AND(BY$2&lt;&gt;0,TblTech[[#This Row],[Hour]:[Hour]]&gt;=BY$2),1,0)</f>
        <v>0</v>
      </c>
      <c r="BZ83" s="304" cm="1">
        <f t="array" ref="BZ83">IF(AND(BZ$2&lt;&gt;0,TblTech[[#This Row],[Hour]:[Hour]]&gt;=BZ$2),1,0)</f>
        <v>0</v>
      </c>
      <c r="CA83" s="408">
        <f>IFERROR(INDEX($H$4:$H$79,MATCH(INDEX(TblTech[[#Headers],[1-1]:[11-1]],1,MATCH(TblTech[[#This Row],[Hour]],$M$2:$BZ$2,0)),$G$4:$G$79,0)),)</f>
        <v>0</v>
      </c>
    </row>
    <row r="84" spans="1:79" x14ac:dyDescent="0.2">
      <c r="A84" s="296">
        <f>TblRezone[[#This Row],[Hour]]</f>
        <v>81</v>
      </c>
      <c r="B84" s="297">
        <f ca="1">TblExplore[[#This Row],[Land-DB]]</f>
        <v>250</v>
      </c>
      <c r="C84" s="298">
        <f ca="1">TblProd[[#This Row],[Techpoints]]</f>
        <v>0</v>
      </c>
      <c r="D84" s="298">
        <f ca="1">TblProd[[#This Row],[Required]]</f>
        <v>3750</v>
      </c>
      <c r="E84" s="307"/>
      <c r="F84" s="308"/>
      <c r="G84" s="301"/>
      <c r="H84" s="302"/>
      <c r="I84" s="302"/>
      <c r="J84" s="302"/>
      <c r="K84" s="96">
        <f ca="1">IF(TblTech[[#This Row],[Sum of tech]]&lt;&gt;OFFSET(TblTech[[#This Row],[Sum of tech]],-1,0),1,0)</f>
        <v>0</v>
      </c>
      <c r="L84" s="303">
        <f>COUNTIF(TblTech[[#This Row],[1-1]:[11-1]],1)</f>
        <v>0</v>
      </c>
      <c r="M84" s="304" cm="1">
        <f t="array" ref="M84">IF(AND(M$2&lt;&gt;0,TblTech[[#This Row],[Hour]:[Hour]]&gt;=M$2),1,0)</f>
        <v>0</v>
      </c>
      <c r="N84" s="304" cm="1">
        <f t="array" ref="N84">IF(AND(N$2&lt;&gt;0,TblTech[[#This Row],[Hour]:[Hour]]&gt;=N$2),1,0)</f>
        <v>0</v>
      </c>
      <c r="O84" s="304" cm="1">
        <f t="array" ref="O84">IF(AND(O$2&lt;&gt;0,TblTech[[#This Row],[Hour]:[Hour]]&gt;=O$2),1,0)</f>
        <v>0</v>
      </c>
      <c r="P84" s="304" cm="1">
        <f t="array" ref="P84">IF(AND(P$2&lt;&gt;0,TblTech[[#This Row],[Hour]:[Hour]]&gt;=P$2),1,0)</f>
        <v>0</v>
      </c>
      <c r="Q84" s="304" cm="1">
        <f t="array" ref="Q84">IF(AND(Q$2&lt;&gt;0,TblTech[[#This Row],[Hour]:[Hour]]&gt;=Q$2),1,0)</f>
        <v>0</v>
      </c>
      <c r="R84" s="304" cm="1">
        <f t="array" ref="R84">IF(AND(R$2&lt;&gt;0,TblTech[[#This Row],[Hour]:[Hour]]&gt;=R$2),1,0)</f>
        <v>0</v>
      </c>
      <c r="S84" s="304" cm="1">
        <f t="array" ref="S84">IF(AND(S$2&lt;&gt;0,TblTech[[#This Row],[Hour]:[Hour]]&gt;=S$2),1,0)</f>
        <v>0</v>
      </c>
      <c r="T84" s="304" cm="1">
        <f t="array" ref="T84">IF(AND(T$2&lt;&gt;0,TblTech[[#This Row],[Hour]:[Hour]]&gt;=T$2),1,0)</f>
        <v>0</v>
      </c>
      <c r="U84" s="304" cm="1">
        <f t="array" ref="U84">IF(AND(U$2&lt;&gt;0,TblTech[[#This Row],[Hour]:[Hour]]&gt;=U$2),1,0)</f>
        <v>0</v>
      </c>
      <c r="V84" s="304" cm="1">
        <f t="array" ref="V84">IF(AND(V$2&lt;&gt;0,TblTech[[#This Row],[Hour]:[Hour]]&gt;=V$2),1,0)</f>
        <v>0</v>
      </c>
      <c r="W84" s="304" cm="1">
        <f t="array" ref="W84">IF(AND(W$2&lt;&gt;0,TblTech[[#This Row],[Hour]:[Hour]]&gt;=W$2),1,0)</f>
        <v>0</v>
      </c>
      <c r="X84" s="304" cm="1">
        <f t="array" ref="X84">IF(AND(X$2&lt;&gt;0,TblTech[[#This Row],[Hour]:[Hour]]&gt;=X$2),1,0)</f>
        <v>0</v>
      </c>
      <c r="Y84" s="304" cm="1">
        <f t="array" ref="Y84">IF(AND(Y$2&lt;&gt;0,TblTech[[#This Row],[Hour]:[Hour]]&gt;=Y$2),1,0)</f>
        <v>0</v>
      </c>
      <c r="Z84" s="304" cm="1">
        <f t="array" ref="Z84">IF(AND(Z$2&lt;&gt;0,TblTech[[#This Row],[Hour]:[Hour]]&gt;=Z$2),1,0)</f>
        <v>0</v>
      </c>
      <c r="AA84" s="304" cm="1">
        <f t="array" ref="AA84">IF(AND(AA$2&lt;&gt;0,TblTech[[#This Row],[Hour]:[Hour]]&gt;=AA$2),1,0)</f>
        <v>0</v>
      </c>
      <c r="AB84" s="304" cm="1">
        <f t="array" ref="AB84">IF(AND(AB$2&lt;&gt;0,TblTech[[#This Row],[Hour]:[Hour]]&gt;=AB$2),1,0)</f>
        <v>0</v>
      </c>
      <c r="AC84" s="304" cm="1">
        <f t="array" ref="AC84">IF(AND(AC$2&lt;&gt;0,TblTech[[#This Row],[Hour]:[Hour]]&gt;=AC$2),1,0)</f>
        <v>0</v>
      </c>
      <c r="AD84" s="304" cm="1">
        <f t="array" ref="AD84">IF(AND(AD$2&lt;&gt;0,TblTech[[#This Row],[Hour]:[Hour]]&gt;=AD$2),1,0)</f>
        <v>0</v>
      </c>
      <c r="AE84" s="304" cm="1">
        <f t="array" ref="AE84">IF(AND(AE$2&lt;&gt;0,TblTech[[#This Row],[Hour]:[Hour]]&gt;=AE$2),1,0)</f>
        <v>0</v>
      </c>
      <c r="AF84" s="304" cm="1">
        <f t="array" ref="AF84">IF(AND(AF$2&lt;&gt;0,TblTech[[#This Row],[Hour]:[Hour]]&gt;=AF$2),1,0)</f>
        <v>0</v>
      </c>
      <c r="AG84" s="304" cm="1">
        <f t="array" ref="AG84">IF(AND(AG$2&lt;&gt;0,TblTech[[#This Row],[Hour]:[Hour]]&gt;=AG$2),1,0)</f>
        <v>0</v>
      </c>
      <c r="AH84" s="304" cm="1">
        <f t="array" ref="AH84">IF(AND(AH$2&lt;&gt;0,TblTech[[#This Row],[Hour]:[Hour]]&gt;=AH$2),1,0)</f>
        <v>0</v>
      </c>
      <c r="AI84" s="304" cm="1">
        <f t="array" ref="AI84">IF(AND(AI$2&lt;&gt;0,TblTech[[#This Row],[Hour]:[Hour]]&gt;=AI$2),1,0)</f>
        <v>0</v>
      </c>
      <c r="AJ84" s="304" cm="1">
        <f t="array" ref="AJ84">IF(AND(AJ$2&lt;&gt;0,TblTech[[#This Row],[Hour]:[Hour]]&gt;=AJ$2),1,0)</f>
        <v>0</v>
      </c>
      <c r="AK84" s="304" cm="1">
        <f t="array" ref="AK84">IF(AND(AK$2&lt;&gt;0,TblTech[[#This Row],[Hour]:[Hour]]&gt;=AK$2),1,0)</f>
        <v>0</v>
      </c>
      <c r="AL84" s="304" cm="1">
        <f t="array" ref="AL84">IF(AND(AL$2&lt;&gt;0,TblTech[[#This Row],[Hour]:[Hour]]&gt;=AL$2),1,0)</f>
        <v>0</v>
      </c>
      <c r="AM84" s="304" cm="1">
        <f t="array" ref="AM84">IF(AND(AM$2&lt;&gt;0,TblTech[[#This Row],[Hour]:[Hour]]&gt;=AM$2),1,0)</f>
        <v>0</v>
      </c>
      <c r="AN84" s="304" cm="1">
        <f t="array" ref="AN84">IF(AND(AN$2&lt;&gt;0,TblTech[[#This Row],[Hour]:[Hour]]&gt;=AN$2),1,0)</f>
        <v>0</v>
      </c>
      <c r="AO84" s="304" cm="1">
        <f t="array" ref="AO84">IF(AND(AO$2&lt;&gt;0,TblTech[[#This Row],[Hour]:[Hour]]&gt;=AO$2),1,0)</f>
        <v>0</v>
      </c>
      <c r="AP84" s="304" cm="1">
        <f t="array" ref="AP84">IF(AND(AP$2&lt;&gt;0,TblTech[[#This Row],[Hour]:[Hour]]&gt;=AP$2),1,0)</f>
        <v>0</v>
      </c>
      <c r="AQ84" s="304" cm="1">
        <f t="array" ref="AQ84">IF(AND(AQ$2&lt;&gt;0,TblTech[[#This Row],[Hour]:[Hour]]&gt;=AQ$2),1,0)</f>
        <v>0</v>
      </c>
      <c r="AR84" s="304" cm="1">
        <f t="array" ref="AR84">IF(AND(AR$2&lt;&gt;0,TblTech[[#This Row],[Hour]:[Hour]]&gt;=AR$2),1,0)</f>
        <v>0</v>
      </c>
      <c r="AS84" s="304" cm="1">
        <f t="array" ref="AS84">IF(AND(AS$2&lt;&gt;0,TblTech[[#This Row],[Hour]:[Hour]]&gt;=AS$2),1,0)</f>
        <v>0</v>
      </c>
      <c r="AT84" s="304" cm="1">
        <f t="array" ref="AT84">IF(AND(AT$2&lt;&gt;0,TblTech[[#This Row],[Hour]:[Hour]]&gt;=AT$2),1,0)</f>
        <v>0</v>
      </c>
      <c r="AU84" s="304" cm="1">
        <f t="array" ref="AU84">IF(AND(AU$2&lt;&gt;0,TblTech[[#This Row],[Hour]:[Hour]]&gt;=AU$2),1,0)</f>
        <v>0</v>
      </c>
      <c r="AV84" s="304" cm="1">
        <f t="array" ref="AV84">IF(AND(AV$2&lt;&gt;0,TblTech[[#This Row],[Hour]:[Hour]]&gt;=AV$2),1,0)</f>
        <v>0</v>
      </c>
      <c r="AW84" s="304" cm="1">
        <f t="array" ref="AW84">IF(AND(AW$2&lt;&gt;0,TblTech[[#This Row],[Hour]:[Hour]]&gt;=AW$2),1,0)</f>
        <v>0</v>
      </c>
      <c r="AX84" s="304" cm="1">
        <f t="array" ref="AX84">IF(AND(AX$2&lt;&gt;0,TblTech[[#This Row],[Hour]:[Hour]]&gt;=AX$2),1,0)</f>
        <v>0</v>
      </c>
      <c r="AY84" s="304" cm="1">
        <f t="array" ref="AY84">IF(AND(AY$2&lt;&gt;0,TblTech[[#This Row],[Hour]:[Hour]]&gt;=AY$2),1,0)</f>
        <v>0</v>
      </c>
      <c r="AZ84" s="304" cm="1">
        <f t="array" ref="AZ84">IF(AND(AZ$2&lt;&gt;0,TblTech[[#This Row],[Hour]:[Hour]]&gt;=AZ$2),1,0)</f>
        <v>0</v>
      </c>
      <c r="BA84" s="304" cm="1">
        <f t="array" ref="BA84">IF(AND(BA$2&lt;&gt;0,TblTech[[#This Row],[Hour]:[Hour]]&gt;=BA$2),1,0)</f>
        <v>0</v>
      </c>
      <c r="BB84" s="304" cm="1">
        <f t="array" ref="BB84">IF(AND(BB$2&lt;&gt;0,TblTech[[#This Row],[Hour]:[Hour]]&gt;=BB$2),1,0)</f>
        <v>0</v>
      </c>
      <c r="BC84" s="304" cm="1">
        <f t="array" ref="BC84">IF(AND(BC$2&lt;&gt;0,TblTech[[#This Row],[Hour]:[Hour]]&gt;=BC$2),1,0)</f>
        <v>0</v>
      </c>
      <c r="BD84" s="304" cm="1">
        <f t="array" ref="BD84">IF(AND(BD$2&lt;&gt;0,TblTech[[#This Row],[Hour]:[Hour]]&gt;=BD$2),1,0)</f>
        <v>0</v>
      </c>
      <c r="BE84" s="304" cm="1">
        <f t="array" ref="BE84">IF(AND(BE$2&lt;&gt;0,TblTech[[#This Row],[Hour]:[Hour]]&gt;=BE$2),1,0)</f>
        <v>0</v>
      </c>
      <c r="BF84" s="304" cm="1">
        <f t="array" ref="BF84">IF(AND(BF$2&lt;&gt;0,TblTech[[#This Row],[Hour]:[Hour]]&gt;=BF$2),1,0)</f>
        <v>0</v>
      </c>
      <c r="BG84" s="304" cm="1">
        <f t="array" ref="BG84">IF(AND(BG$2&lt;&gt;0,TblTech[[#This Row],[Hour]:[Hour]]&gt;=BG$2),1,0)</f>
        <v>0</v>
      </c>
      <c r="BH84" s="304" cm="1">
        <f t="array" ref="BH84">IF(AND(BH$2&lt;&gt;0,TblTech[[#This Row],[Hour]:[Hour]]&gt;=BH$2),1,0)</f>
        <v>0</v>
      </c>
      <c r="BI84" s="304" cm="1">
        <f t="array" ref="BI84">IF(AND(BI$2&lt;&gt;0,TblTech[[#This Row],[Hour]:[Hour]]&gt;=BI$2),1,0)</f>
        <v>0</v>
      </c>
      <c r="BJ84" s="304" cm="1">
        <f t="array" ref="BJ84">IF(AND(BJ$2&lt;&gt;0,TblTech[[#This Row],[Hour]:[Hour]]&gt;=BJ$2),1,0)</f>
        <v>0</v>
      </c>
      <c r="BK84" s="304" cm="1">
        <f t="array" ref="BK84">IF(AND(BK$2&lt;&gt;0,TblTech[[#This Row],[Hour]:[Hour]]&gt;=BK$2),1,0)</f>
        <v>0</v>
      </c>
      <c r="BL84" s="304" cm="1">
        <f t="array" ref="BL84">IF(AND(BL$2&lt;&gt;0,TblTech[[#This Row],[Hour]:[Hour]]&gt;=BL$2),1,0)</f>
        <v>0</v>
      </c>
      <c r="BM84" s="304" cm="1">
        <f t="array" ref="BM84">IF(AND(BM$2&lt;&gt;0,TblTech[[#This Row],[Hour]:[Hour]]&gt;=BM$2),1,0)</f>
        <v>0</v>
      </c>
      <c r="BN84" s="304" cm="1">
        <f t="array" ref="BN84">IF(AND(BN$2&lt;&gt;0,TblTech[[#This Row],[Hour]:[Hour]]&gt;=BN$2),1,0)</f>
        <v>0</v>
      </c>
      <c r="BO84" s="304" cm="1">
        <f t="array" ref="BO84">IF(AND(BO$2&lt;&gt;0,TblTech[[#This Row],[Hour]:[Hour]]&gt;=BO$2),1,0)</f>
        <v>0</v>
      </c>
      <c r="BP84" s="304" cm="1">
        <f t="array" ref="BP84">IF(AND(BP$2&lt;&gt;0,TblTech[[#This Row],[Hour]:[Hour]]&gt;=BP$2),1,0)</f>
        <v>0</v>
      </c>
      <c r="BQ84" s="304" cm="1">
        <f t="array" ref="BQ84">IF(AND(BQ$2&lt;&gt;0,TblTech[[#This Row],[Hour]:[Hour]]&gt;=BQ$2),1,0)</f>
        <v>0</v>
      </c>
      <c r="BR84" s="304" cm="1">
        <f t="array" ref="BR84">IF(AND(BR$2&lt;&gt;0,TblTech[[#This Row],[Hour]:[Hour]]&gt;=BR$2),1,0)</f>
        <v>0</v>
      </c>
      <c r="BS84" s="304" cm="1">
        <f t="array" ref="BS84">IF(AND(BS$2&lt;&gt;0,TblTech[[#This Row],[Hour]:[Hour]]&gt;=BS$2),1,0)</f>
        <v>0</v>
      </c>
      <c r="BT84" s="304" cm="1">
        <f t="array" ref="BT84">IF(AND(BT$2&lt;&gt;0,TblTech[[#This Row],[Hour]:[Hour]]&gt;=BT$2),1,0)</f>
        <v>0</v>
      </c>
      <c r="BU84" s="304" cm="1">
        <f t="array" ref="BU84">IF(AND(BU$2&lt;&gt;0,TblTech[[#This Row],[Hour]:[Hour]]&gt;=BU$2),1,0)</f>
        <v>0</v>
      </c>
      <c r="BV84" s="304" cm="1">
        <f t="array" ref="BV84">IF(AND(BV$2&lt;&gt;0,TblTech[[#This Row],[Hour]:[Hour]]&gt;=BV$2),1,0)</f>
        <v>0</v>
      </c>
      <c r="BW84" s="304" cm="1">
        <f t="array" ref="BW84">IF(AND(BW$2&lt;&gt;0,TblTech[[#This Row],[Hour]:[Hour]]&gt;=BW$2),1,0)</f>
        <v>0</v>
      </c>
      <c r="BX84" s="304" cm="1">
        <f t="array" ref="BX84">IF(AND(BX$2&lt;&gt;0,TblTech[[#This Row],[Hour]:[Hour]]&gt;=BX$2),1,0)</f>
        <v>0</v>
      </c>
      <c r="BY84" s="304" cm="1">
        <f t="array" ref="BY84">IF(AND(BY$2&lt;&gt;0,TblTech[[#This Row],[Hour]:[Hour]]&gt;=BY$2),1,0)</f>
        <v>0</v>
      </c>
      <c r="BZ84" s="304" cm="1">
        <f t="array" ref="BZ84">IF(AND(BZ$2&lt;&gt;0,TblTech[[#This Row],[Hour]:[Hour]]&gt;=BZ$2),1,0)</f>
        <v>0</v>
      </c>
      <c r="CA84" s="408">
        <f>IFERROR(INDEX($H$4:$H$79,MATCH(INDEX(TblTech[[#Headers],[1-1]:[11-1]],1,MATCH(TblTech[[#This Row],[Hour]],$M$2:$BZ$2,0)),$G$4:$G$79,0)),)</f>
        <v>0</v>
      </c>
    </row>
    <row r="85" spans="1:79" x14ac:dyDescent="0.2">
      <c r="A85" s="296">
        <f>TblRezone[[#This Row],[Hour]]</f>
        <v>82</v>
      </c>
      <c r="B85" s="297">
        <f ca="1">TblExplore[[#This Row],[Land-DB]]</f>
        <v>250</v>
      </c>
      <c r="C85" s="298">
        <f ca="1">TblProd[[#This Row],[Techpoints]]</f>
        <v>0</v>
      </c>
      <c r="D85" s="298">
        <f ca="1">TblProd[[#This Row],[Required]]</f>
        <v>3750</v>
      </c>
      <c r="E85" s="307"/>
      <c r="F85" s="308"/>
      <c r="G85" s="301"/>
      <c r="H85" s="302"/>
      <c r="I85" s="302"/>
      <c r="J85" s="302"/>
      <c r="K85" s="96">
        <f ca="1">IF(TblTech[[#This Row],[Sum of tech]]&lt;&gt;OFFSET(TblTech[[#This Row],[Sum of tech]],-1,0),1,0)</f>
        <v>0</v>
      </c>
      <c r="L85" s="303">
        <f>COUNTIF(TblTech[[#This Row],[1-1]:[11-1]],1)</f>
        <v>0</v>
      </c>
      <c r="M85" s="304" cm="1">
        <f t="array" ref="M85">IF(AND(M$2&lt;&gt;0,TblTech[[#This Row],[Hour]:[Hour]]&gt;=M$2),1,0)</f>
        <v>0</v>
      </c>
      <c r="N85" s="304" cm="1">
        <f t="array" ref="N85">IF(AND(N$2&lt;&gt;0,TblTech[[#This Row],[Hour]:[Hour]]&gt;=N$2),1,0)</f>
        <v>0</v>
      </c>
      <c r="O85" s="304" cm="1">
        <f t="array" ref="O85">IF(AND(O$2&lt;&gt;0,TblTech[[#This Row],[Hour]:[Hour]]&gt;=O$2),1,0)</f>
        <v>0</v>
      </c>
      <c r="P85" s="304" cm="1">
        <f t="array" ref="P85">IF(AND(P$2&lt;&gt;0,TblTech[[#This Row],[Hour]:[Hour]]&gt;=P$2),1,0)</f>
        <v>0</v>
      </c>
      <c r="Q85" s="304" cm="1">
        <f t="array" ref="Q85">IF(AND(Q$2&lt;&gt;0,TblTech[[#This Row],[Hour]:[Hour]]&gt;=Q$2),1,0)</f>
        <v>0</v>
      </c>
      <c r="R85" s="304" cm="1">
        <f t="array" ref="R85">IF(AND(R$2&lt;&gt;0,TblTech[[#This Row],[Hour]:[Hour]]&gt;=R$2),1,0)</f>
        <v>0</v>
      </c>
      <c r="S85" s="304" cm="1">
        <f t="array" ref="S85">IF(AND(S$2&lt;&gt;0,TblTech[[#This Row],[Hour]:[Hour]]&gt;=S$2),1,0)</f>
        <v>0</v>
      </c>
      <c r="T85" s="304" cm="1">
        <f t="array" ref="T85">IF(AND(T$2&lt;&gt;0,TblTech[[#This Row],[Hour]:[Hour]]&gt;=T$2),1,0)</f>
        <v>0</v>
      </c>
      <c r="U85" s="304" cm="1">
        <f t="array" ref="U85">IF(AND(U$2&lt;&gt;0,TblTech[[#This Row],[Hour]:[Hour]]&gt;=U$2),1,0)</f>
        <v>0</v>
      </c>
      <c r="V85" s="304" cm="1">
        <f t="array" ref="V85">IF(AND(V$2&lt;&gt;0,TblTech[[#This Row],[Hour]:[Hour]]&gt;=V$2),1,0)</f>
        <v>0</v>
      </c>
      <c r="W85" s="304" cm="1">
        <f t="array" ref="W85">IF(AND(W$2&lt;&gt;0,TblTech[[#This Row],[Hour]:[Hour]]&gt;=W$2),1,0)</f>
        <v>0</v>
      </c>
      <c r="X85" s="304" cm="1">
        <f t="array" ref="X85">IF(AND(X$2&lt;&gt;0,TblTech[[#This Row],[Hour]:[Hour]]&gt;=X$2),1,0)</f>
        <v>0</v>
      </c>
      <c r="Y85" s="304" cm="1">
        <f t="array" ref="Y85">IF(AND(Y$2&lt;&gt;0,TblTech[[#This Row],[Hour]:[Hour]]&gt;=Y$2),1,0)</f>
        <v>0</v>
      </c>
      <c r="Z85" s="304" cm="1">
        <f t="array" ref="Z85">IF(AND(Z$2&lt;&gt;0,TblTech[[#This Row],[Hour]:[Hour]]&gt;=Z$2),1,0)</f>
        <v>0</v>
      </c>
      <c r="AA85" s="304" cm="1">
        <f t="array" ref="AA85">IF(AND(AA$2&lt;&gt;0,TblTech[[#This Row],[Hour]:[Hour]]&gt;=AA$2),1,0)</f>
        <v>0</v>
      </c>
      <c r="AB85" s="304" cm="1">
        <f t="array" ref="AB85">IF(AND(AB$2&lt;&gt;0,TblTech[[#This Row],[Hour]:[Hour]]&gt;=AB$2),1,0)</f>
        <v>0</v>
      </c>
      <c r="AC85" s="304" cm="1">
        <f t="array" ref="AC85">IF(AND(AC$2&lt;&gt;0,TblTech[[#This Row],[Hour]:[Hour]]&gt;=AC$2),1,0)</f>
        <v>0</v>
      </c>
      <c r="AD85" s="304" cm="1">
        <f t="array" ref="AD85">IF(AND(AD$2&lt;&gt;0,TblTech[[#This Row],[Hour]:[Hour]]&gt;=AD$2),1,0)</f>
        <v>0</v>
      </c>
      <c r="AE85" s="304" cm="1">
        <f t="array" ref="AE85">IF(AND(AE$2&lt;&gt;0,TblTech[[#This Row],[Hour]:[Hour]]&gt;=AE$2),1,0)</f>
        <v>0</v>
      </c>
      <c r="AF85" s="304" cm="1">
        <f t="array" ref="AF85">IF(AND(AF$2&lt;&gt;0,TblTech[[#This Row],[Hour]:[Hour]]&gt;=AF$2),1,0)</f>
        <v>0</v>
      </c>
      <c r="AG85" s="304" cm="1">
        <f t="array" ref="AG85">IF(AND(AG$2&lt;&gt;0,TblTech[[#This Row],[Hour]:[Hour]]&gt;=AG$2),1,0)</f>
        <v>0</v>
      </c>
      <c r="AH85" s="304" cm="1">
        <f t="array" ref="AH85">IF(AND(AH$2&lt;&gt;0,TblTech[[#This Row],[Hour]:[Hour]]&gt;=AH$2),1,0)</f>
        <v>0</v>
      </c>
      <c r="AI85" s="304" cm="1">
        <f t="array" ref="AI85">IF(AND(AI$2&lt;&gt;0,TblTech[[#This Row],[Hour]:[Hour]]&gt;=AI$2),1,0)</f>
        <v>0</v>
      </c>
      <c r="AJ85" s="304" cm="1">
        <f t="array" ref="AJ85">IF(AND(AJ$2&lt;&gt;0,TblTech[[#This Row],[Hour]:[Hour]]&gt;=AJ$2),1,0)</f>
        <v>0</v>
      </c>
      <c r="AK85" s="304" cm="1">
        <f t="array" ref="AK85">IF(AND(AK$2&lt;&gt;0,TblTech[[#This Row],[Hour]:[Hour]]&gt;=AK$2),1,0)</f>
        <v>0</v>
      </c>
      <c r="AL85" s="304" cm="1">
        <f t="array" ref="AL85">IF(AND(AL$2&lt;&gt;0,TblTech[[#This Row],[Hour]:[Hour]]&gt;=AL$2),1,0)</f>
        <v>0</v>
      </c>
      <c r="AM85" s="304" cm="1">
        <f t="array" ref="AM85">IF(AND(AM$2&lt;&gt;0,TblTech[[#This Row],[Hour]:[Hour]]&gt;=AM$2),1,0)</f>
        <v>0</v>
      </c>
      <c r="AN85" s="304" cm="1">
        <f t="array" ref="AN85">IF(AND(AN$2&lt;&gt;0,TblTech[[#This Row],[Hour]:[Hour]]&gt;=AN$2),1,0)</f>
        <v>0</v>
      </c>
      <c r="AO85" s="304" cm="1">
        <f t="array" ref="AO85">IF(AND(AO$2&lt;&gt;0,TblTech[[#This Row],[Hour]:[Hour]]&gt;=AO$2),1,0)</f>
        <v>0</v>
      </c>
      <c r="AP85" s="304" cm="1">
        <f t="array" ref="AP85">IF(AND(AP$2&lt;&gt;0,TblTech[[#This Row],[Hour]:[Hour]]&gt;=AP$2),1,0)</f>
        <v>0</v>
      </c>
      <c r="AQ85" s="304" cm="1">
        <f t="array" ref="AQ85">IF(AND(AQ$2&lt;&gt;0,TblTech[[#This Row],[Hour]:[Hour]]&gt;=AQ$2),1,0)</f>
        <v>0</v>
      </c>
      <c r="AR85" s="304" cm="1">
        <f t="array" ref="AR85">IF(AND(AR$2&lt;&gt;0,TblTech[[#This Row],[Hour]:[Hour]]&gt;=AR$2),1,0)</f>
        <v>0</v>
      </c>
      <c r="AS85" s="304" cm="1">
        <f t="array" ref="AS85">IF(AND(AS$2&lt;&gt;0,TblTech[[#This Row],[Hour]:[Hour]]&gt;=AS$2),1,0)</f>
        <v>0</v>
      </c>
      <c r="AT85" s="304" cm="1">
        <f t="array" ref="AT85">IF(AND(AT$2&lt;&gt;0,TblTech[[#This Row],[Hour]:[Hour]]&gt;=AT$2),1,0)</f>
        <v>0</v>
      </c>
      <c r="AU85" s="304" cm="1">
        <f t="array" ref="AU85">IF(AND(AU$2&lt;&gt;0,TblTech[[#This Row],[Hour]:[Hour]]&gt;=AU$2),1,0)</f>
        <v>0</v>
      </c>
      <c r="AV85" s="304" cm="1">
        <f t="array" ref="AV85">IF(AND(AV$2&lt;&gt;0,TblTech[[#This Row],[Hour]:[Hour]]&gt;=AV$2),1,0)</f>
        <v>0</v>
      </c>
      <c r="AW85" s="304" cm="1">
        <f t="array" ref="AW85">IF(AND(AW$2&lt;&gt;0,TblTech[[#This Row],[Hour]:[Hour]]&gt;=AW$2),1,0)</f>
        <v>0</v>
      </c>
      <c r="AX85" s="304" cm="1">
        <f t="array" ref="AX85">IF(AND(AX$2&lt;&gt;0,TblTech[[#This Row],[Hour]:[Hour]]&gt;=AX$2),1,0)</f>
        <v>0</v>
      </c>
      <c r="AY85" s="304" cm="1">
        <f t="array" ref="AY85">IF(AND(AY$2&lt;&gt;0,TblTech[[#This Row],[Hour]:[Hour]]&gt;=AY$2),1,0)</f>
        <v>0</v>
      </c>
      <c r="AZ85" s="304" cm="1">
        <f t="array" ref="AZ85">IF(AND(AZ$2&lt;&gt;0,TblTech[[#This Row],[Hour]:[Hour]]&gt;=AZ$2),1,0)</f>
        <v>0</v>
      </c>
      <c r="BA85" s="304" cm="1">
        <f t="array" ref="BA85">IF(AND(BA$2&lt;&gt;0,TblTech[[#This Row],[Hour]:[Hour]]&gt;=BA$2),1,0)</f>
        <v>0</v>
      </c>
      <c r="BB85" s="304" cm="1">
        <f t="array" ref="BB85">IF(AND(BB$2&lt;&gt;0,TblTech[[#This Row],[Hour]:[Hour]]&gt;=BB$2),1,0)</f>
        <v>0</v>
      </c>
      <c r="BC85" s="304" cm="1">
        <f t="array" ref="BC85">IF(AND(BC$2&lt;&gt;0,TblTech[[#This Row],[Hour]:[Hour]]&gt;=BC$2),1,0)</f>
        <v>0</v>
      </c>
      <c r="BD85" s="304" cm="1">
        <f t="array" ref="BD85">IF(AND(BD$2&lt;&gt;0,TblTech[[#This Row],[Hour]:[Hour]]&gt;=BD$2),1,0)</f>
        <v>0</v>
      </c>
      <c r="BE85" s="304" cm="1">
        <f t="array" ref="BE85">IF(AND(BE$2&lt;&gt;0,TblTech[[#This Row],[Hour]:[Hour]]&gt;=BE$2),1,0)</f>
        <v>0</v>
      </c>
      <c r="BF85" s="304" cm="1">
        <f t="array" ref="BF85">IF(AND(BF$2&lt;&gt;0,TblTech[[#This Row],[Hour]:[Hour]]&gt;=BF$2),1,0)</f>
        <v>0</v>
      </c>
      <c r="BG85" s="304" cm="1">
        <f t="array" ref="BG85">IF(AND(BG$2&lt;&gt;0,TblTech[[#This Row],[Hour]:[Hour]]&gt;=BG$2),1,0)</f>
        <v>0</v>
      </c>
      <c r="BH85" s="304" cm="1">
        <f t="array" ref="BH85">IF(AND(BH$2&lt;&gt;0,TblTech[[#This Row],[Hour]:[Hour]]&gt;=BH$2),1,0)</f>
        <v>0</v>
      </c>
      <c r="BI85" s="304" cm="1">
        <f t="array" ref="BI85">IF(AND(BI$2&lt;&gt;0,TblTech[[#This Row],[Hour]:[Hour]]&gt;=BI$2),1,0)</f>
        <v>0</v>
      </c>
      <c r="BJ85" s="304" cm="1">
        <f t="array" ref="BJ85">IF(AND(BJ$2&lt;&gt;0,TblTech[[#This Row],[Hour]:[Hour]]&gt;=BJ$2),1,0)</f>
        <v>0</v>
      </c>
      <c r="BK85" s="304" cm="1">
        <f t="array" ref="BK85">IF(AND(BK$2&lt;&gt;0,TblTech[[#This Row],[Hour]:[Hour]]&gt;=BK$2),1,0)</f>
        <v>0</v>
      </c>
      <c r="BL85" s="304" cm="1">
        <f t="array" ref="BL85">IF(AND(BL$2&lt;&gt;0,TblTech[[#This Row],[Hour]:[Hour]]&gt;=BL$2),1,0)</f>
        <v>0</v>
      </c>
      <c r="BM85" s="304" cm="1">
        <f t="array" ref="BM85">IF(AND(BM$2&lt;&gt;0,TblTech[[#This Row],[Hour]:[Hour]]&gt;=BM$2),1,0)</f>
        <v>0</v>
      </c>
      <c r="BN85" s="304" cm="1">
        <f t="array" ref="BN85">IF(AND(BN$2&lt;&gt;0,TblTech[[#This Row],[Hour]:[Hour]]&gt;=BN$2),1,0)</f>
        <v>0</v>
      </c>
      <c r="BO85" s="304" cm="1">
        <f t="array" ref="BO85">IF(AND(BO$2&lt;&gt;0,TblTech[[#This Row],[Hour]:[Hour]]&gt;=BO$2),1,0)</f>
        <v>0</v>
      </c>
      <c r="BP85" s="304" cm="1">
        <f t="array" ref="BP85">IF(AND(BP$2&lt;&gt;0,TblTech[[#This Row],[Hour]:[Hour]]&gt;=BP$2),1,0)</f>
        <v>0</v>
      </c>
      <c r="BQ85" s="304" cm="1">
        <f t="array" ref="BQ85">IF(AND(BQ$2&lt;&gt;0,TblTech[[#This Row],[Hour]:[Hour]]&gt;=BQ$2),1,0)</f>
        <v>0</v>
      </c>
      <c r="BR85" s="304" cm="1">
        <f t="array" ref="BR85">IF(AND(BR$2&lt;&gt;0,TblTech[[#This Row],[Hour]:[Hour]]&gt;=BR$2),1,0)</f>
        <v>0</v>
      </c>
      <c r="BS85" s="304" cm="1">
        <f t="array" ref="BS85">IF(AND(BS$2&lt;&gt;0,TblTech[[#This Row],[Hour]:[Hour]]&gt;=BS$2),1,0)</f>
        <v>0</v>
      </c>
      <c r="BT85" s="304" cm="1">
        <f t="array" ref="BT85">IF(AND(BT$2&lt;&gt;0,TblTech[[#This Row],[Hour]:[Hour]]&gt;=BT$2),1,0)</f>
        <v>0</v>
      </c>
      <c r="BU85" s="304" cm="1">
        <f t="array" ref="BU85">IF(AND(BU$2&lt;&gt;0,TblTech[[#This Row],[Hour]:[Hour]]&gt;=BU$2),1,0)</f>
        <v>0</v>
      </c>
      <c r="BV85" s="304" cm="1">
        <f t="array" ref="BV85">IF(AND(BV$2&lt;&gt;0,TblTech[[#This Row],[Hour]:[Hour]]&gt;=BV$2),1,0)</f>
        <v>0</v>
      </c>
      <c r="BW85" s="304" cm="1">
        <f t="array" ref="BW85">IF(AND(BW$2&lt;&gt;0,TblTech[[#This Row],[Hour]:[Hour]]&gt;=BW$2),1,0)</f>
        <v>0</v>
      </c>
      <c r="BX85" s="304" cm="1">
        <f t="array" ref="BX85">IF(AND(BX$2&lt;&gt;0,TblTech[[#This Row],[Hour]:[Hour]]&gt;=BX$2),1,0)</f>
        <v>0</v>
      </c>
      <c r="BY85" s="304" cm="1">
        <f t="array" ref="BY85">IF(AND(BY$2&lt;&gt;0,TblTech[[#This Row],[Hour]:[Hour]]&gt;=BY$2),1,0)</f>
        <v>0</v>
      </c>
      <c r="BZ85" s="304" cm="1">
        <f t="array" ref="BZ85">IF(AND(BZ$2&lt;&gt;0,TblTech[[#This Row],[Hour]:[Hour]]&gt;=BZ$2),1,0)</f>
        <v>0</v>
      </c>
      <c r="CA85" s="408">
        <f>IFERROR(INDEX($H$4:$H$79,MATCH(INDEX(TblTech[[#Headers],[1-1]:[11-1]],1,MATCH(TblTech[[#This Row],[Hour]],$M$2:$BZ$2,0)),$G$4:$G$79,0)),)</f>
        <v>0</v>
      </c>
    </row>
    <row r="86" spans="1:79" x14ac:dyDescent="0.2">
      <c r="A86" s="296">
        <f>TblRezone[[#This Row],[Hour]]</f>
        <v>83</v>
      </c>
      <c r="B86" s="297">
        <f ca="1">TblExplore[[#This Row],[Land-DB]]</f>
        <v>250</v>
      </c>
      <c r="C86" s="298">
        <f ca="1">TblProd[[#This Row],[Techpoints]]</f>
        <v>0</v>
      </c>
      <c r="D86" s="298">
        <f ca="1">TblProd[[#This Row],[Required]]</f>
        <v>3750</v>
      </c>
      <c r="E86" s="307"/>
      <c r="F86" s="308"/>
      <c r="G86" s="301"/>
      <c r="H86" s="302"/>
      <c r="I86" s="302"/>
      <c r="J86" s="302"/>
      <c r="K86" s="96">
        <f ca="1">IF(TblTech[[#This Row],[Sum of tech]]&lt;&gt;OFFSET(TblTech[[#This Row],[Sum of tech]],-1,0),1,0)</f>
        <v>0</v>
      </c>
      <c r="L86" s="303">
        <f>COUNTIF(TblTech[[#This Row],[1-1]:[11-1]],1)</f>
        <v>0</v>
      </c>
      <c r="M86" s="304" cm="1">
        <f t="array" ref="M86">IF(AND(M$2&lt;&gt;0,TblTech[[#This Row],[Hour]:[Hour]]&gt;=M$2),1,0)</f>
        <v>0</v>
      </c>
      <c r="N86" s="304" cm="1">
        <f t="array" ref="N86">IF(AND(N$2&lt;&gt;0,TblTech[[#This Row],[Hour]:[Hour]]&gt;=N$2),1,0)</f>
        <v>0</v>
      </c>
      <c r="O86" s="304" cm="1">
        <f t="array" ref="O86">IF(AND(O$2&lt;&gt;0,TblTech[[#This Row],[Hour]:[Hour]]&gt;=O$2),1,0)</f>
        <v>0</v>
      </c>
      <c r="P86" s="304" cm="1">
        <f t="array" ref="P86">IF(AND(P$2&lt;&gt;0,TblTech[[#This Row],[Hour]:[Hour]]&gt;=P$2),1,0)</f>
        <v>0</v>
      </c>
      <c r="Q86" s="304" cm="1">
        <f t="array" ref="Q86">IF(AND(Q$2&lt;&gt;0,TblTech[[#This Row],[Hour]:[Hour]]&gt;=Q$2),1,0)</f>
        <v>0</v>
      </c>
      <c r="R86" s="304" cm="1">
        <f t="array" ref="R86">IF(AND(R$2&lt;&gt;0,TblTech[[#This Row],[Hour]:[Hour]]&gt;=R$2),1,0)</f>
        <v>0</v>
      </c>
      <c r="S86" s="304" cm="1">
        <f t="array" ref="S86">IF(AND(S$2&lt;&gt;0,TblTech[[#This Row],[Hour]:[Hour]]&gt;=S$2),1,0)</f>
        <v>0</v>
      </c>
      <c r="T86" s="304" cm="1">
        <f t="array" ref="T86">IF(AND(T$2&lt;&gt;0,TblTech[[#This Row],[Hour]:[Hour]]&gt;=T$2),1,0)</f>
        <v>0</v>
      </c>
      <c r="U86" s="304" cm="1">
        <f t="array" ref="U86">IF(AND(U$2&lt;&gt;0,TblTech[[#This Row],[Hour]:[Hour]]&gt;=U$2),1,0)</f>
        <v>0</v>
      </c>
      <c r="V86" s="304" cm="1">
        <f t="array" ref="V86">IF(AND(V$2&lt;&gt;0,TblTech[[#This Row],[Hour]:[Hour]]&gt;=V$2),1,0)</f>
        <v>0</v>
      </c>
      <c r="W86" s="304" cm="1">
        <f t="array" ref="W86">IF(AND(W$2&lt;&gt;0,TblTech[[#This Row],[Hour]:[Hour]]&gt;=W$2),1,0)</f>
        <v>0</v>
      </c>
      <c r="X86" s="304" cm="1">
        <f t="array" ref="X86">IF(AND(X$2&lt;&gt;0,TblTech[[#This Row],[Hour]:[Hour]]&gt;=X$2),1,0)</f>
        <v>0</v>
      </c>
      <c r="Y86" s="304" cm="1">
        <f t="array" ref="Y86">IF(AND(Y$2&lt;&gt;0,TblTech[[#This Row],[Hour]:[Hour]]&gt;=Y$2),1,0)</f>
        <v>0</v>
      </c>
      <c r="Z86" s="304" cm="1">
        <f t="array" ref="Z86">IF(AND(Z$2&lt;&gt;0,TblTech[[#This Row],[Hour]:[Hour]]&gt;=Z$2),1,0)</f>
        <v>0</v>
      </c>
      <c r="AA86" s="304" cm="1">
        <f t="array" ref="AA86">IF(AND(AA$2&lt;&gt;0,TblTech[[#This Row],[Hour]:[Hour]]&gt;=AA$2),1,0)</f>
        <v>0</v>
      </c>
      <c r="AB86" s="304" cm="1">
        <f t="array" ref="AB86">IF(AND(AB$2&lt;&gt;0,TblTech[[#This Row],[Hour]:[Hour]]&gt;=AB$2),1,0)</f>
        <v>0</v>
      </c>
      <c r="AC86" s="304" cm="1">
        <f t="array" ref="AC86">IF(AND(AC$2&lt;&gt;0,TblTech[[#This Row],[Hour]:[Hour]]&gt;=AC$2),1,0)</f>
        <v>0</v>
      </c>
      <c r="AD86" s="304" cm="1">
        <f t="array" ref="AD86">IF(AND(AD$2&lt;&gt;0,TblTech[[#This Row],[Hour]:[Hour]]&gt;=AD$2),1,0)</f>
        <v>0</v>
      </c>
      <c r="AE86" s="304" cm="1">
        <f t="array" ref="AE86">IF(AND(AE$2&lt;&gt;0,TblTech[[#This Row],[Hour]:[Hour]]&gt;=AE$2),1,0)</f>
        <v>0</v>
      </c>
      <c r="AF86" s="304" cm="1">
        <f t="array" ref="AF86">IF(AND(AF$2&lt;&gt;0,TblTech[[#This Row],[Hour]:[Hour]]&gt;=AF$2),1,0)</f>
        <v>0</v>
      </c>
      <c r="AG86" s="304" cm="1">
        <f t="array" ref="AG86">IF(AND(AG$2&lt;&gt;0,TblTech[[#This Row],[Hour]:[Hour]]&gt;=AG$2),1,0)</f>
        <v>0</v>
      </c>
      <c r="AH86" s="304" cm="1">
        <f t="array" ref="AH86">IF(AND(AH$2&lt;&gt;0,TblTech[[#This Row],[Hour]:[Hour]]&gt;=AH$2),1,0)</f>
        <v>0</v>
      </c>
      <c r="AI86" s="304" cm="1">
        <f t="array" ref="AI86">IF(AND(AI$2&lt;&gt;0,TblTech[[#This Row],[Hour]:[Hour]]&gt;=AI$2),1,0)</f>
        <v>0</v>
      </c>
      <c r="AJ86" s="304" cm="1">
        <f t="array" ref="AJ86">IF(AND(AJ$2&lt;&gt;0,TblTech[[#This Row],[Hour]:[Hour]]&gt;=AJ$2),1,0)</f>
        <v>0</v>
      </c>
      <c r="AK86" s="304" cm="1">
        <f t="array" ref="AK86">IF(AND(AK$2&lt;&gt;0,TblTech[[#This Row],[Hour]:[Hour]]&gt;=AK$2),1,0)</f>
        <v>0</v>
      </c>
      <c r="AL86" s="304" cm="1">
        <f t="array" ref="AL86">IF(AND(AL$2&lt;&gt;0,TblTech[[#This Row],[Hour]:[Hour]]&gt;=AL$2),1,0)</f>
        <v>0</v>
      </c>
      <c r="AM86" s="304" cm="1">
        <f t="array" ref="AM86">IF(AND(AM$2&lt;&gt;0,TblTech[[#This Row],[Hour]:[Hour]]&gt;=AM$2),1,0)</f>
        <v>0</v>
      </c>
      <c r="AN86" s="304" cm="1">
        <f t="array" ref="AN86">IF(AND(AN$2&lt;&gt;0,TblTech[[#This Row],[Hour]:[Hour]]&gt;=AN$2),1,0)</f>
        <v>0</v>
      </c>
      <c r="AO86" s="304" cm="1">
        <f t="array" ref="AO86">IF(AND(AO$2&lt;&gt;0,TblTech[[#This Row],[Hour]:[Hour]]&gt;=AO$2),1,0)</f>
        <v>0</v>
      </c>
      <c r="AP86" s="304" cm="1">
        <f t="array" ref="AP86">IF(AND(AP$2&lt;&gt;0,TblTech[[#This Row],[Hour]:[Hour]]&gt;=AP$2),1,0)</f>
        <v>0</v>
      </c>
      <c r="AQ86" s="304" cm="1">
        <f t="array" ref="AQ86">IF(AND(AQ$2&lt;&gt;0,TblTech[[#This Row],[Hour]:[Hour]]&gt;=AQ$2),1,0)</f>
        <v>0</v>
      </c>
      <c r="AR86" s="304" cm="1">
        <f t="array" ref="AR86">IF(AND(AR$2&lt;&gt;0,TblTech[[#This Row],[Hour]:[Hour]]&gt;=AR$2),1,0)</f>
        <v>0</v>
      </c>
      <c r="AS86" s="304" cm="1">
        <f t="array" ref="AS86">IF(AND(AS$2&lt;&gt;0,TblTech[[#This Row],[Hour]:[Hour]]&gt;=AS$2),1,0)</f>
        <v>0</v>
      </c>
      <c r="AT86" s="304" cm="1">
        <f t="array" ref="AT86">IF(AND(AT$2&lt;&gt;0,TblTech[[#This Row],[Hour]:[Hour]]&gt;=AT$2),1,0)</f>
        <v>0</v>
      </c>
      <c r="AU86" s="304" cm="1">
        <f t="array" ref="AU86">IF(AND(AU$2&lt;&gt;0,TblTech[[#This Row],[Hour]:[Hour]]&gt;=AU$2),1,0)</f>
        <v>0</v>
      </c>
      <c r="AV86" s="304" cm="1">
        <f t="array" ref="AV86">IF(AND(AV$2&lt;&gt;0,TblTech[[#This Row],[Hour]:[Hour]]&gt;=AV$2),1,0)</f>
        <v>0</v>
      </c>
      <c r="AW86" s="304" cm="1">
        <f t="array" ref="AW86">IF(AND(AW$2&lt;&gt;0,TblTech[[#This Row],[Hour]:[Hour]]&gt;=AW$2),1,0)</f>
        <v>0</v>
      </c>
      <c r="AX86" s="304" cm="1">
        <f t="array" ref="AX86">IF(AND(AX$2&lt;&gt;0,TblTech[[#This Row],[Hour]:[Hour]]&gt;=AX$2),1,0)</f>
        <v>0</v>
      </c>
      <c r="AY86" s="304" cm="1">
        <f t="array" ref="AY86">IF(AND(AY$2&lt;&gt;0,TblTech[[#This Row],[Hour]:[Hour]]&gt;=AY$2),1,0)</f>
        <v>0</v>
      </c>
      <c r="AZ86" s="304" cm="1">
        <f t="array" ref="AZ86">IF(AND(AZ$2&lt;&gt;0,TblTech[[#This Row],[Hour]:[Hour]]&gt;=AZ$2),1,0)</f>
        <v>0</v>
      </c>
      <c r="BA86" s="304" cm="1">
        <f t="array" ref="BA86">IF(AND(BA$2&lt;&gt;0,TblTech[[#This Row],[Hour]:[Hour]]&gt;=BA$2),1,0)</f>
        <v>0</v>
      </c>
      <c r="BB86" s="304" cm="1">
        <f t="array" ref="BB86">IF(AND(BB$2&lt;&gt;0,TblTech[[#This Row],[Hour]:[Hour]]&gt;=BB$2),1,0)</f>
        <v>0</v>
      </c>
      <c r="BC86" s="304" cm="1">
        <f t="array" ref="BC86">IF(AND(BC$2&lt;&gt;0,TblTech[[#This Row],[Hour]:[Hour]]&gt;=BC$2),1,0)</f>
        <v>0</v>
      </c>
      <c r="BD86" s="304" cm="1">
        <f t="array" ref="BD86">IF(AND(BD$2&lt;&gt;0,TblTech[[#This Row],[Hour]:[Hour]]&gt;=BD$2),1,0)</f>
        <v>0</v>
      </c>
      <c r="BE86" s="304" cm="1">
        <f t="array" ref="BE86">IF(AND(BE$2&lt;&gt;0,TblTech[[#This Row],[Hour]:[Hour]]&gt;=BE$2),1,0)</f>
        <v>0</v>
      </c>
      <c r="BF86" s="304" cm="1">
        <f t="array" ref="BF86">IF(AND(BF$2&lt;&gt;0,TblTech[[#This Row],[Hour]:[Hour]]&gt;=BF$2),1,0)</f>
        <v>0</v>
      </c>
      <c r="BG86" s="304" cm="1">
        <f t="array" ref="BG86">IF(AND(BG$2&lt;&gt;0,TblTech[[#This Row],[Hour]:[Hour]]&gt;=BG$2),1,0)</f>
        <v>0</v>
      </c>
      <c r="BH86" s="304" cm="1">
        <f t="array" ref="BH86">IF(AND(BH$2&lt;&gt;0,TblTech[[#This Row],[Hour]:[Hour]]&gt;=BH$2),1,0)</f>
        <v>0</v>
      </c>
      <c r="BI86" s="304" cm="1">
        <f t="array" ref="BI86">IF(AND(BI$2&lt;&gt;0,TblTech[[#This Row],[Hour]:[Hour]]&gt;=BI$2),1,0)</f>
        <v>0</v>
      </c>
      <c r="BJ86" s="304" cm="1">
        <f t="array" ref="BJ86">IF(AND(BJ$2&lt;&gt;0,TblTech[[#This Row],[Hour]:[Hour]]&gt;=BJ$2),1,0)</f>
        <v>0</v>
      </c>
      <c r="BK86" s="304" cm="1">
        <f t="array" ref="BK86">IF(AND(BK$2&lt;&gt;0,TblTech[[#This Row],[Hour]:[Hour]]&gt;=BK$2),1,0)</f>
        <v>0</v>
      </c>
      <c r="BL86" s="304" cm="1">
        <f t="array" ref="BL86">IF(AND(BL$2&lt;&gt;0,TblTech[[#This Row],[Hour]:[Hour]]&gt;=BL$2),1,0)</f>
        <v>0</v>
      </c>
      <c r="BM86" s="304" cm="1">
        <f t="array" ref="BM86">IF(AND(BM$2&lt;&gt;0,TblTech[[#This Row],[Hour]:[Hour]]&gt;=BM$2),1,0)</f>
        <v>0</v>
      </c>
      <c r="BN86" s="304" cm="1">
        <f t="array" ref="BN86">IF(AND(BN$2&lt;&gt;0,TblTech[[#This Row],[Hour]:[Hour]]&gt;=BN$2),1,0)</f>
        <v>0</v>
      </c>
      <c r="BO86" s="304" cm="1">
        <f t="array" ref="BO86">IF(AND(BO$2&lt;&gt;0,TblTech[[#This Row],[Hour]:[Hour]]&gt;=BO$2),1,0)</f>
        <v>0</v>
      </c>
      <c r="BP86" s="304" cm="1">
        <f t="array" ref="BP86">IF(AND(BP$2&lt;&gt;0,TblTech[[#This Row],[Hour]:[Hour]]&gt;=BP$2),1,0)</f>
        <v>0</v>
      </c>
      <c r="BQ86" s="304" cm="1">
        <f t="array" ref="BQ86">IF(AND(BQ$2&lt;&gt;0,TblTech[[#This Row],[Hour]:[Hour]]&gt;=BQ$2),1,0)</f>
        <v>0</v>
      </c>
      <c r="BR86" s="304" cm="1">
        <f t="array" ref="BR86">IF(AND(BR$2&lt;&gt;0,TblTech[[#This Row],[Hour]:[Hour]]&gt;=BR$2),1,0)</f>
        <v>0</v>
      </c>
      <c r="BS86" s="304" cm="1">
        <f t="array" ref="BS86">IF(AND(BS$2&lt;&gt;0,TblTech[[#This Row],[Hour]:[Hour]]&gt;=BS$2),1,0)</f>
        <v>0</v>
      </c>
      <c r="BT86" s="304" cm="1">
        <f t="array" ref="BT86">IF(AND(BT$2&lt;&gt;0,TblTech[[#This Row],[Hour]:[Hour]]&gt;=BT$2),1,0)</f>
        <v>0</v>
      </c>
      <c r="BU86" s="304" cm="1">
        <f t="array" ref="BU86">IF(AND(BU$2&lt;&gt;0,TblTech[[#This Row],[Hour]:[Hour]]&gt;=BU$2),1,0)</f>
        <v>0</v>
      </c>
      <c r="BV86" s="304" cm="1">
        <f t="array" ref="BV86">IF(AND(BV$2&lt;&gt;0,TblTech[[#This Row],[Hour]:[Hour]]&gt;=BV$2),1,0)</f>
        <v>0</v>
      </c>
      <c r="BW86" s="304" cm="1">
        <f t="array" ref="BW86">IF(AND(BW$2&lt;&gt;0,TblTech[[#This Row],[Hour]:[Hour]]&gt;=BW$2),1,0)</f>
        <v>0</v>
      </c>
      <c r="BX86" s="304" cm="1">
        <f t="array" ref="BX86">IF(AND(BX$2&lt;&gt;0,TblTech[[#This Row],[Hour]:[Hour]]&gt;=BX$2),1,0)</f>
        <v>0</v>
      </c>
      <c r="BY86" s="304" cm="1">
        <f t="array" ref="BY86">IF(AND(BY$2&lt;&gt;0,TblTech[[#This Row],[Hour]:[Hour]]&gt;=BY$2),1,0)</f>
        <v>0</v>
      </c>
      <c r="BZ86" s="304" cm="1">
        <f t="array" ref="BZ86">IF(AND(BZ$2&lt;&gt;0,TblTech[[#This Row],[Hour]:[Hour]]&gt;=BZ$2),1,0)</f>
        <v>0</v>
      </c>
      <c r="CA86" s="408">
        <f>IFERROR(INDEX($H$4:$H$79,MATCH(INDEX(TblTech[[#Headers],[1-1]:[11-1]],1,MATCH(TblTech[[#This Row],[Hour]],$M$2:$BZ$2,0)),$G$4:$G$79,0)),)</f>
        <v>0</v>
      </c>
    </row>
    <row r="87" spans="1:79" x14ac:dyDescent="0.2">
      <c r="A87" s="296">
        <f>TblRezone[[#This Row],[Hour]]</f>
        <v>84</v>
      </c>
      <c r="B87" s="297">
        <f ca="1">TblExplore[[#This Row],[Land-DB]]</f>
        <v>250</v>
      </c>
      <c r="C87" s="298">
        <f ca="1">TblProd[[#This Row],[Techpoints]]</f>
        <v>0</v>
      </c>
      <c r="D87" s="298">
        <f ca="1">TblProd[[#This Row],[Required]]</f>
        <v>3750</v>
      </c>
      <c r="E87" s="307"/>
      <c r="F87" s="308"/>
      <c r="G87" s="301"/>
      <c r="H87" s="302"/>
      <c r="I87" s="302"/>
      <c r="J87" s="302"/>
      <c r="K87" s="96">
        <f ca="1">IF(TblTech[[#This Row],[Sum of tech]]&lt;&gt;OFFSET(TblTech[[#This Row],[Sum of tech]],-1,0),1,0)</f>
        <v>0</v>
      </c>
      <c r="L87" s="303">
        <f>COUNTIF(TblTech[[#This Row],[1-1]:[11-1]],1)</f>
        <v>0</v>
      </c>
      <c r="M87" s="304" cm="1">
        <f t="array" ref="M87">IF(AND(M$2&lt;&gt;0,TblTech[[#This Row],[Hour]:[Hour]]&gt;=M$2),1,0)</f>
        <v>0</v>
      </c>
      <c r="N87" s="304" cm="1">
        <f t="array" ref="N87">IF(AND(N$2&lt;&gt;0,TblTech[[#This Row],[Hour]:[Hour]]&gt;=N$2),1,0)</f>
        <v>0</v>
      </c>
      <c r="O87" s="304" cm="1">
        <f t="array" ref="O87">IF(AND(O$2&lt;&gt;0,TblTech[[#This Row],[Hour]:[Hour]]&gt;=O$2),1,0)</f>
        <v>0</v>
      </c>
      <c r="P87" s="304" cm="1">
        <f t="array" ref="P87">IF(AND(P$2&lt;&gt;0,TblTech[[#This Row],[Hour]:[Hour]]&gt;=P$2),1,0)</f>
        <v>0</v>
      </c>
      <c r="Q87" s="304" cm="1">
        <f t="array" ref="Q87">IF(AND(Q$2&lt;&gt;0,TblTech[[#This Row],[Hour]:[Hour]]&gt;=Q$2),1,0)</f>
        <v>0</v>
      </c>
      <c r="R87" s="304" cm="1">
        <f t="array" ref="R87">IF(AND(R$2&lt;&gt;0,TblTech[[#This Row],[Hour]:[Hour]]&gt;=R$2),1,0)</f>
        <v>0</v>
      </c>
      <c r="S87" s="304" cm="1">
        <f t="array" ref="S87">IF(AND(S$2&lt;&gt;0,TblTech[[#This Row],[Hour]:[Hour]]&gt;=S$2),1,0)</f>
        <v>0</v>
      </c>
      <c r="T87" s="304" cm="1">
        <f t="array" ref="T87">IF(AND(T$2&lt;&gt;0,TblTech[[#This Row],[Hour]:[Hour]]&gt;=T$2),1,0)</f>
        <v>0</v>
      </c>
      <c r="U87" s="304" cm="1">
        <f t="array" ref="U87">IF(AND(U$2&lt;&gt;0,TblTech[[#This Row],[Hour]:[Hour]]&gt;=U$2),1,0)</f>
        <v>0</v>
      </c>
      <c r="V87" s="304" cm="1">
        <f t="array" ref="V87">IF(AND(V$2&lt;&gt;0,TblTech[[#This Row],[Hour]:[Hour]]&gt;=V$2),1,0)</f>
        <v>0</v>
      </c>
      <c r="W87" s="304" cm="1">
        <f t="array" ref="W87">IF(AND(W$2&lt;&gt;0,TblTech[[#This Row],[Hour]:[Hour]]&gt;=W$2),1,0)</f>
        <v>0</v>
      </c>
      <c r="X87" s="304" cm="1">
        <f t="array" ref="X87">IF(AND(X$2&lt;&gt;0,TblTech[[#This Row],[Hour]:[Hour]]&gt;=X$2),1,0)</f>
        <v>0</v>
      </c>
      <c r="Y87" s="304" cm="1">
        <f t="array" ref="Y87">IF(AND(Y$2&lt;&gt;0,TblTech[[#This Row],[Hour]:[Hour]]&gt;=Y$2),1,0)</f>
        <v>0</v>
      </c>
      <c r="Z87" s="304" cm="1">
        <f t="array" ref="Z87">IF(AND(Z$2&lt;&gt;0,TblTech[[#This Row],[Hour]:[Hour]]&gt;=Z$2),1,0)</f>
        <v>0</v>
      </c>
      <c r="AA87" s="304" cm="1">
        <f t="array" ref="AA87">IF(AND(AA$2&lt;&gt;0,TblTech[[#This Row],[Hour]:[Hour]]&gt;=AA$2),1,0)</f>
        <v>0</v>
      </c>
      <c r="AB87" s="304" cm="1">
        <f t="array" ref="AB87">IF(AND(AB$2&lt;&gt;0,TblTech[[#This Row],[Hour]:[Hour]]&gt;=AB$2),1,0)</f>
        <v>0</v>
      </c>
      <c r="AC87" s="304" cm="1">
        <f t="array" ref="AC87">IF(AND(AC$2&lt;&gt;0,TblTech[[#This Row],[Hour]:[Hour]]&gt;=AC$2),1,0)</f>
        <v>0</v>
      </c>
      <c r="AD87" s="304" cm="1">
        <f t="array" ref="AD87">IF(AND(AD$2&lt;&gt;0,TblTech[[#This Row],[Hour]:[Hour]]&gt;=AD$2),1,0)</f>
        <v>0</v>
      </c>
      <c r="AE87" s="304" cm="1">
        <f t="array" ref="AE87">IF(AND(AE$2&lt;&gt;0,TblTech[[#This Row],[Hour]:[Hour]]&gt;=AE$2),1,0)</f>
        <v>0</v>
      </c>
      <c r="AF87" s="304" cm="1">
        <f t="array" ref="AF87">IF(AND(AF$2&lt;&gt;0,TblTech[[#This Row],[Hour]:[Hour]]&gt;=AF$2),1,0)</f>
        <v>0</v>
      </c>
      <c r="AG87" s="304" cm="1">
        <f t="array" ref="AG87">IF(AND(AG$2&lt;&gt;0,TblTech[[#This Row],[Hour]:[Hour]]&gt;=AG$2),1,0)</f>
        <v>0</v>
      </c>
      <c r="AH87" s="304" cm="1">
        <f t="array" ref="AH87">IF(AND(AH$2&lt;&gt;0,TblTech[[#This Row],[Hour]:[Hour]]&gt;=AH$2),1,0)</f>
        <v>0</v>
      </c>
      <c r="AI87" s="304" cm="1">
        <f t="array" ref="AI87">IF(AND(AI$2&lt;&gt;0,TblTech[[#This Row],[Hour]:[Hour]]&gt;=AI$2),1,0)</f>
        <v>0</v>
      </c>
      <c r="AJ87" s="304" cm="1">
        <f t="array" ref="AJ87">IF(AND(AJ$2&lt;&gt;0,TblTech[[#This Row],[Hour]:[Hour]]&gt;=AJ$2),1,0)</f>
        <v>0</v>
      </c>
      <c r="AK87" s="304" cm="1">
        <f t="array" ref="AK87">IF(AND(AK$2&lt;&gt;0,TblTech[[#This Row],[Hour]:[Hour]]&gt;=AK$2),1,0)</f>
        <v>0</v>
      </c>
      <c r="AL87" s="304" cm="1">
        <f t="array" ref="AL87">IF(AND(AL$2&lt;&gt;0,TblTech[[#This Row],[Hour]:[Hour]]&gt;=AL$2),1,0)</f>
        <v>0</v>
      </c>
      <c r="AM87" s="304" cm="1">
        <f t="array" ref="AM87">IF(AND(AM$2&lt;&gt;0,TblTech[[#This Row],[Hour]:[Hour]]&gt;=AM$2),1,0)</f>
        <v>0</v>
      </c>
      <c r="AN87" s="304" cm="1">
        <f t="array" ref="AN87">IF(AND(AN$2&lt;&gt;0,TblTech[[#This Row],[Hour]:[Hour]]&gt;=AN$2),1,0)</f>
        <v>0</v>
      </c>
      <c r="AO87" s="304" cm="1">
        <f t="array" ref="AO87">IF(AND(AO$2&lt;&gt;0,TblTech[[#This Row],[Hour]:[Hour]]&gt;=AO$2),1,0)</f>
        <v>0</v>
      </c>
      <c r="AP87" s="304" cm="1">
        <f t="array" ref="AP87">IF(AND(AP$2&lt;&gt;0,TblTech[[#This Row],[Hour]:[Hour]]&gt;=AP$2),1,0)</f>
        <v>0</v>
      </c>
      <c r="AQ87" s="304" cm="1">
        <f t="array" ref="AQ87">IF(AND(AQ$2&lt;&gt;0,TblTech[[#This Row],[Hour]:[Hour]]&gt;=AQ$2),1,0)</f>
        <v>0</v>
      </c>
      <c r="AR87" s="304" cm="1">
        <f t="array" ref="AR87">IF(AND(AR$2&lt;&gt;0,TblTech[[#This Row],[Hour]:[Hour]]&gt;=AR$2),1,0)</f>
        <v>0</v>
      </c>
      <c r="AS87" s="304" cm="1">
        <f t="array" ref="AS87">IF(AND(AS$2&lt;&gt;0,TblTech[[#This Row],[Hour]:[Hour]]&gt;=AS$2),1,0)</f>
        <v>0</v>
      </c>
      <c r="AT87" s="304" cm="1">
        <f t="array" ref="AT87">IF(AND(AT$2&lt;&gt;0,TblTech[[#This Row],[Hour]:[Hour]]&gt;=AT$2),1,0)</f>
        <v>0</v>
      </c>
      <c r="AU87" s="304" cm="1">
        <f t="array" ref="AU87">IF(AND(AU$2&lt;&gt;0,TblTech[[#This Row],[Hour]:[Hour]]&gt;=AU$2),1,0)</f>
        <v>0</v>
      </c>
      <c r="AV87" s="304" cm="1">
        <f t="array" ref="AV87">IF(AND(AV$2&lt;&gt;0,TblTech[[#This Row],[Hour]:[Hour]]&gt;=AV$2),1,0)</f>
        <v>0</v>
      </c>
      <c r="AW87" s="304" cm="1">
        <f t="array" ref="AW87">IF(AND(AW$2&lt;&gt;0,TblTech[[#This Row],[Hour]:[Hour]]&gt;=AW$2),1,0)</f>
        <v>0</v>
      </c>
      <c r="AX87" s="304" cm="1">
        <f t="array" ref="AX87">IF(AND(AX$2&lt;&gt;0,TblTech[[#This Row],[Hour]:[Hour]]&gt;=AX$2),1,0)</f>
        <v>0</v>
      </c>
      <c r="AY87" s="304" cm="1">
        <f t="array" ref="AY87">IF(AND(AY$2&lt;&gt;0,TblTech[[#This Row],[Hour]:[Hour]]&gt;=AY$2),1,0)</f>
        <v>0</v>
      </c>
      <c r="AZ87" s="304" cm="1">
        <f t="array" ref="AZ87">IF(AND(AZ$2&lt;&gt;0,TblTech[[#This Row],[Hour]:[Hour]]&gt;=AZ$2),1,0)</f>
        <v>0</v>
      </c>
      <c r="BA87" s="304" cm="1">
        <f t="array" ref="BA87">IF(AND(BA$2&lt;&gt;0,TblTech[[#This Row],[Hour]:[Hour]]&gt;=BA$2),1,0)</f>
        <v>0</v>
      </c>
      <c r="BB87" s="304" cm="1">
        <f t="array" ref="BB87">IF(AND(BB$2&lt;&gt;0,TblTech[[#This Row],[Hour]:[Hour]]&gt;=BB$2),1,0)</f>
        <v>0</v>
      </c>
      <c r="BC87" s="304" cm="1">
        <f t="array" ref="BC87">IF(AND(BC$2&lt;&gt;0,TblTech[[#This Row],[Hour]:[Hour]]&gt;=BC$2),1,0)</f>
        <v>0</v>
      </c>
      <c r="BD87" s="304" cm="1">
        <f t="array" ref="BD87">IF(AND(BD$2&lt;&gt;0,TblTech[[#This Row],[Hour]:[Hour]]&gt;=BD$2),1,0)</f>
        <v>0</v>
      </c>
      <c r="BE87" s="304" cm="1">
        <f t="array" ref="BE87">IF(AND(BE$2&lt;&gt;0,TblTech[[#This Row],[Hour]:[Hour]]&gt;=BE$2),1,0)</f>
        <v>0</v>
      </c>
      <c r="BF87" s="304" cm="1">
        <f t="array" ref="BF87">IF(AND(BF$2&lt;&gt;0,TblTech[[#This Row],[Hour]:[Hour]]&gt;=BF$2),1,0)</f>
        <v>0</v>
      </c>
      <c r="BG87" s="304" cm="1">
        <f t="array" ref="BG87">IF(AND(BG$2&lt;&gt;0,TblTech[[#This Row],[Hour]:[Hour]]&gt;=BG$2),1,0)</f>
        <v>0</v>
      </c>
      <c r="BH87" s="304" cm="1">
        <f t="array" ref="BH87">IF(AND(BH$2&lt;&gt;0,TblTech[[#This Row],[Hour]:[Hour]]&gt;=BH$2),1,0)</f>
        <v>0</v>
      </c>
      <c r="BI87" s="304" cm="1">
        <f t="array" ref="BI87">IF(AND(BI$2&lt;&gt;0,TblTech[[#This Row],[Hour]:[Hour]]&gt;=BI$2),1,0)</f>
        <v>0</v>
      </c>
      <c r="BJ87" s="304" cm="1">
        <f t="array" ref="BJ87">IF(AND(BJ$2&lt;&gt;0,TblTech[[#This Row],[Hour]:[Hour]]&gt;=BJ$2),1,0)</f>
        <v>0</v>
      </c>
      <c r="BK87" s="304" cm="1">
        <f t="array" ref="BK87">IF(AND(BK$2&lt;&gt;0,TblTech[[#This Row],[Hour]:[Hour]]&gt;=BK$2),1,0)</f>
        <v>0</v>
      </c>
      <c r="BL87" s="304" cm="1">
        <f t="array" ref="BL87">IF(AND(BL$2&lt;&gt;0,TblTech[[#This Row],[Hour]:[Hour]]&gt;=BL$2),1,0)</f>
        <v>0</v>
      </c>
      <c r="BM87" s="304" cm="1">
        <f t="array" ref="BM87">IF(AND(BM$2&lt;&gt;0,TblTech[[#This Row],[Hour]:[Hour]]&gt;=BM$2),1,0)</f>
        <v>0</v>
      </c>
      <c r="BN87" s="304" cm="1">
        <f t="array" ref="BN87">IF(AND(BN$2&lt;&gt;0,TblTech[[#This Row],[Hour]:[Hour]]&gt;=BN$2),1,0)</f>
        <v>0</v>
      </c>
      <c r="BO87" s="304" cm="1">
        <f t="array" ref="BO87">IF(AND(BO$2&lt;&gt;0,TblTech[[#This Row],[Hour]:[Hour]]&gt;=BO$2),1,0)</f>
        <v>0</v>
      </c>
      <c r="BP87" s="304" cm="1">
        <f t="array" ref="BP87">IF(AND(BP$2&lt;&gt;0,TblTech[[#This Row],[Hour]:[Hour]]&gt;=BP$2),1,0)</f>
        <v>0</v>
      </c>
      <c r="BQ87" s="304" cm="1">
        <f t="array" ref="BQ87">IF(AND(BQ$2&lt;&gt;0,TblTech[[#This Row],[Hour]:[Hour]]&gt;=BQ$2),1,0)</f>
        <v>0</v>
      </c>
      <c r="BR87" s="304" cm="1">
        <f t="array" ref="BR87">IF(AND(BR$2&lt;&gt;0,TblTech[[#This Row],[Hour]:[Hour]]&gt;=BR$2),1,0)</f>
        <v>0</v>
      </c>
      <c r="BS87" s="304" cm="1">
        <f t="array" ref="BS87">IF(AND(BS$2&lt;&gt;0,TblTech[[#This Row],[Hour]:[Hour]]&gt;=BS$2),1,0)</f>
        <v>0</v>
      </c>
      <c r="BT87" s="304" cm="1">
        <f t="array" ref="BT87">IF(AND(BT$2&lt;&gt;0,TblTech[[#This Row],[Hour]:[Hour]]&gt;=BT$2),1,0)</f>
        <v>0</v>
      </c>
      <c r="BU87" s="304" cm="1">
        <f t="array" ref="BU87">IF(AND(BU$2&lt;&gt;0,TblTech[[#This Row],[Hour]:[Hour]]&gt;=BU$2),1,0)</f>
        <v>0</v>
      </c>
      <c r="BV87" s="304" cm="1">
        <f t="array" ref="BV87">IF(AND(BV$2&lt;&gt;0,TblTech[[#This Row],[Hour]:[Hour]]&gt;=BV$2),1,0)</f>
        <v>0</v>
      </c>
      <c r="BW87" s="304" cm="1">
        <f t="array" ref="BW87">IF(AND(BW$2&lt;&gt;0,TblTech[[#This Row],[Hour]:[Hour]]&gt;=BW$2),1,0)</f>
        <v>0</v>
      </c>
      <c r="BX87" s="304" cm="1">
        <f t="array" ref="BX87">IF(AND(BX$2&lt;&gt;0,TblTech[[#This Row],[Hour]:[Hour]]&gt;=BX$2),1,0)</f>
        <v>0</v>
      </c>
      <c r="BY87" s="304" cm="1">
        <f t="array" ref="BY87">IF(AND(BY$2&lt;&gt;0,TblTech[[#This Row],[Hour]:[Hour]]&gt;=BY$2),1,0)</f>
        <v>0</v>
      </c>
      <c r="BZ87" s="304" cm="1">
        <f t="array" ref="BZ87">IF(AND(BZ$2&lt;&gt;0,TblTech[[#This Row],[Hour]:[Hour]]&gt;=BZ$2),1,0)</f>
        <v>0</v>
      </c>
      <c r="CA87" s="408">
        <f>IFERROR(INDEX($H$4:$H$79,MATCH(INDEX(TblTech[[#Headers],[1-1]:[11-1]],1,MATCH(TblTech[[#This Row],[Hour]],$M$2:$BZ$2,0)),$G$4:$G$79,0)),)</f>
        <v>0</v>
      </c>
    </row>
    <row r="88" spans="1:79" x14ac:dyDescent="0.2">
      <c r="A88" s="296">
        <f>TblRezone[[#This Row],[Hour]]</f>
        <v>85</v>
      </c>
      <c r="B88" s="297">
        <f ca="1">TblExplore[[#This Row],[Land-DB]]</f>
        <v>250</v>
      </c>
      <c r="C88" s="298">
        <f ca="1">TblProd[[#This Row],[Techpoints]]</f>
        <v>0</v>
      </c>
      <c r="D88" s="298">
        <f ca="1">TblProd[[#This Row],[Required]]</f>
        <v>3750</v>
      </c>
      <c r="E88" s="307"/>
      <c r="F88" s="308"/>
      <c r="G88" s="301"/>
      <c r="H88" s="302"/>
      <c r="I88" s="302"/>
      <c r="J88" s="302"/>
      <c r="K88" s="96">
        <f ca="1">IF(TblTech[[#This Row],[Sum of tech]]&lt;&gt;OFFSET(TblTech[[#This Row],[Sum of tech]],-1,0),1,0)</f>
        <v>0</v>
      </c>
      <c r="L88" s="303">
        <f>COUNTIF(TblTech[[#This Row],[1-1]:[11-1]],1)</f>
        <v>0</v>
      </c>
      <c r="M88" s="304" cm="1">
        <f t="array" ref="M88">IF(AND(M$2&lt;&gt;0,TblTech[[#This Row],[Hour]:[Hour]]&gt;=M$2),1,0)</f>
        <v>0</v>
      </c>
      <c r="N88" s="304" cm="1">
        <f t="array" ref="N88">IF(AND(N$2&lt;&gt;0,TblTech[[#This Row],[Hour]:[Hour]]&gt;=N$2),1,0)</f>
        <v>0</v>
      </c>
      <c r="O88" s="304" cm="1">
        <f t="array" ref="O88">IF(AND(O$2&lt;&gt;0,TblTech[[#This Row],[Hour]:[Hour]]&gt;=O$2),1,0)</f>
        <v>0</v>
      </c>
      <c r="P88" s="304" cm="1">
        <f t="array" ref="P88">IF(AND(P$2&lt;&gt;0,TblTech[[#This Row],[Hour]:[Hour]]&gt;=P$2),1,0)</f>
        <v>0</v>
      </c>
      <c r="Q88" s="304" cm="1">
        <f t="array" ref="Q88">IF(AND(Q$2&lt;&gt;0,TblTech[[#This Row],[Hour]:[Hour]]&gt;=Q$2),1,0)</f>
        <v>0</v>
      </c>
      <c r="R88" s="304" cm="1">
        <f t="array" ref="R88">IF(AND(R$2&lt;&gt;0,TblTech[[#This Row],[Hour]:[Hour]]&gt;=R$2),1,0)</f>
        <v>0</v>
      </c>
      <c r="S88" s="304" cm="1">
        <f t="array" ref="S88">IF(AND(S$2&lt;&gt;0,TblTech[[#This Row],[Hour]:[Hour]]&gt;=S$2),1,0)</f>
        <v>0</v>
      </c>
      <c r="T88" s="304" cm="1">
        <f t="array" ref="T88">IF(AND(T$2&lt;&gt;0,TblTech[[#This Row],[Hour]:[Hour]]&gt;=T$2),1,0)</f>
        <v>0</v>
      </c>
      <c r="U88" s="304" cm="1">
        <f t="array" ref="U88">IF(AND(U$2&lt;&gt;0,TblTech[[#This Row],[Hour]:[Hour]]&gt;=U$2),1,0)</f>
        <v>0</v>
      </c>
      <c r="V88" s="304" cm="1">
        <f t="array" ref="V88">IF(AND(V$2&lt;&gt;0,TblTech[[#This Row],[Hour]:[Hour]]&gt;=V$2),1,0)</f>
        <v>0</v>
      </c>
      <c r="W88" s="304" cm="1">
        <f t="array" ref="W88">IF(AND(W$2&lt;&gt;0,TblTech[[#This Row],[Hour]:[Hour]]&gt;=W$2),1,0)</f>
        <v>0</v>
      </c>
      <c r="X88" s="304" cm="1">
        <f t="array" ref="X88">IF(AND(X$2&lt;&gt;0,TblTech[[#This Row],[Hour]:[Hour]]&gt;=X$2),1,0)</f>
        <v>0</v>
      </c>
      <c r="Y88" s="304" cm="1">
        <f t="array" ref="Y88">IF(AND(Y$2&lt;&gt;0,TblTech[[#This Row],[Hour]:[Hour]]&gt;=Y$2),1,0)</f>
        <v>0</v>
      </c>
      <c r="Z88" s="304" cm="1">
        <f t="array" ref="Z88">IF(AND(Z$2&lt;&gt;0,TblTech[[#This Row],[Hour]:[Hour]]&gt;=Z$2),1,0)</f>
        <v>0</v>
      </c>
      <c r="AA88" s="304" cm="1">
        <f t="array" ref="AA88">IF(AND(AA$2&lt;&gt;0,TblTech[[#This Row],[Hour]:[Hour]]&gt;=AA$2),1,0)</f>
        <v>0</v>
      </c>
      <c r="AB88" s="304" cm="1">
        <f t="array" ref="AB88">IF(AND(AB$2&lt;&gt;0,TblTech[[#This Row],[Hour]:[Hour]]&gt;=AB$2),1,0)</f>
        <v>0</v>
      </c>
      <c r="AC88" s="304" cm="1">
        <f t="array" ref="AC88">IF(AND(AC$2&lt;&gt;0,TblTech[[#This Row],[Hour]:[Hour]]&gt;=AC$2),1,0)</f>
        <v>0</v>
      </c>
      <c r="AD88" s="304" cm="1">
        <f t="array" ref="AD88">IF(AND(AD$2&lt;&gt;0,TblTech[[#This Row],[Hour]:[Hour]]&gt;=AD$2),1,0)</f>
        <v>0</v>
      </c>
      <c r="AE88" s="304" cm="1">
        <f t="array" ref="AE88">IF(AND(AE$2&lt;&gt;0,TblTech[[#This Row],[Hour]:[Hour]]&gt;=AE$2),1,0)</f>
        <v>0</v>
      </c>
      <c r="AF88" s="304" cm="1">
        <f t="array" ref="AF88">IF(AND(AF$2&lt;&gt;0,TblTech[[#This Row],[Hour]:[Hour]]&gt;=AF$2),1,0)</f>
        <v>0</v>
      </c>
      <c r="AG88" s="304" cm="1">
        <f t="array" ref="AG88">IF(AND(AG$2&lt;&gt;0,TblTech[[#This Row],[Hour]:[Hour]]&gt;=AG$2),1,0)</f>
        <v>0</v>
      </c>
      <c r="AH88" s="304" cm="1">
        <f t="array" ref="AH88">IF(AND(AH$2&lt;&gt;0,TblTech[[#This Row],[Hour]:[Hour]]&gt;=AH$2),1,0)</f>
        <v>0</v>
      </c>
      <c r="AI88" s="304" cm="1">
        <f t="array" ref="AI88">IF(AND(AI$2&lt;&gt;0,TblTech[[#This Row],[Hour]:[Hour]]&gt;=AI$2),1,0)</f>
        <v>0</v>
      </c>
      <c r="AJ88" s="304" cm="1">
        <f t="array" ref="AJ88">IF(AND(AJ$2&lt;&gt;0,TblTech[[#This Row],[Hour]:[Hour]]&gt;=AJ$2),1,0)</f>
        <v>0</v>
      </c>
      <c r="AK88" s="304" cm="1">
        <f t="array" ref="AK88">IF(AND(AK$2&lt;&gt;0,TblTech[[#This Row],[Hour]:[Hour]]&gt;=AK$2),1,0)</f>
        <v>0</v>
      </c>
      <c r="AL88" s="304" cm="1">
        <f t="array" ref="AL88">IF(AND(AL$2&lt;&gt;0,TblTech[[#This Row],[Hour]:[Hour]]&gt;=AL$2),1,0)</f>
        <v>0</v>
      </c>
      <c r="AM88" s="304" cm="1">
        <f t="array" ref="AM88">IF(AND(AM$2&lt;&gt;0,TblTech[[#This Row],[Hour]:[Hour]]&gt;=AM$2),1,0)</f>
        <v>0</v>
      </c>
      <c r="AN88" s="304" cm="1">
        <f t="array" ref="AN88">IF(AND(AN$2&lt;&gt;0,TblTech[[#This Row],[Hour]:[Hour]]&gt;=AN$2),1,0)</f>
        <v>0</v>
      </c>
      <c r="AO88" s="304" cm="1">
        <f t="array" ref="AO88">IF(AND(AO$2&lt;&gt;0,TblTech[[#This Row],[Hour]:[Hour]]&gt;=AO$2),1,0)</f>
        <v>0</v>
      </c>
      <c r="AP88" s="304" cm="1">
        <f t="array" ref="AP88">IF(AND(AP$2&lt;&gt;0,TblTech[[#This Row],[Hour]:[Hour]]&gt;=AP$2),1,0)</f>
        <v>0</v>
      </c>
      <c r="AQ88" s="304" cm="1">
        <f t="array" ref="AQ88">IF(AND(AQ$2&lt;&gt;0,TblTech[[#This Row],[Hour]:[Hour]]&gt;=AQ$2),1,0)</f>
        <v>0</v>
      </c>
      <c r="AR88" s="304" cm="1">
        <f t="array" ref="AR88">IF(AND(AR$2&lt;&gt;0,TblTech[[#This Row],[Hour]:[Hour]]&gt;=AR$2),1,0)</f>
        <v>0</v>
      </c>
      <c r="AS88" s="304" cm="1">
        <f t="array" ref="AS88">IF(AND(AS$2&lt;&gt;0,TblTech[[#This Row],[Hour]:[Hour]]&gt;=AS$2),1,0)</f>
        <v>0</v>
      </c>
      <c r="AT88" s="304" cm="1">
        <f t="array" ref="AT88">IF(AND(AT$2&lt;&gt;0,TblTech[[#This Row],[Hour]:[Hour]]&gt;=AT$2),1,0)</f>
        <v>0</v>
      </c>
      <c r="AU88" s="304" cm="1">
        <f t="array" ref="AU88">IF(AND(AU$2&lt;&gt;0,TblTech[[#This Row],[Hour]:[Hour]]&gt;=AU$2),1,0)</f>
        <v>0</v>
      </c>
      <c r="AV88" s="304" cm="1">
        <f t="array" ref="AV88">IF(AND(AV$2&lt;&gt;0,TblTech[[#This Row],[Hour]:[Hour]]&gt;=AV$2),1,0)</f>
        <v>0</v>
      </c>
      <c r="AW88" s="304" cm="1">
        <f t="array" ref="AW88">IF(AND(AW$2&lt;&gt;0,TblTech[[#This Row],[Hour]:[Hour]]&gt;=AW$2),1,0)</f>
        <v>0</v>
      </c>
      <c r="AX88" s="304" cm="1">
        <f t="array" ref="AX88">IF(AND(AX$2&lt;&gt;0,TblTech[[#This Row],[Hour]:[Hour]]&gt;=AX$2),1,0)</f>
        <v>0</v>
      </c>
      <c r="AY88" s="304" cm="1">
        <f t="array" ref="AY88">IF(AND(AY$2&lt;&gt;0,TblTech[[#This Row],[Hour]:[Hour]]&gt;=AY$2),1,0)</f>
        <v>0</v>
      </c>
      <c r="AZ88" s="304" cm="1">
        <f t="array" ref="AZ88">IF(AND(AZ$2&lt;&gt;0,TblTech[[#This Row],[Hour]:[Hour]]&gt;=AZ$2),1,0)</f>
        <v>0</v>
      </c>
      <c r="BA88" s="304" cm="1">
        <f t="array" ref="BA88">IF(AND(BA$2&lt;&gt;0,TblTech[[#This Row],[Hour]:[Hour]]&gt;=BA$2),1,0)</f>
        <v>0</v>
      </c>
      <c r="BB88" s="304" cm="1">
        <f t="array" ref="BB88">IF(AND(BB$2&lt;&gt;0,TblTech[[#This Row],[Hour]:[Hour]]&gt;=BB$2),1,0)</f>
        <v>0</v>
      </c>
      <c r="BC88" s="304" cm="1">
        <f t="array" ref="BC88">IF(AND(BC$2&lt;&gt;0,TblTech[[#This Row],[Hour]:[Hour]]&gt;=BC$2),1,0)</f>
        <v>0</v>
      </c>
      <c r="BD88" s="304" cm="1">
        <f t="array" ref="BD88">IF(AND(BD$2&lt;&gt;0,TblTech[[#This Row],[Hour]:[Hour]]&gt;=BD$2),1,0)</f>
        <v>0</v>
      </c>
      <c r="BE88" s="304" cm="1">
        <f t="array" ref="BE88">IF(AND(BE$2&lt;&gt;0,TblTech[[#This Row],[Hour]:[Hour]]&gt;=BE$2),1,0)</f>
        <v>0</v>
      </c>
      <c r="BF88" s="304" cm="1">
        <f t="array" ref="BF88">IF(AND(BF$2&lt;&gt;0,TblTech[[#This Row],[Hour]:[Hour]]&gt;=BF$2),1,0)</f>
        <v>0</v>
      </c>
      <c r="BG88" s="304" cm="1">
        <f t="array" ref="BG88">IF(AND(BG$2&lt;&gt;0,TblTech[[#This Row],[Hour]:[Hour]]&gt;=BG$2),1,0)</f>
        <v>0</v>
      </c>
      <c r="BH88" s="304" cm="1">
        <f t="array" ref="BH88">IF(AND(BH$2&lt;&gt;0,TblTech[[#This Row],[Hour]:[Hour]]&gt;=BH$2),1,0)</f>
        <v>0</v>
      </c>
      <c r="BI88" s="304" cm="1">
        <f t="array" ref="BI88">IF(AND(BI$2&lt;&gt;0,TblTech[[#This Row],[Hour]:[Hour]]&gt;=BI$2),1,0)</f>
        <v>0</v>
      </c>
      <c r="BJ88" s="304" cm="1">
        <f t="array" ref="BJ88">IF(AND(BJ$2&lt;&gt;0,TblTech[[#This Row],[Hour]:[Hour]]&gt;=BJ$2),1,0)</f>
        <v>0</v>
      </c>
      <c r="BK88" s="304" cm="1">
        <f t="array" ref="BK88">IF(AND(BK$2&lt;&gt;0,TblTech[[#This Row],[Hour]:[Hour]]&gt;=BK$2),1,0)</f>
        <v>0</v>
      </c>
      <c r="BL88" s="304" cm="1">
        <f t="array" ref="BL88">IF(AND(BL$2&lt;&gt;0,TblTech[[#This Row],[Hour]:[Hour]]&gt;=BL$2),1,0)</f>
        <v>0</v>
      </c>
      <c r="BM88" s="304" cm="1">
        <f t="array" ref="BM88">IF(AND(BM$2&lt;&gt;0,TblTech[[#This Row],[Hour]:[Hour]]&gt;=BM$2),1,0)</f>
        <v>0</v>
      </c>
      <c r="BN88" s="304" cm="1">
        <f t="array" ref="BN88">IF(AND(BN$2&lt;&gt;0,TblTech[[#This Row],[Hour]:[Hour]]&gt;=BN$2),1,0)</f>
        <v>0</v>
      </c>
      <c r="BO88" s="304" cm="1">
        <f t="array" ref="BO88">IF(AND(BO$2&lt;&gt;0,TblTech[[#This Row],[Hour]:[Hour]]&gt;=BO$2),1,0)</f>
        <v>0</v>
      </c>
      <c r="BP88" s="304" cm="1">
        <f t="array" ref="BP88">IF(AND(BP$2&lt;&gt;0,TblTech[[#This Row],[Hour]:[Hour]]&gt;=BP$2),1,0)</f>
        <v>0</v>
      </c>
      <c r="BQ88" s="304" cm="1">
        <f t="array" ref="BQ88">IF(AND(BQ$2&lt;&gt;0,TblTech[[#This Row],[Hour]:[Hour]]&gt;=BQ$2),1,0)</f>
        <v>0</v>
      </c>
      <c r="BR88" s="304" cm="1">
        <f t="array" ref="BR88">IF(AND(BR$2&lt;&gt;0,TblTech[[#This Row],[Hour]:[Hour]]&gt;=BR$2),1,0)</f>
        <v>0</v>
      </c>
      <c r="BS88" s="304" cm="1">
        <f t="array" ref="BS88">IF(AND(BS$2&lt;&gt;0,TblTech[[#This Row],[Hour]:[Hour]]&gt;=BS$2),1,0)</f>
        <v>0</v>
      </c>
      <c r="BT88" s="304" cm="1">
        <f t="array" ref="BT88">IF(AND(BT$2&lt;&gt;0,TblTech[[#This Row],[Hour]:[Hour]]&gt;=BT$2),1,0)</f>
        <v>0</v>
      </c>
      <c r="BU88" s="304" cm="1">
        <f t="array" ref="BU88">IF(AND(BU$2&lt;&gt;0,TblTech[[#This Row],[Hour]:[Hour]]&gt;=BU$2),1,0)</f>
        <v>0</v>
      </c>
      <c r="BV88" s="304" cm="1">
        <f t="array" ref="BV88">IF(AND(BV$2&lt;&gt;0,TblTech[[#This Row],[Hour]:[Hour]]&gt;=BV$2),1,0)</f>
        <v>0</v>
      </c>
      <c r="BW88" s="304" cm="1">
        <f t="array" ref="BW88">IF(AND(BW$2&lt;&gt;0,TblTech[[#This Row],[Hour]:[Hour]]&gt;=BW$2),1,0)</f>
        <v>0</v>
      </c>
      <c r="BX88" s="304" cm="1">
        <f t="array" ref="BX88">IF(AND(BX$2&lt;&gt;0,TblTech[[#This Row],[Hour]:[Hour]]&gt;=BX$2),1,0)</f>
        <v>0</v>
      </c>
      <c r="BY88" s="304" cm="1">
        <f t="array" ref="BY88">IF(AND(BY$2&lt;&gt;0,TblTech[[#This Row],[Hour]:[Hour]]&gt;=BY$2),1,0)</f>
        <v>0</v>
      </c>
      <c r="BZ88" s="304" cm="1">
        <f t="array" ref="BZ88">IF(AND(BZ$2&lt;&gt;0,TblTech[[#This Row],[Hour]:[Hour]]&gt;=BZ$2),1,0)</f>
        <v>0</v>
      </c>
      <c r="CA88" s="408">
        <f>IFERROR(INDEX($H$4:$H$79,MATCH(INDEX(TblTech[[#Headers],[1-1]:[11-1]],1,MATCH(TblTech[[#This Row],[Hour]],$M$2:$BZ$2,0)),$G$4:$G$79,0)),)</f>
        <v>0</v>
      </c>
    </row>
    <row r="89" spans="1:79" x14ac:dyDescent="0.2">
      <c r="A89" s="296">
        <f>TblRezone[[#This Row],[Hour]]</f>
        <v>86</v>
      </c>
      <c r="B89" s="297">
        <f ca="1">TblExplore[[#This Row],[Land-DB]]</f>
        <v>250</v>
      </c>
      <c r="C89" s="298">
        <f ca="1">TblProd[[#This Row],[Techpoints]]</f>
        <v>0</v>
      </c>
      <c r="D89" s="298">
        <f ca="1">TblProd[[#This Row],[Required]]</f>
        <v>3750</v>
      </c>
      <c r="E89" s="307"/>
      <c r="F89" s="308"/>
      <c r="G89" s="301"/>
      <c r="H89" s="302"/>
      <c r="I89" s="302"/>
      <c r="J89" s="302"/>
      <c r="K89" s="96">
        <f ca="1">IF(TblTech[[#This Row],[Sum of tech]]&lt;&gt;OFFSET(TblTech[[#This Row],[Sum of tech]],-1,0),1,0)</f>
        <v>0</v>
      </c>
      <c r="L89" s="303">
        <f>COUNTIF(TblTech[[#This Row],[1-1]:[11-1]],1)</f>
        <v>0</v>
      </c>
      <c r="M89" s="304" cm="1">
        <f t="array" ref="M89">IF(AND(M$2&lt;&gt;0,TblTech[[#This Row],[Hour]:[Hour]]&gt;=M$2),1,0)</f>
        <v>0</v>
      </c>
      <c r="N89" s="304" cm="1">
        <f t="array" ref="N89">IF(AND(N$2&lt;&gt;0,TblTech[[#This Row],[Hour]:[Hour]]&gt;=N$2),1,0)</f>
        <v>0</v>
      </c>
      <c r="O89" s="304" cm="1">
        <f t="array" ref="O89">IF(AND(O$2&lt;&gt;0,TblTech[[#This Row],[Hour]:[Hour]]&gt;=O$2),1,0)</f>
        <v>0</v>
      </c>
      <c r="P89" s="304" cm="1">
        <f t="array" ref="P89">IF(AND(P$2&lt;&gt;0,TblTech[[#This Row],[Hour]:[Hour]]&gt;=P$2),1,0)</f>
        <v>0</v>
      </c>
      <c r="Q89" s="304" cm="1">
        <f t="array" ref="Q89">IF(AND(Q$2&lt;&gt;0,TblTech[[#This Row],[Hour]:[Hour]]&gt;=Q$2),1,0)</f>
        <v>0</v>
      </c>
      <c r="R89" s="304" cm="1">
        <f t="array" ref="R89">IF(AND(R$2&lt;&gt;0,TblTech[[#This Row],[Hour]:[Hour]]&gt;=R$2),1,0)</f>
        <v>0</v>
      </c>
      <c r="S89" s="304" cm="1">
        <f t="array" ref="S89">IF(AND(S$2&lt;&gt;0,TblTech[[#This Row],[Hour]:[Hour]]&gt;=S$2),1,0)</f>
        <v>0</v>
      </c>
      <c r="T89" s="304" cm="1">
        <f t="array" ref="T89">IF(AND(T$2&lt;&gt;0,TblTech[[#This Row],[Hour]:[Hour]]&gt;=T$2),1,0)</f>
        <v>0</v>
      </c>
      <c r="U89" s="304" cm="1">
        <f t="array" ref="U89">IF(AND(U$2&lt;&gt;0,TblTech[[#This Row],[Hour]:[Hour]]&gt;=U$2),1,0)</f>
        <v>0</v>
      </c>
      <c r="V89" s="304" cm="1">
        <f t="array" ref="V89">IF(AND(V$2&lt;&gt;0,TblTech[[#This Row],[Hour]:[Hour]]&gt;=V$2),1,0)</f>
        <v>0</v>
      </c>
      <c r="W89" s="304" cm="1">
        <f t="array" ref="W89">IF(AND(W$2&lt;&gt;0,TblTech[[#This Row],[Hour]:[Hour]]&gt;=W$2),1,0)</f>
        <v>0</v>
      </c>
      <c r="X89" s="304" cm="1">
        <f t="array" ref="X89">IF(AND(X$2&lt;&gt;0,TblTech[[#This Row],[Hour]:[Hour]]&gt;=X$2),1,0)</f>
        <v>0</v>
      </c>
      <c r="Y89" s="304" cm="1">
        <f t="array" ref="Y89">IF(AND(Y$2&lt;&gt;0,TblTech[[#This Row],[Hour]:[Hour]]&gt;=Y$2),1,0)</f>
        <v>0</v>
      </c>
      <c r="Z89" s="304" cm="1">
        <f t="array" ref="Z89">IF(AND(Z$2&lt;&gt;0,TblTech[[#This Row],[Hour]:[Hour]]&gt;=Z$2),1,0)</f>
        <v>0</v>
      </c>
      <c r="AA89" s="304" cm="1">
        <f t="array" ref="AA89">IF(AND(AA$2&lt;&gt;0,TblTech[[#This Row],[Hour]:[Hour]]&gt;=AA$2),1,0)</f>
        <v>0</v>
      </c>
      <c r="AB89" s="304" cm="1">
        <f t="array" ref="AB89">IF(AND(AB$2&lt;&gt;0,TblTech[[#This Row],[Hour]:[Hour]]&gt;=AB$2),1,0)</f>
        <v>0</v>
      </c>
      <c r="AC89" s="304" cm="1">
        <f t="array" ref="AC89">IF(AND(AC$2&lt;&gt;0,TblTech[[#This Row],[Hour]:[Hour]]&gt;=AC$2),1,0)</f>
        <v>0</v>
      </c>
      <c r="AD89" s="304" cm="1">
        <f t="array" ref="AD89">IF(AND(AD$2&lt;&gt;0,TblTech[[#This Row],[Hour]:[Hour]]&gt;=AD$2),1,0)</f>
        <v>0</v>
      </c>
      <c r="AE89" s="304" cm="1">
        <f t="array" ref="AE89">IF(AND(AE$2&lt;&gt;0,TblTech[[#This Row],[Hour]:[Hour]]&gt;=AE$2),1,0)</f>
        <v>0</v>
      </c>
      <c r="AF89" s="304" cm="1">
        <f t="array" ref="AF89">IF(AND(AF$2&lt;&gt;0,TblTech[[#This Row],[Hour]:[Hour]]&gt;=AF$2),1,0)</f>
        <v>0</v>
      </c>
      <c r="AG89" s="304" cm="1">
        <f t="array" ref="AG89">IF(AND(AG$2&lt;&gt;0,TblTech[[#This Row],[Hour]:[Hour]]&gt;=AG$2),1,0)</f>
        <v>0</v>
      </c>
      <c r="AH89" s="304" cm="1">
        <f t="array" ref="AH89">IF(AND(AH$2&lt;&gt;0,TblTech[[#This Row],[Hour]:[Hour]]&gt;=AH$2),1,0)</f>
        <v>0</v>
      </c>
      <c r="AI89" s="304" cm="1">
        <f t="array" ref="AI89">IF(AND(AI$2&lt;&gt;0,TblTech[[#This Row],[Hour]:[Hour]]&gt;=AI$2),1,0)</f>
        <v>0</v>
      </c>
      <c r="AJ89" s="304" cm="1">
        <f t="array" ref="AJ89">IF(AND(AJ$2&lt;&gt;0,TblTech[[#This Row],[Hour]:[Hour]]&gt;=AJ$2),1,0)</f>
        <v>0</v>
      </c>
      <c r="AK89" s="304" cm="1">
        <f t="array" ref="AK89">IF(AND(AK$2&lt;&gt;0,TblTech[[#This Row],[Hour]:[Hour]]&gt;=AK$2),1,0)</f>
        <v>0</v>
      </c>
      <c r="AL89" s="304" cm="1">
        <f t="array" ref="AL89">IF(AND(AL$2&lt;&gt;0,TblTech[[#This Row],[Hour]:[Hour]]&gt;=AL$2),1,0)</f>
        <v>0</v>
      </c>
      <c r="AM89" s="304" cm="1">
        <f t="array" ref="AM89">IF(AND(AM$2&lt;&gt;0,TblTech[[#This Row],[Hour]:[Hour]]&gt;=AM$2),1,0)</f>
        <v>0</v>
      </c>
      <c r="AN89" s="304" cm="1">
        <f t="array" ref="AN89">IF(AND(AN$2&lt;&gt;0,TblTech[[#This Row],[Hour]:[Hour]]&gt;=AN$2),1,0)</f>
        <v>0</v>
      </c>
      <c r="AO89" s="304" cm="1">
        <f t="array" ref="AO89">IF(AND(AO$2&lt;&gt;0,TblTech[[#This Row],[Hour]:[Hour]]&gt;=AO$2),1,0)</f>
        <v>0</v>
      </c>
      <c r="AP89" s="304" cm="1">
        <f t="array" ref="AP89">IF(AND(AP$2&lt;&gt;0,TblTech[[#This Row],[Hour]:[Hour]]&gt;=AP$2),1,0)</f>
        <v>0</v>
      </c>
      <c r="AQ89" s="304" cm="1">
        <f t="array" ref="AQ89">IF(AND(AQ$2&lt;&gt;0,TblTech[[#This Row],[Hour]:[Hour]]&gt;=AQ$2),1,0)</f>
        <v>0</v>
      </c>
      <c r="AR89" s="304" cm="1">
        <f t="array" ref="AR89">IF(AND(AR$2&lt;&gt;0,TblTech[[#This Row],[Hour]:[Hour]]&gt;=AR$2),1,0)</f>
        <v>0</v>
      </c>
      <c r="AS89" s="304" cm="1">
        <f t="array" ref="AS89">IF(AND(AS$2&lt;&gt;0,TblTech[[#This Row],[Hour]:[Hour]]&gt;=AS$2),1,0)</f>
        <v>0</v>
      </c>
      <c r="AT89" s="304" cm="1">
        <f t="array" ref="AT89">IF(AND(AT$2&lt;&gt;0,TblTech[[#This Row],[Hour]:[Hour]]&gt;=AT$2),1,0)</f>
        <v>0</v>
      </c>
      <c r="AU89" s="304" cm="1">
        <f t="array" ref="AU89">IF(AND(AU$2&lt;&gt;0,TblTech[[#This Row],[Hour]:[Hour]]&gt;=AU$2),1,0)</f>
        <v>0</v>
      </c>
      <c r="AV89" s="304" cm="1">
        <f t="array" ref="AV89">IF(AND(AV$2&lt;&gt;0,TblTech[[#This Row],[Hour]:[Hour]]&gt;=AV$2),1,0)</f>
        <v>0</v>
      </c>
      <c r="AW89" s="304" cm="1">
        <f t="array" ref="AW89">IF(AND(AW$2&lt;&gt;0,TblTech[[#This Row],[Hour]:[Hour]]&gt;=AW$2),1,0)</f>
        <v>0</v>
      </c>
      <c r="AX89" s="304" cm="1">
        <f t="array" ref="AX89">IF(AND(AX$2&lt;&gt;0,TblTech[[#This Row],[Hour]:[Hour]]&gt;=AX$2),1,0)</f>
        <v>0</v>
      </c>
      <c r="AY89" s="304" cm="1">
        <f t="array" ref="AY89">IF(AND(AY$2&lt;&gt;0,TblTech[[#This Row],[Hour]:[Hour]]&gt;=AY$2),1,0)</f>
        <v>0</v>
      </c>
      <c r="AZ89" s="304" cm="1">
        <f t="array" ref="AZ89">IF(AND(AZ$2&lt;&gt;0,TblTech[[#This Row],[Hour]:[Hour]]&gt;=AZ$2),1,0)</f>
        <v>0</v>
      </c>
      <c r="BA89" s="304" cm="1">
        <f t="array" ref="BA89">IF(AND(BA$2&lt;&gt;0,TblTech[[#This Row],[Hour]:[Hour]]&gt;=BA$2),1,0)</f>
        <v>0</v>
      </c>
      <c r="BB89" s="304" cm="1">
        <f t="array" ref="BB89">IF(AND(BB$2&lt;&gt;0,TblTech[[#This Row],[Hour]:[Hour]]&gt;=BB$2),1,0)</f>
        <v>0</v>
      </c>
      <c r="BC89" s="304" cm="1">
        <f t="array" ref="BC89">IF(AND(BC$2&lt;&gt;0,TblTech[[#This Row],[Hour]:[Hour]]&gt;=BC$2),1,0)</f>
        <v>0</v>
      </c>
      <c r="BD89" s="304" cm="1">
        <f t="array" ref="BD89">IF(AND(BD$2&lt;&gt;0,TblTech[[#This Row],[Hour]:[Hour]]&gt;=BD$2),1,0)</f>
        <v>0</v>
      </c>
      <c r="BE89" s="304" cm="1">
        <f t="array" ref="BE89">IF(AND(BE$2&lt;&gt;0,TblTech[[#This Row],[Hour]:[Hour]]&gt;=BE$2),1,0)</f>
        <v>0</v>
      </c>
      <c r="BF89" s="304" cm="1">
        <f t="array" ref="BF89">IF(AND(BF$2&lt;&gt;0,TblTech[[#This Row],[Hour]:[Hour]]&gt;=BF$2),1,0)</f>
        <v>0</v>
      </c>
      <c r="BG89" s="304" cm="1">
        <f t="array" ref="BG89">IF(AND(BG$2&lt;&gt;0,TblTech[[#This Row],[Hour]:[Hour]]&gt;=BG$2),1,0)</f>
        <v>0</v>
      </c>
      <c r="BH89" s="304" cm="1">
        <f t="array" ref="BH89">IF(AND(BH$2&lt;&gt;0,TblTech[[#This Row],[Hour]:[Hour]]&gt;=BH$2),1,0)</f>
        <v>0</v>
      </c>
      <c r="BI89" s="304" cm="1">
        <f t="array" ref="BI89">IF(AND(BI$2&lt;&gt;0,TblTech[[#This Row],[Hour]:[Hour]]&gt;=BI$2),1,0)</f>
        <v>0</v>
      </c>
      <c r="BJ89" s="304" cm="1">
        <f t="array" ref="BJ89">IF(AND(BJ$2&lt;&gt;0,TblTech[[#This Row],[Hour]:[Hour]]&gt;=BJ$2),1,0)</f>
        <v>0</v>
      </c>
      <c r="BK89" s="304" cm="1">
        <f t="array" ref="BK89">IF(AND(BK$2&lt;&gt;0,TblTech[[#This Row],[Hour]:[Hour]]&gt;=BK$2),1,0)</f>
        <v>0</v>
      </c>
      <c r="BL89" s="304" cm="1">
        <f t="array" ref="BL89">IF(AND(BL$2&lt;&gt;0,TblTech[[#This Row],[Hour]:[Hour]]&gt;=BL$2),1,0)</f>
        <v>0</v>
      </c>
      <c r="BM89" s="304" cm="1">
        <f t="array" ref="BM89">IF(AND(BM$2&lt;&gt;0,TblTech[[#This Row],[Hour]:[Hour]]&gt;=BM$2),1,0)</f>
        <v>0</v>
      </c>
      <c r="BN89" s="304" cm="1">
        <f t="array" ref="BN89">IF(AND(BN$2&lt;&gt;0,TblTech[[#This Row],[Hour]:[Hour]]&gt;=BN$2),1,0)</f>
        <v>0</v>
      </c>
      <c r="BO89" s="304" cm="1">
        <f t="array" ref="BO89">IF(AND(BO$2&lt;&gt;0,TblTech[[#This Row],[Hour]:[Hour]]&gt;=BO$2),1,0)</f>
        <v>0</v>
      </c>
      <c r="BP89" s="304" cm="1">
        <f t="array" ref="BP89">IF(AND(BP$2&lt;&gt;0,TblTech[[#This Row],[Hour]:[Hour]]&gt;=BP$2),1,0)</f>
        <v>0</v>
      </c>
      <c r="BQ89" s="304" cm="1">
        <f t="array" ref="BQ89">IF(AND(BQ$2&lt;&gt;0,TblTech[[#This Row],[Hour]:[Hour]]&gt;=BQ$2),1,0)</f>
        <v>0</v>
      </c>
      <c r="BR89" s="304" cm="1">
        <f t="array" ref="BR89">IF(AND(BR$2&lt;&gt;0,TblTech[[#This Row],[Hour]:[Hour]]&gt;=BR$2),1,0)</f>
        <v>0</v>
      </c>
      <c r="BS89" s="304" cm="1">
        <f t="array" ref="BS89">IF(AND(BS$2&lt;&gt;0,TblTech[[#This Row],[Hour]:[Hour]]&gt;=BS$2),1,0)</f>
        <v>0</v>
      </c>
      <c r="BT89" s="304" cm="1">
        <f t="array" ref="BT89">IF(AND(BT$2&lt;&gt;0,TblTech[[#This Row],[Hour]:[Hour]]&gt;=BT$2),1,0)</f>
        <v>0</v>
      </c>
      <c r="BU89" s="304" cm="1">
        <f t="array" ref="BU89">IF(AND(BU$2&lt;&gt;0,TblTech[[#This Row],[Hour]:[Hour]]&gt;=BU$2),1,0)</f>
        <v>0</v>
      </c>
      <c r="BV89" s="304" cm="1">
        <f t="array" ref="BV89">IF(AND(BV$2&lt;&gt;0,TblTech[[#This Row],[Hour]:[Hour]]&gt;=BV$2),1,0)</f>
        <v>0</v>
      </c>
      <c r="BW89" s="304" cm="1">
        <f t="array" ref="BW89">IF(AND(BW$2&lt;&gt;0,TblTech[[#This Row],[Hour]:[Hour]]&gt;=BW$2),1,0)</f>
        <v>0</v>
      </c>
      <c r="BX89" s="304" cm="1">
        <f t="array" ref="BX89">IF(AND(BX$2&lt;&gt;0,TblTech[[#This Row],[Hour]:[Hour]]&gt;=BX$2),1,0)</f>
        <v>0</v>
      </c>
      <c r="BY89" s="304" cm="1">
        <f t="array" ref="BY89">IF(AND(BY$2&lt;&gt;0,TblTech[[#This Row],[Hour]:[Hour]]&gt;=BY$2),1,0)</f>
        <v>0</v>
      </c>
      <c r="BZ89" s="304" cm="1">
        <f t="array" ref="BZ89">IF(AND(BZ$2&lt;&gt;0,TblTech[[#This Row],[Hour]:[Hour]]&gt;=BZ$2),1,0)</f>
        <v>0</v>
      </c>
      <c r="CA89" s="408">
        <f>IFERROR(INDEX($H$4:$H$79,MATCH(INDEX(TblTech[[#Headers],[1-1]:[11-1]],1,MATCH(TblTech[[#This Row],[Hour]],$M$2:$BZ$2,0)),$G$4:$G$79,0)),)</f>
        <v>0</v>
      </c>
    </row>
    <row r="90" spans="1:79" x14ac:dyDescent="0.2">
      <c r="A90" s="296">
        <f>TblRezone[[#This Row],[Hour]]</f>
        <v>87</v>
      </c>
      <c r="B90" s="297">
        <f ca="1">TblExplore[[#This Row],[Land-DB]]</f>
        <v>250</v>
      </c>
      <c r="C90" s="298">
        <f ca="1">TblProd[[#This Row],[Techpoints]]</f>
        <v>0</v>
      </c>
      <c r="D90" s="298">
        <f ca="1">TblProd[[#This Row],[Required]]</f>
        <v>3750</v>
      </c>
      <c r="E90" s="307"/>
      <c r="F90" s="308"/>
      <c r="G90" s="301"/>
      <c r="H90" s="302"/>
      <c r="I90" s="302"/>
      <c r="J90" s="302"/>
      <c r="K90" s="96">
        <f ca="1">IF(TblTech[[#This Row],[Sum of tech]]&lt;&gt;OFFSET(TblTech[[#This Row],[Sum of tech]],-1,0),1,0)</f>
        <v>0</v>
      </c>
      <c r="L90" s="303">
        <f>COUNTIF(TblTech[[#This Row],[1-1]:[11-1]],1)</f>
        <v>0</v>
      </c>
      <c r="M90" s="304" cm="1">
        <f t="array" ref="M90">IF(AND(M$2&lt;&gt;0,TblTech[[#This Row],[Hour]:[Hour]]&gt;=M$2),1,0)</f>
        <v>0</v>
      </c>
      <c r="N90" s="304" cm="1">
        <f t="array" ref="N90">IF(AND(N$2&lt;&gt;0,TblTech[[#This Row],[Hour]:[Hour]]&gt;=N$2),1,0)</f>
        <v>0</v>
      </c>
      <c r="O90" s="304" cm="1">
        <f t="array" ref="O90">IF(AND(O$2&lt;&gt;0,TblTech[[#This Row],[Hour]:[Hour]]&gt;=O$2),1,0)</f>
        <v>0</v>
      </c>
      <c r="P90" s="304" cm="1">
        <f t="array" ref="P90">IF(AND(P$2&lt;&gt;0,TblTech[[#This Row],[Hour]:[Hour]]&gt;=P$2),1,0)</f>
        <v>0</v>
      </c>
      <c r="Q90" s="304" cm="1">
        <f t="array" ref="Q90">IF(AND(Q$2&lt;&gt;0,TblTech[[#This Row],[Hour]:[Hour]]&gt;=Q$2),1,0)</f>
        <v>0</v>
      </c>
      <c r="R90" s="304" cm="1">
        <f t="array" ref="R90">IF(AND(R$2&lt;&gt;0,TblTech[[#This Row],[Hour]:[Hour]]&gt;=R$2),1,0)</f>
        <v>0</v>
      </c>
      <c r="S90" s="304" cm="1">
        <f t="array" ref="S90">IF(AND(S$2&lt;&gt;0,TblTech[[#This Row],[Hour]:[Hour]]&gt;=S$2),1,0)</f>
        <v>0</v>
      </c>
      <c r="T90" s="304" cm="1">
        <f t="array" ref="T90">IF(AND(T$2&lt;&gt;0,TblTech[[#This Row],[Hour]:[Hour]]&gt;=T$2),1,0)</f>
        <v>0</v>
      </c>
      <c r="U90" s="304" cm="1">
        <f t="array" ref="U90">IF(AND(U$2&lt;&gt;0,TblTech[[#This Row],[Hour]:[Hour]]&gt;=U$2),1,0)</f>
        <v>0</v>
      </c>
      <c r="V90" s="304" cm="1">
        <f t="array" ref="V90">IF(AND(V$2&lt;&gt;0,TblTech[[#This Row],[Hour]:[Hour]]&gt;=V$2),1,0)</f>
        <v>0</v>
      </c>
      <c r="W90" s="304" cm="1">
        <f t="array" ref="W90">IF(AND(W$2&lt;&gt;0,TblTech[[#This Row],[Hour]:[Hour]]&gt;=W$2),1,0)</f>
        <v>0</v>
      </c>
      <c r="X90" s="304" cm="1">
        <f t="array" ref="X90">IF(AND(X$2&lt;&gt;0,TblTech[[#This Row],[Hour]:[Hour]]&gt;=X$2),1,0)</f>
        <v>0</v>
      </c>
      <c r="Y90" s="304" cm="1">
        <f t="array" ref="Y90">IF(AND(Y$2&lt;&gt;0,TblTech[[#This Row],[Hour]:[Hour]]&gt;=Y$2),1,0)</f>
        <v>0</v>
      </c>
      <c r="Z90" s="304" cm="1">
        <f t="array" ref="Z90">IF(AND(Z$2&lt;&gt;0,TblTech[[#This Row],[Hour]:[Hour]]&gt;=Z$2),1,0)</f>
        <v>0</v>
      </c>
      <c r="AA90" s="304" cm="1">
        <f t="array" ref="AA90">IF(AND(AA$2&lt;&gt;0,TblTech[[#This Row],[Hour]:[Hour]]&gt;=AA$2),1,0)</f>
        <v>0</v>
      </c>
      <c r="AB90" s="304" cm="1">
        <f t="array" ref="AB90">IF(AND(AB$2&lt;&gt;0,TblTech[[#This Row],[Hour]:[Hour]]&gt;=AB$2),1,0)</f>
        <v>0</v>
      </c>
      <c r="AC90" s="304" cm="1">
        <f t="array" ref="AC90">IF(AND(AC$2&lt;&gt;0,TblTech[[#This Row],[Hour]:[Hour]]&gt;=AC$2),1,0)</f>
        <v>0</v>
      </c>
      <c r="AD90" s="304" cm="1">
        <f t="array" ref="AD90">IF(AND(AD$2&lt;&gt;0,TblTech[[#This Row],[Hour]:[Hour]]&gt;=AD$2),1,0)</f>
        <v>0</v>
      </c>
      <c r="AE90" s="304" cm="1">
        <f t="array" ref="AE90">IF(AND(AE$2&lt;&gt;0,TblTech[[#This Row],[Hour]:[Hour]]&gt;=AE$2),1,0)</f>
        <v>0</v>
      </c>
      <c r="AF90" s="304" cm="1">
        <f t="array" ref="AF90">IF(AND(AF$2&lt;&gt;0,TblTech[[#This Row],[Hour]:[Hour]]&gt;=AF$2),1,0)</f>
        <v>0</v>
      </c>
      <c r="AG90" s="304" cm="1">
        <f t="array" ref="AG90">IF(AND(AG$2&lt;&gt;0,TblTech[[#This Row],[Hour]:[Hour]]&gt;=AG$2),1,0)</f>
        <v>0</v>
      </c>
      <c r="AH90" s="304" cm="1">
        <f t="array" ref="AH90">IF(AND(AH$2&lt;&gt;0,TblTech[[#This Row],[Hour]:[Hour]]&gt;=AH$2),1,0)</f>
        <v>0</v>
      </c>
      <c r="AI90" s="304" cm="1">
        <f t="array" ref="AI90">IF(AND(AI$2&lt;&gt;0,TblTech[[#This Row],[Hour]:[Hour]]&gt;=AI$2),1,0)</f>
        <v>0</v>
      </c>
      <c r="AJ90" s="304" cm="1">
        <f t="array" ref="AJ90">IF(AND(AJ$2&lt;&gt;0,TblTech[[#This Row],[Hour]:[Hour]]&gt;=AJ$2),1,0)</f>
        <v>0</v>
      </c>
      <c r="AK90" s="304" cm="1">
        <f t="array" ref="AK90">IF(AND(AK$2&lt;&gt;0,TblTech[[#This Row],[Hour]:[Hour]]&gt;=AK$2),1,0)</f>
        <v>0</v>
      </c>
      <c r="AL90" s="304" cm="1">
        <f t="array" ref="AL90">IF(AND(AL$2&lt;&gt;0,TblTech[[#This Row],[Hour]:[Hour]]&gt;=AL$2),1,0)</f>
        <v>0</v>
      </c>
      <c r="AM90" s="304" cm="1">
        <f t="array" ref="AM90">IF(AND(AM$2&lt;&gt;0,TblTech[[#This Row],[Hour]:[Hour]]&gt;=AM$2),1,0)</f>
        <v>0</v>
      </c>
      <c r="AN90" s="304" cm="1">
        <f t="array" ref="AN90">IF(AND(AN$2&lt;&gt;0,TblTech[[#This Row],[Hour]:[Hour]]&gt;=AN$2),1,0)</f>
        <v>0</v>
      </c>
      <c r="AO90" s="304" cm="1">
        <f t="array" ref="AO90">IF(AND(AO$2&lt;&gt;0,TblTech[[#This Row],[Hour]:[Hour]]&gt;=AO$2),1,0)</f>
        <v>0</v>
      </c>
      <c r="AP90" s="304" cm="1">
        <f t="array" ref="AP90">IF(AND(AP$2&lt;&gt;0,TblTech[[#This Row],[Hour]:[Hour]]&gt;=AP$2),1,0)</f>
        <v>0</v>
      </c>
      <c r="AQ90" s="304" cm="1">
        <f t="array" ref="AQ90">IF(AND(AQ$2&lt;&gt;0,TblTech[[#This Row],[Hour]:[Hour]]&gt;=AQ$2),1,0)</f>
        <v>0</v>
      </c>
      <c r="AR90" s="304" cm="1">
        <f t="array" ref="AR90">IF(AND(AR$2&lt;&gt;0,TblTech[[#This Row],[Hour]:[Hour]]&gt;=AR$2),1,0)</f>
        <v>0</v>
      </c>
      <c r="AS90" s="304" cm="1">
        <f t="array" ref="AS90">IF(AND(AS$2&lt;&gt;0,TblTech[[#This Row],[Hour]:[Hour]]&gt;=AS$2),1,0)</f>
        <v>0</v>
      </c>
      <c r="AT90" s="304" cm="1">
        <f t="array" ref="AT90">IF(AND(AT$2&lt;&gt;0,TblTech[[#This Row],[Hour]:[Hour]]&gt;=AT$2),1,0)</f>
        <v>0</v>
      </c>
      <c r="AU90" s="304" cm="1">
        <f t="array" ref="AU90">IF(AND(AU$2&lt;&gt;0,TblTech[[#This Row],[Hour]:[Hour]]&gt;=AU$2),1,0)</f>
        <v>0</v>
      </c>
      <c r="AV90" s="304" cm="1">
        <f t="array" ref="AV90">IF(AND(AV$2&lt;&gt;0,TblTech[[#This Row],[Hour]:[Hour]]&gt;=AV$2),1,0)</f>
        <v>0</v>
      </c>
      <c r="AW90" s="304" cm="1">
        <f t="array" ref="AW90">IF(AND(AW$2&lt;&gt;0,TblTech[[#This Row],[Hour]:[Hour]]&gt;=AW$2),1,0)</f>
        <v>0</v>
      </c>
      <c r="AX90" s="304" cm="1">
        <f t="array" ref="AX90">IF(AND(AX$2&lt;&gt;0,TblTech[[#This Row],[Hour]:[Hour]]&gt;=AX$2),1,0)</f>
        <v>0</v>
      </c>
      <c r="AY90" s="304" cm="1">
        <f t="array" ref="AY90">IF(AND(AY$2&lt;&gt;0,TblTech[[#This Row],[Hour]:[Hour]]&gt;=AY$2),1,0)</f>
        <v>0</v>
      </c>
      <c r="AZ90" s="304" cm="1">
        <f t="array" ref="AZ90">IF(AND(AZ$2&lt;&gt;0,TblTech[[#This Row],[Hour]:[Hour]]&gt;=AZ$2),1,0)</f>
        <v>0</v>
      </c>
      <c r="BA90" s="304" cm="1">
        <f t="array" ref="BA90">IF(AND(BA$2&lt;&gt;0,TblTech[[#This Row],[Hour]:[Hour]]&gt;=BA$2),1,0)</f>
        <v>0</v>
      </c>
      <c r="BB90" s="304" cm="1">
        <f t="array" ref="BB90">IF(AND(BB$2&lt;&gt;0,TblTech[[#This Row],[Hour]:[Hour]]&gt;=BB$2),1,0)</f>
        <v>0</v>
      </c>
      <c r="BC90" s="304" cm="1">
        <f t="array" ref="BC90">IF(AND(BC$2&lt;&gt;0,TblTech[[#This Row],[Hour]:[Hour]]&gt;=BC$2),1,0)</f>
        <v>0</v>
      </c>
      <c r="BD90" s="304" cm="1">
        <f t="array" ref="BD90">IF(AND(BD$2&lt;&gt;0,TblTech[[#This Row],[Hour]:[Hour]]&gt;=BD$2),1,0)</f>
        <v>0</v>
      </c>
      <c r="BE90" s="304" cm="1">
        <f t="array" ref="BE90">IF(AND(BE$2&lt;&gt;0,TblTech[[#This Row],[Hour]:[Hour]]&gt;=BE$2),1,0)</f>
        <v>0</v>
      </c>
      <c r="BF90" s="304" cm="1">
        <f t="array" ref="BF90">IF(AND(BF$2&lt;&gt;0,TblTech[[#This Row],[Hour]:[Hour]]&gt;=BF$2),1,0)</f>
        <v>0</v>
      </c>
      <c r="BG90" s="304" cm="1">
        <f t="array" ref="BG90">IF(AND(BG$2&lt;&gt;0,TblTech[[#This Row],[Hour]:[Hour]]&gt;=BG$2),1,0)</f>
        <v>0</v>
      </c>
      <c r="BH90" s="304" cm="1">
        <f t="array" ref="BH90">IF(AND(BH$2&lt;&gt;0,TblTech[[#This Row],[Hour]:[Hour]]&gt;=BH$2),1,0)</f>
        <v>0</v>
      </c>
      <c r="BI90" s="304" cm="1">
        <f t="array" ref="BI90">IF(AND(BI$2&lt;&gt;0,TblTech[[#This Row],[Hour]:[Hour]]&gt;=BI$2),1,0)</f>
        <v>0</v>
      </c>
      <c r="BJ90" s="304" cm="1">
        <f t="array" ref="BJ90">IF(AND(BJ$2&lt;&gt;0,TblTech[[#This Row],[Hour]:[Hour]]&gt;=BJ$2),1,0)</f>
        <v>0</v>
      </c>
      <c r="BK90" s="304" cm="1">
        <f t="array" ref="BK90">IF(AND(BK$2&lt;&gt;0,TblTech[[#This Row],[Hour]:[Hour]]&gt;=BK$2),1,0)</f>
        <v>0</v>
      </c>
      <c r="BL90" s="304" cm="1">
        <f t="array" ref="BL90">IF(AND(BL$2&lt;&gt;0,TblTech[[#This Row],[Hour]:[Hour]]&gt;=BL$2),1,0)</f>
        <v>0</v>
      </c>
      <c r="BM90" s="304" cm="1">
        <f t="array" ref="BM90">IF(AND(BM$2&lt;&gt;0,TblTech[[#This Row],[Hour]:[Hour]]&gt;=BM$2),1,0)</f>
        <v>0</v>
      </c>
      <c r="BN90" s="304" cm="1">
        <f t="array" ref="BN90">IF(AND(BN$2&lt;&gt;0,TblTech[[#This Row],[Hour]:[Hour]]&gt;=BN$2),1,0)</f>
        <v>0</v>
      </c>
      <c r="BO90" s="304" cm="1">
        <f t="array" ref="BO90">IF(AND(BO$2&lt;&gt;0,TblTech[[#This Row],[Hour]:[Hour]]&gt;=BO$2),1,0)</f>
        <v>0</v>
      </c>
      <c r="BP90" s="304" cm="1">
        <f t="array" ref="BP90">IF(AND(BP$2&lt;&gt;0,TblTech[[#This Row],[Hour]:[Hour]]&gt;=BP$2),1,0)</f>
        <v>0</v>
      </c>
      <c r="BQ90" s="304" cm="1">
        <f t="array" ref="BQ90">IF(AND(BQ$2&lt;&gt;0,TblTech[[#This Row],[Hour]:[Hour]]&gt;=BQ$2),1,0)</f>
        <v>0</v>
      </c>
      <c r="BR90" s="304" cm="1">
        <f t="array" ref="BR90">IF(AND(BR$2&lt;&gt;0,TblTech[[#This Row],[Hour]:[Hour]]&gt;=BR$2),1,0)</f>
        <v>0</v>
      </c>
      <c r="BS90" s="304" cm="1">
        <f t="array" ref="BS90">IF(AND(BS$2&lt;&gt;0,TblTech[[#This Row],[Hour]:[Hour]]&gt;=BS$2),1,0)</f>
        <v>0</v>
      </c>
      <c r="BT90" s="304" cm="1">
        <f t="array" ref="BT90">IF(AND(BT$2&lt;&gt;0,TblTech[[#This Row],[Hour]:[Hour]]&gt;=BT$2),1,0)</f>
        <v>0</v>
      </c>
      <c r="BU90" s="304" cm="1">
        <f t="array" ref="BU90">IF(AND(BU$2&lt;&gt;0,TblTech[[#This Row],[Hour]:[Hour]]&gt;=BU$2),1,0)</f>
        <v>0</v>
      </c>
      <c r="BV90" s="304" cm="1">
        <f t="array" ref="BV90">IF(AND(BV$2&lt;&gt;0,TblTech[[#This Row],[Hour]:[Hour]]&gt;=BV$2),1,0)</f>
        <v>0</v>
      </c>
      <c r="BW90" s="304" cm="1">
        <f t="array" ref="BW90">IF(AND(BW$2&lt;&gt;0,TblTech[[#This Row],[Hour]:[Hour]]&gt;=BW$2),1,0)</f>
        <v>0</v>
      </c>
      <c r="BX90" s="304" cm="1">
        <f t="array" ref="BX90">IF(AND(BX$2&lt;&gt;0,TblTech[[#This Row],[Hour]:[Hour]]&gt;=BX$2),1,0)</f>
        <v>0</v>
      </c>
      <c r="BY90" s="304" cm="1">
        <f t="array" ref="BY90">IF(AND(BY$2&lt;&gt;0,TblTech[[#This Row],[Hour]:[Hour]]&gt;=BY$2),1,0)</f>
        <v>0</v>
      </c>
      <c r="BZ90" s="304" cm="1">
        <f t="array" ref="BZ90">IF(AND(BZ$2&lt;&gt;0,TblTech[[#This Row],[Hour]:[Hour]]&gt;=BZ$2),1,0)</f>
        <v>0</v>
      </c>
      <c r="CA90" s="408">
        <f>IFERROR(INDEX($H$4:$H$79,MATCH(INDEX(TblTech[[#Headers],[1-1]:[11-1]],1,MATCH(TblTech[[#This Row],[Hour]],$M$2:$BZ$2,0)),$G$4:$G$79,0)),)</f>
        <v>0</v>
      </c>
    </row>
    <row r="91" spans="1:79" x14ac:dyDescent="0.2">
      <c r="A91" s="296">
        <f>TblRezone[[#This Row],[Hour]]</f>
        <v>88</v>
      </c>
      <c r="B91" s="297">
        <f ca="1">TblExplore[[#This Row],[Land-DB]]</f>
        <v>250</v>
      </c>
      <c r="C91" s="298">
        <f ca="1">TblProd[[#This Row],[Techpoints]]</f>
        <v>0</v>
      </c>
      <c r="D91" s="298">
        <f ca="1">TblProd[[#This Row],[Required]]</f>
        <v>3750</v>
      </c>
      <c r="E91" s="307"/>
      <c r="F91" s="308"/>
      <c r="G91" s="301"/>
      <c r="H91" s="302"/>
      <c r="I91" s="302"/>
      <c r="J91" s="302"/>
      <c r="K91" s="96">
        <f ca="1">IF(TblTech[[#This Row],[Sum of tech]]&lt;&gt;OFFSET(TblTech[[#This Row],[Sum of tech]],-1,0),1,0)</f>
        <v>0</v>
      </c>
      <c r="L91" s="303">
        <f>COUNTIF(TblTech[[#This Row],[1-1]:[11-1]],1)</f>
        <v>0</v>
      </c>
      <c r="M91" s="304" cm="1">
        <f t="array" ref="M91">IF(AND(M$2&lt;&gt;0,TblTech[[#This Row],[Hour]:[Hour]]&gt;=M$2),1,0)</f>
        <v>0</v>
      </c>
      <c r="N91" s="304" cm="1">
        <f t="array" ref="N91">IF(AND(N$2&lt;&gt;0,TblTech[[#This Row],[Hour]:[Hour]]&gt;=N$2),1,0)</f>
        <v>0</v>
      </c>
      <c r="O91" s="304" cm="1">
        <f t="array" ref="O91">IF(AND(O$2&lt;&gt;0,TblTech[[#This Row],[Hour]:[Hour]]&gt;=O$2),1,0)</f>
        <v>0</v>
      </c>
      <c r="P91" s="304" cm="1">
        <f t="array" ref="P91">IF(AND(P$2&lt;&gt;0,TblTech[[#This Row],[Hour]:[Hour]]&gt;=P$2),1,0)</f>
        <v>0</v>
      </c>
      <c r="Q91" s="304" cm="1">
        <f t="array" ref="Q91">IF(AND(Q$2&lt;&gt;0,TblTech[[#This Row],[Hour]:[Hour]]&gt;=Q$2),1,0)</f>
        <v>0</v>
      </c>
      <c r="R91" s="304" cm="1">
        <f t="array" ref="R91">IF(AND(R$2&lt;&gt;0,TblTech[[#This Row],[Hour]:[Hour]]&gt;=R$2),1,0)</f>
        <v>0</v>
      </c>
      <c r="S91" s="304" cm="1">
        <f t="array" ref="S91">IF(AND(S$2&lt;&gt;0,TblTech[[#This Row],[Hour]:[Hour]]&gt;=S$2),1,0)</f>
        <v>0</v>
      </c>
      <c r="T91" s="304" cm="1">
        <f t="array" ref="T91">IF(AND(T$2&lt;&gt;0,TblTech[[#This Row],[Hour]:[Hour]]&gt;=T$2),1,0)</f>
        <v>0</v>
      </c>
      <c r="U91" s="304" cm="1">
        <f t="array" ref="U91">IF(AND(U$2&lt;&gt;0,TblTech[[#This Row],[Hour]:[Hour]]&gt;=U$2),1,0)</f>
        <v>0</v>
      </c>
      <c r="V91" s="304" cm="1">
        <f t="array" ref="V91">IF(AND(V$2&lt;&gt;0,TblTech[[#This Row],[Hour]:[Hour]]&gt;=V$2),1,0)</f>
        <v>0</v>
      </c>
      <c r="W91" s="304" cm="1">
        <f t="array" ref="W91">IF(AND(W$2&lt;&gt;0,TblTech[[#This Row],[Hour]:[Hour]]&gt;=W$2),1,0)</f>
        <v>0</v>
      </c>
      <c r="X91" s="304" cm="1">
        <f t="array" ref="X91">IF(AND(X$2&lt;&gt;0,TblTech[[#This Row],[Hour]:[Hour]]&gt;=X$2),1,0)</f>
        <v>0</v>
      </c>
      <c r="Y91" s="304" cm="1">
        <f t="array" ref="Y91">IF(AND(Y$2&lt;&gt;0,TblTech[[#This Row],[Hour]:[Hour]]&gt;=Y$2),1,0)</f>
        <v>0</v>
      </c>
      <c r="Z91" s="304" cm="1">
        <f t="array" ref="Z91">IF(AND(Z$2&lt;&gt;0,TblTech[[#This Row],[Hour]:[Hour]]&gt;=Z$2),1,0)</f>
        <v>0</v>
      </c>
      <c r="AA91" s="304" cm="1">
        <f t="array" ref="AA91">IF(AND(AA$2&lt;&gt;0,TblTech[[#This Row],[Hour]:[Hour]]&gt;=AA$2),1,0)</f>
        <v>0</v>
      </c>
      <c r="AB91" s="304" cm="1">
        <f t="array" ref="AB91">IF(AND(AB$2&lt;&gt;0,TblTech[[#This Row],[Hour]:[Hour]]&gt;=AB$2),1,0)</f>
        <v>0</v>
      </c>
      <c r="AC91" s="304" cm="1">
        <f t="array" ref="AC91">IF(AND(AC$2&lt;&gt;0,TblTech[[#This Row],[Hour]:[Hour]]&gt;=AC$2),1,0)</f>
        <v>0</v>
      </c>
      <c r="AD91" s="304" cm="1">
        <f t="array" ref="AD91">IF(AND(AD$2&lt;&gt;0,TblTech[[#This Row],[Hour]:[Hour]]&gt;=AD$2),1,0)</f>
        <v>0</v>
      </c>
      <c r="AE91" s="304" cm="1">
        <f t="array" ref="AE91">IF(AND(AE$2&lt;&gt;0,TblTech[[#This Row],[Hour]:[Hour]]&gt;=AE$2),1,0)</f>
        <v>0</v>
      </c>
      <c r="AF91" s="304" cm="1">
        <f t="array" ref="AF91">IF(AND(AF$2&lt;&gt;0,TblTech[[#This Row],[Hour]:[Hour]]&gt;=AF$2),1,0)</f>
        <v>0</v>
      </c>
      <c r="AG91" s="304" cm="1">
        <f t="array" ref="AG91">IF(AND(AG$2&lt;&gt;0,TblTech[[#This Row],[Hour]:[Hour]]&gt;=AG$2),1,0)</f>
        <v>0</v>
      </c>
      <c r="AH91" s="304" cm="1">
        <f t="array" ref="AH91">IF(AND(AH$2&lt;&gt;0,TblTech[[#This Row],[Hour]:[Hour]]&gt;=AH$2),1,0)</f>
        <v>0</v>
      </c>
      <c r="AI91" s="304" cm="1">
        <f t="array" ref="AI91">IF(AND(AI$2&lt;&gt;0,TblTech[[#This Row],[Hour]:[Hour]]&gt;=AI$2),1,0)</f>
        <v>0</v>
      </c>
      <c r="AJ91" s="304" cm="1">
        <f t="array" ref="AJ91">IF(AND(AJ$2&lt;&gt;0,TblTech[[#This Row],[Hour]:[Hour]]&gt;=AJ$2),1,0)</f>
        <v>0</v>
      </c>
      <c r="AK91" s="304" cm="1">
        <f t="array" ref="AK91">IF(AND(AK$2&lt;&gt;0,TblTech[[#This Row],[Hour]:[Hour]]&gt;=AK$2),1,0)</f>
        <v>0</v>
      </c>
      <c r="AL91" s="304" cm="1">
        <f t="array" ref="AL91">IF(AND(AL$2&lt;&gt;0,TblTech[[#This Row],[Hour]:[Hour]]&gt;=AL$2),1,0)</f>
        <v>0</v>
      </c>
      <c r="AM91" s="304" cm="1">
        <f t="array" ref="AM91">IF(AND(AM$2&lt;&gt;0,TblTech[[#This Row],[Hour]:[Hour]]&gt;=AM$2),1,0)</f>
        <v>0</v>
      </c>
      <c r="AN91" s="304" cm="1">
        <f t="array" ref="AN91">IF(AND(AN$2&lt;&gt;0,TblTech[[#This Row],[Hour]:[Hour]]&gt;=AN$2),1,0)</f>
        <v>0</v>
      </c>
      <c r="AO91" s="304" cm="1">
        <f t="array" ref="AO91">IF(AND(AO$2&lt;&gt;0,TblTech[[#This Row],[Hour]:[Hour]]&gt;=AO$2),1,0)</f>
        <v>0</v>
      </c>
      <c r="AP91" s="304" cm="1">
        <f t="array" ref="AP91">IF(AND(AP$2&lt;&gt;0,TblTech[[#This Row],[Hour]:[Hour]]&gt;=AP$2),1,0)</f>
        <v>0</v>
      </c>
      <c r="AQ91" s="304" cm="1">
        <f t="array" ref="AQ91">IF(AND(AQ$2&lt;&gt;0,TblTech[[#This Row],[Hour]:[Hour]]&gt;=AQ$2),1,0)</f>
        <v>0</v>
      </c>
      <c r="AR91" s="304" cm="1">
        <f t="array" ref="AR91">IF(AND(AR$2&lt;&gt;0,TblTech[[#This Row],[Hour]:[Hour]]&gt;=AR$2),1,0)</f>
        <v>0</v>
      </c>
      <c r="AS91" s="304" cm="1">
        <f t="array" ref="AS91">IF(AND(AS$2&lt;&gt;0,TblTech[[#This Row],[Hour]:[Hour]]&gt;=AS$2),1,0)</f>
        <v>0</v>
      </c>
      <c r="AT91" s="304" cm="1">
        <f t="array" ref="AT91">IF(AND(AT$2&lt;&gt;0,TblTech[[#This Row],[Hour]:[Hour]]&gt;=AT$2),1,0)</f>
        <v>0</v>
      </c>
      <c r="AU91" s="304" cm="1">
        <f t="array" ref="AU91">IF(AND(AU$2&lt;&gt;0,TblTech[[#This Row],[Hour]:[Hour]]&gt;=AU$2),1,0)</f>
        <v>0</v>
      </c>
      <c r="AV91" s="304" cm="1">
        <f t="array" ref="AV91">IF(AND(AV$2&lt;&gt;0,TblTech[[#This Row],[Hour]:[Hour]]&gt;=AV$2),1,0)</f>
        <v>0</v>
      </c>
      <c r="AW91" s="304" cm="1">
        <f t="array" ref="AW91">IF(AND(AW$2&lt;&gt;0,TblTech[[#This Row],[Hour]:[Hour]]&gt;=AW$2),1,0)</f>
        <v>0</v>
      </c>
      <c r="AX91" s="304" cm="1">
        <f t="array" ref="AX91">IF(AND(AX$2&lt;&gt;0,TblTech[[#This Row],[Hour]:[Hour]]&gt;=AX$2),1,0)</f>
        <v>0</v>
      </c>
      <c r="AY91" s="304" cm="1">
        <f t="array" ref="AY91">IF(AND(AY$2&lt;&gt;0,TblTech[[#This Row],[Hour]:[Hour]]&gt;=AY$2),1,0)</f>
        <v>0</v>
      </c>
      <c r="AZ91" s="304" cm="1">
        <f t="array" ref="AZ91">IF(AND(AZ$2&lt;&gt;0,TblTech[[#This Row],[Hour]:[Hour]]&gt;=AZ$2),1,0)</f>
        <v>0</v>
      </c>
      <c r="BA91" s="304" cm="1">
        <f t="array" ref="BA91">IF(AND(BA$2&lt;&gt;0,TblTech[[#This Row],[Hour]:[Hour]]&gt;=BA$2),1,0)</f>
        <v>0</v>
      </c>
      <c r="BB91" s="304" cm="1">
        <f t="array" ref="BB91">IF(AND(BB$2&lt;&gt;0,TblTech[[#This Row],[Hour]:[Hour]]&gt;=BB$2),1,0)</f>
        <v>0</v>
      </c>
      <c r="BC91" s="304" cm="1">
        <f t="array" ref="BC91">IF(AND(BC$2&lt;&gt;0,TblTech[[#This Row],[Hour]:[Hour]]&gt;=BC$2),1,0)</f>
        <v>0</v>
      </c>
      <c r="BD91" s="304" cm="1">
        <f t="array" ref="BD91">IF(AND(BD$2&lt;&gt;0,TblTech[[#This Row],[Hour]:[Hour]]&gt;=BD$2),1,0)</f>
        <v>0</v>
      </c>
      <c r="BE91" s="304" cm="1">
        <f t="array" ref="BE91">IF(AND(BE$2&lt;&gt;0,TblTech[[#This Row],[Hour]:[Hour]]&gt;=BE$2),1,0)</f>
        <v>0</v>
      </c>
      <c r="BF91" s="304" cm="1">
        <f t="array" ref="BF91">IF(AND(BF$2&lt;&gt;0,TblTech[[#This Row],[Hour]:[Hour]]&gt;=BF$2),1,0)</f>
        <v>0</v>
      </c>
      <c r="BG91" s="304" cm="1">
        <f t="array" ref="BG91">IF(AND(BG$2&lt;&gt;0,TblTech[[#This Row],[Hour]:[Hour]]&gt;=BG$2),1,0)</f>
        <v>0</v>
      </c>
      <c r="BH91" s="304" cm="1">
        <f t="array" ref="BH91">IF(AND(BH$2&lt;&gt;0,TblTech[[#This Row],[Hour]:[Hour]]&gt;=BH$2),1,0)</f>
        <v>0</v>
      </c>
      <c r="BI91" s="304" cm="1">
        <f t="array" ref="BI91">IF(AND(BI$2&lt;&gt;0,TblTech[[#This Row],[Hour]:[Hour]]&gt;=BI$2),1,0)</f>
        <v>0</v>
      </c>
      <c r="BJ91" s="304" cm="1">
        <f t="array" ref="BJ91">IF(AND(BJ$2&lt;&gt;0,TblTech[[#This Row],[Hour]:[Hour]]&gt;=BJ$2),1,0)</f>
        <v>0</v>
      </c>
      <c r="BK91" s="304" cm="1">
        <f t="array" ref="BK91">IF(AND(BK$2&lt;&gt;0,TblTech[[#This Row],[Hour]:[Hour]]&gt;=BK$2),1,0)</f>
        <v>0</v>
      </c>
      <c r="BL91" s="304" cm="1">
        <f t="array" ref="BL91">IF(AND(BL$2&lt;&gt;0,TblTech[[#This Row],[Hour]:[Hour]]&gt;=BL$2),1,0)</f>
        <v>0</v>
      </c>
      <c r="BM91" s="304" cm="1">
        <f t="array" ref="BM91">IF(AND(BM$2&lt;&gt;0,TblTech[[#This Row],[Hour]:[Hour]]&gt;=BM$2),1,0)</f>
        <v>0</v>
      </c>
      <c r="BN91" s="304" cm="1">
        <f t="array" ref="BN91">IF(AND(BN$2&lt;&gt;0,TblTech[[#This Row],[Hour]:[Hour]]&gt;=BN$2),1,0)</f>
        <v>0</v>
      </c>
      <c r="BO91" s="304" cm="1">
        <f t="array" ref="BO91">IF(AND(BO$2&lt;&gt;0,TblTech[[#This Row],[Hour]:[Hour]]&gt;=BO$2),1,0)</f>
        <v>0</v>
      </c>
      <c r="BP91" s="304" cm="1">
        <f t="array" ref="BP91">IF(AND(BP$2&lt;&gt;0,TblTech[[#This Row],[Hour]:[Hour]]&gt;=BP$2),1,0)</f>
        <v>0</v>
      </c>
      <c r="BQ91" s="304" cm="1">
        <f t="array" ref="BQ91">IF(AND(BQ$2&lt;&gt;0,TblTech[[#This Row],[Hour]:[Hour]]&gt;=BQ$2),1,0)</f>
        <v>0</v>
      </c>
      <c r="BR91" s="304" cm="1">
        <f t="array" ref="BR91">IF(AND(BR$2&lt;&gt;0,TblTech[[#This Row],[Hour]:[Hour]]&gt;=BR$2),1,0)</f>
        <v>0</v>
      </c>
      <c r="BS91" s="304" cm="1">
        <f t="array" ref="BS91">IF(AND(BS$2&lt;&gt;0,TblTech[[#This Row],[Hour]:[Hour]]&gt;=BS$2),1,0)</f>
        <v>0</v>
      </c>
      <c r="BT91" s="304" cm="1">
        <f t="array" ref="BT91">IF(AND(BT$2&lt;&gt;0,TblTech[[#This Row],[Hour]:[Hour]]&gt;=BT$2),1,0)</f>
        <v>0</v>
      </c>
      <c r="BU91" s="304" cm="1">
        <f t="array" ref="BU91">IF(AND(BU$2&lt;&gt;0,TblTech[[#This Row],[Hour]:[Hour]]&gt;=BU$2),1,0)</f>
        <v>0</v>
      </c>
      <c r="BV91" s="304" cm="1">
        <f t="array" ref="BV91">IF(AND(BV$2&lt;&gt;0,TblTech[[#This Row],[Hour]:[Hour]]&gt;=BV$2),1,0)</f>
        <v>0</v>
      </c>
      <c r="BW91" s="304" cm="1">
        <f t="array" ref="BW91">IF(AND(BW$2&lt;&gt;0,TblTech[[#This Row],[Hour]:[Hour]]&gt;=BW$2),1,0)</f>
        <v>0</v>
      </c>
      <c r="BX91" s="304" cm="1">
        <f t="array" ref="BX91">IF(AND(BX$2&lt;&gt;0,TblTech[[#This Row],[Hour]:[Hour]]&gt;=BX$2),1,0)</f>
        <v>0</v>
      </c>
      <c r="BY91" s="304" cm="1">
        <f t="array" ref="BY91">IF(AND(BY$2&lt;&gt;0,TblTech[[#This Row],[Hour]:[Hour]]&gt;=BY$2),1,0)</f>
        <v>0</v>
      </c>
      <c r="BZ91" s="304" cm="1">
        <f t="array" ref="BZ91">IF(AND(BZ$2&lt;&gt;0,TblTech[[#This Row],[Hour]:[Hour]]&gt;=BZ$2),1,0)</f>
        <v>0</v>
      </c>
      <c r="CA91" s="408">
        <f>IFERROR(INDEX($H$4:$H$79,MATCH(INDEX(TblTech[[#Headers],[1-1]:[11-1]],1,MATCH(TblTech[[#This Row],[Hour]],$M$2:$BZ$2,0)),$G$4:$G$79,0)),)</f>
        <v>0</v>
      </c>
    </row>
    <row r="92" spans="1:79" x14ac:dyDescent="0.2">
      <c r="A92" s="296">
        <f>TblRezone[[#This Row],[Hour]]</f>
        <v>89</v>
      </c>
      <c r="B92" s="297">
        <f ca="1">TblExplore[[#This Row],[Land-DB]]</f>
        <v>250</v>
      </c>
      <c r="C92" s="298">
        <f ca="1">TblProd[[#This Row],[Techpoints]]</f>
        <v>0</v>
      </c>
      <c r="D92" s="298">
        <f ca="1">TblProd[[#This Row],[Required]]</f>
        <v>3750</v>
      </c>
      <c r="E92" s="307"/>
      <c r="F92" s="308"/>
      <c r="G92" s="301"/>
      <c r="H92" s="302"/>
      <c r="I92" s="302"/>
      <c r="J92" s="302"/>
      <c r="K92" s="96">
        <f ca="1">IF(TblTech[[#This Row],[Sum of tech]]&lt;&gt;OFFSET(TblTech[[#This Row],[Sum of tech]],-1,0),1,0)</f>
        <v>0</v>
      </c>
      <c r="L92" s="303">
        <f>COUNTIF(TblTech[[#This Row],[1-1]:[11-1]],1)</f>
        <v>0</v>
      </c>
      <c r="M92" s="304" cm="1">
        <f t="array" ref="M92">IF(AND(M$2&lt;&gt;0,TblTech[[#This Row],[Hour]:[Hour]]&gt;=M$2),1,0)</f>
        <v>0</v>
      </c>
      <c r="N92" s="304" cm="1">
        <f t="array" ref="N92">IF(AND(N$2&lt;&gt;0,TblTech[[#This Row],[Hour]:[Hour]]&gt;=N$2),1,0)</f>
        <v>0</v>
      </c>
      <c r="O92" s="304" cm="1">
        <f t="array" ref="O92">IF(AND(O$2&lt;&gt;0,TblTech[[#This Row],[Hour]:[Hour]]&gt;=O$2),1,0)</f>
        <v>0</v>
      </c>
      <c r="P92" s="304" cm="1">
        <f t="array" ref="P92">IF(AND(P$2&lt;&gt;0,TblTech[[#This Row],[Hour]:[Hour]]&gt;=P$2),1,0)</f>
        <v>0</v>
      </c>
      <c r="Q92" s="304" cm="1">
        <f t="array" ref="Q92">IF(AND(Q$2&lt;&gt;0,TblTech[[#This Row],[Hour]:[Hour]]&gt;=Q$2),1,0)</f>
        <v>0</v>
      </c>
      <c r="R92" s="304" cm="1">
        <f t="array" ref="R92">IF(AND(R$2&lt;&gt;0,TblTech[[#This Row],[Hour]:[Hour]]&gt;=R$2),1,0)</f>
        <v>0</v>
      </c>
      <c r="S92" s="304" cm="1">
        <f t="array" ref="S92">IF(AND(S$2&lt;&gt;0,TblTech[[#This Row],[Hour]:[Hour]]&gt;=S$2),1,0)</f>
        <v>0</v>
      </c>
      <c r="T92" s="304" cm="1">
        <f t="array" ref="T92">IF(AND(T$2&lt;&gt;0,TblTech[[#This Row],[Hour]:[Hour]]&gt;=T$2),1,0)</f>
        <v>0</v>
      </c>
      <c r="U92" s="304" cm="1">
        <f t="array" ref="U92">IF(AND(U$2&lt;&gt;0,TblTech[[#This Row],[Hour]:[Hour]]&gt;=U$2),1,0)</f>
        <v>0</v>
      </c>
      <c r="V92" s="304" cm="1">
        <f t="array" ref="V92">IF(AND(V$2&lt;&gt;0,TblTech[[#This Row],[Hour]:[Hour]]&gt;=V$2),1,0)</f>
        <v>0</v>
      </c>
      <c r="W92" s="304" cm="1">
        <f t="array" ref="W92">IF(AND(W$2&lt;&gt;0,TblTech[[#This Row],[Hour]:[Hour]]&gt;=W$2),1,0)</f>
        <v>0</v>
      </c>
      <c r="X92" s="304" cm="1">
        <f t="array" ref="X92">IF(AND(X$2&lt;&gt;0,TblTech[[#This Row],[Hour]:[Hour]]&gt;=X$2),1,0)</f>
        <v>0</v>
      </c>
      <c r="Y92" s="304" cm="1">
        <f t="array" ref="Y92">IF(AND(Y$2&lt;&gt;0,TblTech[[#This Row],[Hour]:[Hour]]&gt;=Y$2),1,0)</f>
        <v>0</v>
      </c>
      <c r="Z92" s="304" cm="1">
        <f t="array" ref="Z92">IF(AND(Z$2&lt;&gt;0,TblTech[[#This Row],[Hour]:[Hour]]&gt;=Z$2),1,0)</f>
        <v>0</v>
      </c>
      <c r="AA92" s="304" cm="1">
        <f t="array" ref="AA92">IF(AND(AA$2&lt;&gt;0,TblTech[[#This Row],[Hour]:[Hour]]&gt;=AA$2),1,0)</f>
        <v>0</v>
      </c>
      <c r="AB92" s="304" cm="1">
        <f t="array" ref="AB92">IF(AND(AB$2&lt;&gt;0,TblTech[[#This Row],[Hour]:[Hour]]&gt;=AB$2),1,0)</f>
        <v>0</v>
      </c>
      <c r="AC92" s="304" cm="1">
        <f t="array" ref="AC92">IF(AND(AC$2&lt;&gt;0,TblTech[[#This Row],[Hour]:[Hour]]&gt;=AC$2),1,0)</f>
        <v>0</v>
      </c>
      <c r="AD92" s="304" cm="1">
        <f t="array" ref="AD92">IF(AND(AD$2&lt;&gt;0,TblTech[[#This Row],[Hour]:[Hour]]&gt;=AD$2),1,0)</f>
        <v>0</v>
      </c>
      <c r="AE92" s="304" cm="1">
        <f t="array" ref="AE92">IF(AND(AE$2&lt;&gt;0,TblTech[[#This Row],[Hour]:[Hour]]&gt;=AE$2),1,0)</f>
        <v>0</v>
      </c>
      <c r="AF92" s="304" cm="1">
        <f t="array" ref="AF92">IF(AND(AF$2&lt;&gt;0,TblTech[[#This Row],[Hour]:[Hour]]&gt;=AF$2),1,0)</f>
        <v>0</v>
      </c>
      <c r="AG92" s="304" cm="1">
        <f t="array" ref="AG92">IF(AND(AG$2&lt;&gt;0,TblTech[[#This Row],[Hour]:[Hour]]&gt;=AG$2),1,0)</f>
        <v>0</v>
      </c>
      <c r="AH92" s="304" cm="1">
        <f t="array" ref="AH92">IF(AND(AH$2&lt;&gt;0,TblTech[[#This Row],[Hour]:[Hour]]&gt;=AH$2),1,0)</f>
        <v>0</v>
      </c>
      <c r="AI92" s="304" cm="1">
        <f t="array" ref="AI92">IF(AND(AI$2&lt;&gt;0,TblTech[[#This Row],[Hour]:[Hour]]&gt;=AI$2),1,0)</f>
        <v>0</v>
      </c>
      <c r="AJ92" s="304" cm="1">
        <f t="array" ref="AJ92">IF(AND(AJ$2&lt;&gt;0,TblTech[[#This Row],[Hour]:[Hour]]&gt;=AJ$2),1,0)</f>
        <v>0</v>
      </c>
      <c r="AK92" s="304" cm="1">
        <f t="array" ref="AK92">IF(AND(AK$2&lt;&gt;0,TblTech[[#This Row],[Hour]:[Hour]]&gt;=AK$2),1,0)</f>
        <v>0</v>
      </c>
      <c r="AL92" s="304" cm="1">
        <f t="array" ref="AL92">IF(AND(AL$2&lt;&gt;0,TblTech[[#This Row],[Hour]:[Hour]]&gt;=AL$2),1,0)</f>
        <v>0</v>
      </c>
      <c r="AM92" s="304" cm="1">
        <f t="array" ref="AM92">IF(AND(AM$2&lt;&gt;0,TblTech[[#This Row],[Hour]:[Hour]]&gt;=AM$2),1,0)</f>
        <v>0</v>
      </c>
      <c r="AN92" s="304" cm="1">
        <f t="array" ref="AN92">IF(AND(AN$2&lt;&gt;0,TblTech[[#This Row],[Hour]:[Hour]]&gt;=AN$2),1,0)</f>
        <v>0</v>
      </c>
      <c r="AO92" s="304" cm="1">
        <f t="array" ref="AO92">IF(AND(AO$2&lt;&gt;0,TblTech[[#This Row],[Hour]:[Hour]]&gt;=AO$2),1,0)</f>
        <v>0</v>
      </c>
      <c r="AP92" s="304" cm="1">
        <f t="array" ref="AP92">IF(AND(AP$2&lt;&gt;0,TblTech[[#This Row],[Hour]:[Hour]]&gt;=AP$2),1,0)</f>
        <v>0</v>
      </c>
      <c r="AQ92" s="304" cm="1">
        <f t="array" ref="AQ92">IF(AND(AQ$2&lt;&gt;0,TblTech[[#This Row],[Hour]:[Hour]]&gt;=AQ$2),1,0)</f>
        <v>0</v>
      </c>
      <c r="AR92" s="304" cm="1">
        <f t="array" ref="AR92">IF(AND(AR$2&lt;&gt;0,TblTech[[#This Row],[Hour]:[Hour]]&gt;=AR$2),1,0)</f>
        <v>0</v>
      </c>
      <c r="AS92" s="304" cm="1">
        <f t="array" ref="AS92">IF(AND(AS$2&lt;&gt;0,TblTech[[#This Row],[Hour]:[Hour]]&gt;=AS$2),1,0)</f>
        <v>0</v>
      </c>
      <c r="AT92" s="304" cm="1">
        <f t="array" ref="AT92">IF(AND(AT$2&lt;&gt;0,TblTech[[#This Row],[Hour]:[Hour]]&gt;=AT$2),1,0)</f>
        <v>0</v>
      </c>
      <c r="AU92" s="304" cm="1">
        <f t="array" ref="AU92">IF(AND(AU$2&lt;&gt;0,TblTech[[#This Row],[Hour]:[Hour]]&gt;=AU$2),1,0)</f>
        <v>0</v>
      </c>
      <c r="AV92" s="304" cm="1">
        <f t="array" ref="AV92">IF(AND(AV$2&lt;&gt;0,TblTech[[#This Row],[Hour]:[Hour]]&gt;=AV$2),1,0)</f>
        <v>0</v>
      </c>
      <c r="AW92" s="304" cm="1">
        <f t="array" ref="AW92">IF(AND(AW$2&lt;&gt;0,TblTech[[#This Row],[Hour]:[Hour]]&gt;=AW$2),1,0)</f>
        <v>0</v>
      </c>
      <c r="AX92" s="304" cm="1">
        <f t="array" ref="AX92">IF(AND(AX$2&lt;&gt;0,TblTech[[#This Row],[Hour]:[Hour]]&gt;=AX$2),1,0)</f>
        <v>0</v>
      </c>
      <c r="AY92" s="304" cm="1">
        <f t="array" ref="AY92">IF(AND(AY$2&lt;&gt;0,TblTech[[#This Row],[Hour]:[Hour]]&gt;=AY$2),1,0)</f>
        <v>0</v>
      </c>
      <c r="AZ92" s="304" cm="1">
        <f t="array" ref="AZ92">IF(AND(AZ$2&lt;&gt;0,TblTech[[#This Row],[Hour]:[Hour]]&gt;=AZ$2),1,0)</f>
        <v>0</v>
      </c>
      <c r="BA92" s="304" cm="1">
        <f t="array" ref="BA92">IF(AND(BA$2&lt;&gt;0,TblTech[[#This Row],[Hour]:[Hour]]&gt;=BA$2),1,0)</f>
        <v>0</v>
      </c>
      <c r="BB92" s="304" cm="1">
        <f t="array" ref="BB92">IF(AND(BB$2&lt;&gt;0,TblTech[[#This Row],[Hour]:[Hour]]&gt;=BB$2),1,0)</f>
        <v>0</v>
      </c>
      <c r="BC92" s="304" cm="1">
        <f t="array" ref="BC92">IF(AND(BC$2&lt;&gt;0,TblTech[[#This Row],[Hour]:[Hour]]&gt;=BC$2),1,0)</f>
        <v>0</v>
      </c>
      <c r="BD92" s="304" cm="1">
        <f t="array" ref="BD92">IF(AND(BD$2&lt;&gt;0,TblTech[[#This Row],[Hour]:[Hour]]&gt;=BD$2),1,0)</f>
        <v>0</v>
      </c>
      <c r="BE92" s="304" cm="1">
        <f t="array" ref="BE92">IF(AND(BE$2&lt;&gt;0,TblTech[[#This Row],[Hour]:[Hour]]&gt;=BE$2),1,0)</f>
        <v>0</v>
      </c>
      <c r="BF92" s="304" cm="1">
        <f t="array" ref="BF92">IF(AND(BF$2&lt;&gt;0,TblTech[[#This Row],[Hour]:[Hour]]&gt;=BF$2),1,0)</f>
        <v>0</v>
      </c>
      <c r="BG92" s="304" cm="1">
        <f t="array" ref="BG92">IF(AND(BG$2&lt;&gt;0,TblTech[[#This Row],[Hour]:[Hour]]&gt;=BG$2),1,0)</f>
        <v>0</v>
      </c>
      <c r="BH92" s="304" cm="1">
        <f t="array" ref="BH92">IF(AND(BH$2&lt;&gt;0,TblTech[[#This Row],[Hour]:[Hour]]&gt;=BH$2),1,0)</f>
        <v>0</v>
      </c>
      <c r="BI92" s="304" cm="1">
        <f t="array" ref="BI92">IF(AND(BI$2&lt;&gt;0,TblTech[[#This Row],[Hour]:[Hour]]&gt;=BI$2),1,0)</f>
        <v>0</v>
      </c>
      <c r="BJ92" s="304" cm="1">
        <f t="array" ref="BJ92">IF(AND(BJ$2&lt;&gt;0,TblTech[[#This Row],[Hour]:[Hour]]&gt;=BJ$2),1,0)</f>
        <v>0</v>
      </c>
      <c r="BK92" s="304" cm="1">
        <f t="array" ref="BK92">IF(AND(BK$2&lt;&gt;0,TblTech[[#This Row],[Hour]:[Hour]]&gt;=BK$2),1,0)</f>
        <v>0</v>
      </c>
      <c r="BL92" s="304" cm="1">
        <f t="array" ref="BL92">IF(AND(BL$2&lt;&gt;0,TblTech[[#This Row],[Hour]:[Hour]]&gt;=BL$2),1,0)</f>
        <v>0</v>
      </c>
      <c r="BM92" s="304" cm="1">
        <f t="array" ref="BM92">IF(AND(BM$2&lt;&gt;0,TblTech[[#This Row],[Hour]:[Hour]]&gt;=BM$2),1,0)</f>
        <v>0</v>
      </c>
      <c r="BN92" s="304" cm="1">
        <f t="array" ref="BN92">IF(AND(BN$2&lt;&gt;0,TblTech[[#This Row],[Hour]:[Hour]]&gt;=BN$2),1,0)</f>
        <v>0</v>
      </c>
      <c r="BO92" s="304" cm="1">
        <f t="array" ref="BO92">IF(AND(BO$2&lt;&gt;0,TblTech[[#This Row],[Hour]:[Hour]]&gt;=BO$2),1,0)</f>
        <v>0</v>
      </c>
      <c r="BP92" s="304" cm="1">
        <f t="array" ref="BP92">IF(AND(BP$2&lt;&gt;0,TblTech[[#This Row],[Hour]:[Hour]]&gt;=BP$2),1,0)</f>
        <v>0</v>
      </c>
      <c r="BQ92" s="304" cm="1">
        <f t="array" ref="BQ92">IF(AND(BQ$2&lt;&gt;0,TblTech[[#This Row],[Hour]:[Hour]]&gt;=BQ$2),1,0)</f>
        <v>0</v>
      </c>
      <c r="BR92" s="304" cm="1">
        <f t="array" ref="BR92">IF(AND(BR$2&lt;&gt;0,TblTech[[#This Row],[Hour]:[Hour]]&gt;=BR$2),1,0)</f>
        <v>0</v>
      </c>
      <c r="BS92" s="304" cm="1">
        <f t="array" ref="BS92">IF(AND(BS$2&lt;&gt;0,TblTech[[#This Row],[Hour]:[Hour]]&gt;=BS$2),1,0)</f>
        <v>0</v>
      </c>
      <c r="BT92" s="304" cm="1">
        <f t="array" ref="BT92">IF(AND(BT$2&lt;&gt;0,TblTech[[#This Row],[Hour]:[Hour]]&gt;=BT$2),1,0)</f>
        <v>0</v>
      </c>
      <c r="BU92" s="304" cm="1">
        <f t="array" ref="BU92">IF(AND(BU$2&lt;&gt;0,TblTech[[#This Row],[Hour]:[Hour]]&gt;=BU$2),1,0)</f>
        <v>0</v>
      </c>
      <c r="BV92" s="304" cm="1">
        <f t="array" ref="BV92">IF(AND(BV$2&lt;&gt;0,TblTech[[#This Row],[Hour]:[Hour]]&gt;=BV$2),1,0)</f>
        <v>0</v>
      </c>
      <c r="BW92" s="304" cm="1">
        <f t="array" ref="BW92">IF(AND(BW$2&lt;&gt;0,TblTech[[#This Row],[Hour]:[Hour]]&gt;=BW$2),1,0)</f>
        <v>0</v>
      </c>
      <c r="BX92" s="304" cm="1">
        <f t="array" ref="BX92">IF(AND(BX$2&lt;&gt;0,TblTech[[#This Row],[Hour]:[Hour]]&gt;=BX$2),1,0)</f>
        <v>0</v>
      </c>
      <c r="BY92" s="304" cm="1">
        <f t="array" ref="BY92">IF(AND(BY$2&lt;&gt;0,TblTech[[#This Row],[Hour]:[Hour]]&gt;=BY$2),1,0)</f>
        <v>0</v>
      </c>
      <c r="BZ92" s="304" cm="1">
        <f t="array" ref="BZ92">IF(AND(BZ$2&lt;&gt;0,TblTech[[#This Row],[Hour]:[Hour]]&gt;=BZ$2),1,0)</f>
        <v>0</v>
      </c>
      <c r="CA92" s="408">
        <f>IFERROR(INDEX($H$4:$H$79,MATCH(INDEX(TblTech[[#Headers],[1-1]:[11-1]],1,MATCH(TblTech[[#This Row],[Hour]],$M$2:$BZ$2,0)),$G$4:$G$79,0)),)</f>
        <v>0</v>
      </c>
    </row>
    <row r="93" spans="1:79" x14ac:dyDescent="0.2">
      <c r="A93" s="296">
        <f>TblRezone[[#This Row],[Hour]]</f>
        <v>90</v>
      </c>
      <c r="B93" s="297">
        <f ca="1">TblExplore[[#This Row],[Land-DB]]</f>
        <v>250</v>
      </c>
      <c r="C93" s="298">
        <f ca="1">TblProd[[#This Row],[Techpoints]]</f>
        <v>0</v>
      </c>
      <c r="D93" s="298">
        <f ca="1">TblProd[[#This Row],[Required]]</f>
        <v>3750</v>
      </c>
      <c r="E93" s="307"/>
      <c r="F93" s="308"/>
      <c r="G93" s="301"/>
      <c r="H93" s="302"/>
      <c r="I93" s="302"/>
      <c r="J93" s="302"/>
      <c r="K93" s="96">
        <f ca="1">IF(TblTech[[#This Row],[Sum of tech]]&lt;&gt;OFFSET(TblTech[[#This Row],[Sum of tech]],-1,0),1,0)</f>
        <v>0</v>
      </c>
      <c r="L93" s="303">
        <f>COUNTIF(TblTech[[#This Row],[1-1]:[11-1]],1)</f>
        <v>0</v>
      </c>
      <c r="M93" s="304" cm="1">
        <f t="array" ref="M93">IF(AND(M$2&lt;&gt;0,TblTech[[#This Row],[Hour]:[Hour]]&gt;=M$2),1,0)</f>
        <v>0</v>
      </c>
      <c r="N93" s="304" cm="1">
        <f t="array" ref="N93">IF(AND(N$2&lt;&gt;0,TblTech[[#This Row],[Hour]:[Hour]]&gt;=N$2),1,0)</f>
        <v>0</v>
      </c>
      <c r="O93" s="304" cm="1">
        <f t="array" ref="O93">IF(AND(O$2&lt;&gt;0,TblTech[[#This Row],[Hour]:[Hour]]&gt;=O$2),1,0)</f>
        <v>0</v>
      </c>
      <c r="P93" s="304" cm="1">
        <f t="array" ref="P93">IF(AND(P$2&lt;&gt;0,TblTech[[#This Row],[Hour]:[Hour]]&gt;=P$2),1,0)</f>
        <v>0</v>
      </c>
      <c r="Q93" s="304" cm="1">
        <f t="array" ref="Q93">IF(AND(Q$2&lt;&gt;0,TblTech[[#This Row],[Hour]:[Hour]]&gt;=Q$2),1,0)</f>
        <v>0</v>
      </c>
      <c r="R93" s="304" cm="1">
        <f t="array" ref="R93">IF(AND(R$2&lt;&gt;0,TblTech[[#This Row],[Hour]:[Hour]]&gt;=R$2),1,0)</f>
        <v>0</v>
      </c>
      <c r="S93" s="304" cm="1">
        <f t="array" ref="S93">IF(AND(S$2&lt;&gt;0,TblTech[[#This Row],[Hour]:[Hour]]&gt;=S$2),1,0)</f>
        <v>0</v>
      </c>
      <c r="T93" s="304" cm="1">
        <f t="array" ref="T93">IF(AND(T$2&lt;&gt;0,TblTech[[#This Row],[Hour]:[Hour]]&gt;=T$2),1,0)</f>
        <v>0</v>
      </c>
      <c r="U93" s="304" cm="1">
        <f t="array" ref="U93">IF(AND(U$2&lt;&gt;0,TblTech[[#This Row],[Hour]:[Hour]]&gt;=U$2),1,0)</f>
        <v>0</v>
      </c>
      <c r="V93" s="304" cm="1">
        <f t="array" ref="V93">IF(AND(V$2&lt;&gt;0,TblTech[[#This Row],[Hour]:[Hour]]&gt;=V$2),1,0)</f>
        <v>0</v>
      </c>
      <c r="W93" s="304" cm="1">
        <f t="array" ref="W93">IF(AND(W$2&lt;&gt;0,TblTech[[#This Row],[Hour]:[Hour]]&gt;=W$2),1,0)</f>
        <v>0</v>
      </c>
      <c r="X93" s="304" cm="1">
        <f t="array" ref="X93">IF(AND(X$2&lt;&gt;0,TblTech[[#This Row],[Hour]:[Hour]]&gt;=X$2),1,0)</f>
        <v>0</v>
      </c>
      <c r="Y93" s="304" cm="1">
        <f t="array" ref="Y93">IF(AND(Y$2&lt;&gt;0,TblTech[[#This Row],[Hour]:[Hour]]&gt;=Y$2),1,0)</f>
        <v>0</v>
      </c>
      <c r="Z93" s="304" cm="1">
        <f t="array" ref="Z93">IF(AND(Z$2&lt;&gt;0,TblTech[[#This Row],[Hour]:[Hour]]&gt;=Z$2),1,0)</f>
        <v>0</v>
      </c>
      <c r="AA93" s="304" cm="1">
        <f t="array" ref="AA93">IF(AND(AA$2&lt;&gt;0,TblTech[[#This Row],[Hour]:[Hour]]&gt;=AA$2),1,0)</f>
        <v>0</v>
      </c>
      <c r="AB93" s="304" cm="1">
        <f t="array" ref="AB93">IF(AND(AB$2&lt;&gt;0,TblTech[[#This Row],[Hour]:[Hour]]&gt;=AB$2),1,0)</f>
        <v>0</v>
      </c>
      <c r="AC93" s="304" cm="1">
        <f t="array" ref="AC93">IF(AND(AC$2&lt;&gt;0,TblTech[[#This Row],[Hour]:[Hour]]&gt;=AC$2),1,0)</f>
        <v>0</v>
      </c>
      <c r="AD93" s="304" cm="1">
        <f t="array" ref="AD93">IF(AND(AD$2&lt;&gt;0,TblTech[[#This Row],[Hour]:[Hour]]&gt;=AD$2),1,0)</f>
        <v>0</v>
      </c>
      <c r="AE93" s="304" cm="1">
        <f t="array" ref="AE93">IF(AND(AE$2&lt;&gt;0,TblTech[[#This Row],[Hour]:[Hour]]&gt;=AE$2),1,0)</f>
        <v>0</v>
      </c>
      <c r="AF93" s="304" cm="1">
        <f t="array" ref="AF93">IF(AND(AF$2&lt;&gt;0,TblTech[[#This Row],[Hour]:[Hour]]&gt;=AF$2),1,0)</f>
        <v>0</v>
      </c>
      <c r="AG93" s="304" cm="1">
        <f t="array" ref="AG93">IF(AND(AG$2&lt;&gt;0,TblTech[[#This Row],[Hour]:[Hour]]&gt;=AG$2),1,0)</f>
        <v>0</v>
      </c>
      <c r="AH93" s="304" cm="1">
        <f t="array" ref="AH93">IF(AND(AH$2&lt;&gt;0,TblTech[[#This Row],[Hour]:[Hour]]&gt;=AH$2),1,0)</f>
        <v>0</v>
      </c>
      <c r="AI93" s="304" cm="1">
        <f t="array" ref="AI93">IF(AND(AI$2&lt;&gt;0,TblTech[[#This Row],[Hour]:[Hour]]&gt;=AI$2),1,0)</f>
        <v>0</v>
      </c>
      <c r="AJ93" s="304" cm="1">
        <f t="array" ref="AJ93">IF(AND(AJ$2&lt;&gt;0,TblTech[[#This Row],[Hour]:[Hour]]&gt;=AJ$2),1,0)</f>
        <v>0</v>
      </c>
      <c r="AK93" s="304" cm="1">
        <f t="array" ref="AK93">IF(AND(AK$2&lt;&gt;0,TblTech[[#This Row],[Hour]:[Hour]]&gt;=AK$2),1,0)</f>
        <v>0</v>
      </c>
      <c r="AL93" s="304" cm="1">
        <f t="array" ref="AL93">IF(AND(AL$2&lt;&gt;0,TblTech[[#This Row],[Hour]:[Hour]]&gt;=AL$2),1,0)</f>
        <v>0</v>
      </c>
      <c r="AM93" s="304" cm="1">
        <f t="array" ref="AM93">IF(AND(AM$2&lt;&gt;0,TblTech[[#This Row],[Hour]:[Hour]]&gt;=AM$2),1,0)</f>
        <v>0</v>
      </c>
      <c r="AN93" s="304" cm="1">
        <f t="array" ref="AN93">IF(AND(AN$2&lt;&gt;0,TblTech[[#This Row],[Hour]:[Hour]]&gt;=AN$2),1,0)</f>
        <v>0</v>
      </c>
      <c r="AO93" s="304" cm="1">
        <f t="array" ref="AO93">IF(AND(AO$2&lt;&gt;0,TblTech[[#This Row],[Hour]:[Hour]]&gt;=AO$2),1,0)</f>
        <v>0</v>
      </c>
      <c r="AP93" s="304" cm="1">
        <f t="array" ref="AP93">IF(AND(AP$2&lt;&gt;0,TblTech[[#This Row],[Hour]:[Hour]]&gt;=AP$2),1,0)</f>
        <v>0</v>
      </c>
      <c r="AQ93" s="304" cm="1">
        <f t="array" ref="AQ93">IF(AND(AQ$2&lt;&gt;0,TblTech[[#This Row],[Hour]:[Hour]]&gt;=AQ$2),1,0)</f>
        <v>0</v>
      </c>
      <c r="AR93" s="304" cm="1">
        <f t="array" ref="AR93">IF(AND(AR$2&lt;&gt;0,TblTech[[#This Row],[Hour]:[Hour]]&gt;=AR$2),1,0)</f>
        <v>0</v>
      </c>
      <c r="AS93" s="304" cm="1">
        <f t="array" ref="AS93">IF(AND(AS$2&lt;&gt;0,TblTech[[#This Row],[Hour]:[Hour]]&gt;=AS$2),1,0)</f>
        <v>0</v>
      </c>
      <c r="AT93" s="304" cm="1">
        <f t="array" ref="AT93">IF(AND(AT$2&lt;&gt;0,TblTech[[#This Row],[Hour]:[Hour]]&gt;=AT$2),1,0)</f>
        <v>0</v>
      </c>
      <c r="AU93" s="304" cm="1">
        <f t="array" ref="AU93">IF(AND(AU$2&lt;&gt;0,TblTech[[#This Row],[Hour]:[Hour]]&gt;=AU$2),1,0)</f>
        <v>0</v>
      </c>
      <c r="AV93" s="304" cm="1">
        <f t="array" ref="AV93">IF(AND(AV$2&lt;&gt;0,TblTech[[#This Row],[Hour]:[Hour]]&gt;=AV$2),1,0)</f>
        <v>0</v>
      </c>
      <c r="AW93" s="304" cm="1">
        <f t="array" ref="AW93">IF(AND(AW$2&lt;&gt;0,TblTech[[#This Row],[Hour]:[Hour]]&gt;=AW$2),1,0)</f>
        <v>0</v>
      </c>
      <c r="AX93" s="304" cm="1">
        <f t="array" ref="AX93">IF(AND(AX$2&lt;&gt;0,TblTech[[#This Row],[Hour]:[Hour]]&gt;=AX$2),1,0)</f>
        <v>0</v>
      </c>
      <c r="AY93" s="304" cm="1">
        <f t="array" ref="AY93">IF(AND(AY$2&lt;&gt;0,TblTech[[#This Row],[Hour]:[Hour]]&gt;=AY$2),1,0)</f>
        <v>0</v>
      </c>
      <c r="AZ93" s="304" cm="1">
        <f t="array" ref="AZ93">IF(AND(AZ$2&lt;&gt;0,TblTech[[#This Row],[Hour]:[Hour]]&gt;=AZ$2),1,0)</f>
        <v>0</v>
      </c>
      <c r="BA93" s="304" cm="1">
        <f t="array" ref="BA93">IF(AND(BA$2&lt;&gt;0,TblTech[[#This Row],[Hour]:[Hour]]&gt;=BA$2),1,0)</f>
        <v>0</v>
      </c>
      <c r="BB93" s="304" cm="1">
        <f t="array" ref="BB93">IF(AND(BB$2&lt;&gt;0,TblTech[[#This Row],[Hour]:[Hour]]&gt;=BB$2),1,0)</f>
        <v>0</v>
      </c>
      <c r="BC93" s="304" cm="1">
        <f t="array" ref="BC93">IF(AND(BC$2&lt;&gt;0,TblTech[[#This Row],[Hour]:[Hour]]&gt;=BC$2),1,0)</f>
        <v>0</v>
      </c>
      <c r="BD93" s="304" cm="1">
        <f t="array" ref="BD93">IF(AND(BD$2&lt;&gt;0,TblTech[[#This Row],[Hour]:[Hour]]&gt;=BD$2),1,0)</f>
        <v>0</v>
      </c>
      <c r="BE93" s="304" cm="1">
        <f t="array" ref="BE93">IF(AND(BE$2&lt;&gt;0,TblTech[[#This Row],[Hour]:[Hour]]&gt;=BE$2),1,0)</f>
        <v>0</v>
      </c>
      <c r="BF93" s="304" cm="1">
        <f t="array" ref="BF93">IF(AND(BF$2&lt;&gt;0,TblTech[[#This Row],[Hour]:[Hour]]&gt;=BF$2),1,0)</f>
        <v>0</v>
      </c>
      <c r="BG93" s="304" cm="1">
        <f t="array" ref="BG93">IF(AND(BG$2&lt;&gt;0,TblTech[[#This Row],[Hour]:[Hour]]&gt;=BG$2),1,0)</f>
        <v>0</v>
      </c>
      <c r="BH93" s="304" cm="1">
        <f t="array" ref="BH93">IF(AND(BH$2&lt;&gt;0,TblTech[[#This Row],[Hour]:[Hour]]&gt;=BH$2),1,0)</f>
        <v>0</v>
      </c>
      <c r="BI93" s="304" cm="1">
        <f t="array" ref="BI93">IF(AND(BI$2&lt;&gt;0,TblTech[[#This Row],[Hour]:[Hour]]&gt;=BI$2),1,0)</f>
        <v>0</v>
      </c>
      <c r="BJ93" s="304" cm="1">
        <f t="array" ref="BJ93">IF(AND(BJ$2&lt;&gt;0,TblTech[[#This Row],[Hour]:[Hour]]&gt;=BJ$2),1,0)</f>
        <v>0</v>
      </c>
      <c r="BK93" s="304" cm="1">
        <f t="array" ref="BK93">IF(AND(BK$2&lt;&gt;0,TblTech[[#This Row],[Hour]:[Hour]]&gt;=BK$2),1,0)</f>
        <v>0</v>
      </c>
      <c r="BL93" s="304" cm="1">
        <f t="array" ref="BL93">IF(AND(BL$2&lt;&gt;0,TblTech[[#This Row],[Hour]:[Hour]]&gt;=BL$2),1,0)</f>
        <v>0</v>
      </c>
      <c r="BM93" s="304" cm="1">
        <f t="array" ref="BM93">IF(AND(BM$2&lt;&gt;0,TblTech[[#This Row],[Hour]:[Hour]]&gt;=BM$2),1,0)</f>
        <v>0</v>
      </c>
      <c r="BN93" s="304" cm="1">
        <f t="array" ref="BN93">IF(AND(BN$2&lt;&gt;0,TblTech[[#This Row],[Hour]:[Hour]]&gt;=BN$2),1,0)</f>
        <v>0</v>
      </c>
      <c r="BO93" s="304" cm="1">
        <f t="array" ref="BO93">IF(AND(BO$2&lt;&gt;0,TblTech[[#This Row],[Hour]:[Hour]]&gt;=BO$2),1,0)</f>
        <v>0</v>
      </c>
      <c r="BP93" s="304" cm="1">
        <f t="array" ref="BP93">IF(AND(BP$2&lt;&gt;0,TblTech[[#This Row],[Hour]:[Hour]]&gt;=BP$2),1,0)</f>
        <v>0</v>
      </c>
      <c r="BQ93" s="304" cm="1">
        <f t="array" ref="BQ93">IF(AND(BQ$2&lt;&gt;0,TblTech[[#This Row],[Hour]:[Hour]]&gt;=BQ$2),1,0)</f>
        <v>0</v>
      </c>
      <c r="BR93" s="304" cm="1">
        <f t="array" ref="BR93">IF(AND(BR$2&lt;&gt;0,TblTech[[#This Row],[Hour]:[Hour]]&gt;=BR$2),1,0)</f>
        <v>0</v>
      </c>
      <c r="BS93" s="304" cm="1">
        <f t="array" ref="BS93">IF(AND(BS$2&lt;&gt;0,TblTech[[#This Row],[Hour]:[Hour]]&gt;=BS$2),1,0)</f>
        <v>0</v>
      </c>
      <c r="BT93" s="304" cm="1">
        <f t="array" ref="BT93">IF(AND(BT$2&lt;&gt;0,TblTech[[#This Row],[Hour]:[Hour]]&gt;=BT$2),1,0)</f>
        <v>0</v>
      </c>
      <c r="BU93" s="304" cm="1">
        <f t="array" ref="BU93">IF(AND(BU$2&lt;&gt;0,TblTech[[#This Row],[Hour]:[Hour]]&gt;=BU$2),1,0)</f>
        <v>0</v>
      </c>
      <c r="BV93" s="304" cm="1">
        <f t="array" ref="BV93">IF(AND(BV$2&lt;&gt;0,TblTech[[#This Row],[Hour]:[Hour]]&gt;=BV$2),1,0)</f>
        <v>0</v>
      </c>
      <c r="BW93" s="304" cm="1">
        <f t="array" ref="BW93">IF(AND(BW$2&lt;&gt;0,TblTech[[#This Row],[Hour]:[Hour]]&gt;=BW$2),1,0)</f>
        <v>0</v>
      </c>
      <c r="BX93" s="304" cm="1">
        <f t="array" ref="BX93">IF(AND(BX$2&lt;&gt;0,TblTech[[#This Row],[Hour]:[Hour]]&gt;=BX$2),1,0)</f>
        <v>0</v>
      </c>
      <c r="BY93" s="304" cm="1">
        <f t="array" ref="BY93">IF(AND(BY$2&lt;&gt;0,TblTech[[#This Row],[Hour]:[Hour]]&gt;=BY$2),1,0)</f>
        <v>0</v>
      </c>
      <c r="BZ93" s="304" cm="1">
        <f t="array" ref="BZ93">IF(AND(BZ$2&lt;&gt;0,TblTech[[#This Row],[Hour]:[Hour]]&gt;=BZ$2),1,0)</f>
        <v>0</v>
      </c>
      <c r="CA93" s="408">
        <f>IFERROR(INDEX($H$4:$H$79,MATCH(INDEX(TblTech[[#Headers],[1-1]:[11-1]],1,MATCH(TblTech[[#This Row],[Hour]],$M$2:$BZ$2,0)),$G$4:$G$79,0)),)</f>
        <v>0</v>
      </c>
    </row>
    <row r="94" spans="1:79" x14ac:dyDescent="0.2">
      <c r="A94" s="296">
        <f>TblRezone[[#This Row],[Hour]]</f>
        <v>91</v>
      </c>
      <c r="B94" s="297">
        <f ca="1">TblExplore[[#This Row],[Land-DB]]</f>
        <v>250</v>
      </c>
      <c r="C94" s="298">
        <f ca="1">TblProd[[#This Row],[Techpoints]]</f>
        <v>0</v>
      </c>
      <c r="D94" s="298">
        <f ca="1">TblProd[[#This Row],[Required]]</f>
        <v>3750</v>
      </c>
      <c r="E94" s="307"/>
      <c r="F94" s="308"/>
      <c r="G94" s="301"/>
      <c r="H94" s="302"/>
      <c r="I94" s="302"/>
      <c r="J94" s="302"/>
      <c r="K94" s="96">
        <f ca="1">IF(TblTech[[#This Row],[Sum of tech]]&lt;&gt;OFFSET(TblTech[[#This Row],[Sum of tech]],-1,0),1,0)</f>
        <v>0</v>
      </c>
      <c r="L94" s="303">
        <f>COUNTIF(TblTech[[#This Row],[1-1]:[11-1]],1)</f>
        <v>0</v>
      </c>
      <c r="M94" s="304" cm="1">
        <f t="array" ref="M94">IF(AND(M$2&lt;&gt;0,TblTech[[#This Row],[Hour]:[Hour]]&gt;=M$2),1,0)</f>
        <v>0</v>
      </c>
      <c r="N94" s="304" cm="1">
        <f t="array" ref="N94">IF(AND(N$2&lt;&gt;0,TblTech[[#This Row],[Hour]:[Hour]]&gt;=N$2),1,0)</f>
        <v>0</v>
      </c>
      <c r="O94" s="304" cm="1">
        <f t="array" ref="O94">IF(AND(O$2&lt;&gt;0,TblTech[[#This Row],[Hour]:[Hour]]&gt;=O$2),1,0)</f>
        <v>0</v>
      </c>
      <c r="P94" s="304" cm="1">
        <f t="array" ref="P94">IF(AND(P$2&lt;&gt;0,TblTech[[#This Row],[Hour]:[Hour]]&gt;=P$2),1,0)</f>
        <v>0</v>
      </c>
      <c r="Q94" s="304" cm="1">
        <f t="array" ref="Q94">IF(AND(Q$2&lt;&gt;0,TblTech[[#This Row],[Hour]:[Hour]]&gt;=Q$2),1,0)</f>
        <v>0</v>
      </c>
      <c r="R94" s="304" cm="1">
        <f t="array" ref="R94">IF(AND(R$2&lt;&gt;0,TblTech[[#This Row],[Hour]:[Hour]]&gt;=R$2),1,0)</f>
        <v>0</v>
      </c>
      <c r="S94" s="304" cm="1">
        <f t="array" ref="S94">IF(AND(S$2&lt;&gt;0,TblTech[[#This Row],[Hour]:[Hour]]&gt;=S$2),1,0)</f>
        <v>0</v>
      </c>
      <c r="T94" s="304" cm="1">
        <f t="array" ref="T94">IF(AND(T$2&lt;&gt;0,TblTech[[#This Row],[Hour]:[Hour]]&gt;=T$2),1,0)</f>
        <v>0</v>
      </c>
      <c r="U94" s="304" cm="1">
        <f t="array" ref="U94">IF(AND(U$2&lt;&gt;0,TblTech[[#This Row],[Hour]:[Hour]]&gt;=U$2),1,0)</f>
        <v>0</v>
      </c>
      <c r="V94" s="304" cm="1">
        <f t="array" ref="V94">IF(AND(V$2&lt;&gt;0,TblTech[[#This Row],[Hour]:[Hour]]&gt;=V$2),1,0)</f>
        <v>0</v>
      </c>
      <c r="W94" s="304" cm="1">
        <f t="array" ref="W94">IF(AND(W$2&lt;&gt;0,TblTech[[#This Row],[Hour]:[Hour]]&gt;=W$2),1,0)</f>
        <v>0</v>
      </c>
      <c r="X94" s="304" cm="1">
        <f t="array" ref="X94">IF(AND(X$2&lt;&gt;0,TblTech[[#This Row],[Hour]:[Hour]]&gt;=X$2),1,0)</f>
        <v>0</v>
      </c>
      <c r="Y94" s="304" cm="1">
        <f t="array" ref="Y94">IF(AND(Y$2&lt;&gt;0,TblTech[[#This Row],[Hour]:[Hour]]&gt;=Y$2),1,0)</f>
        <v>0</v>
      </c>
      <c r="Z94" s="304" cm="1">
        <f t="array" ref="Z94">IF(AND(Z$2&lt;&gt;0,TblTech[[#This Row],[Hour]:[Hour]]&gt;=Z$2),1,0)</f>
        <v>0</v>
      </c>
      <c r="AA94" s="304" cm="1">
        <f t="array" ref="AA94">IF(AND(AA$2&lt;&gt;0,TblTech[[#This Row],[Hour]:[Hour]]&gt;=AA$2),1,0)</f>
        <v>0</v>
      </c>
      <c r="AB94" s="304" cm="1">
        <f t="array" ref="AB94">IF(AND(AB$2&lt;&gt;0,TblTech[[#This Row],[Hour]:[Hour]]&gt;=AB$2),1,0)</f>
        <v>0</v>
      </c>
      <c r="AC94" s="304" cm="1">
        <f t="array" ref="AC94">IF(AND(AC$2&lt;&gt;0,TblTech[[#This Row],[Hour]:[Hour]]&gt;=AC$2),1,0)</f>
        <v>0</v>
      </c>
      <c r="AD94" s="304" cm="1">
        <f t="array" ref="AD94">IF(AND(AD$2&lt;&gt;0,TblTech[[#This Row],[Hour]:[Hour]]&gt;=AD$2),1,0)</f>
        <v>0</v>
      </c>
      <c r="AE94" s="304" cm="1">
        <f t="array" ref="AE94">IF(AND(AE$2&lt;&gt;0,TblTech[[#This Row],[Hour]:[Hour]]&gt;=AE$2),1,0)</f>
        <v>0</v>
      </c>
      <c r="AF94" s="304" cm="1">
        <f t="array" ref="AF94">IF(AND(AF$2&lt;&gt;0,TblTech[[#This Row],[Hour]:[Hour]]&gt;=AF$2),1,0)</f>
        <v>0</v>
      </c>
      <c r="AG94" s="304" cm="1">
        <f t="array" ref="AG94">IF(AND(AG$2&lt;&gt;0,TblTech[[#This Row],[Hour]:[Hour]]&gt;=AG$2),1,0)</f>
        <v>0</v>
      </c>
      <c r="AH94" s="304" cm="1">
        <f t="array" ref="AH94">IF(AND(AH$2&lt;&gt;0,TblTech[[#This Row],[Hour]:[Hour]]&gt;=AH$2),1,0)</f>
        <v>0</v>
      </c>
      <c r="AI94" s="304" cm="1">
        <f t="array" ref="AI94">IF(AND(AI$2&lt;&gt;0,TblTech[[#This Row],[Hour]:[Hour]]&gt;=AI$2),1,0)</f>
        <v>0</v>
      </c>
      <c r="AJ94" s="304" cm="1">
        <f t="array" ref="AJ94">IF(AND(AJ$2&lt;&gt;0,TblTech[[#This Row],[Hour]:[Hour]]&gt;=AJ$2),1,0)</f>
        <v>0</v>
      </c>
      <c r="AK94" s="304" cm="1">
        <f t="array" ref="AK94">IF(AND(AK$2&lt;&gt;0,TblTech[[#This Row],[Hour]:[Hour]]&gt;=AK$2),1,0)</f>
        <v>0</v>
      </c>
      <c r="AL94" s="304" cm="1">
        <f t="array" ref="AL94">IF(AND(AL$2&lt;&gt;0,TblTech[[#This Row],[Hour]:[Hour]]&gt;=AL$2),1,0)</f>
        <v>0</v>
      </c>
      <c r="AM94" s="304" cm="1">
        <f t="array" ref="AM94">IF(AND(AM$2&lt;&gt;0,TblTech[[#This Row],[Hour]:[Hour]]&gt;=AM$2),1,0)</f>
        <v>0</v>
      </c>
      <c r="AN94" s="304" cm="1">
        <f t="array" ref="AN94">IF(AND(AN$2&lt;&gt;0,TblTech[[#This Row],[Hour]:[Hour]]&gt;=AN$2),1,0)</f>
        <v>0</v>
      </c>
      <c r="AO94" s="304" cm="1">
        <f t="array" ref="AO94">IF(AND(AO$2&lt;&gt;0,TblTech[[#This Row],[Hour]:[Hour]]&gt;=AO$2),1,0)</f>
        <v>0</v>
      </c>
      <c r="AP94" s="304" cm="1">
        <f t="array" ref="AP94">IF(AND(AP$2&lt;&gt;0,TblTech[[#This Row],[Hour]:[Hour]]&gt;=AP$2),1,0)</f>
        <v>0</v>
      </c>
      <c r="AQ94" s="304" cm="1">
        <f t="array" ref="AQ94">IF(AND(AQ$2&lt;&gt;0,TblTech[[#This Row],[Hour]:[Hour]]&gt;=AQ$2),1,0)</f>
        <v>0</v>
      </c>
      <c r="AR94" s="304" cm="1">
        <f t="array" ref="AR94">IF(AND(AR$2&lt;&gt;0,TblTech[[#This Row],[Hour]:[Hour]]&gt;=AR$2),1,0)</f>
        <v>0</v>
      </c>
      <c r="AS94" s="304" cm="1">
        <f t="array" ref="AS94">IF(AND(AS$2&lt;&gt;0,TblTech[[#This Row],[Hour]:[Hour]]&gt;=AS$2),1,0)</f>
        <v>0</v>
      </c>
      <c r="AT94" s="304" cm="1">
        <f t="array" ref="AT94">IF(AND(AT$2&lt;&gt;0,TblTech[[#This Row],[Hour]:[Hour]]&gt;=AT$2),1,0)</f>
        <v>0</v>
      </c>
      <c r="AU94" s="304" cm="1">
        <f t="array" ref="AU94">IF(AND(AU$2&lt;&gt;0,TblTech[[#This Row],[Hour]:[Hour]]&gt;=AU$2),1,0)</f>
        <v>0</v>
      </c>
      <c r="AV94" s="304" cm="1">
        <f t="array" ref="AV94">IF(AND(AV$2&lt;&gt;0,TblTech[[#This Row],[Hour]:[Hour]]&gt;=AV$2),1,0)</f>
        <v>0</v>
      </c>
      <c r="AW94" s="304" cm="1">
        <f t="array" ref="AW94">IF(AND(AW$2&lt;&gt;0,TblTech[[#This Row],[Hour]:[Hour]]&gt;=AW$2),1,0)</f>
        <v>0</v>
      </c>
      <c r="AX94" s="304" cm="1">
        <f t="array" ref="AX94">IF(AND(AX$2&lt;&gt;0,TblTech[[#This Row],[Hour]:[Hour]]&gt;=AX$2),1,0)</f>
        <v>0</v>
      </c>
      <c r="AY94" s="304" cm="1">
        <f t="array" ref="AY94">IF(AND(AY$2&lt;&gt;0,TblTech[[#This Row],[Hour]:[Hour]]&gt;=AY$2),1,0)</f>
        <v>0</v>
      </c>
      <c r="AZ94" s="304" cm="1">
        <f t="array" ref="AZ94">IF(AND(AZ$2&lt;&gt;0,TblTech[[#This Row],[Hour]:[Hour]]&gt;=AZ$2),1,0)</f>
        <v>0</v>
      </c>
      <c r="BA94" s="304" cm="1">
        <f t="array" ref="BA94">IF(AND(BA$2&lt;&gt;0,TblTech[[#This Row],[Hour]:[Hour]]&gt;=BA$2),1,0)</f>
        <v>0</v>
      </c>
      <c r="BB94" s="304" cm="1">
        <f t="array" ref="BB94">IF(AND(BB$2&lt;&gt;0,TblTech[[#This Row],[Hour]:[Hour]]&gt;=BB$2),1,0)</f>
        <v>0</v>
      </c>
      <c r="BC94" s="304" cm="1">
        <f t="array" ref="BC94">IF(AND(BC$2&lt;&gt;0,TblTech[[#This Row],[Hour]:[Hour]]&gt;=BC$2),1,0)</f>
        <v>0</v>
      </c>
      <c r="BD94" s="304" cm="1">
        <f t="array" ref="BD94">IF(AND(BD$2&lt;&gt;0,TblTech[[#This Row],[Hour]:[Hour]]&gt;=BD$2),1,0)</f>
        <v>0</v>
      </c>
      <c r="BE94" s="304" cm="1">
        <f t="array" ref="BE94">IF(AND(BE$2&lt;&gt;0,TblTech[[#This Row],[Hour]:[Hour]]&gt;=BE$2),1,0)</f>
        <v>0</v>
      </c>
      <c r="BF94" s="304" cm="1">
        <f t="array" ref="BF94">IF(AND(BF$2&lt;&gt;0,TblTech[[#This Row],[Hour]:[Hour]]&gt;=BF$2),1,0)</f>
        <v>0</v>
      </c>
      <c r="BG94" s="304" cm="1">
        <f t="array" ref="BG94">IF(AND(BG$2&lt;&gt;0,TblTech[[#This Row],[Hour]:[Hour]]&gt;=BG$2),1,0)</f>
        <v>0</v>
      </c>
      <c r="BH94" s="304" cm="1">
        <f t="array" ref="BH94">IF(AND(BH$2&lt;&gt;0,TblTech[[#This Row],[Hour]:[Hour]]&gt;=BH$2),1,0)</f>
        <v>0</v>
      </c>
      <c r="BI94" s="304" cm="1">
        <f t="array" ref="BI94">IF(AND(BI$2&lt;&gt;0,TblTech[[#This Row],[Hour]:[Hour]]&gt;=BI$2),1,0)</f>
        <v>0</v>
      </c>
      <c r="BJ94" s="304" cm="1">
        <f t="array" ref="BJ94">IF(AND(BJ$2&lt;&gt;0,TblTech[[#This Row],[Hour]:[Hour]]&gt;=BJ$2),1,0)</f>
        <v>0</v>
      </c>
      <c r="BK94" s="304" cm="1">
        <f t="array" ref="BK94">IF(AND(BK$2&lt;&gt;0,TblTech[[#This Row],[Hour]:[Hour]]&gt;=BK$2),1,0)</f>
        <v>0</v>
      </c>
      <c r="BL94" s="304" cm="1">
        <f t="array" ref="BL94">IF(AND(BL$2&lt;&gt;0,TblTech[[#This Row],[Hour]:[Hour]]&gt;=BL$2),1,0)</f>
        <v>0</v>
      </c>
      <c r="BM94" s="304" cm="1">
        <f t="array" ref="BM94">IF(AND(BM$2&lt;&gt;0,TblTech[[#This Row],[Hour]:[Hour]]&gt;=BM$2),1,0)</f>
        <v>0</v>
      </c>
      <c r="BN94" s="304" cm="1">
        <f t="array" ref="BN94">IF(AND(BN$2&lt;&gt;0,TblTech[[#This Row],[Hour]:[Hour]]&gt;=BN$2),1,0)</f>
        <v>0</v>
      </c>
      <c r="BO94" s="304" cm="1">
        <f t="array" ref="BO94">IF(AND(BO$2&lt;&gt;0,TblTech[[#This Row],[Hour]:[Hour]]&gt;=BO$2),1,0)</f>
        <v>0</v>
      </c>
      <c r="BP94" s="304" cm="1">
        <f t="array" ref="BP94">IF(AND(BP$2&lt;&gt;0,TblTech[[#This Row],[Hour]:[Hour]]&gt;=BP$2),1,0)</f>
        <v>0</v>
      </c>
      <c r="BQ94" s="304" cm="1">
        <f t="array" ref="BQ94">IF(AND(BQ$2&lt;&gt;0,TblTech[[#This Row],[Hour]:[Hour]]&gt;=BQ$2),1,0)</f>
        <v>0</v>
      </c>
      <c r="BR94" s="304" cm="1">
        <f t="array" ref="BR94">IF(AND(BR$2&lt;&gt;0,TblTech[[#This Row],[Hour]:[Hour]]&gt;=BR$2),1,0)</f>
        <v>0</v>
      </c>
      <c r="BS94" s="304" cm="1">
        <f t="array" ref="BS94">IF(AND(BS$2&lt;&gt;0,TblTech[[#This Row],[Hour]:[Hour]]&gt;=BS$2),1,0)</f>
        <v>0</v>
      </c>
      <c r="BT94" s="304" cm="1">
        <f t="array" ref="BT94">IF(AND(BT$2&lt;&gt;0,TblTech[[#This Row],[Hour]:[Hour]]&gt;=BT$2),1,0)</f>
        <v>0</v>
      </c>
      <c r="BU94" s="304" cm="1">
        <f t="array" ref="BU94">IF(AND(BU$2&lt;&gt;0,TblTech[[#This Row],[Hour]:[Hour]]&gt;=BU$2),1,0)</f>
        <v>0</v>
      </c>
      <c r="BV94" s="304" cm="1">
        <f t="array" ref="BV94">IF(AND(BV$2&lt;&gt;0,TblTech[[#This Row],[Hour]:[Hour]]&gt;=BV$2),1,0)</f>
        <v>0</v>
      </c>
      <c r="BW94" s="304" cm="1">
        <f t="array" ref="BW94">IF(AND(BW$2&lt;&gt;0,TblTech[[#This Row],[Hour]:[Hour]]&gt;=BW$2),1,0)</f>
        <v>0</v>
      </c>
      <c r="BX94" s="304" cm="1">
        <f t="array" ref="BX94">IF(AND(BX$2&lt;&gt;0,TblTech[[#This Row],[Hour]:[Hour]]&gt;=BX$2),1,0)</f>
        <v>0</v>
      </c>
      <c r="BY94" s="304" cm="1">
        <f t="array" ref="BY94">IF(AND(BY$2&lt;&gt;0,TblTech[[#This Row],[Hour]:[Hour]]&gt;=BY$2),1,0)</f>
        <v>0</v>
      </c>
      <c r="BZ94" s="304" cm="1">
        <f t="array" ref="BZ94">IF(AND(BZ$2&lt;&gt;0,TblTech[[#This Row],[Hour]:[Hour]]&gt;=BZ$2),1,0)</f>
        <v>0</v>
      </c>
      <c r="CA94" s="408">
        <f>IFERROR(INDEX($H$4:$H$79,MATCH(INDEX(TblTech[[#Headers],[1-1]:[11-1]],1,MATCH(TblTech[[#This Row],[Hour]],$M$2:$BZ$2,0)),$G$4:$G$79,0)),)</f>
        <v>0</v>
      </c>
    </row>
    <row r="95" spans="1:79" x14ac:dyDescent="0.2">
      <c r="A95" s="296">
        <f>TblRezone[[#This Row],[Hour]]</f>
        <v>92</v>
      </c>
      <c r="B95" s="297">
        <f ca="1">TblExplore[[#This Row],[Land-DB]]</f>
        <v>250</v>
      </c>
      <c r="C95" s="298">
        <f ca="1">TblProd[[#This Row],[Techpoints]]</f>
        <v>0</v>
      </c>
      <c r="D95" s="298">
        <f ca="1">TblProd[[#This Row],[Required]]</f>
        <v>3750</v>
      </c>
      <c r="E95" s="307"/>
      <c r="F95" s="308"/>
      <c r="G95" s="301"/>
      <c r="H95" s="302"/>
      <c r="I95" s="302"/>
      <c r="J95" s="302"/>
      <c r="K95" s="96">
        <f ca="1">IF(TblTech[[#This Row],[Sum of tech]]&lt;&gt;OFFSET(TblTech[[#This Row],[Sum of tech]],-1,0),1,0)</f>
        <v>0</v>
      </c>
      <c r="L95" s="303">
        <f>COUNTIF(TblTech[[#This Row],[1-1]:[11-1]],1)</f>
        <v>0</v>
      </c>
      <c r="M95" s="304" cm="1">
        <f t="array" ref="M95">IF(AND(M$2&lt;&gt;0,TblTech[[#This Row],[Hour]:[Hour]]&gt;=M$2),1,0)</f>
        <v>0</v>
      </c>
      <c r="N95" s="304" cm="1">
        <f t="array" ref="N95">IF(AND(N$2&lt;&gt;0,TblTech[[#This Row],[Hour]:[Hour]]&gt;=N$2),1,0)</f>
        <v>0</v>
      </c>
      <c r="O95" s="304" cm="1">
        <f t="array" ref="O95">IF(AND(O$2&lt;&gt;0,TblTech[[#This Row],[Hour]:[Hour]]&gt;=O$2),1,0)</f>
        <v>0</v>
      </c>
      <c r="P95" s="304" cm="1">
        <f t="array" ref="P95">IF(AND(P$2&lt;&gt;0,TblTech[[#This Row],[Hour]:[Hour]]&gt;=P$2),1,0)</f>
        <v>0</v>
      </c>
      <c r="Q95" s="304" cm="1">
        <f t="array" ref="Q95">IF(AND(Q$2&lt;&gt;0,TblTech[[#This Row],[Hour]:[Hour]]&gt;=Q$2),1,0)</f>
        <v>0</v>
      </c>
      <c r="R95" s="304" cm="1">
        <f t="array" ref="R95">IF(AND(R$2&lt;&gt;0,TblTech[[#This Row],[Hour]:[Hour]]&gt;=R$2),1,0)</f>
        <v>0</v>
      </c>
      <c r="S95" s="304" cm="1">
        <f t="array" ref="S95">IF(AND(S$2&lt;&gt;0,TblTech[[#This Row],[Hour]:[Hour]]&gt;=S$2),1,0)</f>
        <v>0</v>
      </c>
      <c r="T95" s="304" cm="1">
        <f t="array" ref="T95">IF(AND(T$2&lt;&gt;0,TblTech[[#This Row],[Hour]:[Hour]]&gt;=T$2),1,0)</f>
        <v>0</v>
      </c>
      <c r="U95" s="304" cm="1">
        <f t="array" ref="U95">IF(AND(U$2&lt;&gt;0,TblTech[[#This Row],[Hour]:[Hour]]&gt;=U$2),1,0)</f>
        <v>0</v>
      </c>
      <c r="V95" s="304" cm="1">
        <f t="array" ref="V95">IF(AND(V$2&lt;&gt;0,TblTech[[#This Row],[Hour]:[Hour]]&gt;=V$2),1,0)</f>
        <v>0</v>
      </c>
      <c r="W95" s="304" cm="1">
        <f t="array" ref="W95">IF(AND(W$2&lt;&gt;0,TblTech[[#This Row],[Hour]:[Hour]]&gt;=W$2),1,0)</f>
        <v>0</v>
      </c>
      <c r="X95" s="304" cm="1">
        <f t="array" ref="X95">IF(AND(X$2&lt;&gt;0,TblTech[[#This Row],[Hour]:[Hour]]&gt;=X$2),1,0)</f>
        <v>0</v>
      </c>
      <c r="Y95" s="304" cm="1">
        <f t="array" ref="Y95">IF(AND(Y$2&lt;&gt;0,TblTech[[#This Row],[Hour]:[Hour]]&gt;=Y$2),1,0)</f>
        <v>0</v>
      </c>
      <c r="Z95" s="304" cm="1">
        <f t="array" ref="Z95">IF(AND(Z$2&lt;&gt;0,TblTech[[#This Row],[Hour]:[Hour]]&gt;=Z$2),1,0)</f>
        <v>0</v>
      </c>
      <c r="AA95" s="304" cm="1">
        <f t="array" ref="AA95">IF(AND(AA$2&lt;&gt;0,TblTech[[#This Row],[Hour]:[Hour]]&gt;=AA$2),1,0)</f>
        <v>0</v>
      </c>
      <c r="AB95" s="304" cm="1">
        <f t="array" ref="AB95">IF(AND(AB$2&lt;&gt;0,TblTech[[#This Row],[Hour]:[Hour]]&gt;=AB$2),1,0)</f>
        <v>0</v>
      </c>
      <c r="AC95" s="304" cm="1">
        <f t="array" ref="AC95">IF(AND(AC$2&lt;&gt;0,TblTech[[#This Row],[Hour]:[Hour]]&gt;=AC$2),1,0)</f>
        <v>0</v>
      </c>
      <c r="AD95" s="304" cm="1">
        <f t="array" ref="AD95">IF(AND(AD$2&lt;&gt;0,TblTech[[#This Row],[Hour]:[Hour]]&gt;=AD$2),1,0)</f>
        <v>0</v>
      </c>
      <c r="AE95" s="304" cm="1">
        <f t="array" ref="AE95">IF(AND(AE$2&lt;&gt;0,TblTech[[#This Row],[Hour]:[Hour]]&gt;=AE$2),1,0)</f>
        <v>0</v>
      </c>
      <c r="AF95" s="304" cm="1">
        <f t="array" ref="AF95">IF(AND(AF$2&lt;&gt;0,TblTech[[#This Row],[Hour]:[Hour]]&gt;=AF$2),1,0)</f>
        <v>0</v>
      </c>
      <c r="AG95" s="304" cm="1">
        <f t="array" ref="AG95">IF(AND(AG$2&lt;&gt;0,TblTech[[#This Row],[Hour]:[Hour]]&gt;=AG$2),1,0)</f>
        <v>0</v>
      </c>
      <c r="AH95" s="304" cm="1">
        <f t="array" ref="AH95">IF(AND(AH$2&lt;&gt;0,TblTech[[#This Row],[Hour]:[Hour]]&gt;=AH$2),1,0)</f>
        <v>0</v>
      </c>
      <c r="AI95" s="304" cm="1">
        <f t="array" ref="AI95">IF(AND(AI$2&lt;&gt;0,TblTech[[#This Row],[Hour]:[Hour]]&gt;=AI$2),1,0)</f>
        <v>0</v>
      </c>
      <c r="AJ95" s="304" cm="1">
        <f t="array" ref="AJ95">IF(AND(AJ$2&lt;&gt;0,TblTech[[#This Row],[Hour]:[Hour]]&gt;=AJ$2),1,0)</f>
        <v>0</v>
      </c>
      <c r="AK95" s="304" cm="1">
        <f t="array" ref="AK95">IF(AND(AK$2&lt;&gt;0,TblTech[[#This Row],[Hour]:[Hour]]&gt;=AK$2),1,0)</f>
        <v>0</v>
      </c>
      <c r="AL95" s="304" cm="1">
        <f t="array" ref="AL95">IF(AND(AL$2&lt;&gt;0,TblTech[[#This Row],[Hour]:[Hour]]&gt;=AL$2),1,0)</f>
        <v>0</v>
      </c>
      <c r="AM95" s="304" cm="1">
        <f t="array" ref="AM95">IF(AND(AM$2&lt;&gt;0,TblTech[[#This Row],[Hour]:[Hour]]&gt;=AM$2),1,0)</f>
        <v>0</v>
      </c>
      <c r="AN95" s="304" cm="1">
        <f t="array" ref="AN95">IF(AND(AN$2&lt;&gt;0,TblTech[[#This Row],[Hour]:[Hour]]&gt;=AN$2),1,0)</f>
        <v>0</v>
      </c>
      <c r="AO95" s="304" cm="1">
        <f t="array" ref="AO95">IF(AND(AO$2&lt;&gt;0,TblTech[[#This Row],[Hour]:[Hour]]&gt;=AO$2),1,0)</f>
        <v>0</v>
      </c>
      <c r="AP95" s="304" cm="1">
        <f t="array" ref="AP95">IF(AND(AP$2&lt;&gt;0,TblTech[[#This Row],[Hour]:[Hour]]&gt;=AP$2),1,0)</f>
        <v>0</v>
      </c>
      <c r="AQ95" s="304" cm="1">
        <f t="array" ref="AQ95">IF(AND(AQ$2&lt;&gt;0,TblTech[[#This Row],[Hour]:[Hour]]&gt;=AQ$2),1,0)</f>
        <v>0</v>
      </c>
      <c r="AR95" s="304" cm="1">
        <f t="array" ref="AR95">IF(AND(AR$2&lt;&gt;0,TblTech[[#This Row],[Hour]:[Hour]]&gt;=AR$2),1,0)</f>
        <v>0</v>
      </c>
      <c r="AS95" s="304" cm="1">
        <f t="array" ref="AS95">IF(AND(AS$2&lt;&gt;0,TblTech[[#This Row],[Hour]:[Hour]]&gt;=AS$2),1,0)</f>
        <v>0</v>
      </c>
      <c r="AT95" s="304" cm="1">
        <f t="array" ref="AT95">IF(AND(AT$2&lt;&gt;0,TblTech[[#This Row],[Hour]:[Hour]]&gt;=AT$2),1,0)</f>
        <v>0</v>
      </c>
      <c r="AU95" s="304" cm="1">
        <f t="array" ref="AU95">IF(AND(AU$2&lt;&gt;0,TblTech[[#This Row],[Hour]:[Hour]]&gt;=AU$2),1,0)</f>
        <v>0</v>
      </c>
      <c r="AV95" s="304" cm="1">
        <f t="array" ref="AV95">IF(AND(AV$2&lt;&gt;0,TblTech[[#This Row],[Hour]:[Hour]]&gt;=AV$2),1,0)</f>
        <v>0</v>
      </c>
      <c r="AW95" s="304" cm="1">
        <f t="array" ref="AW95">IF(AND(AW$2&lt;&gt;0,TblTech[[#This Row],[Hour]:[Hour]]&gt;=AW$2),1,0)</f>
        <v>0</v>
      </c>
      <c r="AX95" s="304" cm="1">
        <f t="array" ref="AX95">IF(AND(AX$2&lt;&gt;0,TblTech[[#This Row],[Hour]:[Hour]]&gt;=AX$2),1,0)</f>
        <v>0</v>
      </c>
      <c r="AY95" s="304" cm="1">
        <f t="array" ref="AY95">IF(AND(AY$2&lt;&gt;0,TblTech[[#This Row],[Hour]:[Hour]]&gt;=AY$2),1,0)</f>
        <v>0</v>
      </c>
      <c r="AZ95" s="304" cm="1">
        <f t="array" ref="AZ95">IF(AND(AZ$2&lt;&gt;0,TblTech[[#This Row],[Hour]:[Hour]]&gt;=AZ$2),1,0)</f>
        <v>0</v>
      </c>
      <c r="BA95" s="304" cm="1">
        <f t="array" ref="BA95">IF(AND(BA$2&lt;&gt;0,TblTech[[#This Row],[Hour]:[Hour]]&gt;=BA$2),1,0)</f>
        <v>0</v>
      </c>
      <c r="BB95" s="304" cm="1">
        <f t="array" ref="BB95">IF(AND(BB$2&lt;&gt;0,TblTech[[#This Row],[Hour]:[Hour]]&gt;=BB$2),1,0)</f>
        <v>0</v>
      </c>
      <c r="BC95" s="304" cm="1">
        <f t="array" ref="BC95">IF(AND(BC$2&lt;&gt;0,TblTech[[#This Row],[Hour]:[Hour]]&gt;=BC$2),1,0)</f>
        <v>0</v>
      </c>
      <c r="BD95" s="304" cm="1">
        <f t="array" ref="BD95">IF(AND(BD$2&lt;&gt;0,TblTech[[#This Row],[Hour]:[Hour]]&gt;=BD$2),1,0)</f>
        <v>0</v>
      </c>
      <c r="BE95" s="304" cm="1">
        <f t="array" ref="BE95">IF(AND(BE$2&lt;&gt;0,TblTech[[#This Row],[Hour]:[Hour]]&gt;=BE$2),1,0)</f>
        <v>0</v>
      </c>
      <c r="BF95" s="304" cm="1">
        <f t="array" ref="BF95">IF(AND(BF$2&lt;&gt;0,TblTech[[#This Row],[Hour]:[Hour]]&gt;=BF$2),1,0)</f>
        <v>0</v>
      </c>
      <c r="BG95" s="304" cm="1">
        <f t="array" ref="BG95">IF(AND(BG$2&lt;&gt;0,TblTech[[#This Row],[Hour]:[Hour]]&gt;=BG$2),1,0)</f>
        <v>0</v>
      </c>
      <c r="BH95" s="304" cm="1">
        <f t="array" ref="BH95">IF(AND(BH$2&lt;&gt;0,TblTech[[#This Row],[Hour]:[Hour]]&gt;=BH$2),1,0)</f>
        <v>0</v>
      </c>
      <c r="BI95" s="304" cm="1">
        <f t="array" ref="BI95">IF(AND(BI$2&lt;&gt;0,TblTech[[#This Row],[Hour]:[Hour]]&gt;=BI$2),1,0)</f>
        <v>0</v>
      </c>
      <c r="BJ95" s="304" cm="1">
        <f t="array" ref="BJ95">IF(AND(BJ$2&lt;&gt;0,TblTech[[#This Row],[Hour]:[Hour]]&gt;=BJ$2),1,0)</f>
        <v>0</v>
      </c>
      <c r="BK95" s="304" cm="1">
        <f t="array" ref="BK95">IF(AND(BK$2&lt;&gt;0,TblTech[[#This Row],[Hour]:[Hour]]&gt;=BK$2),1,0)</f>
        <v>0</v>
      </c>
      <c r="BL95" s="304" cm="1">
        <f t="array" ref="BL95">IF(AND(BL$2&lt;&gt;0,TblTech[[#This Row],[Hour]:[Hour]]&gt;=BL$2),1,0)</f>
        <v>0</v>
      </c>
      <c r="BM95" s="304" cm="1">
        <f t="array" ref="BM95">IF(AND(BM$2&lt;&gt;0,TblTech[[#This Row],[Hour]:[Hour]]&gt;=BM$2),1,0)</f>
        <v>0</v>
      </c>
      <c r="BN95" s="304" cm="1">
        <f t="array" ref="BN95">IF(AND(BN$2&lt;&gt;0,TblTech[[#This Row],[Hour]:[Hour]]&gt;=BN$2),1,0)</f>
        <v>0</v>
      </c>
      <c r="BO95" s="304" cm="1">
        <f t="array" ref="BO95">IF(AND(BO$2&lt;&gt;0,TblTech[[#This Row],[Hour]:[Hour]]&gt;=BO$2),1,0)</f>
        <v>0</v>
      </c>
      <c r="BP95" s="304" cm="1">
        <f t="array" ref="BP95">IF(AND(BP$2&lt;&gt;0,TblTech[[#This Row],[Hour]:[Hour]]&gt;=BP$2),1,0)</f>
        <v>0</v>
      </c>
      <c r="BQ95" s="304" cm="1">
        <f t="array" ref="BQ95">IF(AND(BQ$2&lt;&gt;0,TblTech[[#This Row],[Hour]:[Hour]]&gt;=BQ$2),1,0)</f>
        <v>0</v>
      </c>
      <c r="BR95" s="304" cm="1">
        <f t="array" ref="BR95">IF(AND(BR$2&lt;&gt;0,TblTech[[#This Row],[Hour]:[Hour]]&gt;=BR$2),1,0)</f>
        <v>0</v>
      </c>
      <c r="BS95" s="304" cm="1">
        <f t="array" ref="BS95">IF(AND(BS$2&lt;&gt;0,TblTech[[#This Row],[Hour]:[Hour]]&gt;=BS$2),1,0)</f>
        <v>0</v>
      </c>
      <c r="BT95" s="304" cm="1">
        <f t="array" ref="BT95">IF(AND(BT$2&lt;&gt;0,TblTech[[#This Row],[Hour]:[Hour]]&gt;=BT$2),1,0)</f>
        <v>0</v>
      </c>
      <c r="BU95" s="304" cm="1">
        <f t="array" ref="BU95">IF(AND(BU$2&lt;&gt;0,TblTech[[#This Row],[Hour]:[Hour]]&gt;=BU$2),1,0)</f>
        <v>0</v>
      </c>
      <c r="BV95" s="304" cm="1">
        <f t="array" ref="BV95">IF(AND(BV$2&lt;&gt;0,TblTech[[#This Row],[Hour]:[Hour]]&gt;=BV$2),1,0)</f>
        <v>0</v>
      </c>
      <c r="BW95" s="304" cm="1">
        <f t="array" ref="BW95">IF(AND(BW$2&lt;&gt;0,TblTech[[#This Row],[Hour]:[Hour]]&gt;=BW$2),1,0)</f>
        <v>0</v>
      </c>
      <c r="BX95" s="304" cm="1">
        <f t="array" ref="BX95">IF(AND(BX$2&lt;&gt;0,TblTech[[#This Row],[Hour]:[Hour]]&gt;=BX$2),1,0)</f>
        <v>0</v>
      </c>
      <c r="BY95" s="304" cm="1">
        <f t="array" ref="BY95">IF(AND(BY$2&lt;&gt;0,TblTech[[#This Row],[Hour]:[Hour]]&gt;=BY$2),1,0)</f>
        <v>0</v>
      </c>
      <c r="BZ95" s="304" cm="1">
        <f t="array" ref="BZ95">IF(AND(BZ$2&lt;&gt;0,TblTech[[#This Row],[Hour]:[Hour]]&gt;=BZ$2),1,0)</f>
        <v>0</v>
      </c>
      <c r="CA95" s="408">
        <f>IFERROR(INDEX($H$4:$H$79,MATCH(INDEX(TblTech[[#Headers],[1-1]:[11-1]],1,MATCH(TblTech[[#This Row],[Hour]],$M$2:$BZ$2,0)),$G$4:$G$79,0)),)</f>
        <v>0</v>
      </c>
    </row>
    <row r="96" spans="1:79" x14ac:dyDescent="0.2">
      <c r="A96" s="296">
        <f>TblRezone[[#This Row],[Hour]]</f>
        <v>93</v>
      </c>
      <c r="B96" s="297">
        <f ca="1">TblExplore[[#This Row],[Land-DB]]</f>
        <v>250</v>
      </c>
      <c r="C96" s="298">
        <f ca="1">TblProd[[#This Row],[Techpoints]]</f>
        <v>0</v>
      </c>
      <c r="D96" s="298">
        <f ca="1">TblProd[[#This Row],[Required]]</f>
        <v>3750</v>
      </c>
      <c r="E96" s="307"/>
      <c r="F96" s="308"/>
      <c r="G96" s="301"/>
      <c r="H96" s="302"/>
      <c r="I96" s="302"/>
      <c r="J96" s="302"/>
      <c r="K96" s="96">
        <f ca="1">IF(TblTech[[#This Row],[Sum of tech]]&lt;&gt;OFFSET(TblTech[[#This Row],[Sum of tech]],-1,0),1,0)</f>
        <v>0</v>
      </c>
      <c r="L96" s="303">
        <f>COUNTIF(TblTech[[#This Row],[1-1]:[11-1]],1)</f>
        <v>0</v>
      </c>
      <c r="M96" s="304" cm="1">
        <f t="array" ref="M96">IF(AND(M$2&lt;&gt;0,TblTech[[#This Row],[Hour]:[Hour]]&gt;=M$2),1,0)</f>
        <v>0</v>
      </c>
      <c r="N96" s="304" cm="1">
        <f t="array" ref="N96">IF(AND(N$2&lt;&gt;0,TblTech[[#This Row],[Hour]:[Hour]]&gt;=N$2),1,0)</f>
        <v>0</v>
      </c>
      <c r="O96" s="304" cm="1">
        <f t="array" ref="O96">IF(AND(O$2&lt;&gt;0,TblTech[[#This Row],[Hour]:[Hour]]&gt;=O$2),1,0)</f>
        <v>0</v>
      </c>
      <c r="P96" s="304" cm="1">
        <f t="array" ref="P96">IF(AND(P$2&lt;&gt;0,TblTech[[#This Row],[Hour]:[Hour]]&gt;=P$2),1,0)</f>
        <v>0</v>
      </c>
      <c r="Q96" s="304" cm="1">
        <f t="array" ref="Q96">IF(AND(Q$2&lt;&gt;0,TblTech[[#This Row],[Hour]:[Hour]]&gt;=Q$2),1,0)</f>
        <v>0</v>
      </c>
      <c r="R96" s="304" cm="1">
        <f t="array" ref="R96">IF(AND(R$2&lt;&gt;0,TblTech[[#This Row],[Hour]:[Hour]]&gt;=R$2),1,0)</f>
        <v>0</v>
      </c>
      <c r="S96" s="304" cm="1">
        <f t="array" ref="S96">IF(AND(S$2&lt;&gt;0,TblTech[[#This Row],[Hour]:[Hour]]&gt;=S$2),1,0)</f>
        <v>0</v>
      </c>
      <c r="T96" s="304" cm="1">
        <f t="array" ref="T96">IF(AND(T$2&lt;&gt;0,TblTech[[#This Row],[Hour]:[Hour]]&gt;=T$2),1,0)</f>
        <v>0</v>
      </c>
      <c r="U96" s="304" cm="1">
        <f t="array" ref="U96">IF(AND(U$2&lt;&gt;0,TblTech[[#This Row],[Hour]:[Hour]]&gt;=U$2),1,0)</f>
        <v>0</v>
      </c>
      <c r="V96" s="304" cm="1">
        <f t="array" ref="V96">IF(AND(V$2&lt;&gt;0,TblTech[[#This Row],[Hour]:[Hour]]&gt;=V$2),1,0)</f>
        <v>0</v>
      </c>
      <c r="W96" s="304" cm="1">
        <f t="array" ref="W96">IF(AND(W$2&lt;&gt;0,TblTech[[#This Row],[Hour]:[Hour]]&gt;=W$2),1,0)</f>
        <v>0</v>
      </c>
      <c r="X96" s="304" cm="1">
        <f t="array" ref="X96">IF(AND(X$2&lt;&gt;0,TblTech[[#This Row],[Hour]:[Hour]]&gt;=X$2),1,0)</f>
        <v>0</v>
      </c>
      <c r="Y96" s="304" cm="1">
        <f t="array" ref="Y96">IF(AND(Y$2&lt;&gt;0,TblTech[[#This Row],[Hour]:[Hour]]&gt;=Y$2),1,0)</f>
        <v>0</v>
      </c>
      <c r="Z96" s="304" cm="1">
        <f t="array" ref="Z96">IF(AND(Z$2&lt;&gt;0,TblTech[[#This Row],[Hour]:[Hour]]&gt;=Z$2),1,0)</f>
        <v>0</v>
      </c>
      <c r="AA96" s="304" cm="1">
        <f t="array" ref="AA96">IF(AND(AA$2&lt;&gt;0,TblTech[[#This Row],[Hour]:[Hour]]&gt;=AA$2),1,0)</f>
        <v>0</v>
      </c>
      <c r="AB96" s="304" cm="1">
        <f t="array" ref="AB96">IF(AND(AB$2&lt;&gt;0,TblTech[[#This Row],[Hour]:[Hour]]&gt;=AB$2),1,0)</f>
        <v>0</v>
      </c>
      <c r="AC96" s="304" cm="1">
        <f t="array" ref="AC96">IF(AND(AC$2&lt;&gt;0,TblTech[[#This Row],[Hour]:[Hour]]&gt;=AC$2),1,0)</f>
        <v>0</v>
      </c>
      <c r="AD96" s="304" cm="1">
        <f t="array" ref="AD96">IF(AND(AD$2&lt;&gt;0,TblTech[[#This Row],[Hour]:[Hour]]&gt;=AD$2),1,0)</f>
        <v>0</v>
      </c>
      <c r="AE96" s="304" cm="1">
        <f t="array" ref="AE96">IF(AND(AE$2&lt;&gt;0,TblTech[[#This Row],[Hour]:[Hour]]&gt;=AE$2),1,0)</f>
        <v>0</v>
      </c>
      <c r="AF96" s="304" cm="1">
        <f t="array" ref="AF96">IF(AND(AF$2&lt;&gt;0,TblTech[[#This Row],[Hour]:[Hour]]&gt;=AF$2),1,0)</f>
        <v>0</v>
      </c>
      <c r="AG96" s="304" cm="1">
        <f t="array" ref="AG96">IF(AND(AG$2&lt;&gt;0,TblTech[[#This Row],[Hour]:[Hour]]&gt;=AG$2),1,0)</f>
        <v>0</v>
      </c>
      <c r="AH96" s="304" cm="1">
        <f t="array" ref="AH96">IF(AND(AH$2&lt;&gt;0,TblTech[[#This Row],[Hour]:[Hour]]&gt;=AH$2),1,0)</f>
        <v>0</v>
      </c>
      <c r="AI96" s="304" cm="1">
        <f t="array" ref="AI96">IF(AND(AI$2&lt;&gt;0,TblTech[[#This Row],[Hour]:[Hour]]&gt;=AI$2),1,0)</f>
        <v>0</v>
      </c>
      <c r="AJ96" s="304" cm="1">
        <f t="array" ref="AJ96">IF(AND(AJ$2&lt;&gt;0,TblTech[[#This Row],[Hour]:[Hour]]&gt;=AJ$2),1,0)</f>
        <v>0</v>
      </c>
      <c r="AK96" s="304" cm="1">
        <f t="array" ref="AK96">IF(AND(AK$2&lt;&gt;0,TblTech[[#This Row],[Hour]:[Hour]]&gt;=AK$2),1,0)</f>
        <v>0</v>
      </c>
      <c r="AL96" s="304" cm="1">
        <f t="array" ref="AL96">IF(AND(AL$2&lt;&gt;0,TblTech[[#This Row],[Hour]:[Hour]]&gt;=AL$2),1,0)</f>
        <v>0</v>
      </c>
      <c r="AM96" s="304" cm="1">
        <f t="array" ref="AM96">IF(AND(AM$2&lt;&gt;0,TblTech[[#This Row],[Hour]:[Hour]]&gt;=AM$2),1,0)</f>
        <v>0</v>
      </c>
      <c r="AN96" s="304" cm="1">
        <f t="array" ref="AN96">IF(AND(AN$2&lt;&gt;0,TblTech[[#This Row],[Hour]:[Hour]]&gt;=AN$2),1,0)</f>
        <v>0</v>
      </c>
      <c r="AO96" s="304" cm="1">
        <f t="array" ref="AO96">IF(AND(AO$2&lt;&gt;0,TblTech[[#This Row],[Hour]:[Hour]]&gt;=AO$2),1,0)</f>
        <v>0</v>
      </c>
      <c r="AP96" s="304" cm="1">
        <f t="array" ref="AP96">IF(AND(AP$2&lt;&gt;0,TblTech[[#This Row],[Hour]:[Hour]]&gt;=AP$2),1,0)</f>
        <v>0</v>
      </c>
      <c r="AQ96" s="304" cm="1">
        <f t="array" ref="AQ96">IF(AND(AQ$2&lt;&gt;0,TblTech[[#This Row],[Hour]:[Hour]]&gt;=AQ$2),1,0)</f>
        <v>0</v>
      </c>
      <c r="AR96" s="304" cm="1">
        <f t="array" ref="AR96">IF(AND(AR$2&lt;&gt;0,TblTech[[#This Row],[Hour]:[Hour]]&gt;=AR$2),1,0)</f>
        <v>0</v>
      </c>
      <c r="AS96" s="304" cm="1">
        <f t="array" ref="AS96">IF(AND(AS$2&lt;&gt;0,TblTech[[#This Row],[Hour]:[Hour]]&gt;=AS$2),1,0)</f>
        <v>0</v>
      </c>
      <c r="AT96" s="304" cm="1">
        <f t="array" ref="AT96">IF(AND(AT$2&lt;&gt;0,TblTech[[#This Row],[Hour]:[Hour]]&gt;=AT$2),1,0)</f>
        <v>0</v>
      </c>
      <c r="AU96" s="304" cm="1">
        <f t="array" ref="AU96">IF(AND(AU$2&lt;&gt;0,TblTech[[#This Row],[Hour]:[Hour]]&gt;=AU$2),1,0)</f>
        <v>0</v>
      </c>
      <c r="AV96" s="304" cm="1">
        <f t="array" ref="AV96">IF(AND(AV$2&lt;&gt;0,TblTech[[#This Row],[Hour]:[Hour]]&gt;=AV$2),1,0)</f>
        <v>0</v>
      </c>
      <c r="AW96" s="304" cm="1">
        <f t="array" ref="AW96">IF(AND(AW$2&lt;&gt;0,TblTech[[#This Row],[Hour]:[Hour]]&gt;=AW$2),1,0)</f>
        <v>0</v>
      </c>
      <c r="AX96" s="304" cm="1">
        <f t="array" ref="AX96">IF(AND(AX$2&lt;&gt;0,TblTech[[#This Row],[Hour]:[Hour]]&gt;=AX$2),1,0)</f>
        <v>0</v>
      </c>
      <c r="AY96" s="304" cm="1">
        <f t="array" ref="AY96">IF(AND(AY$2&lt;&gt;0,TblTech[[#This Row],[Hour]:[Hour]]&gt;=AY$2),1,0)</f>
        <v>0</v>
      </c>
      <c r="AZ96" s="304" cm="1">
        <f t="array" ref="AZ96">IF(AND(AZ$2&lt;&gt;0,TblTech[[#This Row],[Hour]:[Hour]]&gt;=AZ$2),1,0)</f>
        <v>0</v>
      </c>
      <c r="BA96" s="304" cm="1">
        <f t="array" ref="BA96">IF(AND(BA$2&lt;&gt;0,TblTech[[#This Row],[Hour]:[Hour]]&gt;=BA$2),1,0)</f>
        <v>0</v>
      </c>
      <c r="BB96" s="304" cm="1">
        <f t="array" ref="BB96">IF(AND(BB$2&lt;&gt;0,TblTech[[#This Row],[Hour]:[Hour]]&gt;=BB$2),1,0)</f>
        <v>0</v>
      </c>
      <c r="BC96" s="304" cm="1">
        <f t="array" ref="BC96">IF(AND(BC$2&lt;&gt;0,TblTech[[#This Row],[Hour]:[Hour]]&gt;=BC$2),1,0)</f>
        <v>0</v>
      </c>
      <c r="BD96" s="304" cm="1">
        <f t="array" ref="BD96">IF(AND(BD$2&lt;&gt;0,TblTech[[#This Row],[Hour]:[Hour]]&gt;=BD$2),1,0)</f>
        <v>0</v>
      </c>
      <c r="BE96" s="304" cm="1">
        <f t="array" ref="BE96">IF(AND(BE$2&lt;&gt;0,TblTech[[#This Row],[Hour]:[Hour]]&gt;=BE$2),1,0)</f>
        <v>0</v>
      </c>
      <c r="BF96" s="304" cm="1">
        <f t="array" ref="BF96">IF(AND(BF$2&lt;&gt;0,TblTech[[#This Row],[Hour]:[Hour]]&gt;=BF$2),1,0)</f>
        <v>0</v>
      </c>
      <c r="BG96" s="304" cm="1">
        <f t="array" ref="BG96">IF(AND(BG$2&lt;&gt;0,TblTech[[#This Row],[Hour]:[Hour]]&gt;=BG$2),1,0)</f>
        <v>0</v>
      </c>
      <c r="BH96" s="304" cm="1">
        <f t="array" ref="BH96">IF(AND(BH$2&lt;&gt;0,TblTech[[#This Row],[Hour]:[Hour]]&gt;=BH$2),1,0)</f>
        <v>0</v>
      </c>
      <c r="BI96" s="304" cm="1">
        <f t="array" ref="BI96">IF(AND(BI$2&lt;&gt;0,TblTech[[#This Row],[Hour]:[Hour]]&gt;=BI$2),1,0)</f>
        <v>0</v>
      </c>
      <c r="BJ96" s="304" cm="1">
        <f t="array" ref="BJ96">IF(AND(BJ$2&lt;&gt;0,TblTech[[#This Row],[Hour]:[Hour]]&gt;=BJ$2),1,0)</f>
        <v>0</v>
      </c>
      <c r="BK96" s="304" cm="1">
        <f t="array" ref="BK96">IF(AND(BK$2&lt;&gt;0,TblTech[[#This Row],[Hour]:[Hour]]&gt;=BK$2),1,0)</f>
        <v>0</v>
      </c>
      <c r="BL96" s="304" cm="1">
        <f t="array" ref="BL96">IF(AND(BL$2&lt;&gt;0,TblTech[[#This Row],[Hour]:[Hour]]&gt;=BL$2),1,0)</f>
        <v>0</v>
      </c>
      <c r="BM96" s="304" cm="1">
        <f t="array" ref="BM96">IF(AND(BM$2&lt;&gt;0,TblTech[[#This Row],[Hour]:[Hour]]&gt;=BM$2),1,0)</f>
        <v>0</v>
      </c>
      <c r="BN96" s="304" cm="1">
        <f t="array" ref="BN96">IF(AND(BN$2&lt;&gt;0,TblTech[[#This Row],[Hour]:[Hour]]&gt;=BN$2),1,0)</f>
        <v>0</v>
      </c>
      <c r="BO96" s="304" cm="1">
        <f t="array" ref="BO96">IF(AND(BO$2&lt;&gt;0,TblTech[[#This Row],[Hour]:[Hour]]&gt;=BO$2),1,0)</f>
        <v>0</v>
      </c>
      <c r="BP96" s="304" cm="1">
        <f t="array" ref="BP96">IF(AND(BP$2&lt;&gt;0,TblTech[[#This Row],[Hour]:[Hour]]&gt;=BP$2),1,0)</f>
        <v>0</v>
      </c>
      <c r="BQ96" s="304" cm="1">
        <f t="array" ref="BQ96">IF(AND(BQ$2&lt;&gt;0,TblTech[[#This Row],[Hour]:[Hour]]&gt;=BQ$2),1,0)</f>
        <v>0</v>
      </c>
      <c r="BR96" s="304" cm="1">
        <f t="array" ref="BR96">IF(AND(BR$2&lt;&gt;0,TblTech[[#This Row],[Hour]:[Hour]]&gt;=BR$2),1,0)</f>
        <v>0</v>
      </c>
      <c r="BS96" s="304" cm="1">
        <f t="array" ref="BS96">IF(AND(BS$2&lt;&gt;0,TblTech[[#This Row],[Hour]:[Hour]]&gt;=BS$2),1,0)</f>
        <v>0</v>
      </c>
      <c r="BT96" s="304" cm="1">
        <f t="array" ref="BT96">IF(AND(BT$2&lt;&gt;0,TblTech[[#This Row],[Hour]:[Hour]]&gt;=BT$2),1,0)</f>
        <v>0</v>
      </c>
      <c r="BU96" s="304" cm="1">
        <f t="array" ref="BU96">IF(AND(BU$2&lt;&gt;0,TblTech[[#This Row],[Hour]:[Hour]]&gt;=BU$2),1,0)</f>
        <v>0</v>
      </c>
      <c r="BV96" s="304" cm="1">
        <f t="array" ref="BV96">IF(AND(BV$2&lt;&gt;0,TblTech[[#This Row],[Hour]:[Hour]]&gt;=BV$2),1,0)</f>
        <v>0</v>
      </c>
      <c r="BW96" s="304" cm="1">
        <f t="array" ref="BW96">IF(AND(BW$2&lt;&gt;0,TblTech[[#This Row],[Hour]:[Hour]]&gt;=BW$2),1,0)</f>
        <v>0</v>
      </c>
      <c r="BX96" s="304" cm="1">
        <f t="array" ref="BX96">IF(AND(BX$2&lt;&gt;0,TblTech[[#This Row],[Hour]:[Hour]]&gt;=BX$2),1,0)</f>
        <v>0</v>
      </c>
      <c r="BY96" s="304" cm="1">
        <f t="array" ref="BY96">IF(AND(BY$2&lt;&gt;0,TblTech[[#This Row],[Hour]:[Hour]]&gt;=BY$2),1,0)</f>
        <v>0</v>
      </c>
      <c r="BZ96" s="304" cm="1">
        <f t="array" ref="BZ96">IF(AND(BZ$2&lt;&gt;0,TblTech[[#This Row],[Hour]:[Hour]]&gt;=BZ$2),1,0)</f>
        <v>0</v>
      </c>
      <c r="CA96" s="408">
        <f>IFERROR(INDEX($H$4:$H$79,MATCH(INDEX(TblTech[[#Headers],[1-1]:[11-1]],1,MATCH(TblTech[[#This Row],[Hour]],$M$2:$BZ$2,0)),$G$4:$G$79,0)),)</f>
        <v>0</v>
      </c>
    </row>
    <row r="97" spans="1:79" x14ac:dyDescent="0.2">
      <c r="A97" s="296">
        <f>TblRezone[[#This Row],[Hour]]</f>
        <v>94</v>
      </c>
      <c r="B97" s="297">
        <f ca="1">TblExplore[[#This Row],[Land-DB]]</f>
        <v>250</v>
      </c>
      <c r="C97" s="298">
        <f ca="1">TblProd[[#This Row],[Techpoints]]</f>
        <v>0</v>
      </c>
      <c r="D97" s="298">
        <f ca="1">TblProd[[#This Row],[Required]]</f>
        <v>3750</v>
      </c>
      <c r="E97" s="307"/>
      <c r="F97" s="308"/>
      <c r="G97" s="301"/>
      <c r="H97" s="302"/>
      <c r="I97" s="302"/>
      <c r="J97" s="302"/>
      <c r="K97" s="96">
        <f ca="1">IF(TblTech[[#This Row],[Sum of tech]]&lt;&gt;OFFSET(TblTech[[#This Row],[Sum of tech]],-1,0),1,0)</f>
        <v>0</v>
      </c>
      <c r="L97" s="303">
        <f>COUNTIF(TblTech[[#This Row],[1-1]:[11-1]],1)</f>
        <v>0</v>
      </c>
      <c r="M97" s="304" cm="1">
        <f t="array" ref="M97">IF(AND(M$2&lt;&gt;0,TblTech[[#This Row],[Hour]:[Hour]]&gt;=M$2),1,0)</f>
        <v>0</v>
      </c>
      <c r="N97" s="304" cm="1">
        <f t="array" ref="N97">IF(AND(N$2&lt;&gt;0,TblTech[[#This Row],[Hour]:[Hour]]&gt;=N$2),1,0)</f>
        <v>0</v>
      </c>
      <c r="O97" s="304" cm="1">
        <f t="array" ref="O97">IF(AND(O$2&lt;&gt;0,TblTech[[#This Row],[Hour]:[Hour]]&gt;=O$2),1,0)</f>
        <v>0</v>
      </c>
      <c r="P97" s="304" cm="1">
        <f t="array" ref="P97">IF(AND(P$2&lt;&gt;0,TblTech[[#This Row],[Hour]:[Hour]]&gt;=P$2),1,0)</f>
        <v>0</v>
      </c>
      <c r="Q97" s="304" cm="1">
        <f t="array" ref="Q97">IF(AND(Q$2&lt;&gt;0,TblTech[[#This Row],[Hour]:[Hour]]&gt;=Q$2),1,0)</f>
        <v>0</v>
      </c>
      <c r="R97" s="304" cm="1">
        <f t="array" ref="R97">IF(AND(R$2&lt;&gt;0,TblTech[[#This Row],[Hour]:[Hour]]&gt;=R$2),1,0)</f>
        <v>0</v>
      </c>
      <c r="S97" s="304" cm="1">
        <f t="array" ref="S97">IF(AND(S$2&lt;&gt;0,TblTech[[#This Row],[Hour]:[Hour]]&gt;=S$2),1,0)</f>
        <v>0</v>
      </c>
      <c r="T97" s="304" cm="1">
        <f t="array" ref="T97">IF(AND(T$2&lt;&gt;0,TblTech[[#This Row],[Hour]:[Hour]]&gt;=T$2),1,0)</f>
        <v>0</v>
      </c>
      <c r="U97" s="304" cm="1">
        <f t="array" ref="U97">IF(AND(U$2&lt;&gt;0,TblTech[[#This Row],[Hour]:[Hour]]&gt;=U$2),1,0)</f>
        <v>0</v>
      </c>
      <c r="V97" s="304" cm="1">
        <f t="array" ref="V97">IF(AND(V$2&lt;&gt;0,TblTech[[#This Row],[Hour]:[Hour]]&gt;=V$2),1,0)</f>
        <v>0</v>
      </c>
      <c r="W97" s="304" cm="1">
        <f t="array" ref="W97">IF(AND(W$2&lt;&gt;0,TblTech[[#This Row],[Hour]:[Hour]]&gt;=W$2),1,0)</f>
        <v>0</v>
      </c>
      <c r="X97" s="304" cm="1">
        <f t="array" ref="X97">IF(AND(X$2&lt;&gt;0,TblTech[[#This Row],[Hour]:[Hour]]&gt;=X$2),1,0)</f>
        <v>0</v>
      </c>
      <c r="Y97" s="304" cm="1">
        <f t="array" ref="Y97">IF(AND(Y$2&lt;&gt;0,TblTech[[#This Row],[Hour]:[Hour]]&gt;=Y$2),1,0)</f>
        <v>0</v>
      </c>
      <c r="Z97" s="304" cm="1">
        <f t="array" ref="Z97">IF(AND(Z$2&lt;&gt;0,TblTech[[#This Row],[Hour]:[Hour]]&gt;=Z$2),1,0)</f>
        <v>0</v>
      </c>
      <c r="AA97" s="304" cm="1">
        <f t="array" ref="AA97">IF(AND(AA$2&lt;&gt;0,TblTech[[#This Row],[Hour]:[Hour]]&gt;=AA$2),1,0)</f>
        <v>0</v>
      </c>
      <c r="AB97" s="304" cm="1">
        <f t="array" ref="AB97">IF(AND(AB$2&lt;&gt;0,TblTech[[#This Row],[Hour]:[Hour]]&gt;=AB$2),1,0)</f>
        <v>0</v>
      </c>
      <c r="AC97" s="304" cm="1">
        <f t="array" ref="AC97">IF(AND(AC$2&lt;&gt;0,TblTech[[#This Row],[Hour]:[Hour]]&gt;=AC$2),1,0)</f>
        <v>0</v>
      </c>
      <c r="AD97" s="304" cm="1">
        <f t="array" ref="AD97">IF(AND(AD$2&lt;&gt;0,TblTech[[#This Row],[Hour]:[Hour]]&gt;=AD$2),1,0)</f>
        <v>0</v>
      </c>
      <c r="AE97" s="304" cm="1">
        <f t="array" ref="AE97">IF(AND(AE$2&lt;&gt;0,TblTech[[#This Row],[Hour]:[Hour]]&gt;=AE$2),1,0)</f>
        <v>0</v>
      </c>
      <c r="AF97" s="304" cm="1">
        <f t="array" ref="AF97">IF(AND(AF$2&lt;&gt;0,TblTech[[#This Row],[Hour]:[Hour]]&gt;=AF$2),1,0)</f>
        <v>0</v>
      </c>
      <c r="AG97" s="304" cm="1">
        <f t="array" ref="AG97">IF(AND(AG$2&lt;&gt;0,TblTech[[#This Row],[Hour]:[Hour]]&gt;=AG$2),1,0)</f>
        <v>0</v>
      </c>
      <c r="AH97" s="304" cm="1">
        <f t="array" ref="AH97">IF(AND(AH$2&lt;&gt;0,TblTech[[#This Row],[Hour]:[Hour]]&gt;=AH$2),1,0)</f>
        <v>0</v>
      </c>
      <c r="AI97" s="304" cm="1">
        <f t="array" ref="AI97">IF(AND(AI$2&lt;&gt;0,TblTech[[#This Row],[Hour]:[Hour]]&gt;=AI$2),1,0)</f>
        <v>0</v>
      </c>
      <c r="AJ97" s="304" cm="1">
        <f t="array" ref="AJ97">IF(AND(AJ$2&lt;&gt;0,TblTech[[#This Row],[Hour]:[Hour]]&gt;=AJ$2),1,0)</f>
        <v>0</v>
      </c>
      <c r="AK97" s="304" cm="1">
        <f t="array" ref="AK97">IF(AND(AK$2&lt;&gt;0,TblTech[[#This Row],[Hour]:[Hour]]&gt;=AK$2),1,0)</f>
        <v>0</v>
      </c>
      <c r="AL97" s="304" cm="1">
        <f t="array" ref="AL97">IF(AND(AL$2&lt;&gt;0,TblTech[[#This Row],[Hour]:[Hour]]&gt;=AL$2),1,0)</f>
        <v>0</v>
      </c>
      <c r="AM97" s="304" cm="1">
        <f t="array" ref="AM97">IF(AND(AM$2&lt;&gt;0,TblTech[[#This Row],[Hour]:[Hour]]&gt;=AM$2),1,0)</f>
        <v>0</v>
      </c>
      <c r="AN97" s="304" cm="1">
        <f t="array" ref="AN97">IF(AND(AN$2&lt;&gt;0,TblTech[[#This Row],[Hour]:[Hour]]&gt;=AN$2),1,0)</f>
        <v>0</v>
      </c>
      <c r="AO97" s="304" cm="1">
        <f t="array" ref="AO97">IF(AND(AO$2&lt;&gt;0,TblTech[[#This Row],[Hour]:[Hour]]&gt;=AO$2),1,0)</f>
        <v>0</v>
      </c>
      <c r="AP97" s="304" cm="1">
        <f t="array" ref="AP97">IF(AND(AP$2&lt;&gt;0,TblTech[[#This Row],[Hour]:[Hour]]&gt;=AP$2),1,0)</f>
        <v>0</v>
      </c>
      <c r="AQ97" s="304" cm="1">
        <f t="array" ref="AQ97">IF(AND(AQ$2&lt;&gt;0,TblTech[[#This Row],[Hour]:[Hour]]&gt;=AQ$2),1,0)</f>
        <v>0</v>
      </c>
      <c r="AR97" s="304" cm="1">
        <f t="array" ref="AR97">IF(AND(AR$2&lt;&gt;0,TblTech[[#This Row],[Hour]:[Hour]]&gt;=AR$2),1,0)</f>
        <v>0</v>
      </c>
      <c r="AS97" s="304" cm="1">
        <f t="array" ref="AS97">IF(AND(AS$2&lt;&gt;0,TblTech[[#This Row],[Hour]:[Hour]]&gt;=AS$2),1,0)</f>
        <v>0</v>
      </c>
      <c r="AT97" s="304" cm="1">
        <f t="array" ref="AT97">IF(AND(AT$2&lt;&gt;0,TblTech[[#This Row],[Hour]:[Hour]]&gt;=AT$2),1,0)</f>
        <v>0</v>
      </c>
      <c r="AU97" s="304" cm="1">
        <f t="array" ref="AU97">IF(AND(AU$2&lt;&gt;0,TblTech[[#This Row],[Hour]:[Hour]]&gt;=AU$2),1,0)</f>
        <v>0</v>
      </c>
      <c r="AV97" s="304" cm="1">
        <f t="array" ref="AV97">IF(AND(AV$2&lt;&gt;0,TblTech[[#This Row],[Hour]:[Hour]]&gt;=AV$2),1,0)</f>
        <v>0</v>
      </c>
      <c r="AW97" s="304" cm="1">
        <f t="array" ref="AW97">IF(AND(AW$2&lt;&gt;0,TblTech[[#This Row],[Hour]:[Hour]]&gt;=AW$2),1,0)</f>
        <v>0</v>
      </c>
      <c r="AX97" s="304" cm="1">
        <f t="array" ref="AX97">IF(AND(AX$2&lt;&gt;0,TblTech[[#This Row],[Hour]:[Hour]]&gt;=AX$2),1,0)</f>
        <v>0</v>
      </c>
      <c r="AY97" s="304" cm="1">
        <f t="array" ref="AY97">IF(AND(AY$2&lt;&gt;0,TblTech[[#This Row],[Hour]:[Hour]]&gt;=AY$2),1,0)</f>
        <v>0</v>
      </c>
      <c r="AZ97" s="304" cm="1">
        <f t="array" ref="AZ97">IF(AND(AZ$2&lt;&gt;0,TblTech[[#This Row],[Hour]:[Hour]]&gt;=AZ$2),1,0)</f>
        <v>0</v>
      </c>
      <c r="BA97" s="304" cm="1">
        <f t="array" ref="BA97">IF(AND(BA$2&lt;&gt;0,TblTech[[#This Row],[Hour]:[Hour]]&gt;=BA$2),1,0)</f>
        <v>0</v>
      </c>
      <c r="BB97" s="304" cm="1">
        <f t="array" ref="BB97">IF(AND(BB$2&lt;&gt;0,TblTech[[#This Row],[Hour]:[Hour]]&gt;=BB$2),1,0)</f>
        <v>0</v>
      </c>
      <c r="BC97" s="304" cm="1">
        <f t="array" ref="BC97">IF(AND(BC$2&lt;&gt;0,TblTech[[#This Row],[Hour]:[Hour]]&gt;=BC$2),1,0)</f>
        <v>0</v>
      </c>
      <c r="BD97" s="304" cm="1">
        <f t="array" ref="BD97">IF(AND(BD$2&lt;&gt;0,TblTech[[#This Row],[Hour]:[Hour]]&gt;=BD$2),1,0)</f>
        <v>0</v>
      </c>
      <c r="BE97" s="304" cm="1">
        <f t="array" ref="BE97">IF(AND(BE$2&lt;&gt;0,TblTech[[#This Row],[Hour]:[Hour]]&gt;=BE$2),1,0)</f>
        <v>0</v>
      </c>
      <c r="BF97" s="304" cm="1">
        <f t="array" ref="BF97">IF(AND(BF$2&lt;&gt;0,TblTech[[#This Row],[Hour]:[Hour]]&gt;=BF$2),1,0)</f>
        <v>0</v>
      </c>
      <c r="BG97" s="304" cm="1">
        <f t="array" ref="BG97">IF(AND(BG$2&lt;&gt;0,TblTech[[#This Row],[Hour]:[Hour]]&gt;=BG$2),1,0)</f>
        <v>0</v>
      </c>
      <c r="BH97" s="304" cm="1">
        <f t="array" ref="BH97">IF(AND(BH$2&lt;&gt;0,TblTech[[#This Row],[Hour]:[Hour]]&gt;=BH$2),1,0)</f>
        <v>0</v>
      </c>
      <c r="BI97" s="304" cm="1">
        <f t="array" ref="BI97">IF(AND(BI$2&lt;&gt;0,TblTech[[#This Row],[Hour]:[Hour]]&gt;=BI$2),1,0)</f>
        <v>0</v>
      </c>
      <c r="BJ97" s="304" cm="1">
        <f t="array" ref="BJ97">IF(AND(BJ$2&lt;&gt;0,TblTech[[#This Row],[Hour]:[Hour]]&gt;=BJ$2),1,0)</f>
        <v>0</v>
      </c>
      <c r="BK97" s="304" cm="1">
        <f t="array" ref="BK97">IF(AND(BK$2&lt;&gt;0,TblTech[[#This Row],[Hour]:[Hour]]&gt;=BK$2),1,0)</f>
        <v>0</v>
      </c>
      <c r="BL97" s="304" cm="1">
        <f t="array" ref="BL97">IF(AND(BL$2&lt;&gt;0,TblTech[[#This Row],[Hour]:[Hour]]&gt;=BL$2),1,0)</f>
        <v>0</v>
      </c>
      <c r="BM97" s="304" cm="1">
        <f t="array" ref="BM97">IF(AND(BM$2&lt;&gt;0,TblTech[[#This Row],[Hour]:[Hour]]&gt;=BM$2),1,0)</f>
        <v>0</v>
      </c>
      <c r="BN97" s="304" cm="1">
        <f t="array" ref="BN97">IF(AND(BN$2&lt;&gt;0,TblTech[[#This Row],[Hour]:[Hour]]&gt;=BN$2),1,0)</f>
        <v>0</v>
      </c>
      <c r="BO97" s="304" cm="1">
        <f t="array" ref="BO97">IF(AND(BO$2&lt;&gt;0,TblTech[[#This Row],[Hour]:[Hour]]&gt;=BO$2),1,0)</f>
        <v>0</v>
      </c>
      <c r="BP97" s="304" cm="1">
        <f t="array" ref="BP97">IF(AND(BP$2&lt;&gt;0,TblTech[[#This Row],[Hour]:[Hour]]&gt;=BP$2),1,0)</f>
        <v>0</v>
      </c>
      <c r="BQ97" s="304" cm="1">
        <f t="array" ref="BQ97">IF(AND(BQ$2&lt;&gt;0,TblTech[[#This Row],[Hour]:[Hour]]&gt;=BQ$2),1,0)</f>
        <v>0</v>
      </c>
      <c r="BR97" s="304" cm="1">
        <f t="array" ref="BR97">IF(AND(BR$2&lt;&gt;0,TblTech[[#This Row],[Hour]:[Hour]]&gt;=BR$2),1,0)</f>
        <v>0</v>
      </c>
      <c r="BS97" s="304" cm="1">
        <f t="array" ref="BS97">IF(AND(BS$2&lt;&gt;0,TblTech[[#This Row],[Hour]:[Hour]]&gt;=BS$2),1,0)</f>
        <v>0</v>
      </c>
      <c r="BT97" s="304" cm="1">
        <f t="array" ref="BT97">IF(AND(BT$2&lt;&gt;0,TblTech[[#This Row],[Hour]:[Hour]]&gt;=BT$2),1,0)</f>
        <v>0</v>
      </c>
      <c r="BU97" s="304" cm="1">
        <f t="array" ref="BU97">IF(AND(BU$2&lt;&gt;0,TblTech[[#This Row],[Hour]:[Hour]]&gt;=BU$2),1,0)</f>
        <v>0</v>
      </c>
      <c r="BV97" s="304" cm="1">
        <f t="array" ref="BV97">IF(AND(BV$2&lt;&gt;0,TblTech[[#This Row],[Hour]:[Hour]]&gt;=BV$2),1,0)</f>
        <v>0</v>
      </c>
      <c r="BW97" s="304" cm="1">
        <f t="array" ref="BW97">IF(AND(BW$2&lt;&gt;0,TblTech[[#This Row],[Hour]:[Hour]]&gt;=BW$2),1,0)</f>
        <v>0</v>
      </c>
      <c r="BX97" s="304" cm="1">
        <f t="array" ref="BX97">IF(AND(BX$2&lt;&gt;0,TblTech[[#This Row],[Hour]:[Hour]]&gt;=BX$2),1,0)</f>
        <v>0</v>
      </c>
      <c r="BY97" s="304" cm="1">
        <f t="array" ref="BY97">IF(AND(BY$2&lt;&gt;0,TblTech[[#This Row],[Hour]:[Hour]]&gt;=BY$2),1,0)</f>
        <v>0</v>
      </c>
      <c r="BZ97" s="304" cm="1">
        <f t="array" ref="BZ97">IF(AND(BZ$2&lt;&gt;0,TblTech[[#This Row],[Hour]:[Hour]]&gt;=BZ$2),1,0)</f>
        <v>0</v>
      </c>
      <c r="CA97" s="408">
        <f>IFERROR(INDEX($H$4:$H$79,MATCH(INDEX(TblTech[[#Headers],[1-1]:[11-1]],1,MATCH(TblTech[[#This Row],[Hour]],$M$2:$BZ$2,0)),$G$4:$G$79,0)),)</f>
        <v>0</v>
      </c>
    </row>
    <row r="98" spans="1:79" x14ac:dyDescent="0.2">
      <c r="A98" s="296">
        <f>TblRezone[[#This Row],[Hour]]</f>
        <v>95</v>
      </c>
      <c r="B98" s="297">
        <f ca="1">TblExplore[[#This Row],[Land-DB]]</f>
        <v>250</v>
      </c>
      <c r="C98" s="298">
        <f ca="1">TblProd[[#This Row],[Techpoints]]</f>
        <v>0</v>
      </c>
      <c r="D98" s="298">
        <f ca="1">TblProd[[#This Row],[Required]]</f>
        <v>3750</v>
      </c>
      <c r="E98" s="307"/>
      <c r="F98" s="308"/>
      <c r="G98" s="301"/>
      <c r="H98" s="302"/>
      <c r="I98" s="302"/>
      <c r="J98" s="302"/>
      <c r="K98" s="96">
        <f ca="1">IF(TblTech[[#This Row],[Sum of tech]]&lt;&gt;OFFSET(TblTech[[#This Row],[Sum of tech]],-1,0),1,0)</f>
        <v>0</v>
      </c>
      <c r="L98" s="303">
        <f>COUNTIF(TblTech[[#This Row],[1-1]:[11-1]],1)</f>
        <v>0</v>
      </c>
      <c r="M98" s="304" cm="1">
        <f t="array" ref="M98">IF(AND(M$2&lt;&gt;0,TblTech[[#This Row],[Hour]:[Hour]]&gt;=M$2),1,0)</f>
        <v>0</v>
      </c>
      <c r="N98" s="304" cm="1">
        <f t="array" ref="N98">IF(AND(N$2&lt;&gt;0,TblTech[[#This Row],[Hour]:[Hour]]&gt;=N$2),1,0)</f>
        <v>0</v>
      </c>
      <c r="O98" s="304" cm="1">
        <f t="array" ref="O98">IF(AND(O$2&lt;&gt;0,TblTech[[#This Row],[Hour]:[Hour]]&gt;=O$2),1,0)</f>
        <v>0</v>
      </c>
      <c r="P98" s="304" cm="1">
        <f t="array" ref="P98">IF(AND(P$2&lt;&gt;0,TblTech[[#This Row],[Hour]:[Hour]]&gt;=P$2),1,0)</f>
        <v>0</v>
      </c>
      <c r="Q98" s="304" cm="1">
        <f t="array" ref="Q98">IF(AND(Q$2&lt;&gt;0,TblTech[[#This Row],[Hour]:[Hour]]&gt;=Q$2),1,0)</f>
        <v>0</v>
      </c>
      <c r="R98" s="304" cm="1">
        <f t="array" ref="R98">IF(AND(R$2&lt;&gt;0,TblTech[[#This Row],[Hour]:[Hour]]&gt;=R$2),1,0)</f>
        <v>0</v>
      </c>
      <c r="S98" s="304" cm="1">
        <f t="array" ref="S98">IF(AND(S$2&lt;&gt;0,TblTech[[#This Row],[Hour]:[Hour]]&gt;=S$2),1,0)</f>
        <v>0</v>
      </c>
      <c r="T98" s="304" cm="1">
        <f t="array" ref="T98">IF(AND(T$2&lt;&gt;0,TblTech[[#This Row],[Hour]:[Hour]]&gt;=T$2),1,0)</f>
        <v>0</v>
      </c>
      <c r="U98" s="304" cm="1">
        <f t="array" ref="U98">IF(AND(U$2&lt;&gt;0,TblTech[[#This Row],[Hour]:[Hour]]&gt;=U$2),1,0)</f>
        <v>0</v>
      </c>
      <c r="V98" s="304" cm="1">
        <f t="array" ref="V98">IF(AND(V$2&lt;&gt;0,TblTech[[#This Row],[Hour]:[Hour]]&gt;=V$2),1,0)</f>
        <v>0</v>
      </c>
      <c r="W98" s="304" cm="1">
        <f t="array" ref="W98">IF(AND(W$2&lt;&gt;0,TblTech[[#This Row],[Hour]:[Hour]]&gt;=W$2),1,0)</f>
        <v>0</v>
      </c>
      <c r="X98" s="304" cm="1">
        <f t="array" ref="X98">IF(AND(X$2&lt;&gt;0,TblTech[[#This Row],[Hour]:[Hour]]&gt;=X$2),1,0)</f>
        <v>0</v>
      </c>
      <c r="Y98" s="304" cm="1">
        <f t="array" ref="Y98">IF(AND(Y$2&lt;&gt;0,TblTech[[#This Row],[Hour]:[Hour]]&gt;=Y$2),1,0)</f>
        <v>0</v>
      </c>
      <c r="Z98" s="304" cm="1">
        <f t="array" ref="Z98">IF(AND(Z$2&lt;&gt;0,TblTech[[#This Row],[Hour]:[Hour]]&gt;=Z$2),1,0)</f>
        <v>0</v>
      </c>
      <c r="AA98" s="304" cm="1">
        <f t="array" ref="AA98">IF(AND(AA$2&lt;&gt;0,TblTech[[#This Row],[Hour]:[Hour]]&gt;=AA$2),1,0)</f>
        <v>0</v>
      </c>
      <c r="AB98" s="304" cm="1">
        <f t="array" ref="AB98">IF(AND(AB$2&lt;&gt;0,TblTech[[#This Row],[Hour]:[Hour]]&gt;=AB$2),1,0)</f>
        <v>0</v>
      </c>
      <c r="AC98" s="304" cm="1">
        <f t="array" ref="AC98">IF(AND(AC$2&lt;&gt;0,TblTech[[#This Row],[Hour]:[Hour]]&gt;=AC$2),1,0)</f>
        <v>0</v>
      </c>
      <c r="AD98" s="304" cm="1">
        <f t="array" ref="AD98">IF(AND(AD$2&lt;&gt;0,TblTech[[#This Row],[Hour]:[Hour]]&gt;=AD$2),1,0)</f>
        <v>0</v>
      </c>
      <c r="AE98" s="304" cm="1">
        <f t="array" ref="AE98">IF(AND(AE$2&lt;&gt;0,TblTech[[#This Row],[Hour]:[Hour]]&gt;=AE$2),1,0)</f>
        <v>0</v>
      </c>
      <c r="AF98" s="304" cm="1">
        <f t="array" ref="AF98">IF(AND(AF$2&lt;&gt;0,TblTech[[#This Row],[Hour]:[Hour]]&gt;=AF$2),1,0)</f>
        <v>0</v>
      </c>
      <c r="AG98" s="304" cm="1">
        <f t="array" ref="AG98">IF(AND(AG$2&lt;&gt;0,TblTech[[#This Row],[Hour]:[Hour]]&gt;=AG$2),1,0)</f>
        <v>0</v>
      </c>
      <c r="AH98" s="304" cm="1">
        <f t="array" ref="AH98">IF(AND(AH$2&lt;&gt;0,TblTech[[#This Row],[Hour]:[Hour]]&gt;=AH$2),1,0)</f>
        <v>0</v>
      </c>
      <c r="AI98" s="304" cm="1">
        <f t="array" ref="AI98">IF(AND(AI$2&lt;&gt;0,TblTech[[#This Row],[Hour]:[Hour]]&gt;=AI$2),1,0)</f>
        <v>0</v>
      </c>
      <c r="AJ98" s="304" cm="1">
        <f t="array" ref="AJ98">IF(AND(AJ$2&lt;&gt;0,TblTech[[#This Row],[Hour]:[Hour]]&gt;=AJ$2),1,0)</f>
        <v>0</v>
      </c>
      <c r="AK98" s="304" cm="1">
        <f t="array" ref="AK98">IF(AND(AK$2&lt;&gt;0,TblTech[[#This Row],[Hour]:[Hour]]&gt;=AK$2),1,0)</f>
        <v>0</v>
      </c>
      <c r="AL98" s="304" cm="1">
        <f t="array" ref="AL98">IF(AND(AL$2&lt;&gt;0,TblTech[[#This Row],[Hour]:[Hour]]&gt;=AL$2),1,0)</f>
        <v>0</v>
      </c>
      <c r="AM98" s="304" cm="1">
        <f t="array" ref="AM98">IF(AND(AM$2&lt;&gt;0,TblTech[[#This Row],[Hour]:[Hour]]&gt;=AM$2),1,0)</f>
        <v>0</v>
      </c>
      <c r="AN98" s="304" cm="1">
        <f t="array" ref="AN98">IF(AND(AN$2&lt;&gt;0,TblTech[[#This Row],[Hour]:[Hour]]&gt;=AN$2),1,0)</f>
        <v>0</v>
      </c>
      <c r="AO98" s="304" cm="1">
        <f t="array" ref="AO98">IF(AND(AO$2&lt;&gt;0,TblTech[[#This Row],[Hour]:[Hour]]&gt;=AO$2),1,0)</f>
        <v>0</v>
      </c>
      <c r="AP98" s="304" cm="1">
        <f t="array" ref="AP98">IF(AND(AP$2&lt;&gt;0,TblTech[[#This Row],[Hour]:[Hour]]&gt;=AP$2),1,0)</f>
        <v>0</v>
      </c>
      <c r="AQ98" s="304" cm="1">
        <f t="array" ref="AQ98">IF(AND(AQ$2&lt;&gt;0,TblTech[[#This Row],[Hour]:[Hour]]&gt;=AQ$2),1,0)</f>
        <v>0</v>
      </c>
      <c r="AR98" s="304" cm="1">
        <f t="array" ref="AR98">IF(AND(AR$2&lt;&gt;0,TblTech[[#This Row],[Hour]:[Hour]]&gt;=AR$2),1,0)</f>
        <v>0</v>
      </c>
      <c r="AS98" s="304" cm="1">
        <f t="array" ref="AS98">IF(AND(AS$2&lt;&gt;0,TblTech[[#This Row],[Hour]:[Hour]]&gt;=AS$2),1,0)</f>
        <v>0</v>
      </c>
      <c r="AT98" s="304" cm="1">
        <f t="array" ref="AT98">IF(AND(AT$2&lt;&gt;0,TblTech[[#This Row],[Hour]:[Hour]]&gt;=AT$2),1,0)</f>
        <v>0</v>
      </c>
      <c r="AU98" s="304" cm="1">
        <f t="array" ref="AU98">IF(AND(AU$2&lt;&gt;0,TblTech[[#This Row],[Hour]:[Hour]]&gt;=AU$2),1,0)</f>
        <v>0</v>
      </c>
      <c r="AV98" s="304" cm="1">
        <f t="array" ref="AV98">IF(AND(AV$2&lt;&gt;0,TblTech[[#This Row],[Hour]:[Hour]]&gt;=AV$2),1,0)</f>
        <v>0</v>
      </c>
      <c r="AW98" s="304" cm="1">
        <f t="array" ref="AW98">IF(AND(AW$2&lt;&gt;0,TblTech[[#This Row],[Hour]:[Hour]]&gt;=AW$2),1,0)</f>
        <v>0</v>
      </c>
      <c r="AX98" s="304" cm="1">
        <f t="array" ref="AX98">IF(AND(AX$2&lt;&gt;0,TblTech[[#This Row],[Hour]:[Hour]]&gt;=AX$2),1,0)</f>
        <v>0</v>
      </c>
      <c r="AY98" s="304" cm="1">
        <f t="array" ref="AY98">IF(AND(AY$2&lt;&gt;0,TblTech[[#This Row],[Hour]:[Hour]]&gt;=AY$2),1,0)</f>
        <v>0</v>
      </c>
      <c r="AZ98" s="304" cm="1">
        <f t="array" ref="AZ98">IF(AND(AZ$2&lt;&gt;0,TblTech[[#This Row],[Hour]:[Hour]]&gt;=AZ$2),1,0)</f>
        <v>0</v>
      </c>
      <c r="BA98" s="304" cm="1">
        <f t="array" ref="BA98">IF(AND(BA$2&lt;&gt;0,TblTech[[#This Row],[Hour]:[Hour]]&gt;=BA$2),1,0)</f>
        <v>0</v>
      </c>
      <c r="BB98" s="304" cm="1">
        <f t="array" ref="BB98">IF(AND(BB$2&lt;&gt;0,TblTech[[#This Row],[Hour]:[Hour]]&gt;=BB$2),1,0)</f>
        <v>0</v>
      </c>
      <c r="BC98" s="304" cm="1">
        <f t="array" ref="BC98">IF(AND(BC$2&lt;&gt;0,TblTech[[#This Row],[Hour]:[Hour]]&gt;=BC$2),1,0)</f>
        <v>0</v>
      </c>
      <c r="BD98" s="304" cm="1">
        <f t="array" ref="BD98">IF(AND(BD$2&lt;&gt;0,TblTech[[#This Row],[Hour]:[Hour]]&gt;=BD$2),1,0)</f>
        <v>0</v>
      </c>
      <c r="BE98" s="304" cm="1">
        <f t="array" ref="BE98">IF(AND(BE$2&lt;&gt;0,TblTech[[#This Row],[Hour]:[Hour]]&gt;=BE$2),1,0)</f>
        <v>0</v>
      </c>
      <c r="BF98" s="304" cm="1">
        <f t="array" ref="BF98">IF(AND(BF$2&lt;&gt;0,TblTech[[#This Row],[Hour]:[Hour]]&gt;=BF$2),1,0)</f>
        <v>0</v>
      </c>
      <c r="BG98" s="304" cm="1">
        <f t="array" ref="BG98">IF(AND(BG$2&lt;&gt;0,TblTech[[#This Row],[Hour]:[Hour]]&gt;=BG$2),1,0)</f>
        <v>0</v>
      </c>
      <c r="BH98" s="304" cm="1">
        <f t="array" ref="BH98">IF(AND(BH$2&lt;&gt;0,TblTech[[#This Row],[Hour]:[Hour]]&gt;=BH$2),1,0)</f>
        <v>0</v>
      </c>
      <c r="BI98" s="304" cm="1">
        <f t="array" ref="BI98">IF(AND(BI$2&lt;&gt;0,TblTech[[#This Row],[Hour]:[Hour]]&gt;=BI$2),1,0)</f>
        <v>0</v>
      </c>
      <c r="BJ98" s="304" cm="1">
        <f t="array" ref="BJ98">IF(AND(BJ$2&lt;&gt;0,TblTech[[#This Row],[Hour]:[Hour]]&gt;=BJ$2),1,0)</f>
        <v>0</v>
      </c>
      <c r="BK98" s="304" cm="1">
        <f t="array" ref="BK98">IF(AND(BK$2&lt;&gt;0,TblTech[[#This Row],[Hour]:[Hour]]&gt;=BK$2),1,0)</f>
        <v>0</v>
      </c>
      <c r="BL98" s="304" cm="1">
        <f t="array" ref="BL98">IF(AND(BL$2&lt;&gt;0,TblTech[[#This Row],[Hour]:[Hour]]&gt;=BL$2),1,0)</f>
        <v>0</v>
      </c>
      <c r="BM98" s="304" cm="1">
        <f t="array" ref="BM98">IF(AND(BM$2&lt;&gt;0,TblTech[[#This Row],[Hour]:[Hour]]&gt;=BM$2),1,0)</f>
        <v>0</v>
      </c>
      <c r="BN98" s="304" cm="1">
        <f t="array" ref="BN98">IF(AND(BN$2&lt;&gt;0,TblTech[[#This Row],[Hour]:[Hour]]&gt;=BN$2),1,0)</f>
        <v>0</v>
      </c>
      <c r="BO98" s="304" cm="1">
        <f t="array" ref="BO98">IF(AND(BO$2&lt;&gt;0,TblTech[[#This Row],[Hour]:[Hour]]&gt;=BO$2),1,0)</f>
        <v>0</v>
      </c>
      <c r="BP98" s="304" cm="1">
        <f t="array" ref="BP98">IF(AND(BP$2&lt;&gt;0,TblTech[[#This Row],[Hour]:[Hour]]&gt;=BP$2),1,0)</f>
        <v>0</v>
      </c>
      <c r="BQ98" s="304" cm="1">
        <f t="array" ref="BQ98">IF(AND(BQ$2&lt;&gt;0,TblTech[[#This Row],[Hour]:[Hour]]&gt;=BQ$2),1,0)</f>
        <v>0</v>
      </c>
      <c r="BR98" s="304" cm="1">
        <f t="array" ref="BR98">IF(AND(BR$2&lt;&gt;0,TblTech[[#This Row],[Hour]:[Hour]]&gt;=BR$2),1,0)</f>
        <v>0</v>
      </c>
      <c r="BS98" s="304" cm="1">
        <f t="array" ref="BS98">IF(AND(BS$2&lt;&gt;0,TblTech[[#This Row],[Hour]:[Hour]]&gt;=BS$2),1,0)</f>
        <v>0</v>
      </c>
      <c r="BT98" s="304" cm="1">
        <f t="array" ref="BT98">IF(AND(BT$2&lt;&gt;0,TblTech[[#This Row],[Hour]:[Hour]]&gt;=BT$2),1,0)</f>
        <v>0</v>
      </c>
      <c r="BU98" s="304" cm="1">
        <f t="array" ref="BU98">IF(AND(BU$2&lt;&gt;0,TblTech[[#This Row],[Hour]:[Hour]]&gt;=BU$2),1,0)</f>
        <v>0</v>
      </c>
      <c r="BV98" s="304" cm="1">
        <f t="array" ref="BV98">IF(AND(BV$2&lt;&gt;0,TblTech[[#This Row],[Hour]:[Hour]]&gt;=BV$2),1,0)</f>
        <v>0</v>
      </c>
      <c r="BW98" s="304" cm="1">
        <f t="array" ref="BW98">IF(AND(BW$2&lt;&gt;0,TblTech[[#This Row],[Hour]:[Hour]]&gt;=BW$2),1,0)</f>
        <v>0</v>
      </c>
      <c r="BX98" s="304" cm="1">
        <f t="array" ref="BX98">IF(AND(BX$2&lt;&gt;0,TblTech[[#This Row],[Hour]:[Hour]]&gt;=BX$2),1,0)</f>
        <v>0</v>
      </c>
      <c r="BY98" s="304" cm="1">
        <f t="array" ref="BY98">IF(AND(BY$2&lt;&gt;0,TblTech[[#This Row],[Hour]:[Hour]]&gt;=BY$2),1,0)</f>
        <v>0</v>
      </c>
      <c r="BZ98" s="304" cm="1">
        <f t="array" ref="BZ98">IF(AND(BZ$2&lt;&gt;0,TblTech[[#This Row],[Hour]:[Hour]]&gt;=BZ$2),1,0)</f>
        <v>0</v>
      </c>
      <c r="CA98" s="408">
        <f>IFERROR(INDEX($H$4:$H$79,MATCH(INDEX(TblTech[[#Headers],[1-1]:[11-1]],1,MATCH(TblTech[[#This Row],[Hour]],$M$2:$BZ$2,0)),$G$4:$G$79,0)),)</f>
        <v>0</v>
      </c>
    </row>
    <row r="99" spans="1:79" x14ac:dyDescent="0.2">
      <c r="A99" s="296">
        <f>TblRezone[[#This Row],[Hour]]</f>
        <v>96</v>
      </c>
      <c r="B99" s="297">
        <f ca="1">TblExplore[[#This Row],[Land-DB]]</f>
        <v>250</v>
      </c>
      <c r="C99" s="298">
        <f ca="1">TblProd[[#This Row],[Techpoints]]</f>
        <v>0</v>
      </c>
      <c r="D99" s="298">
        <f ca="1">TblProd[[#This Row],[Required]]</f>
        <v>3750</v>
      </c>
      <c r="E99" s="307"/>
      <c r="F99" s="308"/>
      <c r="G99" s="301"/>
      <c r="H99" s="302"/>
      <c r="I99" s="302"/>
      <c r="J99" s="302"/>
      <c r="K99" s="96">
        <f ca="1">IF(TblTech[[#This Row],[Sum of tech]]&lt;&gt;OFFSET(TblTech[[#This Row],[Sum of tech]],-1,0),1,0)</f>
        <v>0</v>
      </c>
      <c r="L99" s="303">
        <f>COUNTIF(TblTech[[#This Row],[1-1]:[11-1]],1)</f>
        <v>0</v>
      </c>
      <c r="M99" s="304" cm="1">
        <f t="array" ref="M99">IF(AND(M$2&lt;&gt;0,TblTech[[#This Row],[Hour]:[Hour]]&gt;=M$2),1,0)</f>
        <v>0</v>
      </c>
      <c r="N99" s="304" cm="1">
        <f t="array" ref="N99">IF(AND(N$2&lt;&gt;0,TblTech[[#This Row],[Hour]:[Hour]]&gt;=N$2),1,0)</f>
        <v>0</v>
      </c>
      <c r="O99" s="304" cm="1">
        <f t="array" ref="O99">IF(AND(O$2&lt;&gt;0,TblTech[[#This Row],[Hour]:[Hour]]&gt;=O$2),1,0)</f>
        <v>0</v>
      </c>
      <c r="P99" s="304" cm="1">
        <f t="array" ref="P99">IF(AND(P$2&lt;&gt;0,TblTech[[#This Row],[Hour]:[Hour]]&gt;=P$2),1,0)</f>
        <v>0</v>
      </c>
      <c r="Q99" s="304" cm="1">
        <f t="array" ref="Q99">IF(AND(Q$2&lt;&gt;0,TblTech[[#This Row],[Hour]:[Hour]]&gt;=Q$2),1,0)</f>
        <v>0</v>
      </c>
      <c r="R99" s="304" cm="1">
        <f t="array" ref="R99">IF(AND(R$2&lt;&gt;0,TblTech[[#This Row],[Hour]:[Hour]]&gt;=R$2),1,0)</f>
        <v>0</v>
      </c>
      <c r="S99" s="304" cm="1">
        <f t="array" ref="S99">IF(AND(S$2&lt;&gt;0,TblTech[[#This Row],[Hour]:[Hour]]&gt;=S$2),1,0)</f>
        <v>0</v>
      </c>
      <c r="T99" s="304" cm="1">
        <f t="array" ref="T99">IF(AND(T$2&lt;&gt;0,TblTech[[#This Row],[Hour]:[Hour]]&gt;=T$2),1,0)</f>
        <v>0</v>
      </c>
      <c r="U99" s="304" cm="1">
        <f t="array" ref="U99">IF(AND(U$2&lt;&gt;0,TblTech[[#This Row],[Hour]:[Hour]]&gt;=U$2),1,0)</f>
        <v>0</v>
      </c>
      <c r="V99" s="304" cm="1">
        <f t="array" ref="V99">IF(AND(V$2&lt;&gt;0,TblTech[[#This Row],[Hour]:[Hour]]&gt;=V$2),1,0)</f>
        <v>0</v>
      </c>
      <c r="W99" s="304" cm="1">
        <f t="array" ref="W99">IF(AND(W$2&lt;&gt;0,TblTech[[#This Row],[Hour]:[Hour]]&gt;=W$2),1,0)</f>
        <v>0</v>
      </c>
      <c r="X99" s="304" cm="1">
        <f t="array" ref="X99">IF(AND(X$2&lt;&gt;0,TblTech[[#This Row],[Hour]:[Hour]]&gt;=X$2),1,0)</f>
        <v>0</v>
      </c>
      <c r="Y99" s="304" cm="1">
        <f t="array" ref="Y99">IF(AND(Y$2&lt;&gt;0,TblTech[[#This Row],[Hour]:[Hour]]&gt;=Y$2),1,0)</f>
        <v>0</v>
      </c>
      <c r="Z99" s="304" cm="1">
        <f t="array" ref="Z99">IF(AND(Z$2&lt;&gt;0,TblTech[[#This Row],[Hour]:[Hour]]&gt;=Z$2),1,0)</f>
        <v>0</v>
      </c>
      <c r="AA99" s="304" cm="1">
        <f t="array" ref="AA99">IF(AND(AA$2&lt;&gt;0,TblTech[[#This Row],[Hour]:[Hour]]&gt;=AA$2),1,0)</f>
        <v>0</v>
      </c>
      <c r="AB99" s="304" cm="1">
        <f t="array" ref="AB99">IF(AND(AB$2&lt;&gt;0,TblTech[[#This Row],[Hour]:[Hour]]&gt;=AB$2),1,0)</f>
        <v>0</v>
      </c>
      <c r="AC99" s="304" cm="1">
        <f t="array" ref="AC99">IF(AND(AC$2&lt;&gt;0,TblTech[[#This Row],[Hour]:[Hour]]&gt;=AC$2),1,0)</f>
        <v>0</v>
      </c>
      <c r="AD99" s="304" cm="1">
        <f t="array" ref="AD99">IF(AND(AD$2&lt;&gt;0,TblTech[[#This Row],[Hour]:[Hour]]&gt;=AD$2),1,0)</f>
        <v>0</v>
      </c>
      <c r="AE99" s="304" cm="1">
        <f t="array" ref="AE99">IF(AND(AE$2&lt;&gt;0,TblTech[[#This Row],[Hour]:[Hour]]&gt;=AE$2),1,0)</f>
        <v>0</v>
      </c>
      <c r="AF99" s="304" cm="1">
        <f t="array" ref="AF99">IF(AND(AF$2&lt;&gt;0,TblTech[[#This Row],[Hour]:[Hour]]&gt;=AF$2),1,0)</f>
        <v>0</v>
      </c>
      <c r="AG99" s="304" cm="1">
        <f t="array" ref="AG99">IF(AND(AG$2&lt;&gt;0,TblTech[[#This Row],[Hour]:[Hour]]&gt;=AG$2),1,0)</f>
        <v>0</v>
      </c>
      <c r="AH99" s="304" cm="1">
        <f t="array" ref="AH99">IF(AND(AH$2&lt;&gt;0,TblTech[[#This Row],[Hour]:[Hour]]&gt;=AH$2),1,0)</f>
        <v>0</v>
      </c>
      <c r="AI99" s="304" cm="1">
        <f t="array" ref="AI99">IF(AND(AI$2&lt;&gt;0,TblTech[[#This Row],[Hour]:[Hour]]&gt;=AI$2),1,0)</f>
        <v>0</v>
      </c>
      <c r="AJ99" s="304" cm="1">
        <f t="array" ref="AJ99">IF(AND(AJ$2&lt;&gt;0,TblTech[[#This Row],[Hour]:[Hour]]&gt;=AJ$2),1,0)</f>
        <v>0</v>
      </c>
      <c r="AK99" s="304" cm="1">
        <f t="array" ref="AK99">IF(AND(AK$2&lt;&gt;0,TblTech[[#This Row],[Hour]:[Hour]]&gt;=AK$2),1,0)</f>
        <v>0</v>
      </c>
      <c r="AL99" s="304" cm="1">
        <f t="array" ref="AL99">IF(AND(AL$2&lt;&gt;0,TblTech[[#This Row],[Hour]:[Hour]]&gt;=AL$2),1,0)</f>
        <v>0</v>
      </c>
      <c r="AM99" s="304" cm="1">
        <f t="array" ref="AM99">IF(AND(AM$2&lt;&gt;0,TblTech[[#This Row],[Hour]:[Hour]]&gt;=AM$2),1,0)</f>
        <v>0</v>
      </c>
      <c r="AN99" s="304" cm="1">
        <f t="array" ref="AN99">IF(AND(AN$2&lt;&gt;0,TblTech[[#This Row],[Hour]:[Hour]]&gt;=AN$2),1,0)</f>
        <v>0</v>
      </c>
      <c r="AO99" s="304" cm="1">
        <f t="array" ref="AO99">IF(AND(AO$2&lt;&gt;0,TblTech[[#This Row],[Hour]:[Hour]]&gt;=AO$2),1,0)</f>
        <v>0</v>
      </c>
      <c r="AP99" s="304" cm="1">
        <f t="array" ref="AP99">IF(AND(AP$2&lt;&gt;0,TblTech[[#This Row],[Hour]:[Hour]]&gt;=AP$2),1,0)</f>
        <v>0</v>
      </c>
      <c r="AQ99" s="304" cm="1">
        <f t="array" ref="AQ99">IF(AND(AQ$2&lt;&gt;0,TblTech[[#This Row],[Hour]:[Hour]]&gt;=AQ$2),1,0)</f>
        <v>0</v>
      </c>
      <c r="AR99" s="304" cm="1">
        <f t="array" ref="AR99">IF(AND(AR$2&lt;&gt;0,TblTech[[#This Row],[Hour]:[Hour]]&gt;=AR$2),1,0)</f>
        <v>0</v>
      </c>
      <c r="AS99" s="304" cm="1">
        <f t="array" ref="AS99">IF(AND(AS$2&lt;&gt;0,TblTech[[#This Row],[Hour]:[Hour]]&gt;=AS$2),1,0)</f>
        <v>0</v>
      </c>
      <c r="AT99" s="304" cm="1">
        <f t="array" ref="AT99">IF(AND(AT$2&lt;&gt;0,TblTech[[#This Row],[Hour]:[Hour]]&gt;=AT$2),1,0)</f>
        <v>0</v>
      </c>
      <c r="AU99" s="304" cm="1">
        <f t="array" ref="AU99">IF(AND(AU$2&lt;&gt;0,TblTech[[#This Row],[Hour]:[Hour]]&gt;=AU$2),1,0)</f>
        <v>0</v>
      </c>
      <c r="AV99" s="304" cm="1">
        <f t="array" ref="AV99">IF(AND(AV$2&lt;&gt;0,TblTech[[#This Row],[Hour]:[Hour]]&gt;=AV$2),1,0)</f>
        <v>0</v>
      </c>
      <c r="AW99" s="304" cm="1">
        <f t="array" ref="AW99">IF(AND(AW$2&lt;&gt;0,TblTech[[#This Row],[Hour]:[Hour]]&gt;=AW$2),1,0)</f>
        <v>0</v>
      </c>
      <c r="AX99" s="304" cm="1">
        <f t="array" ref="AX99">IF(AND(AX$2&lt;&gt;0,TblTech[[#This Row],[Hour]:[Hour]]&gt;=AX$2),1,0)</f>
        <v>0</v>
      </c>
      <c r="AY99" s="304" cm="1">
        <f t="array" ref="AY99">IF(AND(AY$2&lt;&gt;0,TblTech[[#This Row],[Hour]:[Hour]]&gt;=AY$2),1,0)</f>
        <v>0</v>
      </c>
      <c r="AZ99" s="304" cm="1">
        <f t="array" ref="AZ99">IF(AND(AZ$2&lt;&gt;0,TblTech[[#This Row],[Hour]:[Hour]]&gt;=AZ$2),1,0)</f>
        <v>0</v>
      </c>
      <c r="BA99" s="304" cm="1">
        <f t="array" ref="BA99">IF(AND(BA$2&lt;&gt;0,TblTech[[#This Row],[Hour]:[Hour]]&gt;=BA$2),1,0)</f>
        <v>0</v>
      </c>
      <c r="BB99" s="304" cm="1">
        <f t="array" ref="BB99">IF(AND(BB$2&lt;&gt;0,TblTech[[#This Row],[Hour]:[Hour]]&gt;=BB$2),1,0)</f>
        <v>0</v>
      </c>
      <c r="BC99" s="304" cm="1">
        <f t="array" ref="BC99">IF(AND(BC$2&lt;&gt;0,TblTech[[#This Row],[Hour]:[Hour]]&gt;=BC$2),1,0)</f>
        <v>0</v>
      </c>
      <c r="BD99" s="304" cm="1">
        <f t="array" ref="BD99">IF(AND(BD$2&lt;&gt;0,TblTech[[#This Row],[Hour]:[Hour]]&gt;=BD$2),1,0)</f>
        <v>0</v>
      </c>
      <c r="BE99" s="304" cm="1">
        <f t="array" ref="BE99">IF(AND(BE$2&lt;&gt;0,TblTech[[#This Row],[Hour]:[Hour]]&gt;=BE$2),1,0)</f>
        <v>0</v>
      </c>
      <c r="BF99" s="304" cm="1">
        <f t="array" ref="BF99">IF(AND(BF$2&lt;&gt;0,TblTech[[#This Row],[Hour]:[Hour]]&gt;=BF$2),1,0)</f>
        <v>0</v>
      </c>
      <c r="BG99" s="304" cm="1">
        <f t="array" ref="BG99">IF(AND(BG$2&lt;&gt;0,TblTech[[#This Row],[Hour]:[Hour]]&gt;=BG$2),1,0)</f>
        <v>0</v>
      </c>
      <c r="BH99" s="304" cm="1">
        <f t="array" ref="BH99">IF(AND(BH$2&lt;&gt;0,TblTech[[#This Row],[Hour]:[Hour]]&gt;=BH$2),1,0)</f>
        <v>0</v>
      </c>
      <c r="BI99" s="304" cm="1">
        <f t="array" ref="BI99">IF(AND(BI$2&lt;&gt;0,TblTech[[#This Row],[Hour]:[Hour]]&gt;=BI$2),1,0)</f>
        <v>0</v>
      </c>
      <c r="BJ99" s="304" cm="1">
        <f t="array" ref="BJ99">IF(AND(BJ$2&lt;&gt;0,TblTech[[#This Row],[Hour]:[Hour]]&gt;=BJ$2),1,0)</f>
        <v>0</v>
      </c>
      <c r="BK99" s="304" cm="1">
        <f t="array" ref="BK99">IF(AND(BK$2&lt;&gt;0,TblTech[[#This Row],[Hour]:[Hour]]&gt;=BK$2),1,0)</f>
        <v>0</v>
      </c>
      <c r="BL99" s="304" cm="1">
        <f t="array" ref="BL99">IF(AND(BL$2&lt;&gt;0,TblTech[[#This Row],[Hour]:[Hour]]&gt;=BL$2),1,0)</f>
        <v>0</v>
      </c>
      <c r="BM99" s="304" cm="1">
        <f t="array" ref="BM99">IF(AND(BM$2&lt;&gt;0,TblTech[[#This Row],[Hour]:[Hour]]&gt;=BM$2),1,0)</f>
        <v>0</v>
      </c>
      <c r="BN99" s="304" cm="1">
        <f t="array" ref="BN99">IF(AND(BN$2&lt;&gt;0,TblTech[[#This Row],[Hour]:[Hour]]&gt;=BN$2),1,0)</f>
        <v>0</v>
      </c>
      <c r="BO99" s="304" cm="1">
        <f t="array" ref="BO99">IF(AND(BO$2&lt;&gt;0,TblTech[[#This Row],[Hour]:[Hour]]&gt;=BO$2),1,0)</f>
        <v>0</v>
      </c>
      <c r="BP99" s="304" cm="1">
        <f t="array" ref="BP99">IF(AND(BP$2&lt;&gt;0,TblTech[[#This Row],[Hour]:[Hour]]&gt;=BP$2),1,0)</f>
        <v>0</v>
      </c>
      <c r="BQ99" s="304" cm="1">
        <f t="array" ref="BQ99">IF(AND(BQ$2&lt;&gt;0,TblTech[[#This Row],[Hour]:[Hour]]&gt;=BQ$2),1,0)</f>
        <v>0</v>
      </c>
      <c r="BR99" s="304" cm="1">
        <f t="array" ref="BR99">IF(AND(BR$2&lt;&gt;0,TblTech[[#This Row],[Hour]:[Hour]]&gt;=BR$2),1,0)</f>
        <v>0</v>
      </c>
      <c r="BS99" s="304" cm="1">
        <f t="array" ref="BS99">IF(AND(BS$2&lt;&gt;0,TblTech[[#This Row],[Hour]:[Hour]]&gt;=BS$2),1,0)</f>
        <v>0</v>
      </c>
      <c r="BT99" s="304" cm="1">
        <f t="array" ref="BT99">IF(AND(BT$2&lt;&gt;0,TblTech[[#This Row],[Hour]:[Hour]]&gt;=BT$2),1,0)</f>
        <v>0</v>
      </c>
      <c r="BU99" s="304" cm="1">
        <f t="array" ref="BU99">IF(AND(BU$2&lt;&gt;0,TblTech[[#This Row],[Hour]:[Hour]]&gt;=BU$2),1,0)</f>
        <v>0</v>
      </c>
      <c r="BV99" s="304" cm="1">
        <f t="array" ref="BV99">IF(AND(BV$2&lt;&gt;0,TblTech[[#This Row],[Hour]:[Hour]]&gt;=BV$2),1,0)</f>
        <v>0</v>
      </c>
      <c r="BW99" s="304" cm="1">
        <f t="array" ref="BW99">IF(AND(BW$2&lt;&gt;0,TblTech[[#This Row],[Hour]:[Hour]]&gt;=BW$2),1,0)</f>
        <v>0</v>
      </c>
      <c r="BX99" s="304" cm="1">
        <f t="array" ref="BX99">IF(AND(BX$2&lt;&gt;0,TblTech[[#This Row],[Hour]:[Hour]]&gt;=BX$2),1,0)</f>
        <v>0</v>
      </c>
      <c r="BY99" s="304" cm="1">
        <f t="array" ref="BY99">IF(AND(BY$2&lt;&gt;0,TblTech[[#This Row],[Hour]:[Hour]]&gt;=BY$2),1,0)</f>
        <v>0</v>
      </c>
      <c r="BZ99" s="304" cm="1">
        <f t="array" ref="BZ99">IF(AND(BZ$2&lt;&gt;0,TblTech[[#This Row],[Hour]:[Hour]]&gt;=BZ$2),1,0)</f>
        <v>0</v>
      </c>
      <c r="CA99" s="408">
        <f>IFERROR(INDEX($H$4:$H$79,MATCH(INDEX(TblTech[[#Headers],[1-1]:[11-1]],1,MATCH(TblTech[[#This Row],[Hour]],$M$2:$BZ$2,0)),$G$4:$G$79,0)),)</f>
        <v>0</v>
      </c>
    </row>
    <row r="100" spans="1:79" x14ac:dyDescent="0.2">
      <c r="A100" s="296">
        <f>TblRezone[[#This Row],[Hour]]</f>
        <v>97</v>
      </c>
      <c r="B100" s="297">
        <f ca="1">TblExplore[[#This Row],[Land-DB]]</f>
        <v>250</v>
      </c>
      <c r="C100" s="298">
        <f ca="1">TblProd[[#This Row],[Techpoints]]</f>
        <v>0</v>
      </c>
      <c r="D100" s="298">
        <f ca="1">TblProd[[#This Row],[Required]]</f>
        <v>3750</v>
      </c>
      <c r="E100" s="307"/>
      <c r="F100" s="308"/>
      <c r="G100" s="301"/>
      <c r="H100" s="302"/>
      <c r="I100" s="302"/>
      <c r="J100" s="302"/>
      <c r="K100" s="96">
        <f ca="1">IF(TblTech[[#This Row],[Sum of tech]]&lt;&gt;OFFSET(TblTech[[#This Row],[Sum of tech]],-1,0),1,0)</f>
        <v>0</v>
      </c>
      <c r="L100" s="303">
        <f>COUNTIF(TblTech[[#This Row],[1-1]:[11-1]],1)</f>
        <v>0</v>
      </c>
      <c r="M100" s="304" cm="1">
        <f t="array" ref="M100">IF(AND(M$2&lt;&gt;0,TblTech[[#This Row],[Hour]:[Hour]]&gt;=M$2),1,0)</f>
        <v>0</v>
      </c>
      <c r="N100" s="304" cm="1">
        <f t="array" ref="N100">IF(AND(N$2&lt;&gt;0,TblTech[[#This Row],[Hour]:[Hour]]&gt;=N$2),1,0)</f>
        <v>0</v>
      </c>
      <c r="O100" s="304" cm="1">
        <f t="array" ref="O100">IF(AND(O$2&lt;&gt;0,TblTech[[#This Row],[Hour]:[Hour]]&gt;=O$2),1,0)</f>
        <v>0</v>
      </c>
      <c r="P100" s="304" cm="1">
        <f t="array" ref="P100">IF(AND(P$2&lt;&gt;0,TblTech[[#This Row],[Hour]:[Hour]]&gt;=P$2),1,0)</f>
        <v>0</v>
      </c>
      <c r="Q100" s="304" cm="1">
        <f t="array" ref="Q100">IF(AND(Q$2&lt;&gt;0,TblTech[[#This Row],[Hour]:[Hour]]&gt;=Q$2),1,0)</f>
        <v>0</v>
      </c>
      <c r="R100" s="304" cm="1">
        <f t="array" ref="R100">IF(AND(R$2&lt;&gt;0,TblTech[[#This Row],[Hour]:[Hour]]&gt;=R$2),1,0)</f>
        <v>0</v>
      </c>
      <c r="S100" s="304" cm="1">
        <f t="array" ref="S100">IF(AND(S$2&lt;&gt;0,TblTech[[#This Row],[Hour]:[Hour]]&gt;=S$2),1,0)</f>
        <v>0</v>
      </c>
      <c r="T100" s="304" cm="1">
        <f t="array" ref="T100">IF(AND(T$2&lt;&gt;0,TblTech[[#This Row],[Hour]:[Hour]]&gt;=T$2),1,0)</f>
        <v>0</v>
      </c>
      <c r="U100" s="304" cm="1">
        <f t="array" ref="U100">IF(AND(U$2&lt;&gt;0,TblTech[[#This Row],[Hour]:[Hour]]&gt;=U$2),1,0)</f>
        <v>0</v>
      </c>
      <c r="V100" s="304" cm="1">
        <f t="array" ref="V100">IF(AND(V$2&lt;&gt;0,TblTech[[#This Row],[Hour]:[Hour]]&gt;=V$2),1,0)</f>
        <v>0</v>
      </c>
      <c r="W100" s="304" cm="1">
        <f t="array" ref="W100">IF(AND(W$2&lt;&gt;0,TblTech[[#This Row],[Hour]:[Hour]]&gt;=W$2),1,0)</f>
        <v>0</v>
      </c>
      <c r="X100" s="304" cm="1">
        <f t="array" ref="X100">IF(AND(X$2&lt;&gt;0,TblTech[[#This Row],[Hour]:[Hour]]&gt;=X$2),1,0)</f>
        <v>0</v>
      </c>
      <c r="Y100" s="304" cm="1">
        <f t="array" ref="Y100">IF(AND(Y$2&lt;&gt;0,TblTech[[#This Row],[Hour]:[Hour]]&gt;=Y$2),1,0)</f>
        <v>0</v>
      </c>
      <c r="Z100" s="304" cm="1">
        <f t="array" ref="Z100">IF(AND(Z$2&lt;&gt;0,TblTech[[#This Row],[Hour]:[Hour]]&gt;=Z$2),1,0)</f>
        <v>0</v>
      </c>
      <c r="AA100" s="304" cm="1">
        <f t="array" ref="AA100">IF(AND(AA$2&lt;&gt;0,TblTech[[#This Row],[Hour]:[Hour]]&gt;=AA$2),1,0)</f>
        <v>0</v>
      </c>
      <c r="AB100" s="304" cm="1">
        <f t="array" ref="AB100">IF(AND(AB$2&lt;&gt;0,TblTech[[#This Row],[Hour]:[Hour]]&gt;=AB$2),1,0)</f>
        <v>0</v>
      </c>
      <c r="AC100" s="304" cm="1">
        <f t="array" ref="AC100">IF(AND(AC$2&lt;&gt;0,TblTech[[#This Row],[Hour]:[Hour]]&gt;=AC$2),1,0)</f>
        <v>0</v>
      </c>
      <c r="AD100" s="304" cm="1">
        <f t="array" ref="AD100">IF(AND(AD$2&lt;&gt;0,TblTech[[#This Row],[Hour]:[Hour]]&gt;=AD$2),1,0)</f>
        <v>0</v>
      </c>
      <c r="AE100" s="304" cm="1">
        <f t="array" ref="AE100">IF(AND(AE$2&lt;&gt;0,TblTech[[#This Row],[Hour]:[Hour]]&gt;=AE$2),1,0)</f>
        <v>0</v>
      </c>
      <c r="AF100" s="304" cm="1">
        <f t="array" ref="AF100">IF(AND(AF$2&lt;&gt;0,TblTech[[#This Row],[Hour]:[Hour]]&gt;=AF$2),1,0)</f>
        <v>0</v>
      </c>
      <c r="AG100" s="304" cm="1">
        <f t="array" ref="AG100">IF(AND(AG$2&lt;&gt;0,TblTech[[#This Row],[Hour]:[Hour]]&gt;=AG$2),1,0)</f>
        <v>0</v>
      </c>
      <c r="AH100" s="304" cm="1">
        <f t="array" ref="AH100">IF(AND(AH$2&lt;&gt;0,TblTech[[#This Row],[Hour]:[Hour]]&gt;=AH$2),1,0)</f>
        <v>0</v>
      </c>
      <c r="AI100" s="304" cm="1">
        <f t="array" ref="AI100">IF(AND(AI$2&lt;&gt;0,TblTech[[#This Row],[Hour]:[Hour]]&gt;=AI$2),1,0)</f>
        <v>0</v>
      </c>
      <c r="AJ100" s="304" cm="1">
        <f t="array" ref="AJ100">IF(AND(AJ$2&lt;&gt;0,TblTech[[#This Row],[Hour]:[Hour]]&gt;=AJ$2),1,0)</f>
        <v>0</v>
      </c>
      <c r="AK100" s="304" cm="1">
        <f t="array" ref="AK100">IF(AND(AK$2&lt;&gt;0,TblTech[[#This Row],[Hour]:[Hour]]&gt;=AK$2),1,0)</f>
        <v>0</v>
      </c>
      <c r="AL100" s="304" cm="1">
        <f t="array" ref="AL100">IF(AND(AL$2&lt;&gt;0,TblTech[[#This Row],[Hour]:[Hour]]&gt;=AL$2),1,0)</f>
        <v>0</v>
      </c>
      <c r="AM100" s="304" cm="1">
        <f t="array" ref="AM100">IF(AND(AM$2&lt;&gt;0,TblTech[[#This Row],[Hour]:[Hour]]&gt;=AM$2),1,0)</f>
        <v>0</v>
      </c>
      <c r="AN100" s="304" cm="1">
        <f t="array" ref="AN100">IF(AND(AN$2&lt;&gt;0,TblTech[[#This Row],[Hour]:[Hour]]&gt;=AN$2),1,0)</f>
        <v>0</v>
      </c>
      <c r="AO100" s="304" cm="1">
        <f t="array" ref="AO100">IF(AND(AO$2&lt;&gt;0,TblTech[[#This Row],[Hour]:[Hour]]&gt;=AO$2),1,0)</f>
        <v>0</v>
      </c>
      <c r="AP100" s="304" cm="1">
        <f t="array" ref="AP100">IF(AND(AP$2&lt;&gt;0,TblTech[[#This Row],[Hour]:[Hour]]&gt;=AP$2),1,0)</f>
        <v>0</v>
      </c>
      <c r="AQ100" s="304" cm="1">
        <f t="array" ref="AQ100">IF(AND(AQ$2&lt;&gt;0,TblTech[[#This Row],[Hour]:[Hour]]&gt;=AQ$2),1,0)</f>
        <v>0</v>
      </c>
      <c r="AR100" s="304" cm="1">
        <f t="array" ref="AR100">IF(AND(AR$2&lt;&gt;0,TblTech[[#This Row],[Hour]:[Hour]]&gt;=AR$2),1,0)</f>
        <v>0</v>
      </c>
      <c r="AS100" s="304" cm="1">
        <f t="array" ref="AS100">IF(AND(AS$2&lt;&gt;0,TblTech[[#This Row],[Hour]:[Hour]]&gt;=AS$2),1,0)</f>
        <v>0</v>
      </c>
      <c r="AT100" s="304" cm="1">
        <f t="array" ref="AT100">IF(AND(AT$2&lt;&gt;0,TblTech[[#This Row],[Hour]:[Hour]]&gt;=AT$2),1,0)</f>
        <v>0</v>
      </c>
      <c r="AU100" s="304" cm="1">
        <f t="array" ref="AU100">IF(AND(AU$2&lt;&gt;0,TblTech[[#This Row],[Hour]:[Hour]]&gt;=AU$2),1,0)</f>
        <v>0</v>
      </c>
      <c r="AV100" s="304" cm="1">
        <f t="array" ref="AV100">IF(AND(AV$2&lt;&gt;0,TblTech[[#This Row],[Hour]:[Hour]]&gt;=AV$2),1,0)</f>
        <v>0</v>
      </c>
      <c r="AW100" s="304" cm="1">
        <f t="array" ref="AW100">IF(AND(AW$2&lt;&gt;0,TblTech[[#This Row],[Hour]:[Hour]]&gt;=AW$2),1,0)</f>
        <v>0</v>
      </c>
      <c r="AX100" s="304" cm="1">
        <f t="array" ref="AX100">IF(AND(AX$2&lt;&gt;0,TblTech[[#This Row],[Hour]:[Hour]]&gt;=AX$2),1,0)</f>
        <v>0</v>
      </c>
      <c r="AY100" s="304" cm="1">
        <f t="array" ref="AY100">IF(AND(AY$2&lt;&gt;0,TblTech[[#This Row],[Hour]:[Hour]]&gt;=AY$2),1,0)</f>
        <v>0</v>
      </c>
      <c r="AZ100" s="304" cm="1">
        <f t="array" ref="AZ100">IF(AND(AZ$2&lt;&gt;0,TblTech[[#This Row],[Hour]:[Hour]]&gt;=AZ$2),1,0)</f>
        <v>0</v>
      </c>
      <c r="BA100" s="304" cm="1">
        <f t="array" ref="BA100">IF(AND(BA$2&lt;&gt;0,TblTech[[#This Row],[Hour]:[Hour]]&gt;=BA$2),1,0)</f>
        <v>0</v>
      </c>
      <c r="BB100" s="304" cm="1">
        <f t="array" ref="BB100">IF(AND(BB$2&lt;&gt;0,TblTech[[#This Row],[Hour]:[Hour]]&gt;=BB$2),1,0)</f>
        <v>0</v>
      </c>
      <c r="BC100" s="304" cm="1">
        <f t="array" ref="BC100">IF(AND(BC$2&lt;&gt;0,TblTech[[#This Row],[Hour]:[Hour]]&gt;=BC$2),1,0)</f>
        <v>0</v>
      </c>
      <c r="BD100" s="304" cm="1">
        <f t="array" ref="BD100">IF(AND(BD$2&lt;&gt;0,TblTech[[#This Row],[Hour]:[Hour]]&gt;=BD$2),1,0)</f>
        <v>0</v>
      </c>
      <c r="BE100" s="304" cm="1">
        <f t="array" ref="BE100">IF(AND(BE$2&lt;&gt;0,TblTech[[#This Row],[Hour]:[Hour]]&gt;=BE$2),1,0)</f>
        <v>0</v>
      </c>
      <c r="BF100" s="304" cm="1">
        <f t="array" ref="BF100">IF(AND(BF$2&lt;&gt;0,TblTech[[#This Row],[Hour]:[Hour]]&gt;=BF$2),1,0)</f>
        <v>0</v>
      </c>
      <c r="BG100" s="304" cm="1">
        <f t="array" ref="BG100">IF(AND(BG$2&lt;&gt;0,TblTech[[#This Row],[Hour]:[Hour]]&gt;=BG$2),1,0)</f>
        <v>0</v>
      </c>
      <c r="BH100" s="304" cm="1">
        <f t="array" ref="BH100">IF(AND(BH$2&lt;&gt;0,TblTech[[#This Row],[Hour]:[Hour]]&gt;=BH$2),1,0)</f>
        <v>0</v>
      </c>
      <c r="BI100" s="304" cm="1">
        <f t="array" ref="BI100">IF(AND(BI$2&lt;&gt;0,TblTech[[#This Row],[Hour]:[Hour]]&gt;=BI$2),1,0)</f>
        <v>0</v>
      </c>
      <c r="BJ100" s="304" cm="1">
        <f t="array" ref="BJ100">IF(AND(BJ$2&lt;&gt;0,TblTech[[#This Row],[Hour]:[Hour]]&gt;=BJ$2),1,0)</f>
        <v>0</v>
      </c>
      <c r="BK100" s="304" cm="1">
        <f t="array" ref="BK100">IF(AND(BK$2&lt;&gt;0,TblTech[[#This Row],[Hour]:[Hour]]&gt;=BK$2),1,0)</f>
        <v>0</v>
      </c>
      <c r="BL100" s="304" cm="1">
        <f t="array" ref="BL100">IF(AND(BL$2&lt;&gt;0,TblTech[[#This Row],[Hour]:[Hour]]&gt;=BL$2),1,0)</f>
        <v>0</v>
      </c>
      <c r="BM100" s="304" cm="1">
        <f t="array" ref="BM100">IF(AND(BM$2&lt;&gt;0,TblTech[[#This Row],[Hour]:[Hour]]&gt;=BM$2),1,0)</f>
        <v>0</v>
      </c>
      <c r="BN100" s="304" cm="1">
        <f t="array" ref="BN100">IF(AND(BN$2&lt;&gt;0,TblTech[[#This Row],[Hour]:[Hour]]&gt;=BN$2),1,0)</f>
        <v>0</v>
      </c>
      <c r="BO100" s="304" cm="1">
        <f t="array" ref="BO100">IF(AND(BO$2&lt;&gt;0,TblTech[[#This Row],[Hour]:[Hour]]&gt;=BO$2),1,0)</f>
        <v>0</v>
      </c>
      <c r="BP100" s="304" cm="1">
        <f t="array" ref="BP100">IF(AND(BP$2&lt;&gt;0,TblTech[[#This Row],[Hour]:[Hour]]&gt;=BP$2),1,0)</f>
        <v>0</v>
      </c>
      <c r="BQ100" s="304" cm="1">
        <f t="array" ref="BQ100">IF(AND(BQ$2&lt;&gt;0,TblTech[[#This Row],[Hour]:[Hour]]&gt;=BQ$2),1,0)</f>
        <v>0</v>
      </c>
      <c r="BR100" s="304" cm="1">
        <f t="array" ref="BR100">IF(AND(BR$2&lt;&gt;0,TblTech[[#This Row],[Hour]:[Hour]]&gt;=BR$2),1,0)</f>
        <v>0</v>
      </c>
      <c r="BS100" s="304" cm="1">
        <f t="array" ref="BS100">IF(AND(BS$2&lt;&gt;0,TblTech[[#This Row],[Hour]:[Hour]]&gt;=BS$2),1,0)</f>
        <v>0</v>
      </c>
      <c r="BT100" s="304" cm="1">
        <f t="array" ref="BT100">IF(AND(BT$2&lt;&gt;0,TblTech[[#This Row],[Hour]:[Hour]]&gt;=BT$2),1,0)</f>
        <v>0</v>
      </c>
      <c r="BU100" s="304" cm="1">
        <f t="array" ref="BU100">IF(AND(BU$2&lt;&gt;0,TblTech[[#This Row],[Hour]:[Hour]]&gt;=BU$2),1,0)</f>
        <v>0</v>
      </c>
      <c r="BV100" s="304" cm="1">
        <f t="array" ref="BV100">IF(AND(BV$2&lt;&gt;0,TblTech[[#This Row],[Hour]:[Hour]]&gt;=BV$2),1,0)</f>
        <v>0</v>
      </c>
      <c r="BW100" s="304" cm="1">
        <f t="array" ref="BW100">IF(AND(BW$2&lt;&gt;0,TblTech[[#This Row],[Hour]:[Hour]]&gt;=BW$2),1,0)</f>
        <v>0</v>
      </c>
      <c r="BX100" s="304" cm="1">
        <f t="array" ref="BX100">IF(AND(BX$2&lt;&gt;0,TblTech[[#This Row],[Hour]:[Hour]]&gt;=BX$2),1,0)</f>
        <v>0</v>
      </c>
      <c r="BY100" s="304" cm="1">
        <f t="array" ref="BY100">IF(AND(BY$2&lt;&gt;0,TblTech[[#This Row],[Hour]:[Hour]]&gt;=BY$2),1,0)</f>
        <v>0</v>
      </c>
      <c r="BZ100" s="304" cm="1">
        <f t="array" ref="BZ100">IF(AND(BZ$2&lt;&gt;0,TblTech[[#This Row],[Hour]:[Hour]]&gt;=BZ$2),1,0)</f>
        <v>0</v>
      </c>
      <c r="CA100" s="408">
        <f>IFERROR(INDEX($H$4:$H$79,MATCH(INDEX(TblTech[[#Headers],[1-1]:[11-1]],1,MATCH(TblTech[[#This Row],[Hour]],$M$2:$BZ$2,0)),$G$4:$G$79,0)),)</f>
        <v>0</v>
      </c>
    </row>
    <row r="101" spans="1:79" x14ac:dyDescent="0.2">
      <c r="A101" s="296">
        <f>TblRezone[[#This Row],[Hour]]</f>
        <v>98</v>
      </c>
      <c r="B101" s="297">
        <f ca="1">TblExplore[[#This Row],[Land-DB]]</f>
        <v>250</v>
      </c>
      <c r="C101" s="298">
        <f ca="1">TblProd[[#This Row],[Techpoints]]</f>
        <v>0</v>
      </c>
      <c r="D101" s="298">
        <f ca="1">TblProd[[#This Row],[Required]]</f>
        <v>3750</v>
      </c>
      <c r="E101" s="307"/>
      <c r="F101" s="308"/>
      <c r="G101" s="301"/>
      <c r="H101" s="302"/>
      <c r="I101" s="302"/>
      <c r="J101" s="302"/>
      <c r="K101" s="96">
        <f ca="1">IF(TblTech[[#This Row],[Sum of tech]]&lt;&gt;OFFSET(TblTech[[#This Row],[Sum of tech]],-1,0),1,0)</f>
        <v>0</v>
      </c>
      <c r="L101" s="303">
        <f>COUNTIF(TblTech[[#This Row],[1-1]:[11-1]],1)</f>
        <v>0</v>
      </c>
      <c r="M101" s="304" cm="1">
        <f t="array" ref="M101">IF(AND(M$2&lt;&gt;0,TblTech[[#This Row],[Hour]:[Hour]]&gt;=M$2),1,0)</f>
        <v>0</v>
      </c>
      <c r="N101" s="304" cm="1">
        <f t="array" ref="N101">IF(AND(N$2&lt;&gt;0,TblTech[[#This Row],[Hour]:[Hour]]&gt;=N$2),1,0)</f>
        <v>0</v>
      </c>
      <c r="O101" s="304" cm="1">
        <f t="array" ref="O101">IF(AND(O$2&lt;&gt;0,TblTech[[#This Row],[Hour]:[Hour]]&gt;=O$2),1,0)</f>
        <v>0</v>
      </c>
      <c r="P101" s="304" cm="1">
        <f t="array" ref="P101">IF(AND(P$2&lt;&gt;0,TblTech[[#This Row],[Hour]:[Hour]]&gt;=P$2),1,0)</f>
        <v>0</v>
      </c>
      <c r="Q101" s="304" cm="1">
        <f t="array" ref="Q101">IF(AND(Q$2&lt;&gt;0,TblTech[[#This Row],[Hour]:[Hour]]&gt;=Q$2),1,0)</f>
        <v>0</v>
      </c>
      <c r="R101" s="304" cm="1">
        <f t="array" ref="R101">IF(AND(R$2&lt;&gt;0,TblTech[[#This Row],[Hour]:[Hour]]&gt;=R$2),1,0)</f>
        <v>0</v>
      </c>
      <c r="S101" s="304" cm="1">
        <f t="array" ref="S101">IF(AND(S$2&lt;&gt;0,TblTech[[#This Row],[Hour]:[Hour]]&gt;=S$2),1,0)</f>
        <v>0</v>
      </c>
      <c r="T101" s="304" cm="1">
        <f t="array" ref="T101">IF(AND(T$2&lt;&gt;0,TblTech[[#This Row],[Hour]:[Hour]]&gt;=T$2),1,0)</f>
        <v>0</v>
      </c>
      <c r="U101" s="304" cm="1">
        <f t="array" ref="U101">IF(AND(U$2&lt;&gt;0,TblTech[[#This Row],[Hour]:[Hour]]&gt;=U$2),1,0)</f>
        <v>0</v>
      </c>
      <c r="V101" s="304" cm="1">
        <f t="array" ref="V101">IF(AND(V$2&lt;&gt;0,TblTech[[#This Row],[Hour]:[Hour]]&gt;=V$2),1,0)</f>
        <v>0</v>
      </c>
      <c r="W101" s="304" cm="1">
        <f t="array" ref="W101">IF(AND(W$2&lt;&gt;0,TblTech[[#This Row],[Hour]:[Hour]]&gt;=W$2),1,0)</f>
        <v>0</v>
      </c>
      <c r="X101" s="304" cm="1">
        <f t="array" ref="X101">IF(AND(X$2&lt;&gt;0,TblTech[[#This Row],[Hour]:[Hour]]&gt;=X$2),1,0)</f>
        <v>0</v>
      </c>
      <c r="Y101" s="304" cm="1">
        <f t="array" ref="Y101">IF(AND(Y$2&lt;&gt;0,TblTech[[#This Row],[Hour]:[Hour]]&gt;=Y$2),1,0)</f>
        <v>0</v>
      </c>
      <c r="Z101" s="304" cm="1">
        <f t="array" ref="Z101">IF(AND(Z$2&lt;&gt;0,TblTech[[#This Row],[Hour]:[Hour]]&gt;=Z$2),1,0)</f>
        <v>0</v>
      </c>
      <c r="AA101" s="304" cm="1">
        <f t="array" ref="AA101">IF(AND(AA$2&lt;&gt;0,TblTech[[#This Row],[Hour]:[Hour]]&gt;=AA$2),1,0)</f>
        <v>0</v>
      </c>
      <c r="AB101" s="304" cm="1">
        <f t="array" ref="AB101">IF(AND(AB$2&lt;&gt;0,TblTech[[#This Row],[Hour]:[Hour]]&gt;=AB$2),1,0)</f>
        <v>0</v>
      </c>
      <c r="AC101" s="304" cm="1">
        <f t="array" ref="AC101">IF(AND(AC$2&lt;&gt;0,TblTech[[#This Row],[Hour]:[Hour]]&gt;=AC$2),1,0)</f>
        <v>0</v>
      </c>
      <c r="AD101" s="304" cm="1">
        <f t="array" ref="AD101">IF(AND(AD$2&lt;&gt;0,TblTech[[#This Row],[Hour]:[Hour]]&gt;=AD$2),1,0)</f>
        <v>0</v>
      </c>
      <c r="AE101" s="304" cm="1">
        <f t="array" ref="AE101">IF(AND(AE$2&lt;&gt;0,TblTech[[#This Row],[Hour]:[Hour]]&gt;=AE$2),1,0)</f>
        <v>0</v>
      </c>
      <c r="AF101" s="304" cm="1">
        <f t="array" ref="AF101">IF(AND(AF$2&lt;&gt;0,TblTech[[#This Row],[Hour]:[Hour]]&gt;=AF$2),1,0)</f>
        <v>0</v>
      </c>
      <c r="AG101" s="304" cm="1">
        <f t="array" ref="AG101">IF(AND(AG$2&lt;&gt;0,TblTech[[#This Row],[Hour]:[Hour]]&gt;=AG$2),1,0)</f>
        <v>0</v>
      </c>
      <c r="AH101" s="304" cm="1">
        <f t="array" ref="AH101">IF(AND(AH$2&lt;&gt;0,TblTech[[#This Row],[Hour]:[Hour]]&gt;=AH$2),1,0)</f>
        <v>0</v>
      </c>
      <c r="AI101" s="304" cm="1">
        <f t="array" ref="AI101">IF(AND(AI$2&lt;&gt;0,TblTech[[#This Row],[Hour]:[Hour]]&gt;=AI$2),1,0)</f>
        <v>0</v>
      </c>
      <c r="AJ101" s="304" cm="1">
        <f t="array" ref="AJ101">IF(AND(AJ$2&lt;&gt;0,TblTech[[#This Row],[Hour]:[Hour]]&gt;=AJ$2),1,0)</f>
        <v>0</v>
      </c>
      <c r="AK101" s="304" cm="1">
        <f t="array" ref="AK101">IF(AND(AK$2&lt;&gt;0,TblTech[[#This Row],[Hour]:[Hour]]&gt;=AK$2),1,0)</f>
        <v>0</v>
      </c>
      <c r="AL101" s="304" cm="1">
        <f t="array" ref="AL101">IF(AND(AL$2&lt;&gt;0,TblTech[[#This Row],[Hour]:[Hour]]&gt;=AL$2),1,0)</f>
        <v>0</v>
      </c>
      <c r="AM101" s="304" cm="1">
        <f t="array" ref="AM101">IF(AND(AM$2&lt;&gt;0,TblTech[[#This Row],[Hour]:[Hour]]&gt;=AM$2),1,0)</f>
        <v>0</v>
      </c>
      <c r="AN101" s="304" cm="1">
        <f t="array" ref="AN101">IF(AND(AN$2&lt;&gt;0,TblTech[[#This Row],[Hour]:[Hour]]&gt;=AN$2),1,0)</f>
        <v>0</v>
      </c>
      <c r="AO101" s="304" cm="1">
        <f t="array" ref="AO101">IF(AND(AO$2&lt;&gt;0,TblTech[[#This Row],[Hour]:[Hour]]&gt;=AO$2),1,0)</f>
        <v>0</v>
      </c>
      <c r="AP101" s="304" cm="1">
        <f t="array" ref="AP101">IF(AND(AP$2&lt;&gt;0,TblTech[[#This Row],[Hour]:[Hour]]&gt;=AP$2),1,0)</f>
        <v>0</v>
      </c>
      <c r="AQ101" s="304" cm="1">
        <f t="array" ref="AQ101">IF(AND(AQ$2&lt;&gt;0,TblTech[[#This Row],[Hour]:[Hour]]&gt;=AQ$2),1,0)</f>
        <v>0</v>
      </c>
      <c r="AR101" s="304" cm="1">
        <f t="array" ref="AR101">IF(AND(AR$2&lt;&gt;0,TblTech[[#This Row],[Hour]:[Hour]]&gt;=AR$2),1,0)</f>
        <v>0</v>
      </c>
      <c r="AS101" s="304" cm="1">
        <f t="array" ref="AS101">IF(AND(AS$2&lt;&gt;0,TblTech[[#This Row],[Hour]:[Hour]]&gt;=AS$2),1,0)</f>
        <v>0</v>
      </c>
      <c r="AT101" s="304" cm="1">
        <f t="array" ref="AT101">IF(AND(AT$2&lt;&gt;0,TblTech[[#This Row],[Hour]:[Hour]]&gt;=AT$2),1,0)</f>
        <v>0</v>
      </c>
      <c r="AU101" s="304" cm="1">
        <f t="array" ref="AU101">IF(AND(AU$2&lt;&gt;0,TblTech[[#This Row],[Hour]:[Hour]]&gt;=AU$2),1,0)</f>
        <v>0</v>
      </c>
      <c r="AV101" s="304" cm="1">
        <f t="array" ref="AV101">IF(AND(AV$2&lt;&gt;0,TblTech[[#This Row],[Hour]:[Hour]]&gt;=AV$2),1,0)</f>
        <v>0</v>
      </c>
      <c r="AW101" s="304" cm="1">
        <f t="array" ref="AW101">IF(AND(AW$2&lt;&gt;0,TblTech[[#This Row],[Hour]:[Hour]]&gt;=AW$2),1,0)</f>
        <v>0</v>
      </c>
      <c r="AX101" s="304" cm="1">
        <f t="array" ref="AX101">IF(AND(AX$2&lt;&gt;0,TblTech[[#This Row],[Hour]:[Hour]]&gt;=AX$2),1,0)</f>
        <v>0</v>
      </c>
      <c r="AY101" s="304" cm="1">
        <f t="array" ref="AY101">IF(AND(AY$2&lt;&gt;0,TblTech[[#This Row],[Hour]:[Hour]]&gt;=AY$2),1,0)</f>
        <v>0</v>
      </c>
      <c r="AZ101" s="304" cm="1">
        <f t="array" ref="AZ101">IF(AND(AZ$2&lt;&gt;0,TblTech[[#This Row],[Hour]:[Hour]]&gt;=AZ$2),1,0)</f>
        <v>0</v>
      </c>
      <c r="BA101" s="304" cm="1">
        <f t="array" ref="BA101">IF(AND(BA$2&lt;&gt;0,TblTech[[#This Row],[Hour]:[Hour]]&gt;=BA$2),1,0)</f>
        <v>0</v>
      </c>
      <c r="BB101" s="304" cm="1">
        <f t="array" ref="BB101">IF(AND(BB$2&lt;&gt;0,TblTech[[#This Row],[Hour]:[Hour]]&gt;=BB$2),1,0)</f>
        <v>0</v>
      </c>
      <c r="BC101" s="304" cm="1">
        <f t="array" ref="BC101">IF(AND(BC$2&lt;&gt;0,TblTech[[#This Row],[Hour]:[Hour]]&gt;=BC$2),1,0)</f>
        <v>0</v>
      </c>
      <c r="BD101" s="304" cm="1">
        <f t="array" ref="BD101">IF(AND(BD$2&lt;&gt;0,TblTech[[#This Row],[Hour]:[Hour]]&gt;=BD$2),1,0)</f>
        <v>0</v>
      </c>
      <c r="BE101" s="304" cm="1">
        <f t="array" ref="BE101">IF(AND(BE$2&lt;&gt;0,TblTech[[#This Row],[Hour]:[Hour]]&gt;=BE$2),1,0)</f>
        <v>0</v>
      </c>
      <c r="BF101" s="304" cm="1">
        <f t="array" ref="BF101">IF(AND(BF$2&lt;&gt;0,TblTech[[#This Row],[Hour]:[Hour]]&gt;=BF$2),1,0)</f>
        <v>0</v>
      </c>
      <c r="BG101" s="304" cm="1">
        <f t="array" ref="BG101">IF(AND(BG$2&lt;&gt;0,TblTech[[#This Row],[Hour]:[Hour]]&gt;=BG$2),1,0)</f>
        <v>0</v>
      </c>
      <c r="BH101" s="304" cm="1">
        <f t="array" ref="BH101">IF(AND(BH$2&lt;&gt;0,TblTech[[#This Row],[Hour]:[Hour]]&gt;=BH$2),1,0)</f>
        <v>0</v>
      </c>
      <c r="BI101" s="304" cm="1">
        <f t="array" ref="BI101">IF(AND(BI$2&lt;&gt;0,TblTech[[#This Row],[Hour]:[Hour]]&gt;=BI$2),1,0)</f>
        <v>0</v>
      </c>
      <c r="BJ101" s="304" cm="1">
        <f t="array" ref="BJ101">IF(AND(BJ$2&lt;&gt;0,TblTech[[#This Row],[Hour]:[Hour]]&gt;=BJ$2),1,0)</f>
        <v>0</v>
      </c>
      <c r="BK101" s="304" cm="1">
        <f t="array" ref="BK101">IF(AND(BK$2&lt;&gt;0,TblTech[[#This Row],[Hour]:[Hour]]&gt;=BK$2),1,0)</f>
        <v>0</v>
      </c>
      <c r="BL101" s="304" cm="1">
        <f t="array" ref="BL101">IF(AND(BL$2&lt;&gt;0,TblTech[[#This Row],[Hour]:[Hour]]&gt;=BL$2),1,0)</f>
        <v>0</v>
      </c>
      <c r="BM101" s="304" cm="1">
        <f t="array" ref="BM101">IF(AND(BM$2&lt;&gt;0,TblTech[[#This Row],[Hour]:[Hour]]&gt;=BM$2),1,0)</f>
        <v>0</v>
      </c>
      <c r="BN101" s="304" cm="1">
        <f t="array" ref="BN101">IF(AND(BN$2&lt;&gt;0,TblTech[[#This Row],[Hour]:[Hour]]&gt;=BN$2),1,0)</f>
        <v>0</v>
      </c>
      <c r="BO101" s="304" cm="1">
        <f t="array" ref="BO101">IF(AND(BO$2&lt;&gt;0,TblTech[[#This Row],[Hour]:[Hour]]&gt;=BO$2),1,0)</f>
        <v>0</v>
      </c>
      <c r="BP101" s="304" cm="1">
        <f t="array" ref="BP101">IF(AND(BP$2&lt;&gt;0,TblTech[[#This Row],[Hour]:[Hour]]&gt;=BP$2),1,0)</f>
        <v>0</v>
      </c>
      <c r="BQ101" s="304" cm="1">
        <f t="array" ref="BQ101">IF(AND(BQ$2&lt;&gt;0,TblTech[[#This Row],[Hour]:[Hour]]&gt;=BQ$2),1,0)</f>
        <v>0</v>
      </c>
      <c r="BR101" s="304" cm="1">
        <f t="array" ref="BR101">IF(AND(BR$2&lt;&gt;0,TblTech[[#This Row],[Hour]:[Hour]]&gt;=BR$2),1,0)</f>
        <v>0</v>
      </c>
      <c r="BS101" s="304" cm="1">
        <f t="array" ref="BS101">IF(AND(BS$2&lt;&gt;0,TblTech[[#This Row],[Hour]:[Hour]]&gt;=BS$2),1,0)</f>
        <v>0</v>
      </c>
      <c r="BT101" s="304" cm="1">
        <f t="array" ref="BT101">IF(AND(BT$2&lt;&gt;0,TblTech[[#This Row],[Hour]:[Hour]]&gt;=BT$2),1,0)</f>
        <v>0</v>
      </c>
      <c r="BU101" s="304" cm="1">
        <f t="array" ref="BU101">IF(AND(BU$2&lt;&gt;0,TblTech[[#This Row],[Hour]:[Hour]]&gt;=BU$2),1,0)</f>
        <v>0</v>
      </c>
      <c r="BV101" s="304" cm="1">
        <f t="array" ref="BV101">IF(AND(BV$2&lt;&gt;0,TblTech[[#This Row],[Hour]:[Hour]]&gt;=BV$2),1,0)</f>
        <v>0</v>
      </c>
      <c r="BW101" s="304" cm="1">
        <f t="array" ref="BW101">IF(AND(BW$2&lt;&gt;0,TblTech[[#This Row],[Hour]:[Hour]]&gt;=BW$2),1,0)</f>
        <v>0</v>
      </c>
      <c r="BX101" s="304" cm="1">
        <f t="array" ref="BX101">IF(AND(BX$2&lt;&gt;0,TblTech[[#This Row],[Hour]:[Hour]]&gt;=BX$2),1,0)</f>
        <v>0</v>
      </c>
      <c r="BY101" s="304" cm="1">
        <f t="array" ref="BY101">IF(AND(BY$2&lt;&gt;0,TblTech[[#This Row],[Hour]:[Hour]]&gt;=BY$2),1,0)</f>
        <v>0</v>
      </c>
      <c r="BZ101" s="304" cm="1">
        <f t="array" ref="BZ101">IF(AND(BZ$2&lt;&gt;0,TblTech[[#This Row],[Hour]:[Hour]]&gt;=BZ$2),1,0)</f>
        <v>0</v>
      </c>
      <c r="CA101" s="408">
        <f>IFERROR(INDEX($H$4:$H$79,MATCH(INDEX(TblTech[[#Headers],[1-1]:[11-1]],1,MATCH(TblTech[[#This Row],[Hour]],$M$2:$BZ$2,0)),$G$4:$G$79,0)),)</f>
        <v>0</v>
      </c>
    </row>
    <row r="102" spans="1:79" x14ac:dyDescent="0.2">
      <c r="A102" s="296">
        <f>TblRezone[[#This Row],[Hour]]</f>
        <v>99</v>
      </c>
      <c r="B102" s="297">
        <f ca="1">TblExplore[[#This Row],[Land-DB]]</f>
        <v>250</v>
      </c>
      <c r="C102" s="298">
        <f ca="1">TblProd[[#This Row],[Techpoints]]</f>
        <v>0</v>
      </c>
      <c r="D102" s="298">
        <f ca="1">TblProd[[#This Row],[Required]]</f>
        <v>3750</v>
      </c>
      <c r="E102" s="307"/>
      <c r="F102" s="308"/>
      <c r="G102" s="301"/>
      <c r="H102" s="302"/>
      <c r="I102" s="302"/>
      <c r="J102" s="302"/>
      <c r="K102" s="96">
        <f ca="1">IF(TblTech[[#This Row],[Sum of tech]]&lt;&gt;OFFSET(TblTech[[#This Row],[Sum of tech]],-1,0),1,0)</f>
        <v>0</v>
      </c>
      <c r="L102" s="303">
        <f>COUNTIF(TblTech[[#This Row],[1-1]:[11-1]],1)</f>
        <v>0</v>
      </c>
      <c r="M102" s="304" cm="1">
        <f t="array" ref="M102">IF(AND(M$2&lt;&gt;0,TblTech[[#This Row],[Hour]:[Hour]]&gt;=M$2),1,0)</f>
        <v>0</v>
      </c>
      <c r="N102" s="304" cm="1">
        <f t="array" ref="N102">IF(AND(N$2&lt;&gt;0,TblTech[[#This Row],[Hour]:[Hour]]&gt;=N$2),1,0)</f>
        <v>0</v>
      </c>
      <c r="O102" s="304" cm="1">
        <f t="array" ref="O102">IF(AND(O$2&lt;&gt;0,TblTech[[#This Row],[Hour]:[Hour]]&gt;=O$2),1,0)</f>
        <v>0</v>
      </c>
      <c r="P102" s="304" cm="1">
        <f t="array" ref="P102">IF(AND(P$2&lt;&gt;0,TblTech[[#This Row],[Hour]:[Hour]]&gt;=P$2),1,0)</f>
        <v>0</v>
      </c>
      <c r="Q102" s="304" cm="1">
        <f t="array" ref="Q102">IF(AND(Q$2&lt;&gt;0,TblTech[[#This Row],[Hour]:[Hour]]&gt;=Q$2),1,0)</f>
        <v>0</v>
      </c>
      <c r="R102" s="304" cm="1">
        <f t="array" ref="R102">IF(AND(R$2&lt;&gt;0,TblTech[[#This Row],[Hour]:[Hour]]&gt;=R$2),1,0)</f>
        <v>0</v>
      </c>
      <c r="S102" s="304" cm="1">
        <f t="array" ref="S102">IF(AND(S$2&lt;&gt;0,TblTech[[#This Row],[Hour]:[Hour]]&gt;=S$2),1,0)</f>
        <v>0</v>
      </c>
      <c r="T102" s="304" cm="1">
        <f t="array" ref="T102">IF(AND(T$2&lt;&gt;0,TblTech[[#This Row],[Hour]:[Hour]]&gt;=T$2),1,0)</f>
        <v>0</v>
      </c>
      <c r="U102" s="304" cm="1">
        <f t="array" ref="U102">IF(AND(U$2&lt;&gt;0,TblTech[[#This Row],[Hour]:[Hour]]&gt;=U$2),1,0)</f>
        <v>0</v>
      </c>
      <c r="V102" s="304" cm="1">
        <f t="array" ref="V102">IF(AND(V$2&lt;&gt;0,TblTech[[#This Row],[Hour]:[Hour]]&gt;=V$2),1,0)</f>
        <v>0</v>
      </c>
      <c r="W102" s="304" cm="1">
        <f t="array" ref="W102">IF(AND(W$2&lt;&gt;0,TblTech[[#This Row],[Hour]:[Hour]]&gt;=W$2),1,0)</f>
        <v>0</v>
      </c>
      <c r="X102" s="304" cm="1">
        <f t="array" ref="X102">IF(AND(X$2&lt;&gt;0,TblTech[[#This Row],[Hour]:[Hour]]&gt;=X$2),1,0)</f>
        <v>0</v>
      </c>
      <c r="Y102" s="304" cm="1">
        <f t="array" ref="Y102">IF(AND(Y$2&lt;&gt;0,TblTech[[#This Row],[Hour]:[Hour]]&gt;=Y$2),1,0)</f>
        <v>0</v>
      </c>
      <c r="Z102" s="304" cm="1">
        <f t="array" ref="Z102">IF(AND(Z$2&lt;&gt;0,TblTech[[#This Row],[Hour]:[Hour]]&gt;=Z$2),1,0)</f>
        <v>0</v>
      </c>
      <c r="AA102" s="304" cm="1">
        <f t="array" ref="AA102">IF(AND(AA$2&lt;&gt;0,TblTech[[#This Row],[Hour]:[Hour]]&gt;=AA$2),1,0)</f>
        <v>0</v>
      </c>
      <c r="AB102" s="304" cm="1">
        <f t="array" ref="AB102">IF(AND(AB$2&lt;&gt;0,TblTech[[#This Row],[Hour]:[Hour]]&gt;=AB$2),1,0)</f>
        <v>0</v>
      </c>
      <c r="AC102" s="304" cm="1">
        <f t="array" ref="AC102">IF(AND(AC$2&lt;&gt;0,TblTech[[#This Row],[Hour]:[Hour]]&gt;=AC$2),1,0)</f>
        <v>0</v>
      </c>
      <c r="AD102" s="304" cm="1">
        <f t="array" ref="AD102">IF(AND(AD$2&lt;&gt;0,TblTech[[#This Row],[Hour]:[Hour]]&gt;=AD$2),1,0)</f>
        <v>0</v>
      </c>
      <c r="AE102" s="304" cm="1">
        <f t="array" ref="AE102">IF(AND(AE$2&lt;&gt;0,TblTech[[#This Row],[Hour]:[Hour]]&gt;=AE$2),1,0)</f>
        <v>0</v>
      </c>
      <c r="AF102" s="304" cm="1">
        <f t="array" ref="AF102">IF(AND(AF$2&lt;&gt;0,TblTech[[#This Row],[Hour]:[Hour]]&gt;=AF$2),1,0)</f>
        <v>0</v>
      </c>
      <c r="AG102" s="304" cm="1">
        <f t="array" ref="AG102">IF(AND(AG$2&lt;&gt;0,TblTech[[#This Row],[Hour]:[Hour]]&gt;=AG$2),1,0)</f>
        <v>0</v>
      </c>
      <c r="AH102" s="304" cm="1">
        <f t="array" ref="AH102">IF(AND(AH$2&lt;&gt;0,TblTech[[#This Row],[Hour]:[Hour]]&gt;=AH$2),1,0)</f>
        <v>0</v>
      </c>
      <c r="AI102" s="304" cm="1">
        <f t="array" ref="AI102">IF(AND(AI$2&lt;&gt;0,TblTech[[#This Row],[Hour]:[Hour]]&gt;=AI$2),1,0)</f>
        <v>0</v>
      </c>
      <c r="AJ102" s="304" cm="1">
        <f t="array" ref="AJ102">IF(AND(AJ$2&lt;&gt;0,TblTech[[#This Row],[Hour]:[Hour]]&gt;=AJ$2),1,0)</f>
        <v>0</v>
      </c>
      <c r="AK102" s="304" cm="1">
        <f t="array" ref="AK102">IF(AND(AK$2&lt;&gt;0,TblTech[[#This Row],[Hour]:[Hour]]&gt;=AK$2),1,0)</f>
        <v>0</v>
      </c>
      <c r="AL102" s="304" cm="1">
        <f t="array" ref="AL102">IF(AND(AL$2&lt;&gt;0,TblTech[[#This Row],[Hour]:[Hour]]&gt;=AL$2),1,0)</f>
        <v>0</v>
      </c>
      <c r="AM102" s="304" cm="1">
        <f t="array" ref="AM102">IF(AND(AM$2&lt;&gt;0,TblTech[[#This Row],[Hour]:[Hour]]&gt;=AM$2),1,0)</f>
        <v>0</v>
      </c>
      <c r="AN102" s="304" cm="1">
        <f t="array" ref="AN102">IF(AND(AN$2&lt;&gt;0,TblTech[[#This Row],[Hour]:[Hour]]&gt;=AN$2),1,0)</f>
        <v>0</v>
      </c>
      <c r="AO102" s="304" cm="1">
        <f t="array" ref="AO102">IF(AND(AO$2&lt;&gt;0,TblTech[[#This Row],[Hour]:[Hour]]&gt;=AO$2),1,0)</f>
        <v>0</v>
      </c>
      <c r="AP102" s="304" cm="1">
        <f t="array" ref="AP102">IF(AND(AP$2&lt;&gt;0,TblTech[[#This Row],[Hour]:[Hour]]&gt;=AP$2),1,0)</f>
        <v>0</v>
      </c>
      <c r="AQ102" s="304" cm="1">
        <f t="array" ref="AQ102">IF(AND(AQ$2&lt;&gt;0,TblTech[[#This Row],[Hour]:[Hour]]&gt;=AQ$2),1,0)</f>
        <v>0</v>
      </c>
      <c r="AR102" s="304" cm="1">
        <f t="array" ref="AR102">IF(AND(AR$2&lt;&gt;0,TblTech[[#This Row],[Hour]:[Hour]]&gt;=AR$2),1,0)</f>
        <v>0</v>
      </c>
      <c r="AS102" s="304" cm="1">
        <f t="array" ref="AS102">IF(AND(AS$2&lt;&gt;0,TblTech[[#This Row],[Hour]:[Hour]]&gt;=AS$2),1,0)</f>
        <v>0</v>
      </c>
      <c r="AT102" s="304" cm="1">
        <f t="array" ref="AT102">IF(AND(AT$2&lt;&gt;0,TblTech[[#This Row],[Hour]:[Hour]]&gt;=AT$2),1,0)</f>
        <v>0</v>
      </c>
      <c r="AU102" s="304" cm="1">
        <f t="array" ref="AU102">IF(AND(AU$2&lt;&gt;0,TblTech[[#This Row],[Hour]:[Hour]]&gt;=AU$2),1,0)</f>
        <v>0</v>
      </c>
      <c r="AV102" s="304" cm="1">
        <f t="array" ref="AV102">IF(AND(AV$2&lt;&gt;0,TblTech[[#This Row],[Hour]:[Hour]]&gt;=AV$2),1,0)</f>
        <v>0</v>
      </c>
      <c r="AW102" s="304" cm="1">
        <f t="array" ref="AW102">IF(AND(AW$2&lt;&gt;0,TblTech[[#This Row],[Hour]:[Hour]]&gt;=AW$2),1,0)</f>
        <v>0</v>
      </c>
      <c r="AX102" s="304" cm="1">
        <f t="array" ref="AX102">IF(AND(AX$2&lt;&gt;0,TblTech[[#This Row],[Hour]:[Hour]]&gt;=AX$2),1,0)</f>
        <v>0</v>
      </c>
      <c r="AY102" s="304" cm="1">
        <f t="array" ref="AY102">IF(AND(AY$2&lt;&gt;0,TblTech[[#This Row],[Hour]:[Hour]]&gt;=AY$2),1,0)</f>
        <v>0</v>
      </c>
      <c r="AZ102" s="304" cm="1">
        <f t="array" ref="AZ102">IF(AND(AZ$2&lt;&gt;0,TblTech[[#This Row],[Hour]:[Hour]]&gt;=AZ$2),1,0)</f>
        <v>0</v>
      </c>
      <c r="BA102" s="304" cm="1">
        <f t="array" ref="BA102">IF(AND(BA$2&lt;&gt;0,TblTech[[#This Row],[Hour]:[Hour]]&gt;=BA$2),1,0)</f>
        <v>0</v>
      </c>
      <c r="BB102" s="304" cm="1">
        <f t="array" ref="BB102">IF(AND(BB$2&lt;&gt;0,TblTech[[#This Row],[Hour]:[Hour]]&gt;=BB$2),1,0)</f>
        <v>0</v>
      </c>
      <c r="BC102" s="304" cm="1">
        <f t="array" ref="BC102">IF(AND(BC$2&lt;&gt;0,TblTech[[#This Row],[Hour]:[Hour]]&gt;=BC$2),1,0)</f>
        <v>0</v>
      </c>
      <c r="BD102" s="304" cm="1">
        <f t="array" ref="BD102">IF(AND(BD$2&lt;&gt;0,TblTech[[#This Row],[Hour]:[Hour]]&gt;=BD$2),1,0)</f>
        <v>0</v>
      </c>
      <c r="BE102" s="304" cm="1">
        <f t="array" ref="BE102">IF(AND(BE$2&lt;&gt;0,TblTech[[#This Row],[Hour]:[Hour]]&gt;=BE$2),1,0)</f>
        <v>0</v>
      </c>
      <c r="BF102" s="304" cm="1">
        <f t="array" ref="BF102">IF(AND(BF$2&lt;&gt;0,TblTech[[#This Row],[Hour]:[Hour]]&gt;=BF$2),1,0)</f>
        <v>0</v>
      </c>
      <c r="BG102" s="304" cm="1">
        <f t="array" ref="BG102">IF(AND(BG$2&lt;&gt;0,TblTech[[#This Row],[Hour]:[Hour]]&gt;=BG$2),1,0)</f>
        <v>0</v>
      </c>
      <c r="BH102" s="304" cm="1">
        <f t="array" ref="BH102">IF(AND(BH$2&lt;&gt;0,TblTech[[#This Row],[Hour]:[Hour]]&gt;=BH$2),1,0)</f>
        <v>0</v>
      </c>
      <c r="BI102" s="304" cm="1">
        <f t="array" ref="BI102">IF(AND(BI$2&lt;&gt;0,TblTech[[#This Row],[Hour]:[Hour]]&gt;=BI$2),1,0)</f>
        <v>0</v>
      </c>
      <c r="BJ102" s="304" cm="1">
        <f t="array" ref="BJ102">IF(AND(BJ$2&lt;&gt;0,TblTech[[#This Row],[Hour]:[Hour]]&gt;=BJ$2),1,0)</f>
        <v>0</v>
      </c>
      <c r="BK102" s="304" cm="1">
        <f t="array" ref="BK102">IF(AND(BK$2&lt;&gt;0,TblTech[[#This Row],[Hour]:[Hour]]&gt;=BK$2),1,0)</f>
        <v>0</v>
      </c>
      <c r="BL102" s="304" cm="1">
        <f t="array" ref="BL102">IF(AND(BL$2&lt;&gt;0,TblTech[[#This Row],[Hour]:[Hour]]&gt;=BL$2),1,0)</f>
        <v>0</v>
      </c>
      <c r="BM102" s="304" cm="1">
        <f t="array" ref="BM102">IF(AND(BM$2&lt;&gt;0,TblTech[[#This Row],[Hour]:[Hour]]&gt;=BM$2),1,0)</f>
        <v>0</v>
      </c>
      <c r="BN102" s="304" cm="1">
        <f t="array" ref="BN102">IF(AND(BN$2&lt;&gt;0,TblTech[[#This Row],[Hour]:[Hour]]&gt;=BN$2),1,0)</f>
        <v>0</v>
      </c>
      <c r="BO102" s="304" cm="1">
        <f t="array" ref="BO102">IF(AND(BO$2&lt;&gt;0,TblTech[[#This Row],[Hour]:[Hour]]&gt;=BO$2),1,0)</f>
        <v>0</v>
      </c>
      <c r="BP102" s="304" cm="1">
        <f t="array" ref="BP102">IF(AND(BP$2&lt;&gt;0,TblTech[[#This Row],[Hour]:[Hour]]&gt;=BP$2),1,0)</f>
        <v>0</v>
      </c>
      <c r="BQ102" s="304" cm="1">
        <f t="array" ref="BQ102">IF(AND(BQ$2&lt;&gt;0,TblTech[[#This Row],[Hour]:[Hour]]&gt;=BQ$2),1,0)</f>
        <v>0</v>
      </c>
      <c r="BR102" s="304" cm="1">
        <f t="array" ref="BR102">IF(AND(BR$2&lt;&gt;0,TblTech[[#This Row],[Hour]:[Hour]]&gt;=BR$2),1,0)</f>
        <v>0</v>
      </c>
      <c r="BS102" s="304" cm="1">
        <f t="array" ref="BS102">IF(AND(BS$2&lt;&gt;0,TblTech[[#This Row],[Hour]:[Hour]]&gt;=BS$2),1,0)</f>
        <v>0</v>
      </c>
      <c r="BT102" s="304" cm="1">
        <f t="array" ref="BT102">IF(AND(BT$2&lt;&gt;0,TblTech[[#This Row],[Hour]:[Hour]]&gt;=BT$2),1,0)</f>
        <v>0</v>
      </c>
      <c r="BU102" s="304" cm="1">
        <f t="array" ref="BU102">IF(AND(BU$2&lt;&gt;0,TblTech[[#This Row],[Hour]:[Hour]]&gt;=BU$2),1,0)</f>
        <v>0</v>
      </c>
      <c r="BV102" s="304" cm="1">
        <f t="array" ref="BV102">IF(AND(BV$2&lt;&gt;0,TblTech[[#This Row],[Hour]:[Hour]]&gt;=BV$2),1,0)</f>
        <v>0</v>
      </c>
      <c r="BW102" s="304" cm="1">
        <f t="array" ref="BW102">IF(AND(BW$2&lt;&gt;0,TblTech[[#This Row],[Hour]:[Hour]]&gt;=BW$2),1,0)</f>
        <v>0</v>
      </c>
      <c r="BX102" s="304" cm="1">
        <f t="array" ref="BX102">IF(AND(BX$2&lt;&gt;0,TblTech[[#This Row],[Hour]:[Hour]]&gt;=BX$2),1,0)</f>
        <v>0</v>
      </c>
      <c r="BY102" s="304" cm="1">
        <f t="array" ref="BY102">IF(AND(BY$2&lt;&gt;0,TblTech[[#This Row],[Hour]:[Hour]]&gt;=BY$2),1,0)</f>
        <v>0</v>
      </c>
      <c r="BZ102" s="304" cm="1">
        <f t="array" ref="BZ102">IF(AND(BZ$2&lt;&gt;0,TblTech[[#This Row],[Hour]:[Hour]]&gt;=BZ$2),1,0)</f>
        <v>0</v>
      </c>
      <c r="CA102" s="408">
        <f>IFERROR(INDEX($H$4:$H$79,MATCH(INDEX(TblTech[[#Headers],[1-1]:[11-1]],1,MATCH(TblTech[[#This Row],[Hour]],$M$2:$BZ$2,0)),$G$4:$G$79,0)),)</f>
        <v>0</v>
      </c>
    </row>
    <row r="103" spans="1:79" x14ac:dyDescent="0.2">
      <c r="A103" s="296">
        <f>TblRezone[[#This Row],[Hour]]</f>
        <v>100</v>
      </c>
      <c r="B103" s="297">
        <f ca="1">TblExplore[[#This Row],[Land-DB]]</f>
        <v>250</v>
      </c>
      <c r="C103" s="298">
        <f ca="1">TblProd[[#This Row],[Techpoints]]</f>
        <v>0</v>
      </c>
      <c r="D103" s="298">
        <f ca="1">TblProd[[#This Row],[Required]]</f>
        <v>3750</v>
      </c>
      <c r="E103" s="307"/>
      <c r="F103" s="308"/>
      <c r="G103" s="301"/>
      <c r="H103" s="302"/>
      <c r="I103" s="302"/>
      <c r="J103" s="302"/>
      <c r="K103" s="96">
        <f ca="1">IF(TblTech[[#This Row],[Sum of tech]]&lt;&gt;OFFSET(TblTech[[#This Row],[Sum of tech]],-1,0),1,0)</f>
        <v>0</v>
      </c>
      <c r="L103" s="303">
        <f>COUNTIF(TblTech[[#This Row],[1-1]:[11-1]],1)</f>
        <v>0</v>
      </c>
      <c r="M103" s="304" cm="1">
        <f t="array" ref="M103">IF(AND(M$2&lt;&gt;0,TblTech[[#This Row],[Hour]:[Hour]]&gt;=M$2),1,0)</f>
        <v>0</v>
      </c>
      <c r="N103" s="304" cm="1">
        <f t="array" ref="N103">IF(AND(N$2&lt;&gt;0,TblTech[[#This Row],[Hour]:[Hour]]&gt;=N$2),1,0)</f>
        <v>0</v>
      </c>
      <c r="O103" s="304" cm="1">
        <f t="array" ref="O103">IF(AND(O$2&lt;&gt;0,TblTech[[#This Row],[Hour]:[Hour]]&gt;=O$2),1,0)</f>
        <v>0</v>
      </c>
      <c r="P103" s="304" cm="1">
        <f t="array" ref="P103">IF(AND(P$2&lt;&gt;0,TblTech[[#This Row],[Hour]:[Hour]]&gt;=P$2),1,0)</f>
        <v>0</v>
      </c>
      <c r="Q103" s="304" cm="1">
        <f t="array" ref="Q103">IF(AND(Q$2&lt;&gt;0,TblTech[[#This Row],[Hour]:[Hour]]&gt;=Q$2),1,0)</f>
        <v>0</v>
      </c>
      <c r="R103" s="304" cm="1">
        <f t="array" ref="R103">IF(AND(R$2&lt;&gt;0,TblTech[[#This Row],[Hour]:[Hour]]&gt;=R$2),1,0)</f>
        <v>0</v>
      </c>
      <c r="S103" s="304" cm="1">
        <f t="array" ref="S103">IF(AND(S$2&lt;&gt;0,TblTech[[#This Row],[Hour]:[Hour]]&gt;=S$2),1,0)</f>
        <v>0</v>
      </c>
      <c r="T103" s="304" cm="1">
        <f t="array" ref="T103">IF(AND(T$2&lt;&gt;0,TblTech[[#This Row],[Hour]:[Hour]]&gt;=T$2),1,0)</f>
        <v>0</v>
      </c>
      <c r="U103" s="304" cm="1">
        <f t="array" ref="U103">IF(AND(U$2&lt;&gt;0,TblTech[[#This Row],[Hour]:[Hour]]&gt;=U$2),1,0)</f>
        <v>0</v>
      </c>
      <c r="V103" s="304" cm="1">
        <f t="array" ref="V103">IF(AND(V$2&lt;&gt;0,TblTech[[#This Row],[Hour]:[Hour]]&gt;=V$2),1,0)</f>
        <v>0</v>
      </c>
      <c r="W103" s="304" cm="1">
        <f t="array" ref="W103">IF(AND(W$2&lt;&gt;0,TblTech[[#This Row],[Hour]:[Hour]]&gt;=W$2),1,0)</f>
        <v>0</v>
      </c>
      <c r="X103" s="304" cm="1">
        <f t="array" ref="X103">IF(AND(X$2&lt;&gt;0,TblTech[[#This Row],[Hour]:[Hour]]&gt;=X$2),1,0)</f>
        <v>0</v>
      </c>
      <c r="Y103" s="304" cm="1">
        <f t="array" ref="Y103">IF(AND(Y$2&lt;&gt;0,TblTech[[#This Row],[Hour]:[Hour]]&gt;=Y$2),1,0)</f>
        <v>0</v>
      </c>
      <c r="Z103" s="304" cm="1">
        <f t="array" ref="Z103">IF(AND(Z$2&lt;&gt;0,TblTech[[#This Row],[Hour]:[Hour]]&gt;=Z$2),1,0)</f>
        <v>0</v>
      </c>
      <c r="AA103" s="304" cm="1">
        <f t="array" ref="AA103">IF(AND(AA$2&lt;&gt;0,TblTech[[#This Row],[Hour]:[Hour]]&gt;=AA$2),1,0)</f>
        <v>0</v>
      </c>
      <c r="AB103" s="304" cm="1">
        <f t="array" ref="AB103">IF(AND(AB$2&lt;&gt;0,TblTech[[#This Row],[Hour]:[Hour]]&gt;=AB$2),1,0)</f>
        <v>0</v>
      </c>
      <c r="AC103" s="304" cm="1">
        <f t="array" ref="AC103">IF(AND(AC$2&lt;&gt;0,TblTech[[#This Row],[Hour]:[Hour]]&gt;=AC$2),1,0)</f>
        <v>0</v>
      </c>
      <c r="AD103" s="304" cm="1">
        <f t="array" ref="AD103">IF(AND(AD$2&lt;&gt;0,TblTech[[#This Row],[Hour]:[Hour]]&gt;=AD$2),1,0)</f>
        <v>0</v>
      </c>
      <c r="AE103" s="304" cm="1">
        <f t="array" ref="AE103">IF(AND(AE$2&lt;&gt;0,TblTech[[#This Row],[Hour]:[Hour]]&gt;=AE$2),1,0)</f>
        <v>0</v>
      </c>
      <c r="AF103" s="304" cm="1">
        <f t="array" ref="AF103">IF(AND(AF$2&lt;&gt;0,TblTech[[#This Row],[Hour]:[Hour]]&gt;=AF$2),1,0)</f>
        <v>0</v>
      </c>
      <c r="AG103" s="304" cm="1">
        <f t="array" ref="AG103">IF(AND(AG$2&lt;&gt;0,TblTech[[#This Row],[Hour]:[Hour]]&gt;=AG$2),1,0)</f>
        <v>0</v>
      </c>
      <c r="AH103" s="304" cm="1">
        <f t="array" ref="AH103">IF(AND(AH$2&lt;&gt;0,TblTech[[#This Row],[Hour]:[Hour]]&gt;=AH$2),1,0)</f>
        <v>0</v>
      </c>
      <c r="AI103" s="304" cm="1">
        <f t="array" ref="AI103">IF(AND(AI$2&lt;&gt;0,TblTech[[#This Row],[Hour]:[Hour]]&gt;=AI$2),1,0)</f>
        <v>0</v>
      </c>
      <c r="AJ103" s="304" cm="1">
        <f t="array" ref="AJ103">IF(AND(AJ$2&lt;&gt;0,TblTech[[#This Row],[Hour]:[Hour]]&gt;=AJ$2),1,0)</f>
        <v>0</v>
      </c>
      <c r="AK103" s="304" cm="1">
        <f t="array" ref="AK103">IF(AND(AK$2&lt;&gt;0,TblTech[[#This Row],[Hour]:[Hour]]&gt;=AK$2),1,0)</f>
        <v>0</v>
      </c>
      <c r="AL103" s="304" cm="1">
        <f t="array" ref="AL103">IF(AND(AL$2&lt;&gt;0,TblTech[[#This Row],[Hour]:[Hour]]&gt;=AL$2),1,0)</f>
        <v>0</v>
      </c>
      <c r="AM103" s="304" cm="1">
        <f t="array" ref="AM103">IF(AND(AM$2&lt;&gt;0,TblTech[[#This Row],[Hour]:[Hour]]&gt;=AM$2),1,0)</f>
        <v>0</v>
      </c>
      <c r="AN103" s="304" cm="1">
        <f t="array" ref="AN103">IF(AND(AN$2&lt;&gt;0,TblTech[[#This Row],[Hour]:[Hour]]&gt;=AN$2),1,0)</f>
        <v>0</v>
      </c>
      <c r="AO103" s="304" cm="1">
        <f t="array" ref="AO103">IF(AND(AO$2&lt;&gt;0,TblTech[[#This Row],[Hour]:[Hour]]&gt;=AO$2),1,0)</f>
        <v>0</v>
      </c>
      <c r="AP103" s="304" cm="1">
        <f t="array" ref="AP103">IF(AND(AP$2&lt;&gt;0,TblTech[[#This Row],[Hour]:[Hour]]&gt;=AP$2),1,0)</f>
        <v>0</v>
      </c>
      <c r="AQ103" s="304" cm="1">
        <f t="array" ref="AQ103">IF(AND(AQ$2&lt;&gt;0,TblTech[[#This Row],[Hour]:[Hour]]&gt;=AQ$2),1,0)</f>
        <v>0</v>
      </c>
      <c r="AR103" s="304" cm="1">
        <f t="array" ref="AR103">IF(AND(AR$2&lt;&gt;0,TblTech[[#This Row],[Hour]:[Hour]]&gt;=AR$2),1,0)</f>
        <v>0</v>
      </c>
      <c r="AS103" s="304" cm="1">
        <f t="array" ref="AS103">IF(AND(AS$2&lt;&gt;0,TblTech[[#This Row],[Hour]:[Hour]]&gt;=AS$2),1,0)</f>
        <v>0</v>
      </c>
      <c r="AT103" s="304" cm="1">
        <f t="array" ref="AT103">IF(AND(AT$2&lt;&gt;0,TblTech[[#This Row],[Hour]:[Hour]]&gt;=AT$2),1,0)</f>
        <v>0</v>
      </c>
      <c r="AU103" s="304" cm="1">
        <f t="array" ref="AU103">IF(AND(AU$2&lt;&gt;0,TblTech[[#This Row],[Hour]:[Hour]]&gt;=AU$2),1,0)</f>
        <v>0</v>
      </c>
      <c r="AV103" s="304" cm="1">
        <f t="array" ref="AV103">IF(AND(AV$2&lt;&gt;0,TblTech[[#This Row],[Hour]:[Hour]]&gt;=AV$2),1,0)</f>
        <v>0</v>
      </c>
      <c r="AW103" s="304" cm="1">
        <f t="array" ref="AW103">IF(AND(AW$2&lt;&gt;0,TblTech[[#This Row],[Hour]:[Hour]]&gt;=AW$2),1,0)</f>
        <v>0</v>
      </c>
      <c r="AX103" s="304" cm="1">
        <f t="array" ref="AX103">IF(AND(AX$2&lt;&gt;0,TblTech[[#This Row],[Hour]:[Hour]]&gt;=AX$2),1,0)</f>
        <v>0</v>
      </c>
      <c r="AY103" s="304" cm="1">
        <f t="array" ref="AY103">IF(AND(AY$2&lt;&gt;0,TblTech[[#This Row],[Hour]:[Hour]]&gt;=AY$2),1,0)</f>
        <v>0</v>
      </c>
      <c r="AZ103" s="304" cm="1">
        <f t="array" ref="AZ103">IF(AND(AZ$2&lt;&gt;0,TblTech[[#This Row],[Hour]:[Hour]]&gt;=AZ$2),1,0)</f>
        <v>0</v>
      </c>
      <c r="BA103" s="304" cm="1">
        <f t="array" ref="BA103">IF(AND(BA$2&lt;&gt;0,TblTech[[#This Row],[Hour]:[Hour]]&gt;=BA$2),1,0)</f>
        <v>0</v>
      </c>
      <c r="BB103" s="304" cm="1">
        <f t="array" ref="BB103">IF(AND(BB$2&lt;&gt;0,TblTech[[#This Row],[Hour]:[Hour]]&gt;=BB$2),1,0)</f>
        <v>0</v>
      </c>
      <c r="BC103" s="304" cm="1">
        <f t="array" ref="BC103">IF(AND(BC$2&lt;&gt;0,TblTech[[#This Row],[Hour]:[Hour]]&gt;=BC$2),1,0)</f>
        <v>0</v>
      </c>
      <c r="BD103" s="304" cm="1">
        <f t="array" ref="BD103">IF(AND(BD$2&lt;&gt;0,TblTech[[#This Row],[Hour]:[Hour]]&gt;=BD$2),1,0)</f>
        <v>0</v>
      </c>
      <c r="BE103" s="304" cm="1">
        <f t="array" ref="BE103">IF(AND(BE$2&lt;&gt;0,TblTech[[#This Row],[Hour]:[Hour]]&gt;=BE$2),1,0)</f>
        <v>0</v>
      </c>
      <c r="BF103" s="304" cm="1">
        <f t="array" ref="BF103">IF(AND(BF$2&lt;&gt;0,TblTech[[#This Row],[Hour]:[Hour]]&gt;=BF$2),1,0)</f>
        <v>0</v>
      </c>
      <c r="BG103" s="304" cm="1">
        <f t="array" ref="BG103">IF(AND(BG$2&lt;&gt;0,TblTech[[#This Row],[Hour]:[Hour]]&gt;=BG$2),1,0)</f>
        <v>0</v>
      </c>
      <c r="BH103" s="304" cm="1">
        <f t="array" ref="BH103">IF(AND(BH$2&lt;&gt;0,TblTech[[#This Row],[Hour]:[Hour]]&gt;=BH$2),1,0)</f>
        <v>0</v>
      </c>
      <c r="BI103" s="304" cm="1">
        <f t="array" ref="BI103">IF(AND(BI$2&lt;&gt;0,TblTech[[#This Row],[Hour]:[Hour]]&gt;=BI$2),1,0)</f>
        <v>0</v>
      </c>
      <c r="BJ103" s="304" cm="1">
        <f t="array" ref="BJ103">IF(AND(BJ$2&lt;&gt;0,TblTech[[#This Row],[Hour]:[Hour]]&gt;=BJ$2),1,0)</f>
        <v>0</v>
      </c>
      <c r="BK103" s="304" cm="1">
        <f t="array" ref="BK103">IF(AND(BK$2&lt;&gt;0,TblTech[[#This Row],[Hour]:[Hour]]&gt;=BK$2),1,0)</f>
        <v>0</v>
      </c>
      <c r="BL103" s="304" cm="1">
        <f t="array" ref="BL103">IF(AND(BL$2&lt;&gt;0,TblTech[[#This Row],[Hour]:[Hour]]&gt;=BL$2),1,0)</f>
        <v>0</v>
      </c>
      <c r="BM103" s="304" cm="1">
        <f t="array" ref="BM103">IF(AND(BM$2&lt;&gt;0,TblTech[[#This Row],[Hour]:[Hour]]&gt;=BM$2),1,0)</f>
        <v>0</v>
      </c>
      <c r="BN103" s="304" cm="1">
        <f t="array" ref="BN103">IF(AND(BN$2&lt;&gt;0,TblTech[[#This Row],[Hour]:[Hour]]&gt;=BN$2),1,0)</f>
        <v>0</v>
      </c>
      <c r="BO103" s="304" cm="1">
        <f t="array" ref="BO103">IF(AND(BO$2&lt;&gt;0,TblTech[[#This Row],[Hour]:[Hour]]&gt;=BO$2),1,0)</f>
        <v>0</v>
      </c>
      <c r="BP103" s="304" cm="1">
        <f t="array" ref="BP103">IF(AND(BP$2&lt;&gt;0,TblTech[[#This Row],[Hour]:[Hour]]&gt;=BP$2),1,0)</f>
        <v>0</v>
      </c>
      <c r="BQ103" s="304" cm="1">
        <f t="array" ref="BQ103">IF(AND(BQ$2&lt;&gt;0,TblTech[[#This Row],[Hour]:[Hour]]&gt;=BQ$2),1,0)</f>
        <v>0</v>
      </c>
      <c r="BR103" s="304" cm="1">
        <f t="array" ref="BR103">IF(AND(BR$2&lt;&gt;0,TblTech[[#This Row],[Hour]:[Hour]]&gt;=BR$2),1,0)</f>
        <v>0</v>
      </c>
      <c r="BS103" s="304" cm="1">
        <f t="array" ref="BS103">IF(AND(BS$2&lt;&gt;0,TblTech[[#This Row],[Hour]:[Hour]]&gt;=BS$2),1,0)</f>
        <v>0</v>
      </c>
      <c r="BT103" s="304" cm="1">
        <f t="array" ref="BT103">IF(AND(BT$2&lt;&gt;0,TblTech[[#This Row],[Hour]:[Hour]]&gt;=BT$2),1,0)</f>
        <v>0</v>
      </c>
      <c r="BU103" s="304" cm="1">
        <f t="array" ref="BU103">IF(AND(BU$2&lt;&gt;0,TblTech[[#This Row],[Hour]:[Hour]]&gt;=BU$2),1,0)</f>
        <v>0</v>
      </c>
      <c r="BV103" s="304" cm="1">
        <f t="array" ref="BV103">IF(AND(BV$2&lt;&gt;0,TblTech[[#This Row],[Hour]:[Hour]]&gt;=BV$2),1,0)</f>
        <v>0</v>
      </c>
      <c r="BW103" s="304" cm="1">
        <f t="array" ref="BW103">IF(AND(BW$2&lt;&gt;0,TblTech[[#This Row],[Hour]:[Hour]]&gt;=BW$2),1,0)</f>
        <v>0</v>
      </c>
      <c r="BX103" s="304" cm="1">
        <f t="array" ref="BX103">IF(AND(BX$2&lt;&gt;0,TblTech[[#This Row],[Hour]:[Hour]]&gt;=BX$2),1,0)</f>
        <v>0</v>
      </c>
      <c r="BY103" s="304" cm="1">
        <f t="array" ref="BY103">IF(AND(BY$2&lt;&gt;0,TblTech[[#This Row],[Hour]:[Hour]]&gt;=BY$2),1,0)</f>
        <v>0</v>
      </c>
      <c r="BZ103" s="304" cm="1">
        <f t="array" ref="BZ103">IF(AND(BZ$2&lt;&gt;0,TblTech[[#This Row],[Hour]:[Hour]]&gt;=BZ$2),1,0)</f>
        <v>0</v>
      </c>
      <c r="CA103" s="408">
        <f>IFERROR(INDEX($H$4:$H$79,MATCH(INDEX(TblTech[[#Headers],[1-1]:[11-1]],1,MATCH(TblTech[[#This Row],[Hour]],$M$2:$BZ$2,0)),$G$4:$G$79,0)),)</f>
        <v>0</v>
      </c>
    </row>
    <row r="104" spans="1:79" x14ac:dyDescent="0.2">
      <c r="A104" s="296">
        <f>TblRezone[[#This Row],[Hour]]</f>
        <v>101</v>
      </c>
      <c r="B104" s="297">
        <f ca="1">TblExplore[[#This Row],[Land-DB]]</f>
        <v>250</v>
      </c>
      <c r="C104" s="298">
        <f ca="1">TblProd[[#This Row],[Techpoints]]</f>
        <v>0</v>
      </c>
      <c r="D104" s="298">
        <f ca="1">TblProd[[#This Row],[Required]]</f>
        <v>3750</v>
      </c>
      <c r="E104" s="307"/>
      <c r="F104" s="308"/>
      <c r="G104" s="301"/>
      <c r="H104" s="302"/>
      <c r="I104" s="302"/>
      <c r="J104" s="302"/>
      <c r="K104" s="96">
        <f ca="1">IF(TblTech[[#This Row],[Sum of tech]]&lt;&gt;OFFSET(TblTech[[#This Row],[Sum of tech]],-1,0),1,0)</f>
        <v>0</v>
      </c>
      <c r="L104" s="303">
        <f>COUNTIF(TblTech[[#This Row],[1-1]:[11-1]],1)</f>
        <v>0</v>
      </c>
      <c r="M104" s="304" cm="1">
        <f t="array" ref="M104">IF(AND(M$2&lt;&gt;0,TblTech[[#This Row],[Hour]:[Hour]]&gt;=M$2),1,0)</f>
        <v>0</v>
      </c>
      <c r="N104" s="304" cm="1">
        <f t="array" ref="N104">IF(AND(N$2&lt;&gt;0,TblTech[[#This Row],[Hour]:[Hour]]&gt;=N$2),1,0)</f>
        <v>0</v>
      </c>
      <c r="O104" s="304" cm="1">
        <f t="array" ref="O104">IF(AND(O$2&lt;&gt;0,TblTech[[#This Row],[Hour]:[Hour]]&gt;=O$2),1,0)</f>
        <v>0</v>
      </c>
      <c r="P104" s="304" cm="1">
        <f t="array" ref="P104">IF(AND(P$2&lt;&gt;0,TblTech[[#This Row],[Hour]:[Hour]]&gt;=P$2),1,0)</f>
        <v>0</v>
      </c>
      <c r="Q104" s="304" cm="1">
        <f t="array" ref="Q104">IF(AND(Q$2&lt;&gt;0,TblTech[[#This Row],[Hour]:[Hour]]&gt;=Q$2),1,0)</f>
        <v>0</v>
      </c>
      <c r="R104" s="304" cm="1">
        <f t="array" ref="R104">IF(AND(R$2&lt;&gt;0,TblTech[[#This Row],[Hour]:[Hour]]&gt;=R$2),1,0)</f>
        <v>0</v>
      </c>
      <c r="S104" s="304" cm="1">
        <f t="array" ref="S104">IF(AND(S$2&lt;&gt;0,TblTech[[#This Row],[Hour]:[Hour]]&gt;=S$2),1,0)</f>
        <v>0</v>
      </c>
      <c r="T104" s="304" cm="1">
        <f t="array" ref="T104">IF(AND(T$2&lt;&gt;0,TblTech[[#This Row],[Hour]:[Hour]]&gt;=T$2),1,0)</f>
        <v>0</v>
      </c>
      <c r="U104" s="304" cm="1">
        <f t="array" ref="U104">IF(AND(U$2&lt;&gt;0,TblTech[[#This Row],[Hour]:[Hour]]&gt;=U$2),1,0)</f>
        <v>0</v>
      </c>
      <c r="V104" s="304" cm="1">
        <f t="array" ref="V104">IF(AND(V$2&lt;&gt;0,TblTech[[#This Row],[Hour]:[Hour]]&gt;=V$2),1,0)</f>
        <v>0</v>
      </c>
      <c r="W104" s="304" cm="1">
        <f t="array" ref="W104">IF(AND(W$2&lt;&gt;0,TblTech[[#This Row],[Hour]:[Hour]]&gt;=W$2),1,0)</f>
        <v>0</v>
      </c>
      <c r="X104" s="304" cm="1">
        <f t="array" ref="X104">IF(AND(X$2&lt;&gt;0,TblTech[[#This Row],[Hour]:[Hour]]&gt;=X$2),1,0)</f>
        <v>0</v>
      </c>
      <c r="Y104" s="304" cm="1">
        <f t="array" ref="Y104">IF(AND(Y$2&lt;&gt;0,TblTech[[#This Row],[Hour]:[Hour]]&gt;=Y$2),1,0)</f>
        <v>0</v>
      </c>
      <c r="Z104" s="304" cm="1">
        <f t="array" ref="Z104">IF(AND(Z$2&lt;&gt;0,TblTech[[#This Row],[Hour]:[Hour]]&gt;=Z$2),1,0)</f>
        <v>0</v>
      </c>
      <c r="AA104" s="304" cm="1">
        <f t="array" ref="AA104">IF(AND(AA$2&lt;&gt;0,TblTech[[#This Row],[Hour]:[Hour]]&gt;=AA$2),1,0)</f>
        <v>0</v>
      </c>
      <c r="AB104" s="304" cm="1">
        <f t="array" ref="AB104">IF(AND(AB$2&lt;&gt;0,TblTech[[#This Row],[Hour]:[Hour]]&gt;=AB$2),1,0)</f>
        <v>0</v>
      </c>
      <c r="AC104" s="304" cm="1">
        <f t="array" ref="AC104">IF(AND(AC$2&lt;&gt;0,TblTech[[#This Row],[Hour]:[Hour]]&gt;=AC$2),1,0)</f>
        <v>0</v>
      </c>
      <c r="AD104" s="304" cm="1">
        <f t="array" ref="AD104">IF(AND(AD$2&lt;&gt;0,TblTech[[#This Row],[Hour]:[Hour]]&gt;=AD$2),1,0)</f>
        <v>0</v>
      </c>
      <c r="AE104" s="304" cm="1">
        <f t="array" ref="AE104">IF(AND(AE$2&lt;&gt;0,TblTech[[#This Row],[Hour]:[Hour]]&gt;=AE$2),1,0)</f>
        <v>0</v>
      </c>
      <c r="AF104" s="304" cm="1">
        <f t="array" ref="AF104">IF(AND(AF$2&lt;&gt;0,TblTech[[#This Row],[Hour]:[Hour]]&gt;=AF$2),1,0)</f>
        <v>0</v>
      </c>
      <c r="AG104" s="304" cm="1">
        <f t="array" ref="AG104">IF(AND(AG$2&lt;&gt;0,TblTech[[#This Row],[Hour]:[Hour]]&gt;=AG$2),1,0)</f>
        <v>0</v>
      </c>
      <c r="AH104" s="304" cm="1">
        <f t="array" ref="AH104">IF(AND(AH$2&lt;&gt;0,TblTech[[#This Row],[Hour]:[Hour]]&gt;=AH$2),1,0)</f>
        <v>0</v>
      </c>
      <c r="AI104" s="304" cm="1">
        <f t="array" ref="AI104">IF(AND(AI$2&lt;&gt;0,TblTech[[#This Row],[Hour]:[Hour]]&gt;=AI$2),1,0)</f>
        <v>0</v>
      </c>
      <c r="AJ104" s="304" cm="1">
        <f t="array" ref="AJ104">IF(AND(AJ$2&lt;&gt;0,TblTech[[#This Row],[Hour]:[Hour]]&gt;=AJ$2),1,0)</f>
        <v>0</v>
      </c>
      <c r="AK104" s="304" cm="1">
        <f t="array" ref="AK104">IF(AND(AK$2&lt;&gt;0,TblTech[[#This Row],[Hour]:[Hour]]&gt;=AK$2),1,0)</f>
        <v>0</v>
      </c>
      <c r="AL104" s="304" cm="1">
        <f t="array" ref="AL104">IF(AND(AL$2&lt;&gt;0,TblTech[[#This Row],[Hour]:[Hour]]&gt;=AL$2),1,0)</f>
        <v>0</v>
      </c>
      <c r="AM104" s="304" cm="1">
        <f t="array" ref="AM104">IF(AND(AM$2&lt;&gt;0,TblTech[[#This Row],[Hour]:[Hour]]&gt;=AM$2),1,0)</f>
        <v>0</v>
      </c>
      <c r="AN104" s="304" cm="1">
        <f t="array" ref="AN104">IF(AND(AN$2&lt;&gt;0,TblTech[[#This Row],[Hour]:[Hour]]&gt;=AN$2),1,0)</f>
        <v>0</v>
      </c>
      <c r="AO104" s="304" cm="1">
        <f t="array" ref="AO104">IF(AND(AO$2&lt;&gt;0,TblTech[[#This Row],[Hour]:[Hour]]&gt;=AO$2),1,0)</f>
        <v>0</v>
      </c>
      <c r="AP104" s="304" cm="1">
        <f t="array" ref="AP104">IF(AND(AP$2&lt;&gt;0,TblTech[[#This Row],[Hour]:[Hour]]&gt;=AP$2),1,0)</f>
        <v>0</v>
      </c>
      <c r="AQ104" s="304" cm="1">
        <f t="array" ref="AQ104">IF(AND(AQ$2&lt;&gt;0,TblTech[[#This Row],[Hour]:[Hour]]&gt;=AQ$2),1,0)</f>
        <v>0</v>
      </c>
      <c r="AR104" s="304" cm="1">
        <f t="array" ref="AR104">IF(AND(AR$2&lt;&gt;0,TblTech[[#This Row],[Hour]:[Hour]]&gt;=AR$2),1,0)</f>
        <v>0</v>
      </c>
      <c r="AS104" s="304" cm="1">
        <f t="array" ref="AS104">IF(AND(AS$2&lt;&gt;0,TblTech[[#This Row],[Hour]:[Hour]]&gt;=AS$2),1,0)</f>
        <v>0</v>
      </c>
      <c r="AT104" s="304" cm="1">
        <f t="array" ref="AT104">IF(AND(AT$2&lt;&gt;0,TblTech[[#This Row],[Hour]:[Hour]]&gt;=AT$2),1,0)</f>
        <v>0</v>
      </c>
      <c r="AU104" s="304" cm="1">
        <f t="array" ref="AU104">IF(AND(AU$2&lt;&gt;0,TblTech[[#This Row],[Hour]:[Hour]]&gt;=AU$2),1,0)</f>
        <v>0</v>
      </c>
      <c r="AV104" s="304" cm="1">
        <f t="array" ref="AV104">IF(AND(AV$2&lt;&gt;0,TblTech[[#This Row],[Hour]:[Hour]]&gt;=AV$2),1,0)</f>
        <v>0</v>
      </c>
      <c r="AW104" s="304" cm="1">
        <f t="array" ref="AW104">IF(AND(AW$2&lt;&gt;0,TblTech[[#This Row],[Hour]:[Hour]]&gt;=AW$2),1,0)</f>
        <v>0</v>
      </c>
      <c r="AX104" s="304" cm="1">
        <f t="array" ref="AX104">IF(AND(AX$2&lt;&gt;0,TblTech[[#This Row],[Hour]:[Hour]]&gt;=AX$2),1,0)</f>
        <v>0</v>
      </c>
      <c r="AY104" s="304" cm="1">
        <f t="array" ref="AY104">IF(AND(AY$2&lt;&gt;0,TblTech[[#This Row],[Hour]:[Hour]]&gt;=AY$2),1,0)</f>
        <v>0</v>
      </c>
      <c r="AZ104" s="304" cm="1">
        <f t="array" ref="AZ104">IF(AND(AZ$2&lt;&gt;0,TblTech[[#This Row],[Hour]:[Hour]]&gt;=AZ$2),1,0)</f>
        <v>0</v>
      </c>
      <c r="BA104" s="304" cm="1">
        <f t="array" ref="BA104">IF(AND(BA$2&lt;&gt;0,TblTech[[#This Row],[Hour]:[Hour]]&gt;=BA$2),1,0)</f>
        <v>0</v>
      </c>
      <c r="BB104" s="304" cm="1">
        <f t="array" ref="BB104">IF(AND(BB$2&lt;&gt;0,TblTech[[#This Row],[Hour]:[Hour]]&gt;=BB$2),1,0)</f>
        <v>0</v>
      </c>
      <c r="BC104" s="304" cm="1">
        <f t="array" ref="BC104">IF(AND(BC$2&lt;&gt;0,TblTech[[#This Row],[Hour]:[Hour]]&gt;=BC$2),1,0)</f>
        <v>0</v>
      </c>
      <c r="BD104" s="304" cm="1">
        <f t="array" ref="BD104">IF(AND(BD$2&lt;&gt;0,TblTech[[#This Row],[Hour]:[Hour]]&gt;=BD$2),1,0)</f>
        <v>0</v>
      </c>
      <c r="BE104" s="304" cm="1">
        <f t="array" ref="BE104">IF(AND(BE$2&lt;&gt;0,TblTech[[#This Row],[Hour]:[Hour]]&gt;=BE$2),1,0)</f>
        <v>0</v>
      </c>
      <c r="BF104" s="304" cm="1">
        <f t="array" ref="BF104">IF(AND(BF$2&lt;&gt;0,TblTech[[#This Row],[Hour]:[Hour]]&gt;=BF$2),1,0)</f>
        <v>0</v>
      </c>
      <c r="BG104" s="304" cm="1">
        <f t="array" ref="BG104">IF(AND(BG$2&lt;&gt;0,TblTech[[#This Row],[Hour]:[Hour]]&gt;=BG$2),1,0)</f>
        <v>0</v>
      </c>
      <c r="BH104" s="304" cm="1">
        <f t="array" ref="BH104">IF(AND(BH$2&lt;&gt;0,TblTech[[#This Row],[Hour]:[Hour]]&gt;=BH$2),1,0)</f>
        <v>0</v>
      </c>
      <c r="BI104" s="304" cm="1">
        <f t="array" ref="BI104">IF(AND(BI$2&lt;&gt;0,TblTech[[#This Row],[Hour]:[Hour]]&gt;=BI$2),1,0)</f>
        <v>0</v>
      </c>
      <c r="BJ104" s="304" cm="1">
        <f t="array" ref="BJ104">IF(AND(BJ$2&lt;&gt;0,TblTech[[#This Row],[Hour]:[Hour]]&gt;=BJ$2),1,0)</f>
        <v>0</v>
      </c>
      <c r="BK104" s="304" cm="1">
        <f t="array" ref="BK104">IF(AND(BK$2&lt;&gt;0,TblTech[[#This Row],[Hour]:[Hour]]&gt;=BK$2),1,0)</f>
        <v>0</v>
      </c>
      <c r="BL104" s="304" cm="1">
        <f t="array" ref="BL104">IF(AND(BL$2&lt;&gt;0,TblTech[[#This Row],[Hour]:[Hour]]&gt;=BL$2),1,0)</f>
        <v>0</v>
      </c>
      <c r="BM104" s="304" cm="1">
        <f t="array" ref="BM104">IF(AND(BM$2&lt;&gt;0,TblTech[[#This Row],[Hour]:[Hour]]&gt;=BM$2),1,0)</f>
        <v>0</v>
      </c>
      <c r="BN104" s="304" cm="1">
        <f t="array" ref="BN104">IF(AND(BN$2&lt;&gt;0,TblTech[[#This Row],[Hour]:[Hour]]&gt;=BN$2),1,0)</f>
        <v>0</v>
      </c>
      <c r="BO104" s="304" cm="1">
        <f t="array" ref="BO104">IF(AND(BO$2&lt;&gt;0,TblTech[[#This Row],[Hour]:[Hour]]&gt;=BO$2),1,0)</f>
        <v>0</v>
      </c>
      <c r="BP104" s="304" cm="1">
        <f t="array" ref="BP104">IF(AND(BP$2&lt;&gt;0,TblTech[[#This Row],[Hour]:[Hour]]&gt;=BP$2),1,0)</f>
        <v>0</v>
      </c>
      <c r="BQ104" s="304" cm="1">
        <f t="array" ref="BQ104">IF(AND(BQ$2&lt;&gt;0,TblTech[[#This Row],[Hour]:[Hour]]&gt;=BQ$2),1,0)</f>
        <v>0</v>
      </c>
      <c r="BR104" s="304" cm="1">
        <f t="array" ref="BR104">IF(AND(BR$2&lt;&gt;0,TblTech[[#This Row],[Hour]:[Hour]]&gt;=BR$2),1,0)</f>
        <v>0</v>
      </c>
      <c r="BS104" s="304" cm="1">
        <f t="array" ref="BS104">IF(AND(BS$2&lt;&gt;0,TblTech[[#This Row],[Hour]:[Hour]]&gt;=BS$2),1,0)</f>
        <v>0</v>
      </c>
      <c r="BT104" s="304" cm="1">
        <f t="array" ref="BT104">IF(AND(BT$2&lt;&gt;0,TblTech[[#This Row],[Hour]:[Hour]]&gt;=BT$2),1,0)</f>
        <v>0</v>
      </c>
      <c r="BU104" s="304" cm="1">
        <f t="array" ref="BU104">IF(AND(BU$2&lt;&gt;0,TblTech[[#This Row],[Hour]:[Hour]]&gt;=BU$2),1,0)</f>
        <v>0</v>
      </c>
      <c r="BV104" s="304" cm="1">
        <f t="array" ref="BV104">IF(AND(BV$2&lt;&gt;0,TblTech[[#This Row],[Hour]:[Hour]]&gt;=BV$2),1,0)</f>
        <v>0</v>
      </c>
      <c r="BW104" s="304" cm="1">
        <f t="array" ref="BW104">IF(AND(BW$2&lt;&gt;0,TblTech[[#This Row],[Hour]:[Hour]]&gt;=BW$2),1,0)</f>
        <v>0</v>
      </c>
      <c r="BX104" s="304" cm="1">
        <f t="array" ref="BX104">IF(AND(BX$2&lt;&gt;0,TblTech[[#This Row],[Hour]:[Hour]]&gt;=BX$2),1,0)</f>
        <v>0</v>
      </c>
      <c r="BY104" s="304" cm="1">
        <f t="array" ref="BY104">IF(AND(BY$2&lt;&gt;0,TblTech[[#This Row],[Hour]:[Hour]]&gt;=BY$2),1,0)</f>
        <v>0</v>
      </c>
      <c r="BZ104" s="304" cm="1">
        <f t="array" ref="BZ104">IF(AND(BZ$2&lt;&gt;0,TblTech[[#This Row],[Hour]:[Hour]]&gt;=BZ$2),1,0)</f>
        <v>0</v>
      </c>
      <c r="CA104" s="408">
        <f>IFERROR(INDEX($H$4:$H$79,MATCH(INDEX(TblTech[[#Headers],[1-1]:[11-1]],1,MATCH(TblTech[[#This Row],[Hour]],$M$2:$BZ$2,0)),$G$4:$G$79,0)),)</f>
        <v>0</v>
      </c>
    </row>
    <row r="105" spans="1:79" x14ac:dyDescent="0.2">
      <c r="A105" s="296">
        <f>TblRezone[[#This Row],[Hour]]</f>
        <v>102</v>
      </c>
      <c r="B105" s="297">
        <f ca="1">TblExplore[[#This Row],[Land-DB]]</f>
        <v>250</v>
      </c>
      <c r="C105" s="298">
        <f ca="1">TblProd[[#This Row],[Techpoints]]</f>
        <v>0</v>
      </c>
      <c r="D105" s="298">
        <f ca="1">TblProd[[#This Row],[Required]]</f>
        <v>3750</v>
      </c>
      <c r="E105" s="307"/>
      <c r="F105" s="308"/>
      <c r="G105" s="301"/>
      <c r="H105" s="302"/>
      <c r="I105" s="302"/>
      <c r="J105" s="302"/>
      <c r="K105" s="96">
        <f ca="1">IF(TblTech[[#This Row],[Sum of tech]]&lt;&gt;OFFSET(TblTech[[#This Row],[Sum of tech]],-1,0),1,0)</f>
        <v>0</v>
      </c>
      <c r="L105" s="303">
        <f>COUNTIF(TblTech[[#This Row],[1-1]:[11-1]],1)</f>
        <v>0</v>
      </c>
      <c r="M105" s="304" cm="1">
        <f t="array" ref="M105">IF(AND(M$2&lt;&gt;0,TblTech[[#This Row],[Hour]:[Hour]]&gt;=M$2),1,0)</f>
        <v>0</v>
      </c>
      <c r="N105" s="304" cm="1">
        <f t="array" ref="N105">IF(AND(N$2&lt;&gt;0,TblTech[[#This Row],[Hour]:[Hour]]&gt;=N$2),1,0)</f>
        <v>0</v>
      </c>
      <c r="O105" s="304" cm="1">
        <f t="array" ref="O105">IF(AND(O$2&lt;&gt;0,TblTech[[#This Row],[Hour]:[Hour]]&gt;=O$2),1,0)</f>
        <v>0</v>
      </c>
      <c r="P105" s="304" cm="1">
        <f t="array" ref="P105">IF(AND(P$2&lt;&gt;0,TblTech[[#This Row],[Hour]:[Hour]]&gt;=P$2),1,0)</f>
        <v>0</v>
      </c>
      <c r="Q105" s="304" cm="1">
        <f t="array" ref="Q105">IF(AND(Q$2&lt;&gt;0,TblTech[[#This Row],[Hour]:[Hour]]&gt;=Q$2),1,0)</f>
        <v>0</v>
      </c>
      <c r="R105" s="304" cm="1">
        <f t="array" ref="R105">IF(AND(R$2&lt;&gt;0,TblTech[[#This Row],[Hour]:[Hour]]&gt;=R$2),1,0)</f>
        <v>0</v>
      </c>
      <c r="S105" s="304" cm="1">
        <f t="array" ref="S105">IF(AND(S$2&lt;&gt;0,TblTech[[#This Row],[Hour]:[Hour]]&gt;=S$2),1,0)</f>
        <v>0</v>
      </c>
      <c r="T105" s="304" cm="1">
        <f t="array" ref="T105">IF(AND(T$2&lt;&gt;0,TblTech[[#This Row],[Hour]:[Hour]]&gt;=T$2),1,0)</f>
        <v>0</v>
      </c>
      <c r="U105" s="304" cm="1">
        <f t="array" ref="U105">IF(AND(U$2&lt;&gt;0,TblTech[[#This Row],[Hour]:[Hour]]&gt;=U$2),1,0)</f>
        <v>0</v>
      </c>
      <c r="V105" s="304" cm="1">
        <f t="array" ref="V105">IF(AND(V$2&lt;&gt;0,TblTech[[#This Row],[Hour]:[Hour]]&gt;=V$2),1,0)</f>
        <v>0</v>
      </c>
      <c r="W105" s="304" cm="1">
        <f t="array" ref="W105">IF(AND(W$2&lt;&gt;0,TblTech[[#This Row],[Hour]:[Hour]]&gt;=W$2),1,0)</f>
        <v>0</v>
      </c>
      <c r="X105" s="304" cm="1">
        <f t="array" ref="X105">IF(AND(X$2&lt;&gt;0,TblTech[[#This Row],[Hour]:[Hour]]&gt;=X$2),1,0)</f>
        <v>0</v>
      </c>
      <c r="Y105" s="304" cm="1">
        <f t="array" ref="Y105">IF(AND(Y$2&lt;&gt;0,TblTech[[#This Row],[Hour]:[Hour]]&gt;=Y$2),1,0)</f>
        <v>0</v>
      </c>
      <c r="Z105" s="304" cm="1">
        <f t="array" ref="Z105">IF(AND(Z$2&lt;&gt;0,TblTech[[#This Row],[Hour]:[Hour]]&gt;=Z$2),1,0)</f>
        <v>0</v>
      </c>
      <c r="AA105" s="304" cm="1">
        <f t="array" ref="AA105">IF(AND(AA$2&lt;&gt;0,TblTech[[#This Row],[Hour]:[Hour]]&gt;=AA$2),1,0)</f>
        <v>0</v>
      </c>
      <c r="AB105" s="304" cm="1">
        <f t="array" ref="AB105">IF(AND(AB$2&lt;&gt;0,TblTech[[#This Row],[Hour]:[Hour]]&gt;=AB$2),1,0)</f>
        <v>0</v>
      </c>
      <c r="AC105" s="304" cm="1">
        <f t="array" ref="AC105">IF(AND(AC$2&lt;&gt;0,TblTech[[#This Row],[Hour]:[Hour]]&gt;=AC$2),1,0)</f>
        <v>0</v>
      </c>
      <c r="AD105" s="304" cm="1">
        <f t="array" ref="AD105">IF(AND(AD$2&lt;&gt;0,TblTech[[#This Row],[Hour]:[Hour]]&gt;=AD$2),1,0)</f>
        <v>0</v>
      </c>
      <c r="AE105" s="304" cm="1">
        <f t="array" ref="AE105">IF(AND(AE$2&lt;&gt;0,TblTech[[#This Row],[Hour]:[Hour]]&gt;=AE$2),1,0)</f>
        <v>0</v>
      </c>
      <c r="AF105" s="304" cm="1">
        <f t="array" ref="AF105">IF(AND(AF$2&lt;&gt;0,TblTech[[#This Row],[Hour]:[Hour]]&gt;=AF$2),1,0)</f>
        <v>0</v>
      </c>
      <c r="AG105" s="304" cm="1">
        <f t="array" ref="AG105">IF(AND(AG$2&lt;&gt;0,TblTech[[#This Row],[Hour]:[Hour]]&gt;=AG$2),1,0)</f>
        <v>0</v>
      </c>
      <c r="AH105" s="304" cm="1">
        <f t="array" ref="AH105">IF(AND(AH$2&lt;&gt;0,TblTech[[#This Row],[Hour]:[Hour]]&gt;=AH$2),1,0)</f>
        <v>0</v>
      </c>
      <c r="AI105" s="304" cm="1">
        <f t="array" ref="AI105">IF(AND(AI$2&lt;&gt;0,TblTech[[#This Row],[Hour]:[Hour]]&gt;=AI$2),1,0)</f>
        <v>0</v>
      </c>
      <c r="AJ105" s="304" cm="1">
        <f t="array" ref="AJ105">IF(AND(AJ$2&lt;&gt;0,TblTech[[#This Row],[Hour]:[Hour]]&gt;=AJ$2),1,0)</f>
        <v>0</v>
      </c>
      <c r="AK105" s="304" cm="1">
        <f t="array" ref="AK105">IF(AND(AK$2&lt;&gt;0,TblTech[[#This Row],[Hour]:[Hour]]&gt;=AK$2),1,0)</f>
        <v>0</v>
      </c>
      <c r="AL105" s="304" cm="1">
        <f t="array" ref="AL105">IF(AND(AL$2&lt;&gt;0,TblTech[[#This Row],[Hour]:[Hour]]&gt;=AL$2),1,0)</f>
        <v>0</v>
      </c>
      <c r="AM105" s="304" cm="1">
        <f t="array" ref="AM105">IF(AND(AM$2&lt;&gt;0,TblTech[[#This Row],[Hour]:[Hour]]&gt;=AM$2),1,0)</f>
        <v>0</v>
      </c>
      <c r="AN105" s="304" cm="1">
        <f t="array" ref="AN105">IF(AND(AN$2&lt;&gt;0,TblTech[[#This Row],[Hour]:[Hour]]&gt;=AN$2),1,0)</f>
        <v>0</v>
      </c>
      <c r="AO105" s="304" cm="1">
        <f t="array" ref="AO105">IF(AND(AO$2&lt;&gt;0,TblTech[[#This Row],[Hour]:[Hour]]&gt;=AO$2),1,0)</f>
        <v>0</v>
      </c>
      <c r="AP105" s="304" cm="1">
        <f t="array" ref="AP105">IF(AND(AP$2&lt;&gt;0,TblTech[[#This Row],[Hour]:[Hour]]&gt;=AP$2),1,0)</f>
        <v>0</v>
      </c>
      <c r="AQ105" s="304" cm="1">
        <f t="array" ref="AQ105">IF(AND(AQ$2&lt;&gt;0,TblTech[[#This Row],[Hour]:[Hour]]&gt;=AQ$2),1,0)</f>
        <v>0</v>
      </c>
      <c r="AR105" s="304" cm="1">
        <f t="array" ref="AR105">IF(AND(AR$2&lt;&gt;0,TblTech[[#This Row],[Hour]:[Hour]]&gt;=AR$2),1,0)</f>
        <v>0</v>
      </c>
      <c r="AS105" s="304" cm="1">
        <f t="array" ref="AS105">IF(AND(AS$2&lt;&gt;0,TblTech[[#This Row],[Hour]:[Hour]]&gt;=AS$2),1,0)</f>
        <v>0</v>
      </c>
      <c r="AT105" s="304" cm="1">
        <f t="array" ref="AT105">IF(AND(AT$2&lt;&gt;0,TblTech[[#This Row],[Hour]:[Hour]]&gt;=AT$2),1,0)</f>
        <v>0</v>
      </c>
      <c r="AU105" s="304" cm="1">
        <f t="array" ref="AU105">IF(AND(AU$2&lt;&gt;0,TblTech[[#This Row],[Hour]:[Hour]]&gt;=AU$2),1,0)</f>
        <v>0</v>
      </c>
      <c r="AV105" s="304" cm="1">
        <f t="array" ref="AV105">IF(AND(AV$2&lt;&gt;0,TblTech[[#This Row],[Hour]:[Hour]]&gt;=AV$2),1,0)</f>
        <v>0</v>
      </c>
      <c r="AW105" s="304" cm="1">
        <f t="array" ref="AW105">IF(AND(AW$2&lt;&gt;0,TblTech[[#This Row],[Hour]:[Hour]]&gt;=AW$2),1,0)</f>
        <v>0</v>
      </c>
      <c r="AX105" s="304" cm="1">
        <f t="array" ref="AX105">IF(AND(AX$2&lt;&gt;0,TblTech[[#This Row],[Hour]:[Hour]]&gt;=AX$2),1,0)</f>
        <v>0</v>
      </c>
      <c r="AY105" s="304" cm="1">
        <f t="array" ref="AY105">IF(AND(AY$2&lt;&gt;0,TblTech[[#This Row],[Hour]:[Hour]]&gt;=AY$2),1,0)</f>
        <v>0</v>
      </c>
      <c r="AZ105" s="304" cm="1">
        <f t="array" ref="AZ105">IF(AND(AZ$2&lt;&gt;0,TblTech[[#This Row],[Hour]:[Hour]]&gt;=AZ$2),1,0)</f>
        <v>0</v>
      </c>
      <c r="BA105" s="304" cm="1">
        <f t="array" ref="BA105">IF(AND(BA$2&lt;&gt;0,TblTech[[#This Row],[Hour]:[Hour]]&gt;=BA$2),1,0)</f>
        <v>0</v>
      </c>
      <c r="BB105" s="304" cm="1">
        <f t="array" ref="BB105">IF(AND(BB$2&lt;&gt;0,TblTech[[#This Row],[Hour]:[Hour]]&gt;=BB$2),1,0)</f>
        <v>0</v>
      </c>
      <c r="BC105" s="304" cm="1">
        <f t="array" ref="BC105">IF(AND(BC$2&lt;&gt;0,TblTech[[#This Row],[Hour]:[Hour]]&gt;=BC$2),1,0)</f>
        <v>0</v>
      </c>
      <c r="BD105" s="304" cm="1">
        <f t="array" ref="BD105">IF(AND(BD$2&lt;&gt;0,TblTech[[#This Row],[Hour]:[Hour]]&gt;=BD$2),1,0)</f>
        <v>0</v>
      </c>
      <c r="BE105" s="304" cm="1">
        <f t="array" ref="BE105">IF(AND(BE$2&lt;&gt;0,TblTech[[#This Row],[Hour]:[Hour]]&gt;=BE$2),1,0)</f>
        <v>0</v>
      </c>
      <c r="BF105" s="304" cm="1">
        <f t="array" ref="BF105">IF(AND(BF$2&lt;&gt;0,TblTech[[#This Row],[Hour]:[Hour]]&gt;=BF$2),1,0)</f>
        <v>0</v>
      </c>
      <c r="BG105" s="304" cm="1">
        <f t="array" ref="BG105">IF(AND(BG$2&lt;&gt;0,TblTech[[#This Row],[Hour]:[Hour]]&gt;=BG$2),1,0)</f>
        <v>0</v>
      </c>
      <c r="BH105" s="304" cm="1">
        <f t="array" ref="BH105">IF(AND(BH$2&lt;&gt;0,TblTech[[#This Row],[Hour]:[Hour]]&gt;=BH$2),1,0)</f>
        <v>0</v>
      </c>
      <c r="BI105" s="304" cm="1">
        <f t="array" ref="BI105">IF(AND(BI$2&lt;&gt;0,TblTech[[#This Row],[Hour]:[Hour]]&gt;=BI$2),1,0)</f>
        <v>0</v>
      </c>
      <c r="BJ105" s="304" cm="1">
        <f t="array" ref="BJ105">IF(AND(BJ$2&lt;&gt;0,TblTech[[#This Row],[Hour]:[Hour]]&gt;=BJ$2),1,0)</f>
        <v>0</v>
      </c>
      <c r="BK105" s="304" cm="1">
        <f t="array" ref="BK105">IF(AND(BK$2&lt;&gt;0,TblTech[[#This Row],[Hour]:[Hour]]&gt;=BK$2),1,0)</f>
        <v>0</v>
      </c>
      <c r="BL105" s="304" cm="1">
        <f t="array" ref="BL105">IF(AND(BL$2&lt;&gt;0,TblTech[[#This Row],[Hour]:[Hour]]&gt;=BL$2),1,0)</f>
        <v>0</v>
      </c>
      <c r="BM105" s="304" cm="1">
        <f t="array" ref="BM105">IF(AND(BM$2&lt;&gt;0,TblTech[[#This Row],[Hour]:[Hour]]&gt;=BM$2),1,0)</f>
        <v>0</v>
      </c>
      <c r="BN105" s="304" cm="1">
        <f t="array" ref="BN105">IF(AND(BN$2&lt;&gt;0,TblTech[[#This Row],[Hour]:[Hour]]&gt;=BN$2),1,0)</f>
        <v>0</v>
      </c>
      <c r="BO105" s="304" cm="1">
        <f t="array" ref="BO105">IF(AND(BO$2&lt;&gt;0,TblTech[[#This Row],[Hour]:[Hour]]&gt;=BO$2),1,0)</f>
        <v>0</v>
      </c>
      <c r="BP105" s="304" cm="1">
        <f t="array" ref="BP105">IF(AND(BP$2&lt;&gt;0,TblTech[[#This Row],[Hour]:[Hour]]&gt;=BP$2),1,0)</f>
        <v>0</v>
      </c>
      <c r="BQ105" s="304" cm="1">
        <f t="array" ref="BQ105">IF(AND(BQ$2&lt;&gt;0,TblTech[[#This Row],[Hour]:[Hour]]&gt;=BQ$2),1,0)</f>
        <v>0</v>
      </c>
      <c r="BR105" s="304" cm="1">
        <f t="array" ref="BR105">IF(AND(BR$2&lt;&gt;0,TblTech[[#This Row],[Hour]:[Hour]]&gt;=BR$2),1,0)</f>
        <v>0</v>
      </c>
      <c r="BS105" s="304" cm="1">
        <f t="array" ref="BS105">IF(AND(BS$2&lt;&gt;0,TblTech[[#This Row],[Hour]:[Hour]]&gt;=BS$2),1,0)</f>
        <v>0</v>
      </c>
      <c r="BT105" s="304" cm="1">
        <f t="array" ref="BT105">IF(AND(BT$2&lt;&gt;0,TblTech[[#This Row],[Hour]:[Hour]]&gt;=BT$2),1,0)</f>
        <v>0</v>
      </c>
      <c r="BU105" s="304" cm="1">
        <f t="array" ref="BU105">IF(AND(BU$2&lt;&gt;0,TblTech[[#This Row],[Hour]:[Hour]]&gt;=BU$2),1,0)</f>
        <v>0</v>
      </c>
      <c r="BV105" s="304" cm="1">
        <f t="array" ref="BV105">IF(AND(BV$2&lt;&gt;0,TblTech[[#This Row],[Hour]:[Hour]]&gt;=BV$2),1,0)</f>
        <v>0</v>
      </c>
      <c r="BW105" s="304" cm="1">
        <f t="array" ref="BW105">IF(AND(BW$2&lt;&gt;0,TblTech[[#This Row],[Hour]:[Hour]]&gt;=BW$2),1,0)</f>
        <v>0</v>
      </c>
      <c r="BX105" s="304" cm="1">
        <f t="array" ref="BX105">IF(AND(BX$2&lt;&gt;0,TblTech[[#This Row],[Hour]:[Hour]]&gt;=BX$2),1,0)</f>
        <v>0</v>
      </c>
      <c r="BY105" s="304" cm="1">
        <f t="array" ref="BY105">IF(AND(BY$2&lt;&gt;0,TblTech[[#This Row],[Hour]:[Hour]]&gt;=BY$2),1,0)</f>
        <v>0</v>
      </c>
      <c r="BZ105" s="304" cm="1">
        <f t="array" ref="BZ105">IF(AND(BZ$2&lt;&gt;0,TblTech[[#This Row],[Hour]:[Hour]]&gt;=BZ$2),1,0)</f>
        <v>0</v>
      </c>
      <c r="CA105" s="408">
        <f>IFERROR(INDEX($H$4:$H$79,MATCH(INDEX(TblTech[[#Headers],[1-1]:[11-1]],1,MATCH(TblTech[[#This Row],[Hour]],$M$2:$BZ$2,0)),$G$4:$G$79,0)),)</f>
        <v>0</v>
      </c>
    </row>
    <row r="106" spans="1:79" x14ac:dyDescent="0.2">
      <c r="A106" s="296">
        <f>TblRezone[[#This Row],[Hour]]</f>
        <v>103</v>
      </c>
      <c r="B106" s="297">
        <f ca="1">TblExplore[[#This Row],[Land-DB]]</f>
        <v>250</v>
      </c>
      <c r="C106" s="298">
        <f ca="1">TblProd[[#This Row],[Techpoints]]</f>
        <v>0</v>
      </c>
      <c r="D106" s="298">
        <f ca="1">TblProd[[#This Row],[Required]]</f>
        <v>3750</v>
      </c>
      <c r="E106" s="307"/>
      <c r="F106" s="308"/>
      <c r="G106" s="301"/>
      <c r="H106" s="302"/>
      <c r="I106" s="302"/>
      <c r="J106" s="302"/>
      <c r="K106" s="96">
        <f ca="1">IF(TblTech[[#This Row],[Sum of tech]]&lt;&gt;OFFSET(TblTech[[#This Row],[Sum of tech]],-1,0),1,0)</f>
        <v>0</v>
      </c>
      <c r="L106" s="303">
        <f>COUNTIF(TblTech[[#This Row],[1-1]:[11-1]],1)</f>
        <v>0</v>
      </c>
      <c r="M106" s="304" cm="1">
        <f t="array" ref="M106">IF(AND(M$2&lt;&gt;0,TblTech[[#This Row],[Hour]:[Hour]]&gt;=M$2),1,0)</f>
        <v>0</v>
      </c>
      <c r="N106" s="304" cm="1">
        <f t="array" ref="N106">IF(AND(N$2&lt;&gt;0,TblTech[[#This Row],[Hour]:[Hour]]&gt;=N$2),1,0)</f>
        <v>0</v>
      </c>
      <c r="O106" s="304" cm="1">
        <f t="array" ref="O106">IF(AND(O$2&lt;&gt;0,TblTech[[#This Row],[Hour]:[Hour]]&gt;=O$2),1,0)</f>
        <v>0</v>
      </c>
      <c r="P106" s="304" cm="1">
        <f t="array" ref="P106">IF(AND(P$2&lt;&gt;0,TblTech[[#This Row],[Hour]:[Hour]]&gt;=P$2),1,0)</f>
        <v>0</v>
      </c>
      <c r="Q106" s="304" cm="1">
        <f t="array" ref="Q106">IF(AND(Q$2&lt;&gt;0,TblTech[[#This Row],[Hour]:[Hour]]&gt;=Q$2),1,0)</f>
        <v>0</v>
      </c>
      <c r="R106" s="304" cm="1">
        <f t="array" ref="R106">IF(AND(R$2&lt;&gt;0,TblTech[[#This Row],[Hour]:[Hour]]&gt;=R$2),1,0)</f>
        <v>0</v>
      </c>
      <c r="S106" s="304" cm="1">
        <f t="array" ref="S106">IF(AND(S$2&lt;&gt;0,TblTech[[#This Row],[Hour]:[Hour]]&gt;=S$2),1,0)</f>
        <v>0</v>
      </c>
      <c r="T106" s="304" cm="1">
        <f t="array" ref="T106">IF(AND(T$2&lt;&gt;0,TblTech[[#This Row],[Hour]:[Hour]]&gt;=T$2),1,0)</f>
        <v>0</v>
      </c>
      <c r="U106" s="304" cm="1">
        <f t="array" ref="U106">IF(AND(U$2&lt;&gt;0,TblTech[[#This Row],[Hour]:[Hour]]&gt;=U$2),1,0)</f>
        <v>0</v>
      </c>
      <c r="V106" s="304" cm="1">
        <f t="array" ref="V106">IF(AND(V$2&lt;&gt;0,TblTech[[#This Row],[Hour]:[Hour]]&gt;=V$2),1,0)</f>
        <v>0</v>
      </c>
      <c r="W106" s="304" cm="1">
        <f t="array" ref="W106">IF(AND(W$2&lt;&gt;0,TblTech[[#This Row],[Hour]:[Hour]]&gt;=W$2),1,0)</f>
        <v>0</v>
      </c>
      <c r="X106" s="304" cm="1">
        <f t="array" ref="X106">IF(AND(X$2&lt;&gt;0,TblTech[[#This Row],[Hour]:[Hour]]&gt;=X$2),1,0)</f>
        <v>0</v>
      </c>
      <c r="Y106" s="304" cm="1">
        <f t="array" ref="Y106">IF(AND(Y$2&lt;&gt;0,TblTech[[#This Row],[Hour]:[Hour]]&gt;=Y$2),1,0)</f>
        <v>0</v>
      </c>
      <c r="Z106" s="304" cm="1">
        <f t="array" ref="Z106">IF(AND(Z$2&lt;&gt;0,TblTech[[#This Row],[Hour]:[Hour]]&gt;=Z$2),1,0)</f>
        <v>0</v>
      </c>
      <c r="AA106" s="304" cm="1">
        <f t="array" ref="AA106">IF(AND(AA$2&lt;&gt;0,TblTech[[#This Row],[Hour]:[Hour]]&gt;=AA$2),1,0)</f>
        <v>0</v>
      </c>
      <c r="AB106" s="304" cm="1">
        <f t="array" ref="AB106">IF(AND(AB$2&lt;&gt;0,TblTech[[#This Row],[Hour]:[Hour]]&gt;=AB$2),1,0)</f>
        <v>0</v>
      </c>
      <c r="AC106" s="304" cm="1">
        <f t="array" ref="AC106">IF(AND(AC$2&lt;&gt;0,TblTech[[#This Row],[Hour]:[Hour]]&gt;=AC$2),1,0)</f>
        <v>0</v>
      </c>
      <c r="AD106" s="304" cm="1">
        <f t="array" ref="AD106">IF(AND(AD$2&lt;&gt;0,TblTech[[#This Row],[Hour]:[Hour]]&gt;=AD$2),1,0)</f>
        <v>0</v>
      </c>
      <c r="AE106" s="304" cm="1">
        <f t="array" ref="AE106">IF(AND(AE$2&lt;&gt;0,TblTech[[#This Row],[Hour]:[Hour]]&gt;=AE$2),1,0)</f>
        <v>0</v>
      </c>
      <c r="AF106" s="304" cm="1">
        <f t="array" ref="AF106">IF(AND(AF$2&lt;&gt;0,TblTech[[#This Row],[Hour]:[Hour]]&gt;=AF$2),1,0)</f>
        <v>0</v>
      </c>
      <c r="AG106" s="304" cm="1">
        <f t="array" ref="AG106">IF(AND(AG$2&lt;&gt;0,TblTech[[#This Row],[Hour]:[Hour]]&gt;=AG$2),1,0)</f>
        <v>0</v>
      </c>
      <c r="AH106" s="304" cm="1">
        <f t="array" ref="AH106">IF(AND(AH$2&lt;&gt;0,TblTech[[#This Row],[Hour]:[Hour]]&gt;=AH$2),1,0)</f>
        <v>0</v>
      </c>
      <c r="AI106" s="304" cm="1">
        <f t="array" ref="AI106">IF(AND(AI$2&lt;&gt;0,TblTech[[#This Row],[Hour]:[Hour]]&gt;=AI$2),1,0)</f>
        <v>0</v>
      </c>
      <c r="AJ106" s="304" cm="1">
        <f t="array" ref="AJ106">IF(AND(AJ$2&lt;&gt;0,TblTech[[#This Row],[Hour]:[Hour]]&gt;=AJ$2),1,0)</f>
        <v>0</v>
      </c>
      <c r="AK106" s="304" cm="1">
        <f t="array" ref="AK106">IF(AND(AK$2&lt;&gt;0,TblTech[[#This Row],[Hour]:[Hour]]&gt;=AK$2),1,0)</f>
        <v>0</v>
      </c>
      <c r="AL106" s="304" cm="1">
        <f t="array" ref="AL106">IF(AND(AL$2&lt;&gt;0,TblTech[[#This Row],[Hour]:[Hour]]&gt;=AL$2),1,0)</f>
        <v>0</v>
      </c>
      <c r="AM106" s="304" cm="1">
        <f t="array" ref="AM106">IF(AND(AM$2&lt;&gt;0,TblTech[[#This Row],[Hour]:[Hour]]&gt;=AM$2),1,0)</f>
        <v>0</v>
      </c>
      <c r="AN106" s="304" cm="1">
        <f t="array" ref="AN106">IF(AND(AN$2&lt;&gt;0,TblTech[[#This Row],[Hour]:[Hour]]&gt;=AN$2),1,0)</f>
        <v>0</v>
      </c>
      <c r="AO106" s="304" cm="1">
        <f t="array" ref="AO106">IF(AND(AO$2&lt;&gt;0,TblTech[[#This Row],[Hour]:[Hour]]&gt;=AO$2),1,0)</f>
        <v>0</v>
      </c>
      <c r="AP106" s="304" cm="1">
        <f t="array" ref="AP106">IF(AND(AP$2&lt;&gt;0,TblTech[[#This Row],[Hour]:[Hour]]&gt;=AP$2),1,0)</f>
        <v>0</v>
      </c>
      <c r="AQ106" s="304" cm="1">
        <f t="array" ref="AQ106">IF(AND(AQ$2&lt;&gt;0,TblTech[[#This Row],[Hour]:[Hour]]&gt;=AQ$2),1,0)</f>
        <v>0</v>
      </c>
      <c r="AR106" s="304" cm="1">
        <f t="array" ref="AR106">IF(AND(AR$2&lt;&gt;0,TblTech[[#This Row],[Hour]:[Hour]]&gt;=AR$2),1,0)</f>
        <v>0</v>
      </c>
      <c r="AS106" s="304" cm="1">
        <f t="array" ref="AS106">IF(AND(AS$2&lt;&gt;0,TblTech[[#This Row],[Hour]:[Hour]]&gt;=AS$2),1,0)</f>
        <v>0</v>
      </c>
      <c r="AT106" s="304" cm="1">
        <f t="array" ref="AT106">IF(AND(AT$2&lt;&gt;0,TblTech[[#This Row],[Hour]:[Hour]]&gt;=AT$2),1,0)</f>
        <v>0</v>
      </c>
      <c r="AU106" s="304" cm="1">
        <f t="array" ref="AU106">IF(AND(AU$2&lt;&gt;0,TblTech[[#This Row],[Hour]:[Hour]]&gt;=AU$2),1,0)</f>
        <v>0</v>
      </c>
      <c r="AV106" s="304" cm="1">
        <f t="array" ref="AV106">IF(AND(AV$2&lt;&gt;0,TblTech[[#This Row],[Hour]:[Hour]]&gt;=AV$2),1,0)</f>
        <v>0</v>
      </c>
      <c r="AW106" s="304" cm="1">
        <f t="array" ref="AW106">IF(AND(AW$2&lt;&gt;0,TblTech[[#This Row],[Hour]:[Hour]]&gt;=AW$2),1,0)</f>
        <v>0</v>
      </c>
      <c r="AX106" s="304" cm="1">
        <f t="array" ref="AX106">IF(AND(AX$2&lt;&gt;0,TblTech[[#This Row],[Hour]:[Hour]]&gt;=AX$2),1,0)</f>
        <v>0</v>
      </c>
      <c r="AY106" s="304" cm="1">
        <f t="array" ref="AY106">IF(AND(AY$2&lt;&gt;0,TblTech[[#This Row],[Hour]:[Hour]]&gt;=AY$2),1,0)</f>
        <v>0</v>
      </c>
      <c r="AZ106" s="304" cm="1">
        <f t="array" ref="AZ106">IF(AND(AZ$2&lt;&gt;0,TblTech[[#This Row],[Hour]:[Hour]]&gt;=AZ$2),1,0)</f>
        <v>0</v>
      </c>
      <c r="BA106" s="304" cm="1">
        <f t="array" ref="BA106">IF(AND(BA$2&lt;&gt;0,TblTech[[#This Row],[Hour]:[Hour]]&gt;=BA$2),1,0)</f>
        <v>0</v>
      </c>
      <c r="BB106" s="304" cm="1">
        <f t="array" ref="BB106">IF(AND(BB$2&lt;&gt;0,TblTech[[#This Row],[Hour]:[Hour]]&gt;=BB$2),1,0)</f>
        <v>0</v>
      </c>
      <c r="BC106" s="304" cm="1">
        <f t="array" ref="BC106">IF(AND(BC$2&lt;&gt;0,TblTech[[#This Row],[Hour]:[Hour]]&gt;=BC$2),1,0)</f>
        <v>0</v>
      </c>
      <c r="BD106" s="304" cm="1">
        <f t="array" ref="BD106">IF(AND(BD$2&lt;&gt;0,TblTech[[#This Row],[Hour]:[Hour]]&gt;=BD$2),1,0)</f>
        <v>0</v>
      </c>
      <c r="BE106" s="304" cm="1">
        <f t="array" ref="BE106">IF(AND(BE$2&lt;&gt;0,TblTech[[#This Row],[Hour]:[Hour]]&gt;=BE$2),1,0)</f>
        <v>0</v>
      </c>
      <c r="BF106" s="304" cm="1">
        <f t="array" ref="BF106">IF(AND(BF$2&lt;&gt;0,TblTech[[#This Row],[Hour]:[Hour]]&gt;=BF$2),1,0)</f>
        <v>0</v>
      </c>
      <c r="BG106" s="304" cm="1">
        <f t="array" ref="BG106">IF(AND(BG$2&lt;&gt;0,TblTech[[#This Row],[Hour]:[Hour]]&gt;=BG$2),1,0)</f>
        <v>0</v>
      </c>
      <c r="BH106" s="304" cm="1">
        <f t="array" ref="BH106">IF(AND(BH$2&lt;&gt;0,TblTech[[#This Row],[Hour]:[Hour]]&gt;=BH$2),1,0)</f>
        <v>0</v>
      </c>
      <c r="BI106" s="304" cm="1">
        <f t="array" ref="BI106">IF(AND(BI$2&lt;&gt;0,TblTech[[#This Row],[Hour]:[Hour]]&gt;=BI$2),1,0)</f>
        <v>0</v>
      </c>
      <c r="BJ106" s="304" cm="1">
        <f t="array" ref="BJ106">IF(AND(BJ$2&lt;&gt;0,TblTech[[#This Row],[Hour]:[Hour]]&gt;=BJ$2),1,0)</f>
        <v>0</v>
      </c>
      <c r="BK106" s="304" cm="1">
        <f t="array" ref="BK106">IF(AND(BK$2&lt;&gt;0,TblTech[[#This Row],[Hour]:[Hour]]&gt;=BK$2),1,0)</f>
        <v>0</v>
      </c>
      <c r="BL106" s="304" cm="1">
        <f t="array" ref="BL106">IF(AND(BL$2&lt;&gt;0,TblTech[[#This Row],[Hour]:[Hour]]&gt;=BL$2),1,0)</f>
        <v>0</v>
      </c>
      <c r="BM106" s="304" cm="1">
        <f t="array" ref="BM106">IF(AND(BM$2&lt;&gt;0,TblTech[[#This Row],[Hour]:[Hour]]&gt;=BM$2),1,0)</f>
        <v>0</v>
      </c>
      <c r="BN106" s="304" cm="1">
        <f t="array" ref="BN106">IF(AND(BN$2&lt;&gt;0,TblTech[[#This Row],[Hour]:[Hour]]&gt;=BN$2),1,0)</f>
        <v>0</v>
      </c>
      <c r="BO106" s="304" cm="1">
        <f t="array" ref="BO106">IF(AND(BO$2&lt;&gt;0,TblTech[[#This Row],[Hour]:[Hour]]&gt;=BO$2),1,0)</f>
        <v>0</v>
      </c>
      <c r="BP106" s="304" cm="1">
        <f t="array" ref="BP106">IF(AND(BP$2&lt;&gt;0,TblTech[[#This Row],[Hour]:[Hour]]&gt;=BP$2),1,0)</f>
        <v>0</v>
      </c>
      <c r="BQ106" s="304" cm="1">
        <f t="array" ref="BQ106">IF(AND(BQ$2&lt;&gt;0,TblTech[[#This Row],[Hour]:[Hour]]&gt;=BQ$2),1,0)</f>
        <v>0</v>
      </c>
      <c r="BR106" s="304" cm="1">
        <f t="array" ref="BR106">IF(AND(BR$2&lt;&gt;0,TblTech[[#This Row],[Hour]:[Hour]]&gt;=BR$2),1,0)</f>
        <v>0</v>
      </c>
      <c r="BS106" s="304" cm="1">
        <f t="array" ref="BS106">IF(AND(BS$2&lt;&gt;0,TblTech[[#This Row],[Hour]:[Hour]]&gt;=BS$2),1,0)</f>
        <v>0</v>
      </c>
      <c r="BT106" s="304" cm="1">
        <f t="array" ref="BT106">IF(AND(BT$2&lt;&gt;0,TblTech[[#This Row],[Hour]:[Hour]]&gt;=BT$2),1,0)</f>
        <v>0</v>
      </c>
      <c r="BU106" s="304" cm="1">
        <f t="array" ref="BU106">IF(AND(BU$2&lt;&gt;0,TblTech[[#This Row],[Hour]:[Hour]]&gt;=BU$2),1,0)</f>
        <v>0</v>
      </c>
      <c r="BV106" s="304" cm="1">
        <f t="array" ref="BV106">IF(AND(BV$2&lt;&gt;0,TblTech[[#This Row],[Hour]:[Hour]]&gt;=BV$2),1,0)</f>
        <v>0</v>
      </c>
      <c r="BW106" s="304" cm="1">
        <f t="array" ref="BW106">IF(AND(BW$2&lt;&gt;0,TblTech[[#This Row],[Hour]:[Hour]]&gt;=BW$2),1,0)</f>
        <v>0</v>
      </c>
      <c r="BX106" s="304" cm="1">
        <f t="array" ref="BX106">IF(AND(BX$2&lt;&gt;0,TblTech[[#This Row],[Hour]:[Hour]]&gt;=BX$2),1,0)</f>
        <v>0</v>
      </c>
      <c r="BY106" s="304" cm="1">
        <f t="array" ref="BY106">IF(AND(BY$2&lt;&gt;0,TblTech[[#This Row],[Hour]:[Hour]]&gt;=BY$2),1,0)</f>
        <v>0</v>
      </c>
      <c r="BZ106" s="304" cm="1">
        <f t="array" ref="BZ106">IF(AND(BZ$2&lt;&gt;0,TblTech[[#This Row],[Hour]:[Hour]]&gt;=BZ$2),1,0)</f>
        <v>0</v>
      </c>
      <c r="CA106" s="408">
        <f>IFERROR(INDEX($H$4:$H$79,MATCH(INDEX(TblTech[[#Headers],[1-1]:[11-1]],1,MATCH(TblTech[[#This Row],[Hour]],$M$2:$BZ$2,0)),$G$4:$G$79,0)),)</f>
        <v>0</v>
      </c>
    </row>
    <row r="107" spans="1:79" x14ac:dyDescent="0.2">
      <c r="A107" s="296">
        <f>TblRezone[[#This Row],[Hour]]</f>
        <v>104</v>
      </c>
      <c r="B107" s="297">
        <f ca="1">TblExplore[[#This Row],[Land-DB]]</f>
        <v>250</v>
      </c>
      <c r="C107" s="298">
        <f ca="1">TblProd[[#This Row],[Techpoints]]</f>
        <v>0</v>
      </c>
      <c r="D107" s="298">
        <f ca="1">TblProd[[#This Row],[Required]]</f>
        <v>3750</v>
      </c>
      <c r="E107" s="307"/>
      <c r="F107" s="308"/>
      <c r="G107" s="301"/>
      <c r="H107" s="302"/>
      <c r="I107" s="302"/>
      <c r="J107" s="302"/>
      <c r="K107" s="96">
        <f ca="1">IF(TblTech[[#This Row],[Sum of tech]]&lt;&gt;OFFSET(TblTech[[#This Row],[Sum of tech]],-1,0),1,0)</f>
        <v>0</v>
      </c>
      <c r="L107" s="303">
        <f>COUNTIF(TblTech[[#This Row],[1-1]:[11-1]],1)</f>
        <v>0</v>
      </c>
      <c r="M107" s="304" cm="1">
        <f t="array" ref="M107">IF(AND(M$2&lt;&gt;0,TblTech[[#This Row],[Hour]:[Hour]]&gt;=M$2),1,0)</f>
        <v>0</v>
      </c>
      <c r="N107" s="304" cm="1">
        <f t="array" ref="N107">IF(AND(N$2&lt;&gt;0,TblTech[[#This Row],[Hour]:[Hour]]&gt;=N$2),1,0)</f>
        <v>0</v>
      </c>
      <c r="O107" s="304" cm="1">
        <f t="array" ref="O107">IF(AND(O$2&lt;&gt;0,TblTech[[#This Row],[Hour]:[Hour]]&gt;=O$2),1,0)</f>
        <v>0</v>
      </c>
      <c r="P107" s="304" cm="1">
        <f t="array" ref="P107">IF(AND(P$2&lt;&gt;0,TblTech[[#This Row],[Hour]:[Hour]]&gt;=P$2),1,0)</f>
        <v>0</v>
      </c>
      <c r="Q107" s="304" cm="1">
        <f t="array" ref="Q107">IF(AND(Q$2&lt;&gt;0,TblTech[[#This Row],[Hour]:[Hour]]&gt;=Q$2),1,0)</f>
        <v>0</v>
      </c>
      <c r="R107" s="304" cm="1">
        <f t="array" ref="R107">IF(AND(R$2&lt;&gt;0,TblTech[[#This Row],[Hour]:[Hour]]&gt;=R$2),1,0)</f>
        <v>0</v>
      </c>
      <c r="S107" s="304" cm="1">
        <f t="array" ref="S107">IF(AND(S$2&lt;&gt;0,TblTech[[#This Row],[Hour]:[Hour]]&gt;=S$2),1,0)</f>
        <v>0</v>
      </c>
      <c r="T107" s="304" cm="1">
        <f t="array" ref="T107">IF(AND(T$2&lt;&gt;0,TblTech[[#This Row],[Hour]:[Hour]]&gt;=T$2),1,0)</f>
        <v>0</v>
      </c>
      <c r="U107" s="304" cm="1">
        <f t="array" ref="U107">IF(AND(U$2&lt;&gt;0,TblTech[[#This Row],[Hour]:[Hour]]&gt;=U$2),1,0)</f>
        <v>0</v>
      </c>
      <c r="V107" s="304" cm="1">
        <f t="array" ref="V107">IF(AND(V$2&lt;&gt;0,TblTech[[#This Row],[Hour]:[Hour]]&gt;=V$2),1,0)</f>
        <v>0</v>
      </c>
      <c r="W107" s="304" cm="1">
        <f t="array" ref="W107">IF(AND(W$2&lt;&gt;0,TblTech[[#This Row],[Hour]:[Hour]]&gt;=W$2),1,0)</f>
        <v>0</v>
      </c>
      <c r="X107" s="304" cm="1">
        <f t="array" ref="X107">IF(AND(X$2&lt;&gt;0,TblTech[[#This Row],[Hour]:[Hour]]&gt;=X$2),1,0)</f>
        <v>0</v>
      </c>
      <c r="Y107" s="304" cm="1">
        <f t="array" ref="Y107">IF(AND(Y$2&lt;&gt;0,TblTech[[#This Row],[Hour]:[Hour]]&gt;=Y$2),1,0)</f>
        <v>0</v>
      </c>
      <c r="Z107" s="304" cm="1">
        <f t="array" ref="Z107">IF(AND(Z$2&lt;&gt;0,TblTech[[#This Row],[Hour]:[Hour]]&gt;=Z$2),1,0)</f>
        <v>0</v>
      </c>
      <c r="AA107" s="304" cm="1">
        <f t="array" ref="AA107">IF(AND(AA$2&lt;&gt;0,TblTech[[#This Row],[Hour]:[Hour]]&gt;=AA$2),1,0)</f>
        <v>0</v>
      </c>
      <c r="AB107" s="304" cm="1">
        <f t="array" ref="AB107">IF(AND(AB$2&lt;&gt;0,TblTech[[#This Row],[Hour]:[Hour]]&gt;=AB$2),1,0)</f>
        <v>0</v>
      </c>
      <c r="AC107" s="304" cm="1">
        <f t="array" ref="AC107">IF(AND(AC$2&lt;&gt;0,TblTech[[#This Row],[Hour]:[Hour]]&gt;=AC$2),1,0)</f>
        <v>0</v>
      </c>
      <c r="AD107" s="304" cm="1">
        <f t="array" ref="AD107">IF(AND(AD$2&lt;&gt;0,TblTech[[#This Row],[Hour]:[Hour]]&gt;=AD$2),1,0)</f>
        <v>0</v>
      </c>
      <c r="AE107" s="304" cm="1">
        <f t="array" ref="AE107">IF(AND(AE$2&lt;&gt;0,TblTech[[#This Row],[Hour]:[Hour]]&gt;=AE$2),1,0)</f>
        <v>0</v>
      </c>
      <c r="AF107" s="304" cm="1">
        <f t="array" ref="AF107">IF(AND(AF$2&lt;&gt;0,TblTech[[#This Row],[Hour]:[Hour]]&gt;=AF$2),1,0)</f>
        <v>0</v>
      </c>
      <c r="AG107" s="304" cm="1">
        <f t="array" ref="AG107">IF(AND(AG$2&lt;&gt;0,TblTech[[#This Row],[Hour]:[Hour]]&gt;=AG$2),1,0)</f>
        <v>0</v>
      </c>
      <c r="AH107" s="304" cm="1">
        <f t="array" ref="AH107">IF(AND(AH$2&lt;&gt;0,TblTech[[#This Row],[Hour]:[Hour]]&gt;=AH$2),1,0)</f>
        <v>0</v>
      </c>
      <c r="AI107" s="304" cm="1">
        <f t="array" ref="AI107">IF(AND(AI$2&lt;&gt;0,TblTech[[#This Row],[Hour]:[Hour]]&gt;=AI$2),1,0)</f>
        <v>0</v>
      </c>
      <c r="AJ107" s="304" cm="1">
        <f t="array" ref="AJ107">IF(AND(AJ$2&lt;&gt;0,TblTech[[#This Row],[Hour]:[Hour]]&gt;=AJ$2),1,0)</f>
        <v>0</v>
      </c>
      <c r="AK107" s="304" cm="1">
        <f t="array" ref="AK107">IF(AND(AK$2&lt;&gt;0,TblTech[[#This Row],[Hour]:[Hour]]&gt;=AK$2),1,0)</f>
        <v>0</v>
      </c>
      <c r="AL107" s="304" cm="1">
        <f t="array" ref="AL107">IF(AND(AL$2&lt;&gt;0,TblTech[[#This Row],[Hour]:[Hour]]&gt;=AL$2),1,0)</f>
        <v>0</v>
      </c>
      <c r="AM107" s="304" cm="1">
        <f t="array" ref="AM107">IF(AND(AM$2&lt;&gt;0,TblTech[[#This Row],[Hour]:[Hour]]&gt;=AM$2),1,0)</f>
        <v>0</v>
      </c>
      <c r="AN107" s="304" cm="1">
        <f t="array" ref="AN107">IF(AND(AN$2&lt;&gt;0,TblTech[[#This Row],[Hour]:[Hour]]&gt;=AN$2),1,0)</f>
        <v>0</v>
      </c>
      <c r="AO107" s="304" cm="1">
        <f t="array" ref="AO107">IF(AND(AO$2&lt;&gt;0,TblTech[[#This Row],[Hour]:[Hour]]&gt;=AO$2),1,0)</f>
        <v>0</v>
      </c>
      <c r="AP107" s="304" cm="1">
        <f t="array" ref="AP107">IF(AND(AP$2&lt;&gt;0,TblTech[[#This Row],[Hour]:[Hour]]&gt;=AP$2),1,0)</f>
        <v>0</v>
      </c>
      <c r="AQ107" s="304" cm="1">
        <f t="array" ref="AQ107">IF(AND(AQ$2&lt;&gt;0,TblTech[[#This Row],[Hour]:[Hour]]&gt;=AQ$2),1,0)</f>
        <v>0</v>
      </c>
      <c r="AR107" s="304" cm="1">
        <f t="array" ref="AR107">IF(AND(AR$2&lt;&gt;0,TblTech[[#This Row],[Hour]:[Hour]]&gt;=AR$2),1,0)</f>
        <v>0</v>
      </c>
      <c r="AS107" s="304" cm="1">
        <f t="array" ref="AS107">IF(AND(AS$2&lt;&gt;0,TblTech[[#This Row],[Hour]:[Hour]]&gt;=AS$2),1,0)</f>
        <v>0</v>
      </c>
      <c r="AT107" s="304" cm="1">
        <f t="array" ref="AT107">IF(AND(AT$2&lt;&gt;0,TblTech[[#This Row],[Hour]:[Hour]]&gt;=AT$2),1,0)</f>
        <v>0</v>
      </c>
      <c r="AU107" s="304" cm="1">
        <f t="array" ref="AU107">IF(AND(AU$2&lt;&gt;0,TblTech[[#This Row],[Hour]:[Hour]]&gt;=AU$2),1,0)</f>
        <v>0</v>
      </c>
      <c r="AV107" s="304" cm="1">
        <f t="array" ref="AV107">IF(AND(AV$2&lt;&gt;0,TblTech[[#This Row],[Hour]:[Hour]]&gt;=AV$2),1,0)</f>
        <v>0</v>
      </c>
      <c r="AW107" s="304" cm="1">
        <f t="array" ref="AW107">IF(AND(AW$2&lt;&gt;0,TblTech[[#This Row],[Hour]:[Hour]]&gt;=AW$2),1,0)</f>
        <v>0</v>
      </c>
      <c r="AX107" s="304" cm="1">
        <f t="array" ref="AX107">IF(AND(AX$2&lt;&gt;0,TblTech[[#This Row],[Hour]:[Hour]]&gt;=AX$2),1,0)</f>
        <v>0</v>
      </c>
      <c r="AY107" s="304" cm="1">
        <f t="array" ref="AY107">IF(AND(AY$2&lt;&gt;0,TblTech[[#This Row],[Hour]:[Hour]]&gt;=AY$2),1,0)</f>
        <v>0</v>
      </c>
      <c r="AZ107" s="304" cm="1">
        <f t="array" ref="AZ107">IF(AND(AZ$2&lt;&gt;0,TblTech[[#This Row],[Hour]:[Hour]]&gt;=AZ$2),1,0)</f>
        <v>0</v>
      </c>
      <c r="BA107" s="304" cm="1">
        <f t="array" ref="BA107">IF(AND(BA$2&lt;&gt;0,TblTech[[#This Row],[Hour]:[Hour]]&gt;=BA$2),1,0)</f>
        <v>0</v>
      </c>
      <c r="BB107" s="304" cm="1">
        <f t="array" ref="BB107">IF(AND(BB$2&lt;&gt;0,TblTech[[#This Row],[Hour]:[Hour]]&gt;=BB$2),1,0)</f>
        <v>0</v>
      </c>
      <c r="BC107" s="304" cm="1">
        <f t="array" ref="BC107">IF(AND(BC$2&lt;&gt;0,TblTech[[#This Row],[Hour]:[Hour]]&gt;=BC$2),1,0)</f>
        <v>0</v>
      </c>
      <c r="BD107" s="304" cm="1">
        <f t="array" ref="BD107">IF(AND(BD$2&lt;&gt;0,TblTech[[#This Row],[Hour]:[Hour]]&gt;=BD$2),1,0)</f>
        <v>0</v>
      </c>
      <c r="BE107" s="304" cm="1">
        <f t="array" ref="BE107">IF(AND(BE$2&lt;&gt;0,TblTech[[#This Row],[Hour]:[Hour]]&gt;=BE$2),1,0)</f>
        <v>0</v>
      </c>
      <c r="BF107" s="304" cm="1">
        <f t="array" ref="BF107">IF(AND(BF$2&lt;&gt;0,TblTech[[#This Row],[Hour]:[Hour]]&gt;=BF$2),1,0)</f>
        <v>0</v>
      </c>
      <c r="BG107" s="304" cm="1">
        <f t="array" ref="BG107">IF(AND(BG$2&lt;&gt;0,TblTech[[#This Row],[Hour]:[Hour]]&gt;=BG$2),1,0)</f>
        <v>0</v>
      </c>
      <c r="BH107" s="304" cm="1">
        <f t="array" ref="BH107">IF(AND(BH$2&lt;&gt;0,TblTech[[#This Row],[Hour]:[Hour]]&gt;=BH$2),1,0)</f>
        <v>0</v>
      </c>
      <c r="BI107" s="304" cm="1">
        <f t="array" ref="BI107">IF(AND(BI$2&lt;&gt;0,TblTech[[#This Row],[Hour]:[Hour]]&gt;=BI$2),1,0)</f>
        <v>0</v>
      </c>
      <c r="BJ107" s="304" cm="1">
        <f t="array" ref="BJ107">IF(AND(BJ$2&lt;&gt;0,TblTech[[#This Row],[Hour]:[Hour]]&gt;=BJ$2),1,0)</f>
        <v>0</v>
      </c>
      <c r="BK107" s="304" cm="1">
        <f t="array" ref="BK107">IF(AND(BK$2&lt;&gt;0,TblTech[[#This Row],[Hour]:[Hour]]&gt;=BK$2),1,0)</f>
        <v>0</v>
      </c>
      <c r="BL107" s="304" cm="1">
        <f t="array" ref="BL107">IF(AND(BL$2&lt;&gt;0,TblTech[[#This Row],[Hour]:[Hour]]&gt;=BL$2),1,0)</f>
        <v>0</v>
      </c>
      <c r="BM107" s="304" cm="1">
        <f t="array" ref="BM107">IF(AND(BM$2&lt;&gt;0,TblTech[[#This Row],[Hour]:[Hour]]&gt;=BM$2),1,0)</f>
        <v>0</v>
      </c>
      <c r="BN107" s="304" cm="1">
        <f t="array" ref="BN107">IF(AND(BN$2&lt;&gt;0,TblTech[[#This Row],[Hour]:[Hour]]&gt;=BN$2),1,0)</f>
        <v>0</v>
      </c>
      <c r="BO107" s="304" cm="1">
        <f t="array" ref="BO107">IF(AND(BO$2&lt;&gt;0,TblTech[[#This Row],[Hour]:[Hour]]&gt;=BO$2),1,0)</f>
        <v>0</v>
      </c>
      <c r="BP107" s="304" cm="1">
        <f t="array" ref="BP107">IF(AND(BP$2&lt;&gt;0,TblTech[[#This Row],[Hour]:[Hour]]&gt;=BP$2),1,0)</f>
        <v>0</v>
      </c>
      <c r="BQ107" s="304" cm="1">
        <f t="array" ref="BQ107">IF(AND(BQ$2&lt;&gt;0,TblTech[[#This Row],[Hour]:[Hour]]&gt;=BQ$2),1,0)</f>
        <v>0</v>
      </c>
      <c r="BR107" s="304" cm="1">
        <f t="array" ref="BR107">IF(AND(BR$2&lt;&gt;0,TblTech[[#This Row],[Hour]:[Hour]]&gt;=BR$2),1,0)</f>
        <v>0</v>
      </c>
      <c r="BS107" s="304" cm="1">
        <f t="array" ref="BS107">IF(AND(BS$2&lt;&gt;0,TblTech[[#This Row],[Hour]:[Hour]]&gt;=BS$2),1,0)</f>
        <v>0</v>
      </c>
      <c r="BT107" s="304" cm="1">
        <f t="array" ref="BT107">IF(AND(BT$2&lt;&gt;0,TblTech[[#This Row],[Hour]:[Hour]]&gt;=BT$2),1,0)</f>
        <v>0</v>
      </c>
      <c r="BU107" s="304" cm="1">
        <f t="array" ref="BU107">IF(AND(BU$2&lt;&gt;0,TblTech[[#This Row],[Hour]:[Hour]]&gt;=BU$2),1,0)</f>
        <v>0</v>
      </c>
      <c r="BV107" s="304" cm="1">
        <f t="array" ref="BV107">IF(AND(BV$2&lt;&gt;0,TblTech[[#This Row],[Hour]:[Hour]]&gt;=BV$2),1,0)</f>
        <v>0</v>
      </c>
      <c r="BW107" s="304" cm="1">
        <f t="array" ref="BW107">IF(AND(BW$2&lt;&gt;0,TblTech[[#This Row],[Hour]:[Hour]]&gt;=BW$2),1,0)</f>
        <v>0</v>
      </c>
      <c r="BX107" s="304" cm="1">
        <f t="array" ref="BX107">IF(AND(BX$2&lt;&gt;0,TblTech[[#This Row],[Hour]:[Hour]]&gt;=BX$2),1,0)</f>
        <v>0</v>
      </c>
      <c r="BY107" s="304" cm="1">
        <f t="array" ref="BY107">IF(AND(BY$2&lt;&gt;0,TblTech[[#This Row],[Hour]:[Hour]]&gt;=BY$2),1,0)</f>
        <v>0</v>
      </c>
      <c r="BZ107" s="304" cm="1">
        <f t="array" ref="BZ107">IF(AND(BZ$2&lt;&gt;0,TblTech[[#This Row],[Hour]:[Hour]]&gt;=BZ$2),1,0)</f>
        <v>0</v>
      </c>
      <c r="CA107" s="408">
        <f>IFERROR(INDEX($H$4:$H$79,MATCH(INDEX(TblTech[[#Headers],[1-1]:[11-1]],1,MATCH(TblTech[[#This Row],[Hour]],$M$2:$BZ$2,0)),$G$4:$G$79,0)),)</f>
        <v>0</v>
      </c>
    </row>
    <row r="108" spans="1:79" x14ac:dyDescent="0.2">
      <c r="A108" s="296">
        <f>TblRezone[[#This Row],[Hour]]</f>
        <v>105</v>
      </c>
      <c r="B108" s="297">
        <f ca="1">TblExplore[[#This Row],[Land-DB]]</f>
        <v>250</v>
      </c>
      <c r="C108" s="298">
        <f ca="1">TblProd[[#This Row],[Techpoints]]</f>
        <v>0</v>
      </c>
      <c r="D108" s="298">
        <f ca="1">TblProd[[#This Row],[Required]]</f>
        <v>3750</v>
      </c>
      <c r="E108" s="307"/>
      <c r="F108" s="308"/>
      <c r="G108" s="301"/>
      <c r="H108" s="302"/>
      <c r="I108" s="302"/>
      <c r="J108" s="302"/>
      <c r="K108" s="96">
        <f ca="1">IF(TblTech[[#This Row],[Sum of tech]]&lt;&gt;OFFSET(TblTech[[#This Row],[Sum of tech]],-1,0),1,0)</f>
        <v>0</v>
      </c>
      <c r="L108" s="303">
        <f>COUNTIF(TblTech[[#This Row],[1-1]:[11-1]],1)</f>
        <v>0</v>
      </c>
      <c r="M108" s="304" cm="1">
        <f t="array" ref="M108">IF(AND(M$2&lt;&gt;0,TblTech[[#This Row],[Hour]:[Hour]]&gt;=M$2),1,0)</f>
        <v>0</v>
      </c>
      <c r="N108" s="304" cm="1">
        <f t="array" ref="N108">IF(AND(N$2&lt;&gt;0,TblTech[[#This Row],[Hour]:[Hour]]&gt;=N$2),1,0)</f>
        <v>0</v>
      </c>
      <c r="O108" s="304" cm="1">
        <f t="array" ref="O108">IF(AND(O$2&lt;&gt;0,TblTech[[#This Row],[Hour]:[Hour]]&gt;=O$2),1,0)</f>
        <v>0</v>
      </c>
      <c r="P108" s="304" cm="1">
        <f t="array" ref="P108">IF(AND(P$2&lt;&gt;0,TblTech[[#This Row],[Hour]:[Hour]]&gt;=P$2),1,0)</f>
        <v>0</v>
      </c>
      <c r="Q108" s="304" cm="1">
        <f t="array" ref="Q108">IF(AND(Q$2&lt;&gt;0,TblTech[[#This Row],[Hour]:[Hour]]&gt;=Q$2),1,0)</f>
        <v>0</v>
      </c>
      <c r="R108" s="304" cm="1">
        <f t="array" ref="R108">IF(AND(R$2&lt;&gt;0,TblTech[[#This Row],[Hour]:[Hour]]&gt;=R$2),1,0)</f>
        <v>0</v>
      </c>
      <c r="S108" s="304" cm="1">
        <f t="array" ref="S108">IF(AND(S$2&lt;&gt;0,TblTech[[#This Row],[Hour]:[Hour]]&gt;=S$2),1,0)</f>
        <v>0</v>
      </c>
      <c r="T108" s="304" cm="1">
        <f t="array" ref="T108">IF(AND(T$2&lt;&gt;0,TblTech[[#This Row],[Hour]:[Hour]]&gt;=T$2),1,0)</f>
        <v>0</v>
      </c>
      <c r="U108" s="304" cm="1">
        <f t="array" ref="U108">IF(AND(U$2&lt;&gt;0,TblTech[[#This Row],[Hour]:[Hour]]&gt;=U$2),1,0)</f>
        <v>0</v>
      </c>
      <c r="V108" s="304" cm="1">
        <f t="array" ref="V108">IF(AND(V$2&lt;&gt;0,TblTech[[#This Row],[Hour]:[Hour]]&gt;=V$2),1,0)</f>
        <v>0</v>
      </c>
      <c r="W108" s="304" cm="1">
        <f t="array" ref="W108">IF(AND(W$2&lt;&gt;0,TblTech[[#This Row],[Hour]:[Hour]]&gt;=W$2),1,0)</f>
        <v>0</v>
      </c>
      <c r="X108" s="304" cm="1">
        <f t="array" ref="X108">IF(AND(X$2&lt;&gt;0,TblTech[[#This Row],[Hour]:[Hour]]&gt;=X$2),1,0)</f>
        <v>0</v>
      </c>
      <c r="Y108" s="304" cm="1">
        <f t="array" ref="Y108">IF(AND(Y$2&lt;&gt;0,TblTech[[#This Row],[Hour]:[Hour]]&gt;=Y$2),1,0)</f>
        <v>0</v>
      </c>
      <c r="Z108" s="304" cm="1">
        <f t="array" ref="Z108">IF(AND(Z$2&lt;&gt;0,TblTech[[#This Row],[Hour]:[Hour]]&gt;=Z$2),1,0)</f>
        <v>0</v>
      </c>
      <c r="AA108" s="304" cm="1">
        <f t="array" ref="AA108">IF(AND(AA$2&lt;&gt;0,TblTech[[#This Row],[Hour]:[Hour]]&gt;=AA$2),1,0)</f>
        <v>0</v>
      </c>
      <c r="AB108" s="304" cm="1">
        <f t="array" ref="AB108">IF(AND(AB$2&lt;&gt;0,TblTech[[#This Row],[Hour]:[Hour]]&gt;=AB$2),1,0)</f>
        <v>0</v>
      </c>
      <c r="AC108" s="304" cm="1">
        <f t="array" ref="AC108">IF(AND(AC$2&lt;&gt;0,TblTech[[#This Row],[Hour]:[Hour]]&gt;=AC$2),1,0)</f>
        <v>0</v>
      </c>
      <c r="AD108" s="304" cm="1">
        <f t="array" ref="AD108">IF(AND(AD$2&lt;&gt;0,TblTech[[#This Row],[Hour]:[Hour]]&gt;=AD$2),1,0)</f>
        <v>0</v>
      </c>
      <c r="AE108" s="304" cm="1">
        <f t="array" ref="AE108">IF(AND(AE$2&lt;&gt;0,TblTech[[#This Row],[Hour]:[Hour]]&gt;=AE$2),1,0)</f>
        <v>0</v>
      </c>
      <c r="AF108" s="304" cm="1">
        <f t="array" ref="AF108">IF(AND(AF$2&lt;&gt;0,TblTech[[#This Row],[Hour]:[Hour]]&gt;=AF$2),1,0)</f>
        <v>0</v>
      </c>
      <c r="AG108" s="304" cm="1">
        <f t="array" ref="AG108">IF(AND(AG$2&lt;&gt;0,TblTech[[#This Row],[Hour]:[Hour]]&gt;=AG$2),1,0)</f>
        <v>0</v>
      </c>
      <c r="AH108" s="304" cm="1">
        <f t="array" ref="AH108">IF(AND(AH$2&lt;&gt;0,TblTech[[#This Row],[Hour]:[Hour]]&gt;=AH$2),1,0)</f>
        <v>0</v>
      </c>
      <c r="AI108" s="304" cm="1">
        <f t="array" ref="AI108">IF(AND(AI$2&lt;&gt;0,TblTech[[#This Row],[Hour]:[Hour]]&gt;=AI$2),1,0)</f>
        <v>0</v>
      </c>
      <c r="AJ108" s="304" cm="1">
        <f t="array" ref="AJ108">IF(AND(AJ$2&lt;&gt;0,TblTech[[#This Row],[Hour]:[Hour]]&gt;=AJ$2),1,0)</f>
        <v>0</v>
      </c>
      <c r="AK108" s="304" cm="1">
        <f t="array" ref="AK108">IF(AND(AK$2&lt;&gt;0,TblTech[[#This Row],[Hour]:[Hour]]&gt;=AK$2),1,0)</f>
        <v>0</v>
      </c>
      <c r="AL108" s="304" cm="1">
        <f t="array" ref="AL108">IF(AND(AL$2&lt;&gt;0,TblTech[[#This Row],[Hour]:[Hour]]&gt;=AL$2),1,0)</f>
        <v>0</v>
      </c>
      <c r="AM108" s="304" cm="1">
        <f t="array" ref="AM108">IF(AND(AM$2&lt;&gt;0,TblTech[[#This Row],[Hour]:[Hour]]&gt;=AM$2),1,0)</f>
        <v>0</v>
      </c>
      <c r="AN108" s="304" cm="1">
        <f t="array" ref="AN108">IF(AND(AN$2&lt;&gt;0,TblTech[[#This Row],[Hour]:[Hour]]&gt;=AN$2),1,0)</f>
        <v>0</v>
      </c>
      <c r="AO108" s="304" cm="1">
        <f t="array" ref="AO108">IF(AND(AO$2&lt;&gt;0,TblTech[[#This Row],[Hour]:[Hour]]&gt;=AO$2),1,0)</f>
        <v>0</v>
      </c>
      <c r="AP108" s="304" cm="1">
        <f t="array" ref="AP108">IF(AND(AP$2&lt;&gt;0,TblTech[[#This Row],[Hour]:[Hour]]&gt;=AP$2),1,0)</f>
        <v>0</v>
      </c>
      <c r="AQ108" s="304" cm="1">
        <f t="array" ref="AQ108">IF(AND(AQ$2&lt;&gt;0,TblTech[[#This Row],[Hour]:[Hour]]&gt;=AQ$2),1,0)</f>
        <v>0</v>
      </c>
      <c r="AR108" s="304" cm="1">
        <f t="array" ref="AR108">IF(AND(AR$2&lt;&gt;0,TblTech[[#This Row],[Hour]:[Hour]]&gt;=AR$2),1,0)</f>
        <v>0</v>
      </c>
      <c r="AS108" s="304" cm="1">
        <f t="array" ref="AS108">IF(AND(AS$2&lt;&gt;0,TblTech[[#This Row],[Hour]:[Hour]]&gt;=AS$2),1,0)</f>
        <v>0</v>
      </c>
      <c r="AT108" s="304" cm="1">
        <f t="array" ref="AT108">IF(AND(AT$2&lt;&gt;0,TblTech[[#This Row],[Hour]:[Hour]]&gt;=AT$2),1,0)</f>
        <v>0</v>
      </c>
      <c r="AU108" s="304" cm="1">
        <f t="array" ref="AU108">IF(AND(AU$2&lt;&gt;0,TblTech[[#This Row],[Hour]:[Hour]]&gt;=AU$2),1,0)</f>
        <v>0</v>
      </c>
      <c r="AV108" s="304" cm="1">
        <f t="array" ref="AV108">IF(AND(AV$2&lt;&gt;0,TblTech[[#This Row],[Hour]:[Hour]]&gt;=AV$2),1,0)</f>
        <v>0</v>
      </c>
      <c r="AW108" s="304" cm="1">
        <f t="array" ref="AW108">IF(AND(AW$2&lt;&gt;0,TblTech[[#This Row],[Hour]:[Hour]]&gt;=AW$2),1,0)</f>
        <v>0</v>
      </c>
      <c r="AX108" s="304" cm="1">
        <f t="array" ref="AX108">IF(AND(AX$2&lt;&gt;0,TblTech[[#This Row],[Hour]:[Hour]]&gt;=AX$2),1,0)</f>
        <v>0</v>
      </c>
      <c r="AY108" s="304" cm="1">
        <f t="array" ref="AY108">IF(AND(AY$2&lt;&gt;0,TblTech[[#This Row],[Hour]:[Hour]]&gt;=AY$2),1,0)</f>
        <v>0</v>
      </c>
      <c r="AZ108" s="304" cm="1">
        <f t="array" ref="AZ108">IF(AND(AZ$2&lt;&gt;0,TblTech[[#This Row],[Hour]:[Hour]]&gt;=AZ$2),1,0)</f>
        <v>0</v>
      </c>
      <c r="BA108" s="304" cm="1">
        <f t="array" ref="BA108">IF(AND(BA$2&lt;&gt;0,TblTech[[#This Row],[Hour]:[Hour]]&gt;=BA$2),1,0)</f>
        <v>0</v>
      </c>
      <c r="BB108" s="304" cm="1">
        <f t="array" ref="BB108">IF(AND(BB$2&lt;&gt;0,TblTech[[#This Row],[Hour]:[Hour]]&gt;=BB$2),1,0)</f>
        <v>0</v>
      </c>
      <c r="BC108" s="304" cm="1">
        <f t="array" ref="BC108">IF(AND(BC$2&lt;&gt;0,TblTech[[#This Row],[Hour]:[Hour]]&gt;=BC$2),1,0)</f>
        <v>0</v>
      </c>
      <c r="BD108" s="304" cm="1">
        <f t="array" ref="BD108">IF(AND(BD$2&lt;&gt;0,TblTech[[#This Row],[Hour]:[Hour]]&gt;=BD$2),1,0)</f>
        <v>0</v>
      </c>
      <c r="BE108" s="304" cm="1">
        <f t="array" ref="BE108">IF(AND(BE$2&lt;&gt;0,TblTech[[#This Row],[Hour]:[Hour]]&gt;=BE$2),1,0)</f>
        <v>0</v>
      </c>
      <c r="BF108" s="304" cm="1">
        <f t="array" ref="BF108">IF(AND(BF$2&lt;&gt;0,TblTech[[#This Row],[Hour]:[Hour]]&gt;=BF$2),1,0)</f>
        <v>0</v>
      </c>
      <c r="BG108" s="304" cm="1">
        <f t="array" ref="BG108">IF(AND(BG$2&lt;&gt;0,TblTech[[#This Row],[Hour]:[Hour]]&gt;=BG$2),1,0)</f>
        <v>0</v>
      </c>
      <c r="BH108" s="304" cm="1">
        <f t="array" ref="BH108">IF(AND(BH$2&lt;&gt;0,TblTech[[#This Row],[Hour]:[Hour]]&gt;=BH$2),1,0)</f>
        <v>0</v>
      </c>
      <c r="BI108" s="304" cm="1">
        <f t="array" ref="BI108">IF(AND(BI$2&lt;&gt;0,TblTech[[#This Row],[Hour]:[Hour]]&gt;=BI$2),1,0)</f>
        <v>0</v>
      </c>
      <c r="BJ108" s="304" cm="1">
        <f t="array" ref="BJ108">IF(AND(BJ$2&lt;&gt;0,TblTech[[#This Row],[Hour]:[Hour]]&gt;=BJ$2),1,0)</f>
        <v>0</v>
      </c>
      <c r="BK108" s="304" cm="1">
        <f t="array" ref="BK108">IF(AND(BK$2&lt;&gt;0,TblTech[[#This Row],[Hour]:[Hour]]&gt;=BK$2),1,0)</f>
        <v>0</v>
      </c>
      <c r="BL108" s="304" cm="1">
        <f t="array" ref="BL108">IF(AND(BL$2&lt;&gt;0,TblTech[[#This Row],[Hour]:[Hour]]&gt;=BL$2),1,0)</f>
        <v>0</v>
      </c>
      <c r="BM108" s="304" cm="1">
        <f t="array" ref="BM108">IF(AND(BM$2&lt;&gt;0,TblTech[[#This Row],[Hour]:[Hour]]&gt;=BM$2),1,0)</f>
        <v>0</v>
      </c>
      <c r="BN108" s="304" cm="1">
        <f t="array" ref="BN108">IF(AND(BN$2&lt;&gt;0,TblTech[[#This Row],[Hour]:[Hour]]&gt;=BN$2),1,0)</f>
        <v>0</v>
      </c>
      <c r="BO108" s="304" cm="1">
        <f t="array" ref="BO108">IF(AND(BO$2&lt;&gt;0,TblTech[[#This Row],[Hour]:[Hour]]&gt;=BO$2),1,0)</f>
        <v>0</v>
      </c>
      <c r="BP108" s="304" cm="1">
        <f t="array" ref="BP108">IF(AND(BP$2&lt;&gt;0,TblTech[[#This Row],[Hour]:[Hour]]&gt;=BP$2),1,0)</f>
        <v>0</v>
      </c>
      <c r="BQ108" s="304" cm="1">
        <f t="array" ref="BQ108">IF(AND(BQ$2&lt;&gt;0,TblTech[[#This Row],[Hour]:[Hour]]&gt;=BQ$2),1,0)</f>
        <v>0</v>
      </c>
      <c r="BR108" s="304" cm="1">
        <f t="array" ref="BR108">IF(AND(BR$2&lt;&gt;0,TblTech[[#This Row],[Hour]:[Hour]]&gt;=BR$2),1,0)</f>
        <v>0</v>
      </c>
      <c r="BS108" s="304" cm="1">
        <f t="array" ref="BS108">IF(AND(BS$2&lt;&gt;0,TblTech[[#This Row],[Hour]:[Hour]]&gt;=BS$2),1,0)</f>
        <v>0</v>
      </c>
      <c r="BT108" s="304" cm="1">
        <f t="array" ref="BT108">IF(AND(BT$2&lt;&gt;0,TblTech[[#This Row],[Hour]:[Hour]]&gt;=BT$2),1,0)</f>
        <v>0</v>
      </c>
      <c r="BU108" s="304" cm="1">
        <f t="array" ref="BU108">IF(AND(BU$2&lt;&gt;0,TblTech[[#This Row],[Hour]:[Hour]]&gt;=BU$2),1,0)</f>
        <v>0</v>
      </c>
      <c r="BV108" s="304" cm="1">
        <f t="array" ref="BV108">IF(AND(BV$2&lt;&gt;0,TblTech[[#This Row],[Hour]:[Hour]]&gt;=BV$2),1,0)</f>
        <v>0</v>
      </c>
      <c r="BW108" s="304" cm="1">
        <f t="array" ref="BW108">IF(AND(BW$2&lt;&gt;0,TblTech[[#This Row],[Hour]:[Hour]]&gt;=BW$2),1,0)</f>
        <v>0</v>
      </c>
      <c r="BX108" s="304" cm="1">
        <f t="array" ref="BX108">IF(AND(BX$2&lt;&gt;0,TblTech[[#This Row],[Hour]:[Hour]]&gt;=BX$2),1,0)</f>
        <v>0</v>
      </c>
      <c r="BY108" s="304" cm="1">
        <f t="array" ref="BY108">IF(AND(BY$2&lt;&gt;0,TblTech[[#This Row],[Hour]:[Hour]]&gt;=BY$2),1,0)</f>
        <v>0</v>
      </c>
      <c r="BZ108" s="304" cm="1">
        <f t="array" ref="BZ108">IF(AND(BZ$2&lt;&gt;0,TblTech[[#This Row],[Hour]:[Hour]]&gt;=BZ$2),1,0)</f>
        <v>0</v>
      </c>
      <c r="CA108" s="408">
        <f>IFERROR(INDEX($H$4:$H$79,MATCH(INDEX(TblTech[[#Headers],[1-1]:[11-1]],1,MATCH(TblTech[[#This Row],[Hour]],$M$2:$BZ$2,0)),$G$4:$G$79,0)),)</f>
        <v>0</v>
      </c>
    </row>
    <row r="109" spans="1:79" x14ac:dyDescent="0.2">
      <c r="A109" s="296">
        <f>TblRezone[[#This Row],[Hour]]</f>
        <v>106</v>
      </c>
      <c r="B109" s="297">
        <f ca="1">TblExplore[[#This Row],[Land-DB]]</f>
        <v>250</v>
      </c>
      <c r="C109" s="298">
        <f ca="1">TblProd[[#This Row],[Techpoints]]</f>
        <v>0</v>
      </c>
      <c r="D109" s="298">
        <f ca="1">TblProd[[#This Row],[Required]]</f>
        <v>3750</v>
      </c>
      <c r="E109" s="307"/>
      <c r="F109" s="308"/>
      <c r="G109" s="301"/>
      <c r="H109" s="302"/>
      <c r="I109" s="302"/>
      <c r="J109" s="302"/>
      <c r="K109" s="96">
        <f ca="1">IF(TblTech[[#This Row],[Sum of tech]]&lt;&gt;OFFSET(TblTech[[#This Row],[Sum of tech]],-1,0),1,0)</f>
        <v>0</v>
      </c>
      <c r="L109" s="303">
        <f>COUNTIF(TblTech[[#This Row],[1-1]:[11-1]],1)</f>
        <v>0</v>
      </c>
      <c r="M109" s="304" cm="1">
        <f t="array" ref="M109">IF(AND(M$2&lt;&gt;0,TblTech[[#This Row],[Hour]:[Hour]]&gt;=M$2),1,0)</f>
        <v>0</v>
      </c>
      <c r="N109" s="304" cm="1">
        <f t="array" ref="N109">IF(AND(N$2&lt;&gt;0,TblTech[[#This Row],[Hour]:[Hour]]&gt;=N$2),1,0)</f>
        <v>0</v>
      </c>
      <c r="O109" s="304" cm="1">
        <f t="array" ref="O109">IF(AND(O$2&lt;&gt;0,TblTech[[#This Row],[Hour]:[Hour]]&gt;=O$2),1,0)</f>
        <v>0</v>
      </c>
      <c r="P109" s="304" cm="1">
        <f t="array" ref="P109">IF(AND(P$2&lt;&gt;0,TblTech[[#This Row],[Hour]:[Hour]]&gt;=P$2),1,0)</f>
        <v>0</v>
      </c>
      <c r="Q109" s="304" cm="1">
        <f t="array" ref="Q109">IF(AND(Q$2&lt;&gt;0,TblTech[[#This Row],[Hour]:[Hour]]&gt;=Q$2),1,0)</f>
        <v>0</v>
      </c>
      <c r="R109" s="304" cm="1">
        <f t="array" ref="R109">IF(AND(R$2&lt;&gt;0,TblTech[[#This Row],[Hour]:[Hour]]&gt;=R$2),1,0)</f>
        <v>0</v>
      </c>
      <c r="S109" s="304" cm="1">
        <f t="array" ref="S109">IF(AND(S$2&lt;&gt;0,TblTech[[#This Row],[Hour]:[Hour]]&gt;=S$2),1,0)</f>
        <v>0</v>
      </c>
      <c r="T109" s="304" cm="1">
        <f t="array" ref="T109">IF(AND(T$2&lt;&gt;0,TblTech[[#This Row],[Hour]:[Hour]]&gt;=T$2),1,0)</f>
        <v>0</v>
      </c>
      <c r="U109" s="304" cm="1">
        <f t="array" ref="U109">IF(AND(U$2&lt;&gt;0,TblTech[[#This Row],[Hour]:[Hour]]&gt;=U$2),1,0)</f>
        <v>0</v>
      </c>
      <c r="V109" s="304" cm="1">
        <f t="array" ref="V109">IF(AND(V$2&lt;&gt;0,TblTech[[#This Row],[Hour]:[Hour]]&gt;=V$2),1,0)</f>
        <v>0</v>
      </c>
      <c r="W109" s="304" cm="1">
        <f t="array" ref="W109">IF(AND(W$2&lt;&gt;0,TblTech[[#This Row],[Hour]:[Hour]]&gt;=W$2),1,0)</f>
        <v>0</v>
      </c>
      <c r="X109" s="304" cm="1">
        <f t="array" ref="X109">IF(AND(X$2&lt;&gt;0,TblTech[[#This Row],[Hour]:[Hour]]&gt;=X$2),1,0)</f>
        <v>0</v>
      </c>
      <c r="Y109" s="304" cm="1">
        <f t="array" ref="Y109">IF(AND(Y$2&lt;&gt;0,TblTech[[#This Row],[Hour]:[Hour]]&gt;=Y$2),1,0)</f>
        <v>0</v>
      </c>
      <c r="Z109" s="304" cm="1">
        <f t="array" ref="Z109">IF(AND(Z$2&lt;&gt;0,TblTech[[#This Row],[Hour]:[Hour]]&gt;=Z$2),1,0)</f>
        <v>0</v>
      </c>
      <c r="AA109" s="304" cm="1">
        <f t="array" ref="AA109">IF(AND(AA$2&lt;&gt;0,TblTech[[#This Row],[Hour]:[Hour]]&gt;=AA$2),1,0)</f>
        <v>0</v>
      </c>
      <c r="AB109" s="304" cm="1">
        <f t="array" ref="AB109">IF(AND(AB$2&lt;&gt;0,TblTech[[#This Row],[Hour]:[Hour]]&gt;=AB$2),1,0)</f>
        <v>0</v>
      </c>
      <c r="AC109" s="304" cm="1">
        <f t="array" ref="AC109">IF(AND(AC$2&lt;&gt;0,TblTech[[#This Row],[Hour]:[Hour]]&gt;=AC$2),1,0)</f>
        <v>0</v>
      </c>
      <c r="AD109" s="304" cm="1">
        <f t="array" ref="AD109">IF(AND(AD$2&lt;&gt;0,TblTech[[#This Row],[Hour]:[Hour]]&gt;=AD$2),1,0)</f>
        <v>0</v>
      </c>
      <c r="AE109" s="304" cm="1">
        <f t="array" ref="AE109">IF(AND(AE$2&lt;&gt;0,TblTech[[#This Row],[Hour]:[Hour]]&gt;=AE$2),1,0)</f>
        <v>0</v>
      </c>
      <c r="AF109" s="304" cm="1">
        <f t="array" ref="AF109">IF(AND(AF$2&lt;&gt;0,TblTech[[#This Row],[Hour]:[Hour]]&gt;=AF$2),1,0)</f>
        <v>0</v>
      </c>
      <c r="AG109" s="304" cm="1">
        <f t="array" ref="AG109">IF(AND(AG$2&lt;&gt;0,TblTech[[#This Row],[Hour]:[Hour]]&gt;=AG$2),1,0)</f>
        <v>0</v>
      </c>
      <c r="AH109" s="304" cm="1">
        <f t="array" ref="AH109">IF(AND(AH$2&lt;&gt;0,TblTech[[#This Row],[Hour]:[Hour]]&gt;=AH$2),1,0)</f>
        <v>0</v>
      </c>
      <c r="AI109" s="304" cm="1">
        <f t="array" ref="AI109">IF(AND(AI$2&lt;&gt;0,TblTech[[#This Row],[Hour]:[Hour]]&gt;=AI$2),1,0)</f>
        <v>0</v>
      </c>
      <c r="AJ109" s="304" cm="1">
        <f t="array" ref="AJ109">IF(AND(AJ$2&lt;&gt;0,TblTech[[#This Row],[Hour]:[Hour]]&gt;=AJ$2),1,0)</f>
        <v>0</v>
      </c>
      <c r="AK109" s="304" cm="1">
        <f t="array" ref="AK109">IF(AND(AK$2&lt;&gt;0,TblTech[[#This Row],[Hour]:[Hour]]&gt;=AK$2),1,0)</f>
        <v>0</v>
      </c>
      <c r="AL109" s="304" cm="1">
        <f t="array" ref="AL109">IF(AND(AL$2&lt;&gt;0,TblTech[[#This Row],[Hour]:[Hour]]&gt;=AL$2),1,0)</f>
        <v>0</v>
      </c>
      <c r="AM109" s="304" cm="1">
        <f t="array" ref="AM109">IF(AND(AM$2&lt;&gt;0,TblTech[[#This Row],[Hour]:[Hour]]&gt;=AM$2),1,0)</f>
        <v>0</v>
      </c>
      <c r="AN109" s="304" cm="1">
        <f t="array" ref="AN109">IF(AND(AN$2&lt;&gt;0,TblTech[[#This Row],[Hour]:[Hour]]&gt;=AN$2),1,0)</f>
        <v>0</v>
      </c>
      <c r="AO109" s="304" cm="1">
        <f t="array" ref="AO109">IF(AND(AO$2&lt;&gt;0,TblTech[[#This Row],[Hour]:[Hour]]&gt;=AO$2),1,0)</f>
        <v>0</v>
      </c>
      <c r="AP109" s="304" cm="1">
        <f t="array" ref="AP109">IF(AND(AP$2&lt;&gt;0,TblTech[[#This Row],[Hour]:[Hour]]&gt;=AP$2),1,0)</f>
        <v>0</v>
      </c>
      <c r="AQ109" s="304" cm="1">
        <f t="array" ref="AQ109">IF(AND(AQ$2&lt;&gt;0,TblTech[[#This Row],[Hour]:[Hour]]&gt;=AQ$2),1,0)</f>
        <v>0</v>
      </c>
      <c r="AR109" s="304" cm="1">
        <f t="array" ref="AR109">IF(AND(AR$2&lt;&gt;0,TblTech[[#This Row],[Hour]:[Hour]]&gt;=AR$2),1,0)</f>
        <v>0</v>
      </c>
      <c r="AS109" s="304" cm="1">
        <f t="array" ref="AS109">IF(AND(AS$2&lt;&gt;0,TblTech[[#This Row],[Hour]:[Hour]]&gt;=AS$2),1,0)</f>
        <v>0</v>
      </c>
      <c r="AT109" s="304" cm="1">
        <f t="array" ref="AT109">IF(AND(AT$2&lt;&gt;0,TblTech[[#This Row],[Hour]:[Hour]]&gt;=AT$2),1,0)</f>
        <v>0</v>
      </c>
      <c r="AU109" s="304" cm="1">
        <f t="array" ref="AU109">IF(AND(AU$2&lt;&gt;0,TblTech[[#This Row],[Hour]:[Hour]]&gt;=AU$2),1,0)</f>
        <v>0</v>
      </c>
      <c r="AV109" s="304" cm="1">
        <f t="array" ref="AV109">IF(AND(AV$2&lt;&gt;0,TblTech[[#This Row],[Hour]:[Hour]]&gt;=AV$2),1,0)</f>
        <v>0</v>
      </c>
      <c r="AW109" s="304" cm="1">
        <f t="array" ref="AW109">IF(AND(AW$2&lt;&gt;0,TblTech[[#This Row],[Hour]:[Hour]]&gt;=AW$2),1,0)</f>
        <v>0</v>
      </c>
      <c r="AX109" s="304" cm="1">
        <f t="array" ref="AX109">IF(AND(AX$2&lt;&gt;0,TblTech[[#This Row],[Hour]:[Hour]]&gt;=AX$2),1,0)</f>
        <v>0</v>
      </c>
      <c r="AY109" s="304" cm="1">
        <f t="array" ref="AY109">IF(AND(AY$2&lt;&gt;0,TblTech[[#This Row],[Hour]:[Hour]]&gt;=AY$2),1,0)</f>
        <v>0</v>
      </c>
      <c r="AZ109" s="304" cm="1">
        <f t="array" ref="AZ109">IF(AND(AZ$2&lt;&gt;0,TblTech[[#This Row],[Hour]:[Hour]]&gt;=AZ$2),1,0)</f>
        <v>0</v>
      </c>
      <c r="BA109" s="304" cm="1">
        <f t="array" ref="BA109">IF(AND(BA$2&lt;&gt;0,TblTech[[#This Row],[Hour]:[Hour]]&gt;=BA$2),1,0)</f>
        <v>0</v>
      </c>
      <c r="BB109" s="304" cm="1">
        <f t="array" ref="BB109">IF(AND(BB$2&lt;&gt;0,TblTech[[#This Row],[Hour]:[Hour]]&gt;=BB$2),1,0)</f>
        <v>0</v>
      </c>
      <c r="BC109" s="304" cm="1">
        <f t="array" ref="BC109">IF(AND(BC$2&lt;&gt;0,TblTech[[#This Row],[Hour]:[Hour]]&gt;=BC$2),1,0)</f>
        <v>0</v>
      </c>
      <c r="BD109" s="304" cm="1">
        <f t="array" ref="BD109">IF(AND(BD$2&lt;&gt;0,TblTech[[#This Row],[Hour]:[Hour]]&gt;=BD$2),1,0)</f>
        <v>0</v>
      </c>
      <c r="BE109" s="304" cm="1">
        <f t="array" ref="BE109">IF(AND(BE$2&lt;&gt;0,TblTech[[#This Row],[Hour]:[Hour]]&gt;=BE$2),1,0)</f>
        <v>0</v>
      </c>
      <c r="BF109" s="304" cm="1">
        <f t="array" ref="BF109">IF(AND(BF$2&lt;&gt;0,TblTech[[#This Row],[Hour]:[Hour]]&gt;=BF$2),1,0)</f>
        <v>0</v>
      </c>
      <c r="BG109" s="304" cm="1">
        <f t="array" ref="BG109">IF(AND(BG$2&lt;&gt;0,TblTech[[#This Row],[Hour]:[Hour]]&gt;=BG$2),1,0)</f>
        <v>0</v>
      </c>
      <c r="BH109" s="304" cm="1">
        <f t="array" ref="BH109">IF(AND(BH$2&lt;&gt;0,TblTech[[#This Row],[Hour]:[Hour]]&gt;=BH$2),1,0)</f>
        <v>0</v>
      </c>
      <c r="BI109" s="304" cm="1">
        <f t="array" ref="BI109">IF(AND(BI$2&lt;&gt;0,TblTech[[#This Row],[Hour]:[Hour]]&gt;=BI$2),1,0)</f>
        <v>0</v>
      </c>
      <c r="BJ109" s="304" cm="1">
        <f t="array" ref="BJ109">IF(AND(BJ$2&lt;&gt;0,TblTech[[#This Row],[Hour]:[Hour]]&gt;=BJ$2),1,0)</f>
        <v>0</v>
      </c>
      <c r="BK109" s="304" cm="1">
        <f t="array" ref="BK109">IF(AND(BK$2&lt;&gt;0,TblTech[[#This Row],[Hour]:[Hour]]&gt;=BK$2),1,0)</f>
        <v>0</v>
      </c>
      <c r="BL109" s="304" cm="1">
        <f t="array" ref="BL109">IF(AND(BL$2&lt;&gt;0,TblTech[[#This Row],[Hour]:[Hour]]&gt;=BL$2),1,0)</f>
        <v>0</v>
      </c>
      <c r="BM109" s="304" cm="1">
        <f t="array" ref="BM109">IF(AND(BM$2&lt;&gt;0,TblTech[[#This Row],[Hour]:[Hour]]&gt;=BM$2),1,0)</f>
        <v>0</v>
      </c>
      <c r="BN109" s="304" cm="1">
        <f t="array" ref="BN109">IF(AND(BN$2&lt;&gt;0,TblTech[[#This Row],[Hour]:[Hour]]&gt;=BN$2),1,0)</f>
        <v>0</v>
      </c>
      <c r="BO109" s="304" cm="1">
        <f t="array" ref="BO109">IF(AND(BO$2&lt;&gt;0,TblTech[[#This Row],[Hour]:[Hour]]&gt;=BO$2),1,0)</f>
        <v>0</v>
      </c>
      <c r="BP109" s="304" cm="1">
        <f t="array" ref="BP109">IF(AND(BP$2&lt;&gt;0,TblTech[[#This Row],[Hour]:[Hour]]&gt;=BP$2),1,0)</f>
        <v>0</v>
      </c>
      <c r="BQ109" s="304" cm="1">
        <f t="array" ref="BQ109">IF(AND(BQ$2&lt;&gt;0,TblTech[[#This Row],[Hour]:[Hour]]&gt;=BQ$2),1,0)</f>
        <v>0</v>
      </c>
      <c r="BR109" s="304" cm="1">
        <f t="array" ref="BR109">IF(AND(BR$2&lt;&gt;0,TblTech[[#This Row],[Hour]:[Hour]]&gt;=BR$2),1,0)</f>
        <v>0</v>
      </c>
      <c r="BS109" s="304" cm="1">
        <f t="array" ref="BS109">IF(AND(BS$2&lt;&gt;0,TblTech[[#This Row],[Hour]:[Hour]]&gt;=BS$2),1,0)</f>
        <v>0</v>
      </c>
      <c r="BT109" s="304" cm="1">
        <f t="array" ref="BT109">IF(AND(BT$2&lt;&gt;0,TblTech[[#This Row],[Hour]:[Hour]]&gt;=BT$2),1,0)</f>
        <v>0</v>
      </c>
      <c r="BU109" s="304" cm="1">
        <f t="array" ref="BU109">IF(AND(BU$2&lt;&gt;0,TblTech[[#This Row],[Hour]:[Hour]]&gt;=BU$2),1,0)</f>
        <v>0</v>
      </c>
      <c r="BV109" s="304" cm="1">
        <f t="array" ref="BV109">IF(AND(BV$2&lt;&gt;0,TblTech[[#This Row],[Hour]:[Hour]]&gt;=BV$2),1,0)</f>
        <v>0</v>
      </c>
      <c r="BW109" s="304" cm="1">
        <f t="array" ref="BW109">IF(AND(BW$2&lt;&gt;0,TblTech[[#This Row],[Hour]:[Hour]]&gt;=BW$2),1,0)</f>
        <v>0</v>
      </c>
      <c r="BX109" s="304" cm="1">
        <f t="array" ref="BX109">IF(AND(BX$2&lt;&gt;0,TblTech[[#This Row],[Hour]:[Hour]]&gt;=BX$2),1,0)</f>
        <v>0</v>
      </c>
      <c r="BY109" s="304" cm="1">
        <f t="array" ref="BY109">IF(AND(BY$2&lt;&gt;0,TblTech[[#This Row],[Hour]:[Hour]]&gt;=BY$2),1,0)</f>
        <v>0</v>
      </c>
      <c r="BZ109" s="304" cm="1">
        <f t="array" ref="BZ109">IF(AND(BZ$2&lt;&gt;0,TblTech[[#This Row],[Hour]:[Hour]]&gt;=BZ$2),1,0)</f>
        <v>0</v>
      </c>
      <c r="CA109" s="408">
        <f>IFERROR(INDEX($H$4:$H$79,MATCH(INDEX(TblTech[[#Headers],[1-1]:[11-1]],1,MATCH(TblTech[[#This Row],[Hour]],$M$2:$BZ$2,0)),$G$4:$G$79,0)),)</f>
        <v>0</v>
      </c>
    </row>
    <row r="110" spans="1:79" x14ac:dyDescent="0.2">
      <c r="A110" s="296">
        <f>TblRezone[[#This Row],[Hour]]</f>
        <v>107</v>
      </c>
      <c r="B110" s="297">
        <f ca="1">TblExplore[[#This Row],[Land-DB]]</f>
        <v>250</v>
      </c>
      <c r="C110" s="298">
        <f ca="1">TblProd[[#This Row],[Techpoints]]</f>
        <v>0</v>
      </c>
      <c r="D110" s="298">
        <f ca="1">TblProd[[#This Row],[Required]]</f>
        <v>3750</v>
      </c>
      <c r="E110" s="307"/>
      <c r="F110" s="308"/>
      <c r="G110" s="301"/>
      <c r="H110" s="302"/>
      <c r="I110" s="302"/>
      <c r="J110" s="302"/>
      <c r="K110" s="96">
        <f ca="1">IF(TblTech[[#This Row],[Sum of tech]]&lt;&gt;OFFSET(TblTech[[#This Row],[Sum of tech]],-1,0),1,0)</f>
        <v>0</v>
      </c>
      <c r="L110" s="303">
        <f>COUNTIF(TblTech[[#This Row],[1-1]:[11-1]],1)</f>
        <v>0</v>
      </c>
      <c r="M110" s="304" cm="1">
        <f t="array" ref="M110">IF(AND(M$2&lt;&gt;0,TblTech[[#This Row],[Hour]:[Hour]]&gt;=M$2),1,0)</f>
        <v>0</v>
      </c>
      <c r="N110" s="304" cm="1">
        <f t="array" ref="N110">IF(AND(N$2&lt;&gt;0,TblTech[[#This Row],[Hour]:[Hour]]&gt;=N$2),1,0)</f>
        <v>0</v>
      </c>
      <c r="O110" s="304" cm="1">
        <f t="array" ref="O110">IF(AND(O$2&lt;&gt;0,TblTech[[#This Row],[Hour]:[Hour]]&gt;=O$2),1,0)</f>
        <v>0</v>
      </c>
      <c r="P110" s="304" cm="1">
        <f t="array" ref="P110">IF(AND(P$2&lt;&gt;0,TblTech[[#This Row],[Hour]:[Hour]]&gt;=P$2),1,0)</f>
        <v>0</v>
      </c>
      <c r="Q110" s="304" cm="1">
        <f t="array" ref="Q110">IF(AND(Q$2&lt;&gt;0,TblTech[[#This Row],[Hour]:[Hour]]&gt;=Q$2),1,0)</f>
        <v>0</v>
      </c>
      <c r="R110" s="304" cm="1">
        <f t="array" ref="R110">IF(AND(R$2&lt;&gt;0,TblTech[[#This Row],[Hour]:[Hour]]&gt;=R$2),1,0)</f>
        <v>0</v>
      </c>
      <c r="S110" s="304" cm="1">
        <f t="array" ref="S110">IF(AND(S$2&lt;&gt;0,TblTech[[#This Row],[Hour]:[Hour]]&gt;=S$2),1,0)</f>
        <v>0</v>
      </c>
      <c r="T110" s="304" cm="1">
        <f t="array" ref="T110">IF(AND(T$2&lt;&gt;0,TblTech[[#This Row],[Hour]:[Hour]]&gt;=T$2),1,0)</f>
        <v>0</v>
      </c>
      <c r="U110" s="304" cm="1">
        <f t="array" ref="U110">IF(AND(U$2&lt;&gt;0,TblTech[[#This Row],[Hour]:[Hour]]&gt;=U$2),1,0)</f>
        <v>0</v>
      </c>
      <c r="V110" s="304" cm="1">
        <f t="array" ref="V110">IF(AND(V$2&lt;&gt;0,TblTech[[#This Row],[Hour]:[Hour]]&gt;=V$2),1,0)</f>
        <v>0</v>
      </c>
      <c r="W110" s="304" cm="1">
        <f t="array" ref="W110">IF(AND(W$2&lt;&gt;0,TblTech[[#This Row],[Hour]:[Hour]]&gt;=W$2),1,0)</f>
        <v>0</v>
      </c>
      <c r="X110" s="304" cm="1">
        <f t="array" ref="X110">IF(AND(X$2&lt;&gt;0,TblTech[[#This Row],[Hour]:[Hour]]&gt;=X$2),1,0)</f>
        <v>0</v>
      </c>
      <c r="Y110" s="304" cm="1">
        <f t="array" ref="Y110">IF(AND(Y$2&lt;&gt;0,TblTech[[#This Row],[Hour]:[Hour]]&gt;=Y$2),1,0)</f>
        <v>0</v>
      </c>
      <c r="Z110" s="304" cm="1">
        <f t="array" ref="Z110">IF(AND(Z$2&lt;&gt;0,TblTech[[#This Row],[Hour]:[Hour]]&gt;=Z$2),1,0)</f>
        <v>0</v>
      </c>
      <c r="AA110" s="304" cm="1">
        <f t="array" ref="AA110">IF(AND(AA$2&lt;&gt;0,TblTech[[#This Row],[Hour]:[Hour]]&gt;=AA$2),1,0)</f>
        <v>0</v>
      </c>
      <c r="AB110" s="304" cm="1">
        <f t="array" ref="AB110">IF(AND(AB$2&lt;&gt;0,TblTech[[#This Row],[Hour]:[Hour]]&gt;=AB$2),1,0)</f>
        <v>0</v>
      </c>
      <c r="AC110" s="304" cm="1">
        <f t="array" ref="AC110">IF(AND(AC$2&lt;&gt;0,TblTech[[#This Row],[Hour]:[Hour]]&gt;=AC$2),1,0)</f>
        <v>0</v>
      </c>
      <c r="AD110" s="304" cm="1">
        <f t="array" ref="AD110">IF(AND(AD$2&lt;&gt;0,TblTech[[#This Row],[Hour]:[Hour]]&gt;=AD$2),1,0)</f>
        <v>0</v>
      </c>
      <c r="AE110" s="304" cm="1">
        <f t="array" ref="AE110">IF(AND(AE$2&lt;&gt;0,TblTech[[#This Row],[Hour]:[Hour]]&gt;=AE$2),1,0)</f>
        <v>0</v>
      </c>
      <c r="AF110" s="304" cm="1">
        <f t="array" ref="AF110">IF(AND(AF$2&lt;&gt;0,TblTech[[#This Row],[Hour]:[Hour]]&gt;=AF$2),1,0)</f>
        <v>0</v>
      </c>
      <c r="AG110" s="304" cm="1">
        <f t="array" ref="AG110">IF(AND(AG$2&lt;&gt;0,TblTech[[#This Row],[Hour]:[Hour]]&gt;=AG$2),1,0)</f>
        <v>0</v>
      </c>
      <c r="AH110" s="304" cm="1">
        <f t="array" ref="AH110">IF(AND(AH$2&lt;&gt;0,TblTech[[#This Row],[Hour]:[Hour]]&gt;=AH$2),1,0)</f>
        <v>0</v>
      </c>
      <c r="AI110" s="304" cm="1">
        <f t="array" ref="AI110">IF(AND(AI$2&lt;&gt;0,TblTech[[#This Row],[Hour]:[Hour]]&gt;=AI$2),1,0)</f>
        <v>0</v>
      </c>
      <c r="AJ110" s="304" cm="1">
        <f t="array" ref="AJ110">IF(AND(AJ$2&lt;&gt;0,TblTech[[#This Row],[Hour]:[Hour]]&gt;=AJ$2),1,0)</f>
        <v>0</v>
      </c>
      <c r="AK110" s="304" cm="1">
        <f t="array" ref="AK110">IF(AND(AK$2&lt;&gt;0,TblTech[[#This Row],[Hour]:[Hour]]&gt;=AK$2),1,0)</f>
        <v>0</v>
      </c>
      <c r="AL110" s="304" cm="1">
        <f t="array" ref="AL110">IF(AND(AL$2&lt;&gt;0,TblTech[[#This Row],[Hour]:[Hour]]&gt;=AL$2),1,0)</f>
        <v>0</v>
      </c>
      <c r="AM110" s="304" cm="1">
        <f t="array" ref="AM110">IF(AND(AM$2&lt;&gt;0,TblTech[[#This Row],[Hour]:[Hour]]&gt;=AM$2),1,0)</f>
        <v>0</v>
      </c>
      <c r="AN110" s="304" cm="1">
        <f t="array" ref="AN110">IF(AND(AN$2&lt;&gt;0,TblTech[[#This Row],[Hour]:[Hour]]&gt;=AN$2),1,0)</f>
        <v>0</v>
      </c>
      <c r="AO110" s="304" cm="1">
        <f t="array" ref="AO110">IF(AND(AO$2&lt;&gt;0,TblTech[[#This Row],[Hour]:[Hour]]&gt;=AO$2),1,0)</f>
        <v>0</v>
      </c>
      <c r="AP110" s="304" cm="1">
        <f t="array" ref="AP110">IF(AND(AP$2&lt;&gt;0,TblTech[[#This Row],[Hour]:[Hour]]&gt;=AP$2),1,0)</f>
        <v>0</v>
      </c>
      <c r="AQ110" s="304" cm="1">
        <f t="array" ref="AQ110">IF(AND(AQ$2&lt;&gt;0,TblTech[[#This Row],[Hour]:[Hour]]&gt;=AQ$2),1,0)</f>
        <v>0</v>
      </c>
      <c r="AR110" s="304" cm="1">
        <f t="array" ref="AR110">IF(AND(AR$2&lt;&gt;0,TblTech[[#This Row],[Hour]:[Hour]]&gt;=AR$2),1,0)</f>
        <v>0</v>
      </c>
      <c r="AS110" s="304" cm="1">
        <f t="array" ref="AS110">IF(AND(AS$2&lt;&gt;0,TblTech[[#This Row],[Hour]:[Hour]]&gt;=AS$2),1,0)</f>
        <v>0</v>
      </c>
      <c r="AT110" s="304" cm="1">
        <f t="array" ref="AT110">IF(AND(AT$2&lt;&gt;0,TblTech[[#This Row],[Hour]:[Hour]]&gt;=AT$2),1,0)</f>
        <v>0</v>
      </c>
      <c r="AU110" s="304" cm="1">
        <f t="array" ref="AU110">IF(AND(AU$2&lt;&gt;0,TblTech[[#This Row],[Hour]:[Hour]]&gt;=AU$2),1,0)</f>
        <v>0</v>
      </c>
      <c r="AV110" s="304" cm="1">
        <f t="array" ref="AV110">IF(AND(AV$2&lt;&gt;0,TblTech[[#This Row],[Hour]:[Hour]]&gt;=AV$2),1,0)</f>
        <v>0</v>
      </c>
      <c r="AW110" s="304" cm="1">
        <f t="array" ref="AW110">IF(AND(AW$2&lt;&gt;0,TblTech[[#This Row],[Hour]:[Hour]]&gt;=AW$2),1,0)</f>
        <v>0</v>
      </c>
      <c r="AX110" s="304" cm="1">
        <f t="array" ref="AX110">IF(AND(AX$2&lt;&gt;0,TblTech[[#This Row],[Hour]:[Hour]]&gt;=AX$2),1,0)</f>
        <v>0</v>
      </c>
      <c r="AY110" s="304" cm="1">
        <f t="array" ref="AY110">IF(AND(AY$2&lt;&gt;0,TblTech[[#This Row],[Hour]:[Hour]]&gt;=AY$2),1,0)</f>
        <v>0</v>
      </c>
      <c r="AZ110" s="304" cm="1">
        <f t="array" ref="AZ110">IF(AND(AZ$2&lt;&gt;0,TblTech[[#This Row],[Hour]:[Hour]]&gt;=AZ$2),1,0)</f>
        <v>0</v>
      </c>
      <c r="BA110" s="304" cm="1">
        <f t="array" ref="BA110">IF(AND(BA$2&lt;&gt;0,TblTech[[#This Row],[Hour]:[Hour]]&gt;=BA$2),1,0)</f>
        <v>0</v>
      </c>
      <c r="BB110" s="304" cm="1">
        <f t="array" ref="BB110">IF(AND(BB$2&lt;&gt;0,TblTech[[#This Row],[Hour]:[Hour]]&gt;=BB$2),1,0)</f>
        <v>0</v>
      </c>
      <c r="BC110" s="304" cm="1">
        <f t="array" ref="BC110">IF(AND(BC$2&lt;&gt;0,TblTech[[#This Row],[Hour]:[Hour]]&gt;=BC$2),1,0)</f>
        <v>0</v>
      </c>
      <c r="BD110" s="304" cm="1">
        <f t="array" ref="BD110">IF(AND(BD$2&lt;&gt;0,TblTech[[#This Row],[Hour]:[Hour]]&gt;=BD$2),1,0)</f>
        <v>0</v>
      </c>
      <c r="BE110" s="304" cm="1">
        <f t="array" ref="BE110">IF(AND(BE$2&lt;&gt;0,TblTech[[#This Row],[Hour]:[Hour]]&gt;=BE$2),1,0)</f>
        <v>0</v>
      </c>
      <c r="BF110" s="304" cm="1">
        <f t="array" ref="BF110">IF(AND(BF$2&lt;&gt;0,TblTech[[#This Row],[Hour]:[Hour]]&gt;=BF$2),1,0)</f>
        <v>0</v>
      </c>
      <c r="BG110" s="304" cm="1">
        <f t="array" ref="BG110">IF(AND(BG$2&lt;&gt;0,TblTech[[#This Row],[Hour]:[Hour]]&gt;=BG$2),1,0)</f>
        <v>0</v>
      </c>
      <c r="BH110" s="304" cm="1">
        <f t="array" ref="BH110">IF(AND(BH$2&lt;&gt;0,TblTech[[#This Row],[Hour]:[Hour]]&gt;=BH$2),1,0)</f>
        <v>0</v>
      </c>
      <c r="BI110" s="304" cm="1">
        <f t="array" ref="BI110">IF(AND(BI$2&lt;&gt;0,TblTech[[#This Row],[Hour]:[Hour]]&gt;=BI$2),1,0)</f>
        <v>0</v>
      </c>
      <c r="BJ110" s="304" cm="1">
        <f t="array" ref="BJ110">IF(AND(BJ$2&lt;&gt;0,TblTech[[#This Row],[Hour]:[Hour]]&gt;=BJ$2),1,0)</f>
        <v>0</v>
      </c>
      <c r="BK110" s="304" cm="1">
        <f t="array" ref="BK110">IF(AND(BK$2&lt;&gt;0,TblTech[[#This Row],[Hour]:[Hour]]&gt;=BK$2),1,0)</f>
        <v>0</v>
      </c>
      <c r="BL110" s="304" cm="1">
        <f t="array" ref="BL110">IF(AND(BL$2&lt;&gt;0,TblTech[[#This Row],[Hour]:[Hour]]&gt;=BL$2),1,0)</f>
        <v>0</v>
      </c>
      <c r="BM110" s="304" cm="1">
        <f t="array" ref="BM110">IF(AND(BM$2&lt;&gt;0,TblTech[[#This Row],[Hour]:[Hour]]&gt;=BM$2),1,0)</f>
        <v>0</v>
      </c>
      <c r="BN110" s="304" cm="1">
        <f t="array" ref="BN110">IF(AND(BN$2&lt;&gt;0,TblTech[[#This Row],[Hour]:[Hour]]&gt;=BN$2),1,0)</f>
        <v>0</v>
      </c>
      <c r="BO110" s="304" cm="1">
        <f t="array" ref="BO110">IF(AND(BO$2&lt;&gt;0,TblTech[[#This Row],[Hour]:[Hour]]&gt;=BO$2),1,0)</f>
        <v>0</v>
      </c>
      <c r="BP110" s="304" cm="1">
        <f t="array" ref="BP110">IF(AND(BP$2&lt;&gt;0,TblTech[[#This Row],[Hour]:[Hour]]&gt;=BP$2),1,0)</f>
        <v>0</v>
      </c>
      <c r="BQ110" s="304" cm="1">
        <f t="array" ref="BQ110">IF(AND(BQ$2&lt;&gt;0,TblTech[[#This Row],[Hour]:[Hour]]&gt;=BQ$2),1,0)</f>
        <v>0</v>
      </c>
      <c r="BR110" s="304" cm="1">
        <f t="array" ref="BR110">IF(AND(BR$2&lt;&gt;0,TblTech[[#This Row],[Hour]:[Hour]]&gt;=BR$2),1,0)</f>
        <v>0</v>
      </c>
      <c r="BS110" s="304" cm="1">
        <f t="array" ref="BS110">IF(AND(BS$2&lt;&gt;0,TblTech[[#This Row],[Hour]:[Hour]]&gt;=BS$2),1,0)</f>
        <v>0</v>
      </c>
      <c r="BT110" s="304" cm="1">
        <f t="array" ref="BT110">IF(AND(BT$2&lt;&gt;0,TblTech[[#This Row],[Hour]:[Hour]]&gt;=BT$2),1,0)</f>
        <v>0</v>
      </c>
      <c r="BU110" s="304" cm="1">
        <f t="array" ref="BU110">IF(AND(BU$2&lt;&gt;0,TblTech[[#This Row],[Hour]:[Hour]]&gt;=BU$2),1,0)</f>
        <v>0</v>
      </c>
      <c r="BV110" s="304" cm="1">
        <f t="array" ref="BV110">IF(AND(BV$2&lt;&gt;0,TblTech[[#This Row],[Hour]:[Hour]]&gt;=BV$2),1,0)</f>
        <v>0</v>
      </c>
      <c r="BW110" s="304" cm="1">
        <f t="array" ref="BW110">IF(AND(BW$2&lt;&gt;0,TblTech[[#This Row],[Hour]:[Hour]]&gt;=BW$2),1,0)</f>
        <v>0</v>
      </c>
      <c r="BX110" s="304" cm="1">
        <f t="array" ref="BX110">IF(AND(BX$2&lt;&gt;0,TblTech[[#This Row],[Hour]:[Hour]]&gt;=BX$2),1,0)</f>
        <v>0</v>
      </c>
      <c r="BY110" s="304" cm="1">
        <f t="array" ref="BY110">IF(AND(BY$2&lt;&gt;0,TblTech[[#This Row],[Hour]:[Hour]]&gt;=BY$2),1,0)</f>
        <v>0</v>
      </c>
      <c r="BZ110" s="304" cm="1">
        <f t="array" ref="BZ110">IF(AND(BZ$2&lt;&gt;0,TblTech[[#This Row],[Hour]:[Hour]]&gt;=BZ$2),1,0)</f>
        <v>0</v>
      </c>
      <c r="CA110" s="408">
        <f>IFERROR(INDEX($H$4:$H$79,MATCH(INDEX(TblTech[[#Headers],[1-1]:[11-1]],1,MATCH(TblTech[[#This Row],[Hour]],$M$2:$BZ$2,0)),$G$4:$G$79,0)),)</f>
        <v>0</v>
      </c>
    </row>
    <row r="111" spans="1:79" x14ac:dyDescent="0.2">
      <c r="A111" s="296">
        <f>TblRezone[[#This Row],[Hour]]</f>
        <v>108</v>
      </c>
      <c r="B111" s="297">
        <f ca="1">TblExplore[[#This Row],[Land-DB]]</f>
        <v>250</v>
      </c>
      <c r="C111" s="298">
        <f ca="1">TblProd[[#This Row],[Techpoints]]</f>
        <v>0</v>
      </c>
      <c r="D111" s="298">
        <f ca="1">TblProd[[#This Row],[Required]]</f>
        <v>3750</v>
      </c>
      <c r="E111" s="307"/>
      <c r="F111" s="308"/>
      <c r="G111" s="301"/>
      <c r="H111" s="302"/>
      <c r="I111" s="302"/>
      <c r="J111" s="302"/>
      <c r="K111" s="96">
        <f ca="1">IF(TblTech[[#This Row],[Sum of tech]]&lt;&gt;OFFSET(TblTech[[#This Row],[Sum of tech]],-1,0),1,0)</f>
        <v>0</v>
      </c>
      <c r="L111" s="303">
        <f>COUNTIF(TblTech[[#This Row],[1-1]:[11-1]],1)</f>
        <v>0</v>
      </c>
      <c r="M111" s="304" cm="1">
        <f t="array" ref="M111">IF(AND(M$2&lt;&gt;0,TblTech[[#This Row],[Hour]:[Hour]]&gt;=M$2),1,0)</f>
        <v>0</v>
      </c>
      <c r="N111" s="304" cm="1">
        <f t="array" ref="N111">IF(AND(N$2&lt;&gt;0,TblTech[[#This Row],[Hour]:[Hour]]&gt;=N$2),1,0)</f>
        <v>0</v>
      </c>
      <c r="O111" s="304" cm="1">
        <f t="array" ref="O111">IF(AND(O$2&lt;&gt;0,TblTech[[#This Row],[Hour]:[Hour]]&gt;=O$2),1,0)</f>
        <v>0</v>
      </c>
      <c r="P111" s="304" cm="1">
        <f t="array" ref="P111">IF(AND(P$2&lt;&gt;0,TblTech[[#This Row],[Hour]:[Hour]]&gt;=P$2),1,0)</f>
        <v>0</v>
      </c>
      <c r="Q111" s="304" cm="1">
        <f t="array" ref="Q111">IF(AND(Q$2&lt;&gt;0,TblTech[[#This Row],[Hour]:[Hour]]&gt;=Q$2),1,0)</f>
        <v>0</v>
      </c>
      <c r="R111" s="304" cm="1">
        <f t="array" ref="R111">IF(AND(R$2&lt;&gt;0,TblTech[[#This Row],[Hour]:[Hour]]&gt;=R$2),1,0)</f>
        <v>0</v>
      </c>
      <c r="S111" s="304" cm="1">
        <f t="array" ref="S111">IF(AND(S$2&lt;&gt;0,TblTech[[#This Row],[Hour]:[Hour]]&gt;=S$2),1,0)</f>
        <v>0</v>
      </c>
      <c r="T111" s="304" cm="1">
        <f t="array" ref="T111">IF(AND(T$2&lt;&gt;0,TblTech[[#This Row],[Hour]:[Hour]]&gt;=T$2),1,0)</f>
        <v>0</v>
      </c>
      <c r="U111" s="304" cm="1">
        <f t="array" ref="U111">IF(AND(U$2&lt;&gt;0,TblTech[[#This Row],[Hour]:[Hour]]&gt;=U$2),1,0)</f>
        <v>0</v>
      </c>
      <c r="V111" s="304" cm="1">
        <f t="array" ref="V111">IF(AND(V$2&lt;&gt;0,TblTech[[#This Row],[Hour]:[Hour]]&gt;=V$2),1,0)</f>
        <v>0</v>
      </c>
      <c r="W111" s="304" cm="1">
        <f t="array" ref="W111">IF(AND(W$2&lt;&gt;0,TblTech[[#This Row],[Hour]:[Hour]]&gt;=W$2),1,0)</f>
        <v>0</v>
      </c>
      <c r="X111" s="304" cm="1">
        <f t="array" ref="X111">IF(AND(X$2&lt;&gt;0,TblTech[[#This Row],[Hour]:[Hour]]&gt;=X$2),1,0)</f>
        <v>0</v>
      </c>
      <c r="Y111" s="304" cm="1">
        <f t="array" ref="Y111">IF(AND(Y$2&lt;&gt;0,TblTech[[#This Row],[Hour]:[Hour]]&gt;=Y$2),1,0)</f>
        <v>0</v>
      </c>
      <c r="Z111" s="304" cm="1">
        <f t="array" ref="Z111">IF(AND(Z$2&lt;&gt;0,TblTech[[#This Row],[Hour]:[Hour]]&gt;=Z$2),1,0)</f>
        <v>0</v>
      </c>
      <c r="AA111" s="304" cm="1">
        <f t="array" ref="AA111">IF(AND(AA$2&lt;&gt;0,TblTech[[#This Row],[Hour]:[Hour]]&gt;=AA$2),1,0)</f>
        <v>0</v>
      </c>
      <c r="AB111" s="304" cm="1">
        <f t="array" ref="AB111">IF(AND(AB$2&lt;&gt;0,TblTech[[#This Row],[Hour]:[Hour]]&gt;=AB$2),1,0)</f>
        <v>0</v>
      </c>
      <c r="AC111" s="304" cm="1">
        <f t="array" ref="AC111">IF(AND(AC$2&lt;&gt;0,TblTech[[#This Row],[Hour]:[Hour]]&gt;=AC$2),1,0)</f>
        <v>0</v>
      </c>
      <c r="AD111" s="304" cm="1">
        <f t="array" ref="AD111">IF(AND(AD$2&lt;&gt;0,TblTech[[#This Row],[Hour]:[Hour]]&gt;=AD$2),1,0)</f>
        <v>0</v>
      </c>
      <c r="AE111" s="304" cm="1">
        <f t="array" ref="AE111">IF(AND(AE$2&lt;&gt;0,TblTech[[#This Row],[Hour]:[Hour]]&gt;=AE$2),1,0)</f>
        <v>0</v>
      </c>
      <c r="AF111" s="304" cm="1">
        <f t="array" ref="AF111">IF(AND(AF$2&lt;&gt;0,TblTech[[#This Row],[Hour]:[Hour]]&gt;=AF$2),1,0)</f>
        <v>0</v>
      </c>
      <c r="AG111" s="304" cm="1">
        <f t="array" ref="AG111">IF(AND(AG$2&lt;&gt;0,TblTech[[#This Row],[Hour]:[Hour]]&gt;=AG$2),1,0)</f>
        <v>0</v>
      </c>
      <c r="AH111" s="304" cm="1">
        <f t="array" ref="AH111">IF(AND(AH$2&lt;&gt;0,TblTech[[#This Row],[Hour]:[Hour]]&gt;=AH$2),1,0)</f>
        <v>0</v>
      </c>
      <c r="AI111" s="304" cm="1">
        <f t="array" ref="AI111">IF(AND(AI$2&lt;&gt;0,TblTech[[#This Row],[Hour]:[Hour]]&gt;=AI$2),1,0)</f>
        <v>0</v>
      </c>
      <c r="AJ111" s="304" cm="1">
        <f t="array" ref="AJ111">IF(AND(AJ$2&lt;&gt;0,TblTech[[#This Row],[Hour]:[Hour]]&gt;=AJ$2),1,0)</f>
        <v>0</v>
      </c>
      <c r="AK111" s="304" cm="1">
        <f t="array" ref="AK111">IF(AND(AK$2&lt;&gt;0,TblTech[[#This Row],[Hour]:[Hour]]&gt;=AK$2),1,0)</f>
        <v>0</v>
      </c>
      <c r="AL111" s="304" cm="1">
        <f t="array" ref="AL111">IF(AND(AL$2&lt;&gt;0,TblTech[[#This Row],[Hour]:[Hour]]&gt;=AL$2),1,0)</f>
        <v>0</v>
      </c>
      <c r="AM111" s="304" cm="1">
        <f t="array" ref="AM111">IF(AND(AM$2&lt;&gt;0,TblTech[[#This Row],[Hour]:[Hour]]&gt;=AM$2),1,0)</f>
        <v>0</v>
      </c>
      <c r="AN111" s="304" cm="1">
        <f t="array" ref="AN111">IF(AND(AN$2&lt;&gt;0,TblTech[[#This Row],[Hour]:[Hour]]&gt;=AN$2),1,0)</f>
        <v>0</v>
      </c>
      <c r="AO111" s="304" cm="1">
        <f t="array" ref="AO111">IF(AND(AO$2&lt;&gt;0,TblTech[[#This Row],[Hour]:[Hour]]&gt;=AO$2),1,0)</f>
        <v>0</v>
      </c>
      <c r="AP111" s="304" cm="1">
        <f t="array" ref="AP111">IF(AND(AP$2&lt;&gt;0,TblTech[[#This Row],[Hour]:[Hour]]&gt;=AP$2),1,0)</f>
        <v>0</v>
      </c>
      <c r="AQ111" s="304" cm="1">
        <f t="array" ref="AQ111">IF(AND(AQ$2&lt;&gt;0,TblTech[[#This Row],[Hour]:[Hour]]&gt;=AQ$2),1,0)</f>
        <v>0</v>
      </c>
      <c r="AR111" s="304" cm="1">
        <f t="array" ref="AR111">IF(AND(AR$2&lt;&gt;0,TblTech[[#This Row],[Hour]:[Hour]]&gt;=AR$2),1,0)</f>
        <v>0</v>
      </c>
      <c r="AS111" s="304" cm="1">
        <f t="array" ref="AS111">IF(AND(AS$2&lt;&gt;0,TblTech[[#This Row],[Hour]:[Hour]]&gt;=AS$2),1,0)</f>
        <v>0</v>
      </c>
      <c r="AT111" s="304" cm="1">
        <f t="array" ref="AT111">IF(AND(AT$2&lt;&gt;0,TblTech[[#This Row],[Hour]:[Hour]]&gt;=AT$2),1,0)</f>
        <v>0</v>
      </c>
      <c r="AU111" s="304" cm="1">
        <f t="array" ref="AU111">IF(AND(AU$2&lt;&gt;0,TblTech[[#This Row],[Hour]:[Hour]]&gt;=AU$2),1,0)</f>
        <v>0</v>
      </c>
      <c r="AV111" s="304" cm="1">
        <f t="array" ref="AV111">IF(AND(AV$2&lt;&gt;0,TblTech[[#This Row],[Hour]:[Hour]]&gt;=AV$2),1,0)</f>
        <v>0</v>
      </c>
      <c r="AW111" s="304" cm="1">
        <f t="array" ref="AW111">IF(AND(AW$2&lt;&gt;0,TblTech[[#This Row],[Hour]:[Hour]]&gt;=AW$2),1,0)</f>
        <v>0</v>
      </c>
      <c r="AX111" s="304" cm="1">
        <f t="array" ref="AX111">IF(AND(AX$2&lt;&gt;0,TblTech[[#This Row],[Hour]:[Hour]]&gt;=AX$2),1,0)</f>
        <v>0</v>
      </c>
      <c r="AY111" s="304" cm="1">
        <f t="array" ref="AY111">IF(AND(AY$2&lt;&gt;0,TblTech[[#This Row],[Hour]:[Hour]]&gt;=AY$2),1,0)</f>
        <v>0</v>
      </c>
      <c r="AZ111" s="304" cm="1">
        <f t="array" ref="AZ111">IF(AND(AZ$2&lt;&gt;0,TblTech[[#This Row],[Hour]:[Hour]]&gt;=AZ$2),1,0)</f>
        <v>0</v>
      </c>
      <c r="BA111" s="304" cm="1">
        <f t="array" ref="BA111">IF(AND(BA$2&lt;&gt;0,TblTech[[#This Row],[Hour]:[Hour]]&gt;=BA$2),1,0)</f>
        <v>0</v>
      </c>
      <c r="BB111" s="304" cm="1">
        <f t="array" ref="BB111">IF(AND(BB$2&lt;&gt;0,TblTech[[#This Row],[Hour]:[Hour]]&gt;=BB$2),1,0)</f>
        <v>0</v>
      </c>
      <c r="BC111" s="304" cm="1">
        <f t="array" ref="BC111">IF(AND(BC$2&lt;&gt;0,TblTech[[#This Row],[Hour]:[Hour]]&gt;=BC$2),1,0)</f>
        <v>0</v>
      </c>
      <c r="BD111" s="304" cm="1">
        <f t="array" ref="BD111">IF(AND(BD$2&lt;&gt;0,TblTech[[#This Row],[Hour]:[Hour]]&gt;=BD$2),1,0)</f>
        <v>0</v>
      </c>
      <c r="BE111" s="304" cm="1">
        <f t="array" ref="BE111">IF(AND(BE$2&lt;&gt;0,TblTech[[#This Row],[Hour]:[Hour]]&gt;=BE$2),1,0)</f>
        <v>0</v>
      </c>
      <c r="BF111" s="304" cm="1">
        <f t="array" ref="BF111">IF(AND(BF$2&lt;&gt;0,TblTech[[#This Row],[Hour]:[Hour]]&gt;=BF$2),1,0)</f>
        <v>0</v>
      </c>
      <c r="BG111" s="304" cm="1">
        <f t="array" ref="BG111">IF(AND(BG$2&lt;&gt;0,TblTech[[#This Row],[Hour]:[Hour]]&gt;=BG$2),1,0)</f>
        <v>0</v>
      </c>
      <c r="BH111" s="304" cm="1">
        <f t="array" ref="BH111">IF(AND(BH$2&lt;&gt;0,TblTech[[#This Row],[Hour]:[Hour]]&gt;=BH$2),1,0)</f>
        <v>0</v>
      </c>
      <c r="BI111" s="304" cm="1">
        <f t="array" ref="BI111">IF(AND(BI$2&lt;&gt;0,TblTech[[#This Row],[Hour]:[Hour]]&gt;=BI$2),1,0)</f>
        <v>0</v>
      </c>
      <c r="BJ111" s="304" cm="1">
        <f t="array" ref="BJ111">IF(AND(BJ$2&lt;&gt;0,TblTech[[#This Row],[Hour]:[Hour]]&gt;=BJ$2),1,0)</f>
        <v>0</v>
      </c>
      <c r="BK111" s="304" cm="1">
        <f t="array" ref="BK111">IF(AND(BK$2&lt;&gt;0,TblTech[[#This Row],[Hour]:[Hour]]&gt;=BK$2),1,0)</f>
        <v>0</v>
      </c>
      <c r="BL111" s="304" cm="1">
        <f t="array" ref="BL111">IF(AND(BL$2&lt;&gt;0,TblTech[[#This Row],[Hour]:[Hour]]&gt;=BL$2),1,0)</f>
        <v>0</v>
      </c>
      <c r="BM111" s="304" cm="1">
        <f t="array" ref="BM111">IF(AND(BM$2&lt;&gt;0,TblTech[[#This Row],[Hour]:[Hour]]&gt;=BM$2),1,0)</f>
        <v>0</v>
      </c>
      <c r="BN111" s="304" cm="1">
        <f t="array" ref="BN111">IF(AND(BN$2&lt;&gt;0,TblTech[[#This Row],[Hour]:[Hour]]&gt;=BN$2),1,0)</f>
        <v>0</v>
      </c>
      <c r="BO111" s="304" cm="1">
        <f t="array" ref="BO111">IF(AND(BO$2&lt;&gt;0,TblTech[[#This Row],[Hour]:[Hour]]&gt;=BO$2),1,0)</f>
        <v>0</v>
      </c>
      <c r="BP111" s="304" cm="1">
        <f t="array" ref="BP111">IF(AND(BP$2&lt;&gt;0,TblTech[[#This Row],[Hour]:[Hour]]&gt;=BP$2),1,0)</f>
        <v>0</v>
      </c>
      <c r="BQ111" s="304" cm="1">
        <f t="array" ref="BQ111">IF(AND(BQ$2&lt;&gt;0,TblTech[[#This Row],[Hour]:[Hour]]&gt;=BQ$2),1,0)</f>
        <v>0</v>
      </c>
      <c r="BR111" s="304" cm="1">
        <f t="array" ref="BR111">IF(AND(BR$2&lt;&gt;0,TblTech[[#This Row],[Hour]:[Hour]]&gt;=BR$2),1,0)</f>
        <v>0</v>
      </c>
      <c r="BS111" s="304" cm="1">
        <f t="array" ref="BS111">IF(AND(BS$2&lt;&gt;0,TblTech[[#This Row],[Hour]:[Hour]]&gt;=BS$2),1,0)</f>
        <v>0</v>
      </c>
      <c r="BT111" s="304" cm="1">
        <f t="array" ref="BT111">IF(AND(BT$2&lt;&gt;0,TblTech[[#This Row],[Hour]:[Hour]]&gt;=BT$2),1,0)</f>
        <v>0</v>
      </c>
      <c r="BU111" s="304" cm="1">
        <f t="array" ref="BU111">IF(AND(BU$2&lt;&gt;0,TblTech[[#This Row],[Hour]:[Hour]]&gt;=BU$2),1,0)</f>
        <v>0</v>
      </c>
      <c r="BV111" s="304" cm="1">
        <f t="array" ref="BV111">IF(AND(BV$2&lt;&gt;0,TblTech[[#This Row],[Hour]:[Hour]]&gt;=BV$2),1,0)</f>
        <v>0</v>
      </c>
      <c r="BW111" s="304" cm="1">
        <f t="array" ref="BW111">IF(AND(BW$2&lt;&gt;0,TblTech[[#This Row],[Hour]:[Hour]]&gt;=BW$2),1,0)</f>
        <v>0</v>
      </c>
      <c r="BX111" s="304" cm="1">
        <f t="array" ref="BX111">IF(AND(BX$2&lt;&gt;0,TblTech[[#This Row],[Hour]:[Hour]]&gt;=BX$2),1,0)</f>
        <v>0</v>
      </c>
      <c r="BY111" s="304" cm="1">
        <f t="array" ref="BY111">IF(AND(BY$2&lt;&gt;0,TblTech[[#This Row],[Hour]:[Hour]]&gt;=BY$2),1,0)</f>
        <v>0</v>
      </c>
      <c r="BZ111" s="304" cm="1">
        <f t="array" ref="BZ111">IF(AND(BZ$2&lt;&gt;0,TblTech[[#This Row],[Hour]:[Hour]]&gt;=BZ$2),1,0)</f>
        <v>0</v>
      </c>
      <c r="CA111" s="408">
        <f>IFERROR(INDEX($H$4:$H$79,MATCH(INDEX(TblTech[[#Headers],[1-1]:[11-1]],1,MATCH(TblTech[[#This Row],[Hour]],$M$2:$BZ$2,0)),$G$4:$G$79,0)),)</f>
        <v>0</v>
      </c>
    </row>
    <row r="112" spans="1:79" x14ac:dyDescent="0.2">
      <c r="A112" s="296">
        <f>TblRezone[[#This Row],[Hour]]</f>
        <v>109</v>
      </c>
      <c r="B112" s="297">
        <f ca="1">TblExplore[[#This Row],[Land-DB]]</f>
        <v>250</v>
      </c>
      <c r="C112" s="298">
        <f ca="1">TblProd[[#This Row],[Techpoints]]</f>
        <v>0</v>
      </c>
      <c r="D112" s="298">
        <f ca="1">TblProd[[#This Row],[Required]]</f>
        <v>3750</v>
      </c>
      <c r="E112" s="307"/>
      <c r="F112" s="308"/>
      <c r="G112" s="301"/>
      <c r="H112" s="302"/>
      <c r="I112" s="302"/>
      <c r="J112" s="302"/>
      <c r="K112" s="96">
        <f ca="1">IF(TblTech[[#This Row],[Sum of tech]]&lt;&gt;OFFSET(TblTech[[#This Row],[Sum of tech]],-1,0),1,0)</f>
        <v>0</v>
      </c>
      <c r="L112" s="303">
        <f>COUNTIF(TblTech[[#This Row],[1-1]:[11-1]],1)</f>
        <v>0</v>
      </c>
      <c r="M112" s="304" cm="1">
        <f t="array" ref="M112">IF(AND(M$2&lt;&gt;0,TblTech[[#This Row],[Hour]:[Hour]]&gt;=M$2),1,0)</f>
        <v>0</v>
      </c>
      <c r="N112" s="304" cm="1">
        <f t="array" ref="N112">IF(AND(N$2&lt;&gt;0,TblTech[[#This Row],[Hour]:[Hour]]&gt;=N$2),1,0)</f>
        <v>0</v>
      </c>
      <c r="O112" s="304" cm="1">
        <f t="array" ref="O112">IF(AND(O$2&lt;&gt;0,TblTech[[#This Row],[Hour]:[Hour]]&gt;=O$2),1,0)</f>
        <v>0</v>
      </c>
      <c r="P112" s="304" cm="1">
        <f t="array" ref="P112">IF(AND(P$2&lt;&gt;0,TblTech[[#This Row],[Hour]:[Hour]]&gt;=P$2),1,0)</f>
        <v>0</v>
      </c>
      <c r="Q112" s="304" cm="1">
        <f t="array" ref="Q112">IF(AND(Q$2&lt;&gt;0,TblTech[[#This Row],[Hour]:[Hour]]&gt;=Q$2),1,0)</f>
        <v>0</v>
      </c>
      <c r="R112" s="304" cm="1">
        <f t="array" ref="R112">IF(AND(R$2&lt;&gt;0,TblTech[[#This Row],[Hour]:[Hour]]&gt;=R$2),1,0)</f>
        <v>0</v>
      </c>
      <c r="S112" s="304" cm="1">
        <f t="array" ref="S112">IF(AND(S$2&lt;&gt;0,TblTech[[#This Row],[Hour]:[Hour]]&gt;=S$2),1,0)</f>
        <v>0</v>
      </c>
      <c r="T112" s="304" cm="1">
        <f t="array" ref="T112">IF(AND(T$2&lt;&gt;0,TblTech[[#This Row],[Hour]:[Hour]]&gt;=T$2),1,0)</f>
        <v>0</v>
      </c>
      <c r="U112" s="304" cm="1">
        <f t="array" ref="U112">IF(AND(U$2&lt;&gt;0,TblTech[[#This Row],[Hour]:[Hour]]&gt;=U$2),1,0)</f>
        <v>0</v>
      </c>
      <c r="V112" s="304" cm="1">
        <f t="array" ref="V112">IF(AND(V$2&lt;&gt;0,TblTech[[#This Row],[Hour]:[Hour]]&gt;=V$2),1,0)</f>
        <v>0</v>
      </c>
      <c r="W112" s="304" cm="1">
        <f t="array" ref="W112">IF(AND(W$2&lt;&gt;0,TblTech[[#This Row],[Hour]:[Hour]]&gt;=W$2),1,0)</f>
        <v>0</v>
      </c>
      <c r="X112" s="304" cm="1">
        <f t="array" ref="X112">IF(AND(X$2&lt;&gt;0,TblTech[[#This Row],[Hour]:[Hour]]&gt;=X$2),1,0)</f>
        <v>0</v>
      </c>
      <c r="Y112" s="304" cm="1">
        <f t="array" ref="Y112">IF(AND(Y$2&lt;&gt;0,TblTech[[#This Row],[Hour]:[Hour]]&gt;=Y$2),1,0)</f>
        <v>0</v>
      </c>
      <c r="Z112" s="304" cm="1">
        <f t="array" ref="Z112">IF(AND(Z$2&lt;&gt;0,TblTech[[#This Row],[Hour]:[Hour]]&gt;=Z$2),1,0)</f>
        <v>0</v>
      </c>
      <c r="AA112" s="304" cm="1">
        <f t="array" ref="AA112">IF(AND(AA$2&lt;&gt;0,TblTech[[#This Row],[Hour]:[Hour]]&gt;=AA$2),1,0)</f>
        <v>0</v>
      </c>
      <c r="AB112" s="304" cm="1">
        <f t="array" ref="AB112">IF(AND(AB$2&lt;&gt;0,TblTech[[#This Row],[Hour]:[Hour]]&gt;=AB$2),1,0)</f>
        <v>0</v>
      </c>
      <c r="AC112" s="304" cm="1">
        <f t="array" ref="AC112">IF(AND(AC$2&lt;&gt;0,TblTech[[#This Row],[Hour]:[Hour]]&gt;=AC$2),1,0)</f>
        <v>0</v>
      </c>
      <c r="AD112" s="304" cm="1">
        <f t="array" ref="AD112">IF(AND(AD$2&lt;&gt;0,TblTech[[#This Row],[Hour]:[Hour]]&gt;=AD$2),1,0)</f>
        <v>0</v>
      </c>
      <c r="AE112" s="304" cm="1">
        <f t="array" ref="AE112">IF(AND(AE$2&lt;&gt;0,TblTech[[#This Row],[Hour]:[Hour]]&gt;=AE$2),1,0)</f>
        <v>0</v>
      </c>
      <c r="AF112" s="304" cm="1">
        <f t="array" ref="AF112">IF(AND(AF$2&lt;&gt;0,TblTech[[#This Row],[Hour]:[Hour]]&gt;=AF$2),1,0)</f>
        <v>0</v>
      </c>
      <c r="AG112" s="304" cm="1">
        <f t="array" ref="AG112">IF(AND(AG$2&lt;&gt;0,TblTech[[#This Row],[Hour]:[Hour]]&gt;=AG$2),1,0)</f>
        <v>0</v>
      </c>
      <c r="AH112" s="304" cm="1">
        <f t="array" ref="AH112">IF(AND(AH$2&lt;&gt;0,TblTech[[#This Row],[Hour]:[Hour]]&gt;=AH$2),1,0)</f>
        <v>0</v>
      </c>
      <c r="AI112" s="304" cm="1">
        <f t="array" ref="AI112">IF(AND(AI$2&lt;&gt;0,TblTech[[#This Row],[Hour]:[Hour]]&gt;=AI$2),1,0)</f>
        <v>0</v>
      </c>
      <c r="AJ112" s="304" cm="1">
        <f t="array" ref="AJ112">IF(AND(AJ$2&lt;&gt;0,TblTech[[#This Row],[Hour]:[Hour]]&gt;=AJ$2),1,0)</f>
        <v>0</v>
      </c>
      <c r="AK112" s="304" cm="1">
        <f t="array" ref="AK112">IF(AND(AK$2&lt;&gt;0,TblTech[[#This Row],[Hour]:[Hour]]&gt;=AK$2),1,0)</f>
        <v>0</v>
      </c>
      <c r="AL112" s="304" cm="1">
        <f t="array" ref="AL112">IF(AND(AL$2&lt;&gt;0,TblTech[[#This Row],[Hour]:[Hour]]&gt;=AL$2),1,0)</f>
        <v>0</v>
      </c>
      <c r="AM112" s="304" cm="1">
        <f t="array" ref="AM112">IF(AND(AM$2&lt;&gt;0,TblTech[[#This Row],[Hour]:[Hour]]&gt;=AM$2),1,0)</f>
        <v>0</v>
      </c>
      <c r="AN112" s="304" cm="1">
        <f t="array" ref="AN112">IF(AND(AN$2&lt;&gt;0,TblTech[[#This Row],[Hour]:[Hour]]&gt;=AN$2),1,0)</f>
        <v>0</v>
      </c>
      <c r="AO112" s="304" cm="1">
        <f t="array" ref="AO112">IF(AND(AO$2&lt;&gt;0,TblTech[[#This Row],[Hour]:[Hour]]&gt;=AO$2),1,0)</f>
        <v>0</v>
      </c>
      <c r="AP112" s="304" cm="1">
        <f t="array" ref="AP112">IF(AND(AP$2&lt;&gt;0,TblTech[[#This Row],[Hour]:[Hour]]&gt;=AP$2),1,0)</f>
        <v>0</v>
      </c>
      <c r="AQ112" s="304" cm="1">
        <f t="array" ref="AQ112">IF(AND(AQ$2&lt;&gt;0,TblTech[[#This Row],[Hour]:[Hour]]&gt;=AQ$2),1,0)</f>
        <v>0</v>
      </c>
      <c r="AR112" s="304" cm="1">
        <f t="array" ref="AR112">IF(AND(AR$2&lt;&gt;0,TblTech[[#This Row],[Hour]:[Hour]]&gt;=AR$2),1,0)</f>
        <v>0</v>
      </c>
      <c r="AS112" s="304" cm="1">
        <f t="array" ref="AS112">IF(AND(AS$2&lt;&gt;0,TblTech[[#This Row],[Hour]:[Hour]]&gt;=AS$2),1,0)</f>
        <v>0</v>
      </c>
      <c r="AT112" s="304" cm="1">
        <f t="array" ref="AT112">IF(AND(AT$2&lt;&gt;0,TblTech[[#This Row],[Hour]:[Hour]]&gt;=AT$2),1,0)</f>
        <v>0</v>
      </c>
      <c r="AU112" s="304" cm="1">
        <f t="array" ref="AU112">IF(AND(AU$2&lt;&gt;0,TblTech[[#This Row],[Hour]:[Hour]]&gt;=AU$2),1,0)</f>
        <v>0</v>
      </c>
      <c r="AV112" s="304" cm="1">
        <f t="array" ref="AV112">IF(AND(AV$2&lt;&gt;0,TblTech[[#This Row],[Hour]:[Hour]]&gt;=AV$2),1,0)</f>
        <v>0</v>
      </c>
      <c r="AW112" s="304" cm="1">
        <f t="array" ref="AW112">IF(AND(AW$2&lt;&gt;0,TblTech[[#This Row],[Hour]:[Hour]]&gt;=AW$2),1,0)</f>
        <v>0</v>
      </c>
      <c r="AX112" s="304" cm="1">
        <f t="array" ref="AX112">IF(AND(AX$2&lt;&gt;0,TblTech[[#This Row],[Hour]:[Hour]]&gt;=AX$2),1,0)</f>
        <v>0</v>
      </c>
      <c r="AY112" s="304" cm="1">
        <f t="array" ref="AY112">IF(AND(AY$2&lt;&gt;0,TblTech[[#This Row],[Hour]:[Hour]]&gt;=AY$2),1,0)</f>
        <v>0</v>
      </c>
      <c r="AZ112" s="304" cm="1">
        <f t="array" ref="AZ112">IF(AND(AZ$2&lt;&gt;0,TblTech[[#This Row],[Hour]:[Hour]]&gt;=AZ$2),1,0)</f>
        <v>0</v>
      </c>
      <c r="BA112" s="304" cm="1">
        <f t="array" ref="BA112">IF(AND(BA$2&lt;&gt;0,TblTech[[#This Row],[Hour]:[Hour]]&gt;=BA$2),1,0)</f>
        <v>0</v>
      </c>
      <c r="BB112" s="304" cm="1">
        <f t="array" ref="BB112">IF(AND(BB$2&lt;&gt;0,TblTech[[#This Row],[Hour]:[Hour]]&gt;=BB$2),1,0)</f>
        <v>0</v>
      </c>
      <c r="BC112" s="304" cm="1">
        <f t="array" ref="BC112">IF(AND(BC$2&lt;&gt;0,TblTech[[#This Row],[Hour]:[Hour]]&gt;=BC$2),1,0)</f>
        <v>0</v>
      </c>
      <c r="BD112" s="304" cm="1">
        <f t="array" ref="BD112">IF(AND(BD$2&lt;&gt;0,TblTech[[#This Row],[Hour]:[Hour]]&gt;=BD$2),1,0)</f>
        <v>0</v>
      </c>
      <c r="BE112" s="304" cm="1">
        <f t="array" ref="BE112">IF(AND(BE$2&lt;&gt;0,TblTech[[#This Row],[Hour]:[Hour]]&gt;=BE$2),1,0)</f>
        <v>0</v>
      </c>
      <c r="BF112" s="304" cm="1">
        <f t="array" ref="BF112">IF(AND(BF$2&lt;&gt;0,TblTech[[#This Row],[Hour]:[Hour]]&gt;=BF$2),1,0)</f>
        <v>0</v>
      </c>
      <c r="BG112" s="304" cm="1">
        <f t="array" ref="BG112">IF(AND(BG$2&lt;&gt;0,TblTech[[#This Row],[Hour]:[Hour]]&gt;=BG$2),1,0)</f>
        <v>0</v>
      </c>
      <c r="BH112" s="304" cm="1">
        <f t="array" ref="BH112">IF(AND(BH$2&lt;&gt;0,TblTech[[#This Row],[Hour]:[Hour]]&gt;=BH$2),1,0)</f>
        <v>0</v>
      </c>
      <c r="BI112" s="304" cm="1">
        <f t="array" ref="BI112">IF(AND(BI$2&lt;&gt;0,TblTech[[#This Row],[Hour]:[Hour]]&gt;=BI$2),1,0)</f>
        <v>0</v>
      </c>
      <c r="BJ112" s="304" cm="1">
        <f t="array" ref="BJ112">IF(AND(BJ$2&lt;&gt;0,TblTech[[#This Row],[Hour]:[Hour]]&gt;=BJ$2),1,0)</f>
        <v>0</v>
      </c>
      <c r="BK112" s="304" cm="1">
        <f t="array" ref="BK112">IF(AND(BK$2&lt;&gt;0,TblTech[[#This Row],[Hour]:[Hour]]&gt;=BK$2),1,0)</f>
        <v>0</v>
      </c>
      <c r="BL112" s="304" cm="1">
        <f t="array" ref="BL112">IF(AND(BL$2&lt;&gt;0,TblTech[[#This Row],[Hour]:[Hour]]&gt;=BL$2),1,0)</f>
        <v>0</v>
      </c>
      <c r="BM112" s="304" cm="1">
        <f t="array" ref="BM112">IF(AND(BM$2&lt;&gt;0,TblTech[[#This Row],[Hour]:[Hour]]&gt;=BM$2),1,0)</f>
        <v>0</v>
      </c>
      <c r="BN112" s="304" cm="1">
        <f t="array" ref="BN112">IF(AND(BN$2&lt;&gt;0,TblTech[[#This Row],[Hour]:[Hour]]&gt;=BN$2),1,0)</f>
        <v>0</v>
      </c>
      <c r="BO112" s="304" cm="1">
        <f t="array" ref="BO112">IF(AND(BO$2&lt;&gt;0,TblTech[[#This Row],[Hour]:[Hour]]&gt;=BO$2),1,0)</f>
        <v>0</v>
      </c>
      <c r="BP112" s="304" cm="1">
        <f t="array" ref="BP112">IF(AND(BP$2&lt;&gt;0,TblTech[[#This Row],[Hour]:[Hour]]&gt;=BP$2),1,0)</f>
        <v>0</v>
      </c>
      <c r="BQ112" s="304" cm="1">
        <f t="array" ref="BQ112">IF(AND(BQ$2&lt;&gt;0,TblTech[[#This Row],[Hour]:[Hour]]&gt;=BQ$2),1,0)</f>
        <v>0</v>
      </c>
      <c r="BR112" s="304" cm="1">
        <f t="array" ref="BR112">IF(AND(BR$2&lt;&gt;0,TblTech[[#This Row],[Hour]:[Hour]]&gt;=BR$2),1,0)</f>
        <v>0</v>
      </c>
      <c r="BS112" s="304" cm="1">
        <f t="array" ref="BS112">IF(AND(BS$2&lt;&gt;0,TblTech[[#This Row],[Hour]:[Hour]]&gt;=BS$2),1,0)</f>
        <v>0</v>
      </c>
      <c r="BT112" s="304" cm="1">
        <f t="array" ref="BT112">IF(AND(BT$2&lt;&gt;0,TblTech[[#This Row],[Hour]:[Hour]]&gt;=BT$2),1,0)</f>
        <v>0</v>
      </c>
      <c r="BU112" s="304" cm="1">
        <f t="array" ref="BU112">IF(AND(BU$2&lt;&gt;0,TblTech[[#This Row],[Hour]:[Hour]]&gt;=BU$2),1,0)</f>
        <v>0</v>
      </c>
      <c r="BV112" s="304" cm="1">
        <f t="array" ref="BV112">IF(AND(BV$2&lt;&gt;0,TblTech[[#This Row],[Hour]:[Hour]]&gt;=BV$2),1,0)</f>
        <v>0</v>
      </c>
      <c r="BW112" s="304" cm="1">
        <f t="array" ref="BW112">IF(AND(BW$2&lt;&gt;0,TblTech[[#This Row],[Hour]:[Hour]]&gt;=BW$2),1,0)</f>
        <v>0</v>
      </c>
      <c r="BX112" s="304" cm="1">
        <f t="array" ref="BX112">IF(AND(BX$2&lt;&gt;0,TblTech[[#This Row],[Hour]:[Hour]]&gt;=BX$2),1,0)</f>
        <v>0</v>
      </c>
      <c r="BY112" s="304" cm="1">
        <f t="array" ref="BY112">IF(AND(BY$2&lt;&gt;0,TblTech[[#This Row],[Hour]:[Hour]]&gt;=BY$2),1,0)</f>
        <v>0</v>
      </c>
      <c r="BZ112" s="304" cm="1">
        <f t="array" ref="BZ112">IF(AND(BZ$2&lt;&gt;0,TblTech[[#This Row],[Hour]:[Hour]]&gt;=BZ$2),1,0)</f>
        <v>0</v>
      </c>
      <c r="CA112" s="408">
        <f>IFERROR(INDEX($H$4:$H$79,MATCH(INDEX(TblTech[[#Headers],[1-1]:[11-1]],1,MATCH(TblTech[[#This Row],[Hour]],$M$2:$BZ$2,0)),$G$4:$G$79,0)),)</f>
        <v>0</v>
      </c>
    </row>
    <row r="113" spans="1:79" x14ac:dyDescent="0.2">
      <c r="A113" s="296">
        <f>TblRezone[[#This Row],[Hour]]</f>
        <v>110</v>
      </c>
      <c r="B113" s="297">
        <f ca="1">TblExplore[[#This Row],[Land-DB]]</f>
        <v>250</v>
      </c>
      <c r="C113" s="298">
        <f ca="1">TblProd[[#This Row],[Techpoints]]</f>
        <v>0</v>
      </c>
      <c r="D113" s="298">
        <f ca="1">TblProd[[#This Row],[Required]]</f>
        <v>3750</v>
      </c>
      <c r="E113" s="307"/>
      <c r="F113" s="308"/>
      <c r="G113" s="301"/>
      <c r="H113" s="302"/>
      <c r="I113" s="302"/>
      <c r="J113" s="302"/>
      <c r="K113" s="96">
        <f ca="1">IF(TblTech[[#This Row],[Sum of tech]]&lt;&gt;OFFSET(TblTech[[#This Row],[Sum of tech]],-1,0),1,0)</f>
        <v>0</v>
      </c>
      <c r="L113" s="303">
        <f>COUNTIF(TblTech[[#This Row],[1-1]:[11-1]],1)</f>
        <v>0</v>
      </c>
      <c r="M113" s="304" cm="1">
        <f t="array" ref="M113">IF(AND(M$2&lt;&gt;0,TblTech[[#This Row],[Hour]:[Hour]]&gt;=M$2),1,0)</f>
        <v>0</v>
      </c>
      <c r="N113" s="304" cm="1">
        <f t="array" ref="N113">IF(AND(N$2&lt;&gt;0,TblTech[[#This Row],[Hour]:[Hour]]&gt;=N$2),1,0)</f>
        <v>0</v>
      </c>
      <c r="O113" s="304" cm="1">
        <f t="array" ref="O113">IF(AND(O$2&lt;&gt;0,TblTech[[#This Row],[Hour]:[Hour]]&gt;=O$2),1,0)</f>
        <v>0</v>
      </c>
      <c r="P113" s="304" cm="1">
        <f t="array" ref="P113">IF(AND(P$2&lt;&gt;0,TblTech[[#This Row],[Hour]:[Hour]]&gt;=P$2),1,0)</f>
        <v>0</v>
      </c>
      <c r="Q113" s="304" cm="1">
        <f t="array" ref="Q113">IF(AND(Q$2&lt;&gt;0,TblTech[[#This Row],[Hour]:[Hour]]&gt;=Q$2),1,0)</f>
        <v>0</v>
      </c>
      <c r="R113" s="304" cm="1">
        <f t="array" ref="R113">IF(AND(R$2&lt;&gt;0,TblTech[[#This Row],[Hour]:[Hour]]&gt;=R$2),1,0)</f>
        <v>0</v>
      </c>
      <c r="S113" s="304" cm="1">
        <f t="array" ref="S113">IF(AND(S$2&lt;&gt;0,TblTech[[#This Row],[Hour]:[Hour]]&gt;=S$2),1,0)</f>
        <v>0</v>
      </c>
      <c r="T113" s="304" cm="1">
        <f t="array" ref="T113">IF(AND(T$2&lt;&gt;0,TblTech[[#This Row],[Hour]:[Hour]]&gt;=T$2),1,0)</f>
        <v>0</v>
      </c>
      <c r="U113" s="304" cm="1">
        <f t="array" ref="U113">IF(AND(U$2&lt;&gt;0,TblTech[[#This Row],[Hour]:[Hour]]&gt;=U$2),1,0)</f>
        <v>0</v>
      </c>
      <c r="V113" s="304" cm="1">
        <f t="array" ref="V113">IF(AND(V$2&lt;&gt;0,TblTech[[#This Row],[Hour]:[Hour]]&gt;=V$2),1,0)</f>
        <v>0</v>
      </c>
      <c r="W113" s="304" cm="1">
        <f t="array" ref="W113">IF(AND(W$2&lt;&gt;0,TblTech[[#This Row],[Hour]:[Hour]]&gt;=W$2),1,0)</f>
        <v>0</v>
      </c>
      <c r="X113" s="304" cm="1">
        <f t="array" ref="X113">IF(AND(X$2&lt;&gt;0,TblTech[[#This Row],[Hour]:[Hour]]&gt;=X$2),1,0)</f>
        <v>0</v>
      </c>
      <c r="Y113" s="304" cm="1">
        <f t="array" ref="Y113">IF(AND(Y$2&lt;&gt;0,TblTech[[#This Row],[Hour]:[Hour]]&gt;=Y$2),1,0)</f>
        <v>0</v>
      </c>
      <c r="Z113" s="304" cm="1">
        <f t="array" ref="Z113">IF(AND(Z$2&lt;&gt;0,TblTech[[#This Row],[Hour]:[Hour]]&gt;=Z$2),1,0)</f>
        <v>0</v>
      </c>
      <c r="AA113" s="304" cm="1">
        <f t="array" ref="AA113">IF(AND(AA$2&lt;&gt;0,TblTech[[#This Row],[Hour]:[Hour]]&gt;=AA$2),1,0)</f>
        <v>0</v>
      </c>
      <c r="AB113" s="304" cm="1">
        <f t="array" ref="AB113">IF(AND(AB$2&lt;&gt;0,TblTech[[#This Row],[Hour]:[Hour]]&gt;=AB$2),1,0)</f>
        <v>0</v>
      </c>
      <c r="AC113" s="304" cm="1">
        <f t="array" ref="AC113">IF(AND(AC$2&lt;&gt;0,TblTech[[#This Row],[Hour]:[Hour]]&gt;=AC$2),1,0)</f>
        <v>0</v>
      </c>
      <c r="AD113" s="304" cm="1">
        <f t="array" ref="AD113">IF(AND(AD$2&lt;&gt;0,TblTech[[#This Row],[Hour]:[Hour]]&gt;=AD$2),1,0)</f>
        <v>0</v>
      </c>
      <c r="AE113" s="304" cm="1">
        <f t="array" ref="AE113">IF(AND(AE$2&lt;&gt;0,TblTech[[#This Row],[Hour]:[Hour]]&gt;=AE$2),1,0)</f>
        <v>0</v>
      </c>
      <c r="AF113" s="304" cm="1">
        <f t="array" ref="AF113">IF(AND(AF$2&lt;&gt;0,TblTech[[#This Row],[Hour]:[Hour]]&gt;=AF$2),1,0)</f>
        <v>0</v>
      </c>
      <c r="AG113" s="304" cm="1">
        <f t="array" ref="AG113">IF(AND(AG$2&lt;&gt;0,TblTech[[#This Row],[Hour]:[Hour]]&gt;=AG$2),1,0)</f>
        <v>0</v>
      </c>
      <c r="AH113" s="304" cm="1">
        <f t="array" ref="AH113">IF(AND(AH$2&lt;&gt;0,TblTech[[#This Row],[Hour]:[Hour]]&gt;=AH$2),1,0)</f>
        <v>0</v>
      </c>
      <c r="AI113" s="304" cm="1">
        <f t="array" ref="AI113">IF(AND(AI$2&lt;&gt;0,TblTech[[#This Row],[Hour]:[Hour]]&gt;=AI$2),1,0)</f>
        <v>0</v>
      </c>
      <c r="AJ113" s="304" cm="1">
        <f t="array" ref="AJ113">IF(AND(AJ$2&lt;&gt;0,TblTech[[#This Row],[Hour]:[Hour]]&gt;=AJ$2),1,0)</f>
        <v>0</v>
      </c>
      <c r="AK113" s="304" cm="1">
        <f t="array" ref="AK113">IF(AND(AK$2&lt;&gt;0,TblTech[[#This Row],[Hour]:[Hour]]&gt;=AK$2),1,0)</f>
        <v>0</v>
      </c>
      <c r="AL113" s="304" cm="1">
        <f t="array" ref="AL113">IF(AND(AL$2&lt;&gt;0,TblTech[[#This Row],[Hour]:[Hour]]&gt;=AL$2),1,0)</f>
        <v>0</v>
      </c>
      <c r="AM113" s="304" cm="1">
        <f t="array" ref="AM113">IF(AND(AM$2&lt;&gt;0,TblTech[[#This Row],[Hour]:[Hour]]&gt;=AM$2),1,0)</f>
        <v>0</v>
      </c>
      <c r="AN113" s="304" cm="1">
        <f t="array" ref="AN113">IF(AND(AN$2&lt;&gt;0,TblTech[[#This Row],[Hour]:[Hour]]&gt;=AN$2),1,0)</f>
        <v>0</v>
      </c>
      <c r="AO113" s="304" cm="1">
        <f t="array" ref="AO113">IF(AND(AO$2&lt;&gt;0,TblTech[[#This Row],[Hour]:[Hour]]&gt;=AO$2),1,0)</f>
        <v>0</v>
      </c>
      <c r="AP113" s="304" cm="1">
        <f t="array" ref="AP113">IF(AND(AP$2&lt;&gt;0,TblTech[[#This Row],[Hour]:[Hour]]&gt;=AP$2),1,0)</f>
        <v>0</v>
      </c>
      <c r="AQ113" s="304" cm="1">
        <f t="array" ref="AQ113">IF(AND(AQ$2&lt;&gt;0,TblTech[[#This Row],[Hour]:[Hour]]&gt;=AQ$2),1,0)</f>
        <v>0</v>
      </c>
      <c r="AR113" s="304" cm="1">
        <f t="array" ref="AR113">IF(AND(AR$2&lt;&gt;0,TblTech[[#This Row],[Hour]:[Hour]]&gt;=AR$2),1,0)</f>
        <v>0</v>
      </c>
      <c r="AS113" s="304" cm="1">
        <f t="array" ref="AS113">IF(AND(AS$2&lt;&gt;0,TblTech[[#This Row],[Hour]:[Hour]]&gt;=AS$2),1,0)</f>
        <v>0</v>
      </c>
      <c r="AT113" s="304" cm="1">
        <f t="array" ref="AT113">IF(AND(AT$2&lt;&gt;0,TblTech[[#This Row],[Hour]:[Hour]]&gt;=AT$2),1,0)</f>
        <v>0</v>
      </c>
      <c r="AU113" s="304" cm="1">
        <f t="array" ref="AU113">IF(AND(AU$2&lt;&gt;0,TblTech[[#This Row],[Hour]:[Hour]]&gt;=AU$2),1,0)</f>
        <v>0</v>
      </c>
      <c r="AV113" s="304" cm="1">
        <f t="array" ref="AV113">IF(AND(AV$2&lt;&gt;0,TblTech[[#This Row],[Hour]:[Hour]]&gt;=AV$2),1,0)</f>
        <v>0</v>
      </c>
      <c r="AW113" s="304" cm="1">
        <f t="array" ref="AW113">IF(AND(AW$2&lt;&gt;0,TblTech[[#This Row],[Hour]:[Hour]]&gt;=AW$2),1,0)</f>
        <v>0</v>
      </c>
      <c r="AX113" s="304" cm="1">
        <f t="array" ref="AX113">IF(AND(AX$2&lt;&gt;0,TblTech[[#This Row],[Hour]:[Hour]]&gt;=AX$2),1,0)</f>
        <v>0</v>
      </c>
      <c r="AY113" s="304" cm="1">
        <f t="array" ref="AY113">IF(AND(AY$2&lt;&gt;0,TblTech[[#This Row],[Hour]:[Hour]]&gt;=AY$2),1,0)</f>
        <v>0</v>
      </c>
      <c r="AZ113" s="304" cm="1">
        <f t="array" ref="AZ113">IF(AND(AZ$2&lt;&gt;0,TblTech[[#This Row],[Hour]:[Hour]]&gt;=AZ$2),1,0)</f>
        <v>0</v>
      </c>
      <c r="BA113" s="304" cm="1">
        <f t="array" ref="BA113">IF(AND(BA$2&lt;&gt;0,TblTech[[#This Row],[Hour]:[Hour]]&gt;=BA$2),1,0)</f>
        <v>0</v>
      </c>
      <c r="BB113" s="304" cm="1">
        <f t="array" ref="BB113">IF(AND(BB$2&lt;&gt;0,TblTech[[#This Row],[Hour]:[Hour]]&gt;=BB$2),1,0)</f>
        <v>0</v>
      </c>
      <c r="BC113" s="304" cm="1">
        <f t="array" ref="BC113">IF(AND(BC$2&lt;&gt;0,TblTech[[#This Row],[Hour]:[Hour]]&gt;=BC$2),1,0)</f>
        <v>0</v>
      </c>
      <c r="BD113" s="304" cm="1">
        <f t="array" ref="BD113">IF(AND(BD$2&lt;&gt;0,TblTech[[#This Row],[Hour]:[Hour]]&gt;=BD$2),1,0)</f>
        <v>0</v>
      </c>
      <c r="BE113" s="304" cm="1">
        <f t="array" ref="BE113">IF(AND(BE$2&lt;&gt;0,TblTech[[#This Row],[Hour]:[Hour]]&gt;=BE$2),1,0)</f>
        <v>0</v>
      </c>
      <c r="BF113" s="304" cm="1">
        <f t="array" ref="BF113">IF(AND(BF$2&lt;&gt;0,TblTech[[#This Row],[Hour]:[Hour]]&gt;=BF$2),1,0)</f>
        <v>0</v>
      </c>
      <c r="BG113" s="304" cm="1">
        <f t="array" ref="BG113">IF(AND(BG$2&lt;&gt;0,TblTech[[#This Row],[Hour]:[Hour]]&gt;=BG$2),1,0)</f>
        <v>0</v>
      </c>
      <c r="BH113" s="304" cm="1">
        <f t="array" ref="BH113">IF(AND(BH$2&lt;&gt;0,TblTech[[#This Row],[Hour]:[Hour]]&gt;=BH$2),1,0)</f>
        <v>0</v>
      </c>
      <c r="BI113" s="304" cm="1">
        <f t="array" ref="BI113">IF(AND(BI$2&lt;&gt;0,TblTech[[#This Row],[Hour]:[Hour]]&gt;=BI$2),1,0)</f>
        <v>0</v>
      </c>
      <c r="BJ113" s="304" cm="1">
        <f t="array" ref="BJ113">IF(AND(BJ$2&lt;&gt;0,TblTech[[#This Row],[Hour]:[Hour]]&gt;=BJ$2),1,0)</f>
        <v>0</v>
      </c>
      <c r="BK113" s="304" cm="1">
        <f t="array" ref="BK113">IF(AND(BK$2&lt;&gt;0,TblTech[[#This Row],[Hour]:[Hour]]&gt;=BK$2),1,0)</f>
        <v>0</v>
      </c>
      <c r="BL113" s="304" cm="1">
        <f t="array" ref="BL113">IF(AND(BL$2&lt;&gt;0,TblTech[[#This Row],[Hour]:[Hour]]&gt;=BL$2),1,0)</f>
        <v>0</v>
      </c>
      <c r="BM113" s="304" cm="1">
        <f t="array" ref="BM113">IF(AND(BM$2&lt;&gt;0,TblTech[[#This Row],[Hour]:[Hour]]&gt;=BM$2),1,0)</f>
        <v>0</v>
      </c>
      <c r="BN113" s="304" cm="1">
        <f t="array" ref="BN113">IF(AND(BN$2&lt;&gt;0,TblTech[[#This Row],[Hour]:[Hour]]&gt;=BN$2),1,0)</f>
        <v>0</v>
      </c>
      <c r="BO113" s="304" cm="1">
        <f t="array" ref="BO113">IF(AND(BO$2&lt;&gt;0,TblTech[[#This Row],[Hour]:[Hour]]&gt;=BO$2),1,0)</f>
        <v>0</v>
      </c>
      <c r="BP113" s="304" cm="1">
        <f t="array" ref="BP113">IF(AND(BP$2&lt;&gt;0,TblTech[[#This Row],[Hour]:[Hour]]&gt;=BP$2),1,0)</f>
        <v>0</v>
      </c>
      <c r="BQ113" s="304" cm="1">
        <f t="array" ref="BQ113">IF(AND(BQ$2&lt;&gt;0,TblTech[[#This Row],[Hour]:[Hour]]&gt;=BQ$2),1,0)</f>
        <v>0</v>
      </c>
      <c r="BR113" s="304" cm="1">
        <f t="array" ref="BR113">IF(AND(BR$2&lt;&gt;0,TblTech[[#This Row],[Hour]:[Hour]]&gt;=BR$2),1,0)</f>
        <v>0</v>
      </c>
      <c r="BS113" s="304" cm="1">
        <f t="array" ref="BS113">IF(AND(BS$2&lt;&gt;0,TblTech[[#This Row],[Hour]:[Hour]]&gt;=BS$2),1,0)</f>
        <v>0</v>
      </c>
      <c r="BT113" s="304" cm="1">
        <f t="array" ref="BT113">IF(AND(BT$2&lt;&gt;0,TblTech[[#This Row],[Hour]:[Hour]]&gt;=BT$2),1,0)</f>
        <v>0</v>
      </c>
      <c r="BU113" s="304" cm="1">
        <f t="array" ref="BU113">IF(AND(BU$2&lt;&gt;0,TblTech[[#This Row],[Hour]:[Hour]]&gt;=BU$2),1,0)</f>
        <v>0</v>
      </c>
      <c r="BV113" s="304" cm="1">
        <f t="array" ref="BV113">IF(AND(BV$2&lt;&gt;0,TblTech[[#This Row],[Hour]:[Hour]]&gt;=BV$2),1,0)</f>
        <v>0</v>
      </c>
      <c r="BW113" s="304" cm="1">
        <f t="array" ref="BW113">IF(AND(BW$2&lt;&gt;0,TblTech[[#This Row],[Hour]:[Hour]]&gt;=BW$2),1,0)</f>
        <v>0</v>
      </c>
      <c r="BX113" s="304" cm="1">
        <f t="array" ref="BX113">IF(AND(BX$2&lt;&gt;0,TblTech[[#This Row],[Hour]:[Hour]]&gt;=BX$2),1,0)</f>
        <v>0</v>
      </c>
      <c r="BY113" s="304" cm="1">
        <f t="array" ref="BY113">IF(AND(BY$2&lt;&gt;0,TblTech[[#This Row],[Hour]:[Hour]]&gt;=BY$2),1,0)</f>
        <v>0</v>
      </c>
      <c r="BZ113" s="304" cm="1">
        <f t="array" ref="BZ113">IF(AND(BZ$2&lt;&gt;0,TblTech[[#This Row],[Hour]:[Hour]]&gt;=BZ$2),1,0)</f>
        <v>0</v>
      </c>
      <c r="CA113" s="408">
        <f>IFERROR(INDEX($H$4:$H$79,MATCH(INDEX(TblTech[[#Headers],[1-1]:[11-1]],1,MATCH(TblTech[[#This Row],[Hour]],$M$2:$BZ$2,0)),$G$4:$G$79,0)),)</f>
        <v>0</v>
      </c>
    </row>
    <row r="114" spans="1:79" x14ac:dyDescent="0.2">
      <c r="A114" s="296">
        <f>TblRezone[[#This Row],[Hour]]</f>
        <v>111</v>
      </c>
      <c r="B114" s="297">
        <f ca="1">TblExplore[[#This Row],[Land-DB]]</f>
        <v>250</v>
      </c>
      <c r="C114" s="298">
        <f ca="1">TblProd[[#This Row],[Techpoints]]</f>
        <v>0</v>
      </c>
      <c r="D114" s="298">
        <f ca="1">TblProd[[#This Row],[Required]]</f>
        <v>3750</v>
      </c>
      <c r="E114" s="307"/>
      <c r="F114" s="308"/>
      <c r="G114" s="301"/>
      <c r="H114" s="302"/>
      <c r="I114" s="302"/>
      <c r="J114" s="302"/>
      <c r="K114" s="96">
        <f ca="1">IF(TblTech[[#This Row],[Sum of tech]]&lt;&gt;OFFSET(TblTech[[#This Row],[Sum of tech]],-1,0),1,0)</f>
        <v>0</v>
      </c>
      <c r="L114" s="303">
        <f>COUNTIF(TblTech[[#This Row],[1-1]:[11-1]],1)</f>
        <v>0</v>
      </c>
      <c r="M114" s="304" cm="1">
        <f t="array" ref="M114">IF(AND(M$2&lt;&gt;0,TblTech[[#This Row],[Hour]:[Hour]]&gt;=M$2),1,0)</f>
        <v>0</v>
      </c>
      <c r="N114" s="304" cm="1">
        <f t="array" ref="N114">IF(AND(N$2&lt;&gt;0,TblTech[[#This Row],[Hour]:[Hour]]&gt;=N$2),1,0)</f>
        <v>0</v>
      </c>
      <c r="O114" s="304" cm="1">
        <f t="array" ref="O114">IF(AND(O$2&lt;&gt;0,TblTech[[#This Row],[Hour]:[Hour]]&gt;=O$2),1,0)</f>
        <v>0</v>
      </c>
      <c r="P114" s="304" cm="1">
        <f t="array" ref="P114">IF(AND(P$2&lt;&gt;0,TblTech[[#This Row],[Hour]:[Hour]]&gt;=P$2),1,0)</f>
        <v>0</v>
      </c>
      <c r="Q114" s="304" cm="1">
        <f t="array" ref="Q114">IF(AND(Q$2&lt;&gt;0,TblTech[[#This Row],[Hour]:[Hour]]&gt;=Q$2),1,0)</f>
        <v>0</v>
      </c>
      <c r="R114" s="304" cm="1">
        <f t="array" ref="R114">IF(AND(R$2&lt;&gt;0,TblTech[[#This Row],[Hour]:[Hour]]&gt;=R$2),1,0)</f>
        <v>0</v>
      </c>
      <c r="S114" s="304" cm="1">
        <f t="array" ref="S114">IF(AND(S$2&lt;&gt;0,TblTech[[#This Row],[Hour]:[Hour]]&gt;=S$2),1,0)</f>
        <v>0</v>
      </c>
      <c r="T114" s="304" cm="1">
        <f t="array" ref="T114">IF(AND(T$2&lt;&gt;0,TblTech[[#This Row],[Hour]:[Hour]]&gt;=T$2),1,0)</f>
        <v>0</v>
      </c>
      <c r="U114" s="304" cm="1">
        <f t="array" ref="U114">IF(AND(U$2&lt;&gt;0,TblTech[[#This Row],[Hour]:[Hour]]&gt;=U$2),1,0)</f>
        <v>0</v>
      </c>
      <c r="V114" s="304" cm="1">
        <f t="array" ref="V114">IF(AND(V$2&lt;&gt;0,TblTech[[#This Row],[Hour]:[Hour]]&gt;=V$2),1,0)</f>
        <v>0</v>
      </c>
      <c r="W114" s="304" cm="1">
        <f t="array" ref="W114">IF(AND(W$2&lt;&gt;0,TblTech[[#This Row],[Hour]:[Hour]]&gt;=W$2),1,0)</f>
        <v>0</v>
      </c>
      <c r="X114" s="304" cm="1">
        <f t="array" ref="X114">IF(AND(X$2&lt;&gt;0,TblTech[[#This Row],[Hour]:[Hour]]&gt;=X$2),1,0)</f>
        <v>0</v>
      </c>
      <c r="Y114" s="304" cm="1">
        <f t="array" ref="Y114">IF(AND(Y$2&lt;&gt;0,TblTech[[#This Row],[Hour]:[Hour]]&gt;=Y$2),1,0)</f>
        <v>0</v>
      </c>
      <c r="Z114" s="304" cm="1">
        <f t="array" ref="Z114">IF(AND(Z$2&lt;&gt;0,TblTech[[#This Row],[Hour]:[Hour]]&gt;=Z$2),1,0)</f>
        <v>0</v>
      </c>
      <c r="AA114" s="304" cm="1">
        <f t="array" ref="AA114">IF(AND(AA$2&lt;&gt;0,TblTech[[#This Row],[Hour]:[Hour]]&gt;=AA$2),1,0)</f>
        <v>0</v>
      </c>
      <c r="AB114" s="304" cm="1">
        <f t="array" ref="AB114">IF(AND(AB$2&lt;&gt;0,TblTech[[#This Row],[Hour]:[Hour]]&gt;=AB$2),1,0)</f>
        <v>0</v>
      </c>
      <c r="AC114" s="304" cm="1">
        <f t="array" ref="AC114">IF(AND(AC$2&lt;&gt;0,TblTech[[#This Row],[Hour]:[Hour]]&gt;=AC$2),1,0)</f>
        <v>0</v>
      </c>
      <c r="AD114" s="304" cm="1">
        <f t="array" ref="AD114">IF(AND(AD$2&lt;&gt;0,TblTech[[#This Row],[Hour]:[Hour]]&gt;=AD$2),1,0)</f>
        <v>0</v>
      </c>
      <c r="AE114" s="304" cm="1">
        <f t="array" ref="AE114">IF(AND(AE$2&lt;&gt;0,TblTech[[#This Row],[Hour]:[Hour]]&gt;=AE$2),1,0)</f>
        <v>0</v>
      </c>
      <c r="AF114" s="304" cm="1">
        <f t="array" ref="AF114">IF(AND(AF$2&lt;&gt;0,TblTech[[#This Row],[Hour]:[Hour]]&gt;=AF$2),1,0)</f>
        <v>0</v>
      </c>
      <c r="AG114" s="304" cm="1">
        <f t="array" ref="AG114">IF(AND(AG$2&lt;&gt;0,TblTech[[#This Row],[Hour]:[Hour]]&gt;=AG$2),1,0)</f>
        <v>0</v>
      </c>
      <c r="AH114" s="304" cm="1">
        <f t="array" ref="AH114">IF(AND(AH$2&lt;&gt;0,TblTech[[#This Row],[Hour]:[Hour]]&gt;=AH$2),1,0)</f>
        <v>0</v>
      </c>
      <c r="AI114" s="304" cm="1">
        <f t="array" ref="AI114">IF(AND(AI$2&lt;&gt;0,TblTech[[#This Row],[Hour]:[Hour]]&gt;=AI$2),1,0)</f>
        <v>0</v>
      </c>
      <c r="AJ114" s="304" cm="1">
        <f t="array" ref="AJ114">IF(AND(AJ$2&lt;&gt;0,TblTech[[#This Row],[Hour]:[Hour]]&gt;=AJ$2),1,0)</f>
        <v>0</v>
      </c>
      <c r="AK114" s="304" cm="1">
        <f t="array" ref="AK114">IF(AND(AK$2&lt;&gt;0,TblTech[[#This Row],[Hour]:[Hour]]&gt;=AK$2),1,0)</f>
        <v>0</v>
      </c>
      <c r="AL114" s="304" cm="1">
        <f t="array" ref="AL114">IF(AND(AL$2&lt;&gt;0,TblTech[[#This Row],[Hour]:[Hour]]&gt;=AL$2),1,0)</f>
        <v>0</v>
      </c>
      <c r="AM114" s="304" cm="1">
        <f t="array" ref="AM114">IF(AND(AM$2&lt;&gt;0,TblTech[[#This Row],[Hour]:[Hour]]&gt;=AM$2),1,0)</f>
        <v>0</v>
      </c>
      <c r="AN114" s="304" cm="1">
        <f t="array" ref="AN114">IF(AND(AN$2&lt;&gt;0,TblTech[[#This Row],[Hour]:[Hour]]&gt;=AN$2),1,0)</f>
        <v>0</v>
      </c>
      <c r="AO114" s="304" cm="1">
        <f t="array" ref="AO114">IF(AND(AO$2&lt;&gt;0,TblTech[[#This Row],[Hour]:[Hour]]&gt;=AO$2),1,0)</f>
        <v>0</v>
      </c>
      <c r="AP114" s="304" cm="1">
        <f t="array" ref="AP114">IF(AND(AP$2&lt;&gt;0,TblTech[[#This Row],[Hour]:[Hour]]&gt;=AP$2),1,0)</f>
        <v>0</v>
      </c>
      <c r="AQ114" s="304" cm="1">
        <f t="array" ref="AQ114">IF(AND(AQ$2&lt;&gt;0,TblTech[[#This Row],[Hour]:[Hour]]&gt;=AQ$2),1,0)</f>
        <v>0</v>
      </c>
      <c r="AR114" s="304" cm="1">
        <f t="array" ref="AR114">IF(AND(AR$2&lt;&gt;0,TblTech[[#This Row],[Hour]:[Hour]]&gt;=AR$2),1,0)</f>
        <v>0</v>
      </c>
      <c r="AS114" s="304" cm="1">
        <f t="array" ref="AS114">IF(AND(AS$2&lt;&gt;0,TblTech[[#This Row],[Hour]:[Hour]]&gt;=AS$2),1,0)</f>
        <v>0</v>
      </c>
      <c r="AT114" s="304" cm="1">
        <f t="array" ref="AT114">IF(AND(AT$2&lt;&gt;0,TblTech[[#This Row],[Hour]:[Hour]]&gt;=AT$2),1,0)</f>
        <v>0</v>
      </c>
      <c r="AU114" s="304" cm="1">
        <f t="array" ref="AU114">IF(AND(AU$2&lt;&gt;0,TblTech[[#This Row],[Hour]:[Hour]]&gt;=AU$2),1,0)</f>
        <v>0</v>
      </c>
      <c r="AV114" s="304" cm="1">
        <f t="array" ref="AV114">IF(AND(AV$2&lt;&gt;0,TblTech[[#This Row],[Hour]:[Hour]]&gt;=AV$2),1,0)</f>
        <v>0</v>
      </c>
      <c r="AW114" s="304" cm="1">
        <f t="array" ref="AW114">IF(AND(AW$2&lt;&gt;0,TblTech[[#This Row],[Hour]:[Hour]]&gt;=AW$2),1,0)</f>
        <v>0</v>
      </c>
      <c r="AX114" s="304" cm="1">
        <f t="array" ref="AX114">IF(AND(AX$2&lt;&gt;0,TblTech[[#This Row],[Hour]:[Hour]]&gt;=AX$2),1,0)</f>
        <v>0</v>
      </c>
      <c r="AY114" s="304" cm="1">
        <f t="array" ref="AY114">IF(AND(AY$2&lt;&gt;0,TblTech[[#This Row],[Hour]:[Hour]]&gt;=AY$2),1,0)</f>
        <v>0</v>
      </c>
      <c r="AZ114" s="304" cm="1">
        <f t="array" ref="AZ114">IF(AND(AZ$2&lt;&gt;0,TblTech[[#This Row],[Hour]:[Hour]]&gt;=AZ$2),1,0)</f>
        <v>0</v>
      </c>
      <c r="BA114" s="304" cm="1">
        <f t="array" ref="BA114">IF(AND(BA$2&lt;&gt;0,TblTech[[#This Row],[Hour]:[Hour]]&gt;=BA$2),1,0)</f>
        <v>0</v>
      </c>
      <c r="BB114" s="304" cm="1">
        <f t="array" ref="BB114">IF(AND(BB$2&lt;&gt;0,TblTech[[#This Row],[Hour]:[Hour]]&gt;=BB$2),1,0)</f>
        <v>0</v>
      </c>
      <c r="BC114" s="304" cm="1">
        <f t="array" ref="BC114">IF(AND(BC$2&lt;&gt;0,TblTech[[#This Row],[Hour]:[Hour]]&gt;=BC$2),1,0)</f>
        <v>0</v>
      </c>
      <c r="BD114" s="304" cm="1">
        <f t="array" ref="BD114">IF(AND(BD$2&lt;&gt;0,TblTech[[#This Row],[Hour]:[Hour]]&gt;=BD$2),1,0)</f>
        <v>0</v>
      </c>
      <c r="BE114" s="304" cm="1">
        <f t="array" ref="BE114">IF(AND(BE$2&lt;&gt;0,TblTech[[#This Row],[Hour]:[Hour]]&gt;=BE$2),1,0)</f>
        <v>0</v>
      </c>
      <c r="BF114" s="304" cm="1">
        <f t="array" ref="BF114">IF(AND(BF$2&lt;&gt;0,TblTech[[#This Row],[Hour]:[Hour]]&gt;=BF$2),1,0)</f>
        <v>0</v>
      </c>
      <c r="BG114" s="304" cm="1">
        <f t="array" ref="BG114">IF(AND(BG$2&lt;&gt;0,TblTech[[#This Row],[Hour]:[Hour]]&gt;=BG$2),1,0)</f>
        <v>0</v>
      </c>
      <c r="BH114" s="304" cm="1">
        <f t="array" ref="BH114">IF(AND(BH$2&lt;&gt;0,TblTech[[#This Row],[Hour]:[Hour]]&gt;=BH$2),1,0)</f>
        <v>0</v>
      </c>
      <c r="BI114" s="304" cm="1">
        <f t="array" ref="BI114">IF(AND(BI$2&lt;&gt;0,TblTech[[#This Row],[Hour]:[Hour]]&gt;=BI$2),1,0)</f>
        <v>0</v>
      </c>
      <c r="BJ114" s="304" cm="1">
        <f t="array" ref="BJ114">IF(AND(BJ$2&lt;&gt;0,TblTech[[#This Row],[Hour]:[Hour]]&gt;=BJ$2),1,0)</f>
        <v>0</v>
      </c>
      <c r="BK114" s="304" cm="1">
        <f t="array" ref="BK114">IF(AND(BK$2&lt;&gt;0,TblTech[[#This Row],[Hour]:[Hour]]&gt;=BK$2),1,0)</f>
        <v>0</v>
      </c>
      <c r="BL114" s="304" cm="1">
        <f t="array" ref="BL114">IF(AND(BL$2&lt;&gt;0,TblTech[[#This Row],[Hour]:[Hour]]&gt;=BL$2),1,0)</f>
        <v>0</v>
      </c>
      <c r="BM114" s="304" cm="1">
        <f t="array" ref="BM114">IF(AND(BM$2&lt;&gt;0,TblTech[[#This Row],[Hour]:[Hour]]&gt;=BM$2),1,0)</f>
        <v>0</v>
      </c>
      <c r="BN114" s="304" cm="1">
        <f t="array" ref="BN114">IF(AND(BN$2&lt;&gt;0,TblTech[[#This Row],[Hour]:[Hour]]&gt;=BN$2),1,0)</f>
        <v>0</v>
      </c>
      <c r="BO114" s="304" cm="1">
        <f t="array" ref="BO114">IF(AND(BO$2&lt;&gt;0,TblTech[[#This Row],[Hour]:[Hour]]&gt;=BO$2),1,0)</f>
        <v>0</v>
      </c>
      <c r="BP114" s="304" cm="1">
        <f t="array" ref="BP114">IF(AND(BP$2&lt;&gt;0,TblTech[[#This Row],[Hour]:[Hour]]&gt;=BP$2),1,0)</f>
        <v>0</v>
      </c>
      <c r="BQ114" s="304" cm="1">
        <f t="array" ref="BQ114">IF(AND(BQ$2&lt;&gt;0,TblTech[[#This Row],[Hour]:[Hour]]&gt;=BQ$2),1,0)</f>
        <v>0</v>
      </c>
      <c r="BR114" s="304" cm="1">
        <f t="array" ref="BR114">IF(AND(BR$2&lt;&gt;0,TblTech[[#This Row],[Hour]:[Hour]]&gt;=BR$2),1,0)</f>
        <v>0</v>
      </c>
      <c r="BS114" s="304" cm="1">
        <f t="array" ref="BS114">IF(AND(BS$2&lt;&gt;0,TblTech[[#This Row],[Hour]:[Hour]]&gt;=BS$2),1,0)</f>
        <v>0</v>
      </c>
      <c r="BT114" s="304" cm="1">
        <f t="array" ref="BT114">IF(AND(BT$2&lt;&gt;0,TblTech[[#This Row],[Hour]:[Hour]]&gt;=BT$2),1,0)</f>
        <v>0</v>
      </c>
      <c r="BU114" s="304" cm="1">
        <f t="array" ref="BU114">IF(AND(BU$2&lt;&gt;0,TblTech[[#This Row],[Hour]:[Hour]]&gt;=BU$2),1,0)</f>
        <v>0</v>
      </c>
      <c r="BV114" s="304" cm="1">
        <f t="array" ref="BV114">IF(AND(BV$2&lt;&gt;0,TblTech[[#This Row],[Hour]:[Hour]]&gt;=BV$2),1,0)</f>
        <v>0</v>
      </c>
      <c r="BW114" s="304" cm="1">
        <f t="array" ref="BW114">IF(AND(BW$2&lt;&gt;0,TblTech[[#This Row],[Hour]:[Hour]]&gt;=BW$2),1,0)</f>
        <v>0</v>
      </c>
      <c r="BX114" s="304" cm="1">
        <f t="array" ref="BX114">IF(AND(BX$2&lt;&gt;0,TblTech[[#This Row],[Hour]:[Hour]]&gt;=BX$2),1,0)</f>
        <v>0</v>
      </c>
      <c r="BY114" s="304" cm="1">
        <f t="array" ref="BY114">IF(AND(BY$2&lt;&gt;0,TblTech[[#This Row],[Hour]:[Hour]]&gt;=BY$2),1,0)</f>
        <v>0</v>
      </c>
      <c r="BZ114" s="304" cm="1">
        <f t="array" ref="BZ114">IF(AND(BZ$2&lt;&gt;0,TblTech[[#This Row],[Hour]:[Hour]]&gt;=BZ$2),1,0)</f>
        <v>0</v>
      </c>
      <c r="CA114" s="408">
        <f>IFERROR(INDEX($H$4:$H$79,MATCH(INDEX(TblTech[[#Headers],[1-1]:[11-1]],1,MATCH(TblTech[[#This Row],[Hour]],$M$2:$BZ$2,0)),$G$4:$G$79,0)),)</f>
        <v>0</v>
      </c>
    </row>
    <row r="115" spans="1:79" x14ac:dyDescent="0.2">
      <c r="A115" s="296">
        <f>TblRezone[[#This Row],[Hour]]</f>
        <v>112</v>
      </c>
      <c r="B115" s="297">
        <f ca="1">TblExplore[[#This Row],[Land-DB]]</f>
        <v>250</v>
      </c>
      <c r="C115" s="298">
        <f ca="1">TblProd[[#This Row],[Techpoints]]</f>
        <v>0</v>
      </c>
      <c r="D115" s="298">
        <f ca="1">TblProd[[#This Row],[Required]]</f>
        <v>3750</v>
      </c>
      <c r="E115" s="307"/>
      <c r="F115" s="308"/>
      <c r="G115" s="301"/>
      <c r="H115" s="302"/>
      <c r="I115" s="302"/>
      <c r="J115" s="302"/>
      <c r="K115" s="96">
        <f ca="1">IF(TblTech[[#This Row],[Sum of tech]]&lt;&gt;OFFSET(TblTech[[#This Row],[Sum of tech]],-1,0),1,0)</f>
        <v>0</v>
      </c>
      <c r="L115" s="303">
        <f>COUNTIF(TblTech[[#This Row],[1-1]:[11-1]],1)</f>
        <v>0</v>
      </c>
      <c r="M115" s="304" cm="1">
        <f t="array" ref="M115">IF(AND(M$2&lt;&gt;0,TblTech[[#This Row],[Hour]:[Hour]]&gt;=M$2),1,0)</f>
        <v>0</v>
      </c>
      <c r="N115" s="304" cm="1">
        <f t="array" ref="N115">IF(AND(N$2&lt;&gt;0,TblTech[[#This Row],[Hour]:[Hour]]&gt;=N$2),1,0)</f>
        <v>0</v>
      </c>
      <c r="O115" s="304" cm="1">
        <f t="array" ref="O115">IF(AND(O$2&lt;&gt;0,TblTech[[#This Row],[Hour]:[Hour]]&gt;=O$2),1,0)</f>
        <v>0</v>
      </c>
      <c r="P115" s="304" cm="1">
        <f t="array" ref="P115">IF(AND(P$2&lt;&gt;0,TblTech[[#This Row],[Hour]:[Hour]]&gt;=P$2),1,0)</f>
        <v>0</v>
      </c>
      <c r="Q115" s="304" cm="1">
        <f t="array" ref="Q115">IF(AND(Q$2&lt;&gt;0,TblTech[[#This Row],[Hour]:[Hour]]&gt;=Q$2),1,0)</f>
        <v>0</v>
      </c>
      <c r="R115" s="304" cm="1">
        <f t="array" ref="R115">IF(AND(R$2&lt;&gt;0,TblTech[[#This Row],[Hour]:[Hour]]&gt;=R$2),1,0)</f>
        <v>0</v>
      </c>
      <c r="S115" s="304" cm="1">
        <f t="array" ref="S115">IF(AND(S$2&lt;&gt;0,TblTech[[#This Row],[Hour]:[Hour]]&gt;=S$2),1,0)</f>
        <v>0</v>
      </c>
      <c r="T115" s="304" cm="1">
        <f t="array" ref="T115">IF(AND(T$2&lt;&gt;0,TblTech[[#This Row],[Hour]:[Hour]]&gt;=T$2),1,0)</f>
        <v>0</v>
      </c>
      <c r="U115" s="304" cm="1">
        <f t="array" ref="U115">IF(AND(U$2&lt;&gt;0,TblTech[[#This Row],[Hour]:[Hour]]&gt;=U$2),1,0)</f>
        <v>0</v>
      </c>
      <c r="V115" s="304" cm="1">
        <f t="array" ref="V115">IF(AND(V$2&lt;&gt;0,TblTech[[#This Row],[Hour]:[Hour]]&gt;=V$2),1,0)</f>
        <v>0</v>
      </c>
      <c r="W115" s="304" cm="1">
        <f t="array" ref="W115">IF(AND(W$2&lt;&gt;0,TblTech[[#This Row],[Hour]:[Hour]]&gt;=W$2),1,0)</f>
        <v>0</v>
      </c>
      <c r="X115" s="304" cm="1">
        <f t="array" ref="X115">IF(AND(X$2&lt;&gt;0,TblTech[[#This Row],[Hour]:[Hour]]&gt;=X$2),1,0)</f>
        <v>0</v>
      </c>
      <c r="Y115" s="304" cm="1">
        <f t="array" ref="Y115">IF(AND(Y$2&lt;&gt;0,TblTech[[#This Row],[Hour]:[Hour]]&gt;=Y$2),1,0)</f>
        <v>0</v>
      </c>
      <c r="Z115" s="304" cm="1">
        <f t="array" ref="Z115">IF(AND(Z$2&lt;&gt;0,TblTech[[#This Row],[Hour]:[Hour]]&gt;=Z$2),1,0)</f>
        <v>0</v>
      </c>
      <c r="AA115" s="304" cm="1">
        <f t="array" ref="AA115">IF(AND(AA$2&lt;&gt;0,TblTech[[#This Row],[Hour]:[Hour]]&gt;=AA$2),1,0)</f>
        <v>0</v>
      </c>
      <c r="AB115" s="304" cm="1">
        <f t="array" ref="AB115">IF(AND(AB$2&lt;&gt;0,TblTech[[#This Row],[Hour]:[Hour]]&gt;=AB$2),1,0)</f>
        <v>0</v>
      </c>
      <c r="AC115" s="304" cm="1">
        <f t="array" ref="AC115">IF(AND(AC$2&lt;&gt;0,TblTech[[#This Row],[Hour]:[Hour]]&gt;=AC$2),1,0)</f>
        <v>0</v>
      </c>
      <c r="AD115" s="304" cm="1">
        <f t="array" ref="AD115">IF(AND(AD$2&lt;&gt;0,TblTech[[#This Row],[Hour]:[Hour]]&gt;=AD$2),1,0)</f>
        <v>0</v>
      </c>
      <c r="AE115" s="304" cm="1">
        <f t="array" ref="AE115">IF(AND(AE$2&lt;&gt;0,TblTech[[#This Row],[Hour]:[Hour]]&gt;=AE$2),1,0)</f>
        <v>0</v>
      </c>
      <c r="AF115" s="304" cm="1">
        <f t="array" ref="AF115">IF(AND(AF$2&lt;&gt;0,TblTech[[#This Row],[Hour]:[Hour]]&gt;=AF$2),1,0)</f>
        <v>0</v>
      </c>
      <c r="AG115" s="304" cm="1">
        <f t="array" ref="AG115">IF(AND(AG$2&lt;&gt;0,TblTech[[#This Row],[Hour]:[Hour]]&gt;=AG$2),1,0)</f>
        <v>0</v>
      </c>
      <c r="AH115" s="304" cm="1">
        <f t="array" ref="AH115">IF(AND(AH$2&lt;&gt;0,TblTech[[#This Row],[Hour]:[Hour]]&gt;=AH$2),1,0)</f>
        <v>0</v>
      </c>
      <c r="AI115" s="304" cm="1">
        <f t="array" ref="AI115">IF(AND(AI$2&lt;&gt;0,TblTech[[#This Row],[Hour]:[Hour]]&gt;=AI$2),1,0)</f>
        <v>0</v>
      </c>
      <c r="AJ115" s="304" cm="1">
        <f t="array" ref="AJ115">IF(AND(AJ$2&lt;&gt;0,TblTech[[#This Row],[Hour]:[Hour]]&gt;=AJ$2),1,0)</f>
        <v>0</v>
      </c>
      <c r="AK115" s="304" cm="1">
        <f t="array" ref="AK115">IF(AND(AK$2&lt;&gt;0,TblTech[[#This Row],[Hour]:[Hour]]&gt;=AK$2),1,0)</f>
        <v>0</v>
      </c>
      <c r="AL115" s="304" cm="1">
        <f t="array" ref="AL115">IF(AND(AL$2&lt;&gt;0,TblTech[[#This Row],[Hour]:[Hour]]&gt;=AL$2),1,0)</f>
        <v>0</v>
      </c>
      <c r="AM115" s="304" cm="1">
        <f t="array" ref="AM115">IF(AND(AM$2&lt;&gt;0,TblTech[[#This Row],[Hour]:[Hour]]&gt;=AM$2),1,0)</f>
        <v>0</v>
      </c>
      <c r="AN115" s="304" cm="1">
        <f t="array" ref="AN115">IF(AND(AN$2&lt;&gt;0,TblTech[[#This Row],[Hour]:[Hour]]&gt;=AN$2),1,0)</f>
        <v>0</v>
      </c>
      <c r="AO115" s="304" cm="1">
        <f t="array" ref="AO115">IF(AND(AO$2&lt;&gt;0,TblTech[[#This Row],[Hour]:[Hour]]&gt;=AO$2),1,0)</f>
        <v>0</v>
      </c>
      <c r="AP115" s="304" cm="1">
        <f t="array" ref="AP115">IF(AND(AP$2&lt;&gt;0,TblTech[[#This Row],[Hour]:[Hour]]&gt;=AP$2),1,0)</f>
        <v>0</v>
      </c>
      <c r="AQ115" s="304" cm="1">
        <f t="array" ref="AQ115">IF(AND(AQ$2&lt;&gt;0,TblTech[[#This Row],[Hour]:[Hour]]&gt;=AQ$2),1,0)</f>
        <v>0</v>
      </c>
      <c r="AR115" s="304" cm="1">
        <f t="array" ref="AR115">IF(AND(AR$2&lt;&gt;0,TblTech[[#This Row],[Hour]:[Hour]]&gt;=AR$2),1,0)</f>
        <v>0</v>
      </c>
      <c r="AS115" s="304" cm="1">
        <f t="array" ref="AS115">IF(AND(AS$2&lt;&gt;0,TblTech[[#This Row],[Hour]:[Hour]]&gt;=AS$2),1,0)</f>
        <v>0</v>
      </c>
      <c r="AT115" s="304" cm="1">
        <f t="array" ref="AT115">IF(AND(AT$2&lt;&gt;0,TblTech[[#This Row],[Hour]:[Hour]]&gt;=AT$2),1,0)</f>
        <v>0</v>
      </c>
      <c r="AU115" s="304" cm="1">
        <f t="array" ref="AU115">IF(AND(AU$2&lt;&gt;0,TblTech[[#This Row],[Hour]:[Hour]]&gt;=AU$2),1,0)</f>
        <v>0</v>
      </c>
      <c r="AV115" s="304" cm="1">
        <f t="array" ref="AV115">IF(AND(AV$2&lt;&gt;0,TblTech[[#This Row],[Hour]:[Hour]]&gt;=AV$2),1,0)</f>
        <v>0</v>
      </c>
      <c r="AW115" s="304" cm="1">
        <f t="array" ref="AW115">IF(AND(AW$2&lt;&gt;0,TblTech[[#This Row],[Hour]:[Hour]]&gt;=AW$2),1,0)</f>
        <v>0</v>
      </c>
      <c r="AX115" s="304" cm="1">
        <f t="array" ref="AX115">IF(AND(AX$2&lt;&gt;0,TblTech[[#This Row],[Hour]:[Hour]]&gt;=AX$2),1,0)</f>
        <v>0</v>
      </c>
      <c r="AY115" s="304" cm="1">
        <f t="array" ref="AY115">IF(AND(AY$2&lt;&gt;0,TblTech[[#This Row],[Hour]:[Hour]]&gt;=AY$2),1,0)</f>
        <v>0</v>
      </c>
      <c r="AZ115" s="304" cm="1">
        <f t="array" ref="AZ115">IF(AND(AZ$2&lt;&gt;0,TblTech[[#This Row],[Hour]:[Hour]]&gt;=AZ$2),1,0)</f>
        <v>0</v>
      </c>
      <c r="BA115" s="304" cm="1">
        <f t="array" ref="BA115">IF(AND(BA$2&lt;&gt;0,TblTech[[#This Row],[Hour]:[Hour]]&gt;=BA$2),1,0)</f>
        <v>0</v>
      </c>
      <c r="BB115" s="304" cm="1">
        <f t="array" ref="BB115">IF(AND(BB$2&lt;&gt;0,TblTech[[#This Row],[Hour]:[Hour]]&gt;=BB$2),1,0)</f>
        <v>0</v>
      </c>
      <c r="BC115" s="304" cm="1">
        <f t="array" ref="BC115">IF(AND(BC$2&lt;&gt;0,TblTech[[#This Row],[Hour]:[Hour]]&gt;=BC$2),1,0)</f>
        <v>0</v>
      </c>
      <c r="BD115" s="304" cm="1">
        <f t="array" ref="BD115">IF(AND(BD$2&lt;&gt;0,TblTech[[#This Row],[Hour]:[Hour]]&gt;=BD$2),1,0)</f>
        <v>0</v>
      </c>
      <c r="BE115" s="304" cm="1">
        <f t="array" ref="BE115">IF(AND(BE$2&lt;&gt;0,TblTech[[#This Row],[Hour]:[Hour]]&gt;=BE$2),1,0)</f>
        <v>0</v>
      </c>
      <c r="BF115" s="304" cm="1">
        <f t="array" ref="BF115">IF(AND(BF$2&lt;&gt;0,TblTech[[#This Row],[Hour]:[Hour]]&gt;=BF$2),1,0)</f>
        <v>0</v>
      </c>
      <c r="BG115" s="304" cm="1">
        <f t="array" ref="BG115">IF(AND(BG$2&lt;&gt;0,TblTech[[#This Row],[Hour]:[Hour]]&gt;=BG$2),1,0)</f>
        <v>0</v>
      </c>
      <c r="BH115" s="304" cm="1">
        <f t="array" ref="BH115">IF(AND(BH$2&lt;&gt;0,TblTech[[#This Row],[Hour]:[Hour]]&gt;=BH$2),1,0)</f>
        <v>0</v>
      </c>
      <c r="BI115" s="304" cm="1">
        <f t="array" ref="BI115">IF(AND(BI$2&lt;&gt;0,TblTech[[#This Row],[Hour]:[Hour]]&gt;=BI$2),1,0)</f>
        <v>0</v>
      </c>
      <c r="BJ115" s="304" cm="1">
        <f t="array" ref="BJ115">IF(AND(BJ$2&lt;&gt;0,TblTech[[#This Row],[Hour]:[Hour]]&gt;=BJ$2),1,0)</f>
        <v>0</v>
      </c>
      <c r="BK115" s="304" cm="1">
        <f t="array" ref="BK115">IF(AND(BK$2&lt;&gt;0,TblTech[[#This Row],[Hour]:[Hour]]&gt;=BK$2),1,0)</f>
        <v>0</v>
      </c>
      <c r="BL115" s="304" cm="1">
        <f t="array" ref="BL115">IF(AND(BL$2&lt;&gt;0,TblTech[[#This Row],[Hour]:[Hour]]&gt;=BL$2),1,0)</f>
        <v>0</v>
      </c>
      <c r="BM115" s="304" cm="1">
        <f t="array" ref="BM115">IF(AND(BM$2&lt;&gt;0,TblTech[[#This Row],[Hour]:[Hour]]&gt;=BM$2),1,0)</f>
        <v>0</v>
      </c>
      <c r="BN115" s="304" cm="1">
        <f t="array" ref="BN115">IF(AND(BN$2&lt;&gt;0,TblTech[[#This Row],[Hour]:[Hour]]&gt;=BN$2),1,0)</f>
        <v>0</v>
      </c>
      <c r="BO115" s="304" cm="1">
        <f t="array" ref="BO115">IF(AND(BO$2&lt;&gt;0,TblTech[[#This Row],[Hour]:[Hour]]&gt;=BO$2),1,0)</f>
        <v>0</v>
      </c>
      <c r="BP115" s="304" cm="1">
        <f t="array" ref="BP115">IF(AND(BP$2&lt;&gt;0,TblTech[[#This Row],[Hour]:[Hour]]&gt;=BP$2),1,0)</f>
        <v>0</v>
      </c>
      <c r="BQ115" s="304" cm="1">
        <f t="array" ref="BQ115">IF(AND(BQ$2&lt;&gt;0,TblTech[[#This Row],[Hour]:[Hour]]&gt;=BQ$2),1,0)</f>
        <v>0</v>
      </c>
      <c r="BR115" s="304" cm="1">
        <f t="array" ref="BR115">IF(AND(BR$2&lt;&gt;0,TblTech[[#This Row],[Hour]:[Hour]]&gt;=BR$2),1,0)</f>
        <v>0</v>
      </c>
      <c r="BS115" s="304" cm="1">
        <f t="array" ref="BS115">IF(AND(BS$2&lt;&gt;0,TblTech[[#This Row],[Hour]:[Hour]]&gt;=BS$2),1,0)</f>
        <v>0</v>
      </c>
      <c r="BT115" s="304" cm="1">
        <f t="array" ref="BT115">IF(AND(BT$2&lt;&gt;0,TblTech[[#This Row],[Hour]:[Hour]]&gt;=BT$2),1,0)</f>
        <v>0</v>
      </c>
      <c r="BU115" s="304" cm="1">
        <f t="array" ref="BU115">IF(AND(BU$2&lt;&gt;0,TblTech[[#This Row],[Hour]:[Hour]]&gt;=BU$2),1,0)</f>
        <v>0</v>
      </c>
      <c r="BV115" s="304" cm="1">
        <f t="array" ref="BV115">IF(AND(BV$2&lt;&gt;0,TblTech[[#This Row],[Hour]:[Hour]]&gt;=BV$2),1,0)</f>
        <v>0</v>
      </c>
      <c r="BW115" s="304" cm="1">
        <f t="array" ref="BW115">IF(AND(BW$2&lt;&gt;0,TblTech[[#This Row],[Hour]:[Hour]]&gt;=BW$2),1,0)</f>
        <v>0</v>
      </c>
      <c r="BX115" s="304" cm="1">
        <f t="array" ref="BX115">IF(AND(BX$2&lt;&gt;0,TblTech[[#This Row],[Hour]:[Hour]]&gt;=BX$2),1,0)</f>
        <v>0</v>
      </c>
      <c r="BY115" s="304" cm="1">
        <f t="array" ref="BY115">IF(AND(BY$2&lt;&gt;0,TblTech[[#This Row],[Hour]:[Hour]]&gt;=BY$2),1,0)</f>
        <v>0</v>
      </c>
      <c r="BZ115" s="304" cm="1">
        <f t="array" ref="BZ115">IF(AND(BZ$2&lt;&gt;0,TblTech[[#This Row],[Hour]:[Hour]]&gt;=BZ$2),1,0)</f>
        <v>0</v>
      </c>
      <c r="CA115" s="408">
        <f>IFERROR(INDEX($H$4:$H$79,MATCH(INDEX(TblTech[[#Headers],[1-1]:[11-1]],1,MATCH(TblTech[[#This Row],[Hour]],$M$2:$BZ$2,0)),$G$4:$G$79,0)),)</f>
        <v>0</v>
      </c>
    </row>
    <row r="116" spans="1:79" x14ac:dyDescent="0.2">
      <c r="A116" s="296">
        <f>TblRezone[[#This Row],[Hour]]</f>
        <v>113</v>
      </c>
      <c r="B116" s="297">
        <f ca="1">TblExplore[[#This Row],[Land-DB]]</f>
        <v>250</v>
      </c>
      <c r="C116" s="298">
        <f ca="1">TblProd[[#This Row],[Techpoints]]</f>
        <v>0</v>
      </c>
      <c r="D116" s="298">
        <f ca="1">TblProd[[#This Row],[Required]]</f>
        <v>3750</v>
      </c>
      <c r="E116" s="307"/>
      <c r="F116" s="308"/>
      <c r="G116" s="301"/>
      <c r="H116" s="302"/>
      <c r="I116" s="302"/>
      <c r="J116" s="302"/>
      <c r="K116" s="96">
        <f ca="1">IF(TblTech[[#This Row],[Sum of tech]]&lt;&gt;OFFSET(TblTech[[#This Row],[Sum of tech]],-1,0),1,0)</f>
        <v>0</v>
      </c>
      <c r="L116" s="303">
        <f>COUNTIF(TblTech[[#This Row],[1-1]:[11-1]],1)</f>
        <v>0</v>
      </c>
      <c r="M116" s="304" cm="1">
        <f t="array" ref="M116">IF(AND(M$2&lt;&gt;0,TblTech[[#This Row],[Hour]:[Hour]]&gt;=M$2),1,0)</f>
        <v>0</v>
      </c>
      <c r="N116" s="304" cm="1">
        <f t="array" ref="N116">IF(AND(N$2&lt;&gt;0,TblTech[[#This Row],[Hour]:[Hour]]&gt;=N$2),1,0)</f>
        <v>0</v>
      </c>
      <c r="O116" s="304" cm="1">
        <f t="array" ref="O116">IF(AND(O$2&lt;&gt;0,TblTech[[#This Row],[Hour]:[Hour]]&gt;=O$2),1,0)</f>
        <v>0</v>
      </c>
      <c r="P116" s="304" cm="1">
        <f t="array" ref="P116">IF(AND(P$2&lt;&gt;0,TblTech[[#This Row],[Hour]:[Hour]]&gt;=P$2),1,0)</f>
        <v>0</v>
      </c>
      <c r="Q116" s="304" cm="1">
        <f t="array" ref="Q116">IF(AND(Q$2&lt;&gt;0,TblTech[[#This Row],[Hour]:[Hour]]&gt;=Q$2),1,0)</f>
        <v>0</v>
      </c>
      <c r="R116" s="304" cm="1">
        <f t="array" ref="R116">IF(AND(R$2&lt;&gt;0,TblTech[[#This Row],[Hour]:[Hour]]&gt;=R$2),1,0)</f>
        <v>0</v>
      </c>
      <c r="S116" s="304" cm="1">
        <f t="array" ref="S116">IF(AND(S$2&lt;&gt;0,TblTech[[#This Row],[Hour]:[Hour]]&gt;=S$2),1,0)</f>
        <v>0</v>
      </c>
      <c r="T116" s="304" cm="1">
        <f t="array" ref="T116">IF(AND(T$2&lt;&gt;0,TblTech[[#This Row],[Hour]:[Hour]]&gt;=T$2),1,0)</f>
        <v>0</v>
      </c>
      <c r="U116" s="304" cm="1">
        <f t="array" ref="U116">IF(AND(U$2&lt;&gt;0,TblTech[[#This Row],[Hour]:[Hour]]&gt;=U$2),1,0)</f>
        <v>0</v>
      </c>
      <c r="V116" s="304" cm="1">
        <f t="array" ref="V116">IF(AND(V$2&lt;&gt;0,TblTech[[#This Row],[Hour]:[Hour]]&gt;=V$2),1,0)</f>
        <v>0</v>
      </c>
      <c r="W116" s="304" cm="1">
        <f t="array" ref="W116">IF(AND(W$2&lt;&gt;0,TblTech[[#This Row],[Hour]:[Hour]]&gt;=W$2),1,0)</f>
        <v>0</v>
      </c>
      <c r="X116" s="304" cm="1">
        <f t="array" ref="X116">IF(AND(X$2&lt;&gt;0,TblTech[[#This Row],[Hour]:[Hour]]&gt;=X$2),1,0)</f>
        <v>0</v>
      </c>
      <c r="Y116" s="304" cm="1">
        <f t="array" ref="Y116">IF(AND(Y$2&lt;&gt;0,TblTech[[#This Row],[Hour]:[Hour]]&gt;=Y$2),1,0)</f>
        <v>0</v>
      </c>
      <c r="Z116" s="304" cm="1">
        <f t="array" ref="Z116">IF(AND(Z$2&lt;&gt;0,TblTech[[#This Row],[Hour]:[Hour]]&gt;=Z$2),1,0)</f>
        <v>0</v>
      </c>
      <c r="AA116" s="304" cm="1">
        <f t="array" ref="AA116">IF(AND(AA$2&lt;&gt;0,TblTech[[#This Row],[Hour]:[Hour]]&gt;=AA$2),1,0)</f>
        <v>0</v>
      </c>
      <c r="AB116" s="304" cm="1">
        <f t="array" ref="AB116">IF(AND(AB$2&lt;&gt;0,TblTech[[#This Row],[Hour]:[Hour]]&gt;=AB$2),1,0)</f>
        <v>0</v>
      </c>
      <c r="AC116" s="304" cm="1">
        <f t="array" ref="AC116">IF(AND(AC$2&lt;&gt;0,TblTech[[#This Row],[Hour]:[Hour]]&gt;=AC$2),1,0)</f>
        <v>0</v>
      </c>
      <c r="AD116" s="304" cm="1">
        <f t="array" ref="AD116">IF(AND(AD$2&lt;&gt;0,TblTech[[#This Row],[Hour]:[Hour]]&gt;=AD$2),1,0)</f>
        <v>0</v>
      </c>
      <c r="AE116" s="304" cm="1">
        <f t="array" ref="AE116">IF(AND(AE$2&lt;&gt;0,TblTech[[#This Row],[Hour]:[Hour]]&gt;=AE$2),1,0)</f>
        <v>0</v>
      </c>
      <c r="AF116" s="304" cm="1">
        <f t="array" ref="AF116">IF(AND(AF$2&lt;&gt;0,TblTech[[#This Row],[Hour]:[Hour]]&gt;=AF$2),1,0)</f>
        <v>0</v>
      </c>
      <c r="AG116" s="304" cm="1">
        <f t="array" ref="AG116">IF(AND(AG$2&lt;&gt;0,TblTech[[#This Row],[Hour]:[Hour]]&gt;=AG$2),1,0)</f>
        <v>0</v>
      </c>
      <c r="AH116" s="304" cm="1">
        <f t="array" ref="AH116">IF(AND(AH$2&lt;&gt;0,TblTech[[#This Row],[Hour]:[Hour]]&gt;=AH$2),1,0)</f>
        <v>0</v>
      </c>
      <c r="AI116" s="304" cm="1">
        <f t="array" ref="AI116">IF(AND(AI$2&lt;&gt;0,TblTech[[#This Row],[Hour]:[Hour]]&gt;=AI$2),1,0)</f>
        <v>0</v>
      </c>
      <c r="AJ116" s="304" cm="1">
        <f t="array" ref="AJ116">IF(AND(AJ$2&lt;&gt;0,TblTech[[#This Row],[Hour]:[Hour]]&gt;=AJ$2),1,0)</f>
        <v>0</v>
      </c>
      <c r="AK116" s="304" cm="1">
        <f t="array" ref="AK116">IF(AND(AK$2&lt;&gt;0,TblTech[[#This Row],[Hour]:[Hour]]&gt;=AK$2),1,0)</f>
        <v>0</v>
      </c>
      <c r="AL116" s="304" cm="1">
        <f t="array" ref="AL116">IF(AND(AL$2&lt;&gt;0,TblTech[[#This Row],[Hour]:[Hour]]&gt;=AL$2),1,0)</f>
        <v>0</v>
      </c>
      <c r="AM116" s="304" cm="1">
        <f t="array" ref="AM116">IF(AND(AM$2&lt;&gt;0,TblTech[[#This Row],[Hour]:[Hour]]&gt;=AM$2),1,0)</f>
        <v>0</v>
      </c>
      <c r="AN116" s="304" cm="1">
        <f t="array" ref="AN116">IF(AND(AN$2&lt;&gt;0,TblTech[[#This Row],[Hour]:[Hour]]&gt;=AN$2),1,0)</f>
        <v>0</v>
      </c>
      <c r="AO116" s="304" cm="1">
        <f t="array" ref="AO116">IF(AND(AO$2&lt;&gt;0,TblTech[[#This Row],[Hour]:[Hour]]&gt;=AO$2),1,0)</f>
        <v>0</v>
      </c>
      <c r="AP116" s="304" cm="1">
        <f t="array" ref="AP116">IF(AND(AP$2&lt;&gt;0,TblTech[[#This Row],[Hour]:[Hour]]&gt;=AP$2),1,0)</f>
        <v>0</v>
      </c>
      <c r="AQ116" s="304" cm="1">
        <f t="array" ref="AQ116">IF(AND(AQ$2&lt;&gt;0,TblTech[[#This Row],[Hour]:[Hour]]&gt;=AQ$2),1,0)</f>
        <v>0</v>
      </c>
      <c r="AR116" s="304" cm="1">
        <f t="array" ref="AR116">IF(AND(AR$2&lt;&gt;0,TblTech[[#This Row],[Hour]:[Hour]]&gt;=AR$2),1,0)</f>
        <v>0</v>
      </c>
      <c r="AS116" s="304" cm="1">
        <f t="array" ref="AS116">IF(AND(AS$2&lt;&gt;0,TblTech[[#This Row],[Hour]:[Hour]]&gt;=AS$2),1,0)</f>
        <v>0</v>
      </c>
      <c r="AT116" s="304" cm="1">
        <f t="array" ref="AT116">IF(AND(AT$2&lt;&gt;0,TblTech[[#This Row],[Hour]:[Hour]]&gt;=AT$2),1,0)</f>
        <v>0</v>
      </c>
      <c r="AU116" s="304" cm="1">
        <f t="array" ref="AU116">IF(AND(AU$2&lt;&gt;0,TblTech[[#This Row],[Hour]:[Hour]]&gt;=AU$2),1,0)</f>
        <v>0</v>
      </c>
      <c r="AV116" s="304" cm="1">
        <f t="array" ref="AV116">IF(AND(AV$2&lt;&gt;0,TblTech[[#This Row],[Hour]:[Hour]]&gt;=AV$2),1,0)</f>
        <v>0</v>
      </c>
      <c r="AW116" s="304" cm="1">
        <f t="array" ref="AW116">IF(AND(AW$2&lt;&gt;0,TblTech[[#This Row],[Hour]:[Hour]]&gt;=AW$2),1,0)</f>
        <v>0</v>
      </c>
      <c r="AX116" s="304" cm="1">
        <f t="array" ref="AX116">IF(AND(AX$2&lt;&gt;0,TblTech[[#This Row],[Hour]:[Hour]]&gt;=AX$2),1,0)</f>
        <v>0</v>
      </c>
      <c r="AY116" s="304" cm="1">
        <f t="array" ref="AY116">IF(AND(AY$2&lt;&gt;0,TblTech[[#This Row],[Hour]:[Hour]]&gt;=AY$2),1,0)</f>
        <v>0</v>
      </c>
      <c r="AZ116" s="304" cm="1">
        <f t="array" ref="AZ116">IF(AND(AZ$2&lt;&gt;0,TblTech[[#This Row],[Hour]:[Hour]]&gt;=AZ$2),1,0)</f>
        <v>0</v>
      </c>
      <c r="BA116" s="304" cm="1">
        <f t="array" ref="BA116">IF(AND(BA$2&lt;&gt;0,TblTech[[#This Row],[Hour]:[Hour]]&gt;=BA$2),1,0)</f>
        <v>0</v>
      </c>
      <c r="BB116" s="304" cm="1">
        <f t="array" ref="BB116">IF(AND(BB$2&lt;&gt;0,TblTech[[#This Row],[Hour]:[Hour]]&gt;=BB$2),1,0)</f>
        <v>0</v>
      </c>
      <c r="BC116" s="304" cm="1">
        <f t="array" ref="BC116">IF(AND(BC$2&lt;&gt;0,TblTech[[#This Row],[Hour]:[Hour]]&gt;=BC$2),1,0)</f>
        <v>0</v>
      </c>
      <c r="BD116" s="304" cm="1">
        <f t="array" ref="BD116">IF(AND(BD$2&lt;&gt;0,TblTech[[#This Row],[Hour]:[Hour]]&gt;=BD$2),1,0)</f>
        <v>0</v>
      </c>
      <c r="BE116" s="304" cm="1">
        <f t="array" ref="BE116">IF(AND(BE$2&lt;&gt;0,TblTech[[#This Row],[Hour]:[Hour]]&gt;=BE$2),1,0)</f>
        <v>0</v>
      </c>
      <c r="BF116" s="304" cm="1">
        <f t="array" ref="BF116">IF(AND(BF$2&lt;&gt;0,TblTech[[#This Row],[Hour]:[Hour]]&gt;=BF$2),1,0)</f>
        <v>0</v>
      </c>
      <c r="BG116" s="304" cm="1">
        <f t="array" ref="BG116">IF(AND(BG$2&lt;&gt;0,TblTech[[#This Row],[Hour]:[Hour]]&gt;=BG$2),1,0)</f>
        <v>0</v>
      </c>
      <c r="BH116" s="304" cm="1">
        <f t="array" ref="BH116">IF(AND(BH$2&lt;&gt;0,TblTech[[#This Row],[Hour]:[Hour]]&gt;=BH$2),1,0)</f>
        <v>0</v>
      </c>
      <c r="BI116" s="304" cm="1">
        <f t="array" ref="BI116">IF(AND(BI$2&lt;&gt;0,TblTech[[#This Row],[Hour]:[Hour]]&gt;=BI$2),1,0)</f>
        <v>0</v>
      </c>
      <c r="BJ116" s="304" cm="1">
        <f t="array" ref="BJ116">IF(AND(BJ$2&lt;&gt;0,TblTech[[#This Row],[Hour]:[Hour]]&gt;=BJ$2),1,0)</f>
        <v>0</v>
      </c>
      <c r="BK116" s="304" cm="1">
        <f t="array" ref="BK116">IF(AND(BK$2&lt;&gt;0,TblTech[[#This Row],[Hour]:[Hour]]&gt;=BK$2),1,0)</f>
        <v>0</v>
      </c>
      <c r="BL116" s="304" cm="1">
        <f t="array" ref="BL116">IF(AND(BL$2&lt;&gt;0,TblTech[[#This Row],[Hour]:[Hour]]&gt;=BL$2),1,0)</f>
        <v>0</v>
      </c>
      <c r="BM116" s="304" cm="1">
        <f t="array" ref="BM116">IF(AND(BM$2&lt;&gt;0,TblTech[[#This Row],[Hour]:[Hour]]&gt;=BM$2),1,0)</f>
        <v>0</v>
      </c>
      <c r="BN116" s="304" cm="1">
        <f t="array" ref="BN116">IF(AND(BN$2&lt;&gt;0,TblTech[[#This Row],[Hour]:[Hour]]&gt;=BN$2),1,0)</f>
        <v>0</v>
      </c>
      <c r="BO116" s="304" cm="1">
        <f t="array" ref="BO116">IF(AND(BO$2&lt;&gt;0,TblTech[[#This Row],[Hour]:[Hour]]&gt;=BO$2),1,0)</f>
        <v>0</v>
      </c>
      <c r="BP116" s="304" cm="1">
        <f t="array" ref="BP116">IF(AND(BP$2&lt;&gt;0,TblTech[[#This Row],[Hour]:[Hour]]&gt;=BP$2),1,0)</f>
        <v>0</v>
      </c>
      <c r="BQ116" s="304" cm="1">
        <f t="array" ref="BQ116">IF(AND(BQ$2&lt;&gt;0,TblTech[[#This Row],[Hour]:[Hour]]&gt;=BQ$2),1,0)</f>
        <v>0</v>
      </c>
      <c r="BR116" s="304" cm="1">
        <f t="array" ref="BR116">IF(AND(BR$2&lt;&gt;0,TblTech[[#This Row],[Hour]:[Hour]]&gt;=BR$2),1,0)</f>
        <v>0</v>
      </c>
      <c r="BS116" s="304" cm="1">
        <f t="array" ref="BS116">IF(AND(BS$2&lt;&gt;0,TblTech[[#This Row],[Hour]:[Hour]]&gt;=BS$2),1,0)</f>
        <v>0</v>
      </c>
      <c r="BT116" s="304" cm="1">
        <f t="array" ref="BT116">IF(AND(BT$2&lt;&gt;0,TblTech[[#This Row],[Hour]:[Hour]]&gt;=BT$2),1,0)</f>
        <v>0</v>
      </c>
      <c r="BU116" s="304" cm="1">
        <f t="array" ref="BU116">IF(AND(BU$2&lt;&gt;0,TblTech[[#This Row],[Hour]:[Hour]]&gt;=BU$2),1,0)</f>
        <v>0</v>
      </c>
      <c r="BV116" s="304" cm="1">
        <f t="array" ref="BV116">IF(AND(BV$2&lt;&gt;0,TblTech[[#This Row],[Hour]:[Hour]]&gt;=BV$2),1,0)</f>
        <v>0</v>
      </c>
      <c r="BW116" s="304" cm="1">
        <f t="array" ref="BW116">IF(AND(BW$2&lt;&gt;0,TblTech[[#This Row],[Hour]:[Hour]]&gt;=BW$2),1,0)</f>
        <v>0</v>
      </c>
      <c r="BX116" s="304" cm="1">
        <f t="array" ref="BX116">IF(AND(BX$2&lt;&gt;0,TblTech[[#This Row],[Hour]:[Hour]]&gt;=BX$2),1,0)</f>
        <v>0</v>
      </c>
      <c r="BY116" s="304" cm="1">
        <f t="array" ref="BY116">IF(AND(BY$2&lt;&gt;0,TblTech[[#This Row],[Hour]:[Hour]]&gt;=BY$2),1,0)</f>
        <v>0</v>
      </c>
      <c r="BZ116" s="304" cm="1">
        <f t="array" ref="BZ116">IF(AND(BZ$2&lt;&gt;0,TblTech[[#This Row],[Hour]:[Hour]]&gt;=BZ$2),1,0)</f>
        <v>0</v>
      </c>
      <c r="CA116" s="408">
        <f>IFERROR(INDEX($H$4:$H$79,MATCH(INDEX(TblTech[[#Headers],[1-1]:[11-1]],1,MATCH(TblTech[[#This Row],[Hour]],$M$2:$BZ$2,0)),$G$4:$G$79,0)),)</f>
        <v>0</v>
      </c>
    </row>
    <row r="117" spans="1:79" x14ac:dyDescent="0.2">
      <c r="A117" s="296">
        <f>TblRezone[[#This Row],[Hour]]</f>
        <v>114</v>
      </c>
      <c r="B117" s="297">
        <f ca="1">TblExplore[[#This Row],[Land-DB]]</f>
        <v>250</v>
      </c>
      <c r="C117" s="298">
        <f ca="1">TblProd[[#This Row],[Techpoints]]</f>
        <v>0</v>
      </c>
      <c r="D117" s="298">
        <f ca="1">TblProd[[#This Row],[Required]]</f>
        <v>3750</v>
      </c>
      <c r="E117" s="307"/>
      <c r="F117" s="308"/>
      <c r="G117" s="301"/>
      <c r="H117" s="302"/>
      <c r="I117" s="302"/>
      <c r="J117" s="302"/>
      <c r="K117" s="96">
        <f ca="1">IF(TblTech[[#This Row],[Sum of tech]]&lt;&gt;OFFSET(TblTech[[#This Row],[Sum of tech]],-1,0),1,0)</f>
        <v>0</v>
      </c>
      <c r="L117" s="303">
        <f>COUNTIF(TblTech[[#This Row],[1-1]:[11-1]],1)</f>
        <v>0</v>
      </c>
      <c r="M117" s="304" cm="1">
        <f t="array" ref="M117">IF(AND(M$2&lt;&gt;0,TblTech[[#This Row],[Hour]:[Hour]]&gt;=M$2),1,0)</f>
        <v>0</v>
      </c>
      <c r="N117" s="304" cm="1">
        <f t="array" ref="N117">IF(AND(N$2&lt;&gt;0,TblTech[[#This Row],[Hour]:[Hour]]&gt;=N$2),1,0)</f>
        <v>0</v>
      </c>
      <c r="O117" s="304" cm="1">
        <f t="array" ref="O117">IF(AND(O$2&lt;&gt;0,TblTech[[#This Row],[Hour]:[Hour]]&gt;=O$2),1,0)</f>
        <v>0</v>
      </c>
      <c r="P117" s="304" cm="1">
        <f t="array" ref="P117">IF(AND(P$2&lt;&gt;0,TblTech[[#This Row],[Hour]:[Hour]]&gt;=P$2),1,0)</f>
        <v>0</v>
      </c>
      <c r="Q117" s="304" cm="1">
        <f t="array" ref="Q117">IF(AND(Q$2&lt;&gt;0,TblTech[[#This Row],[Hour]:[Hour]]&gt;=Q$2),1,0)</f>
        <v>0</v>
      </c>
      <c r="R117" s="304" cm="1">
        <f t="array" ref="R117">IF(AND(R$2&lt;&gt;0,TblTech[[#This Row],[Hour]:[Hour]]&gt;=R$2),1,0)</f>
        <v>0</v>
      </c>
      <c r="S117" s="304" cm="1">
        <f t="array" ref="S117">IF(AND(S$2&lt;&gt;0,TblTech[[#This Row],[Hour]:[Hour]]&gt;=S$2),1,0)</f>
        <v>0</v>
      </c>
      <c r="T117" s="304" cm="1">
        <f t="array" ref="T117">IF(AND(T$2&lt;&gt;0,TblTech[[#This Row],[Hour]:[Hour]]&gt;=T$2),1,0)</f>
        <v>0</v>
      </c>
      <c r="U117" s="304" cm="1">
        <f t="array" ref="U117">IF(AND(U$2&lt;&gt;0,TblTech[[#This Row],[Hour]:[Hour]]&gt;=U$2),1,0)</f>
        <v>0</v>
      </c>
      <c r="V117" s="304" cm="1">
        <f t="array" ref="V117">IF(AND(V$2&lt;&gt;0,TblTech[[#This Row],[Hour]:[Hour]]&gt;=V$2),1,0)</f>
        <v>0</v>
      </c>
      <c r="W117" s="304" cm="1">
        <f t="array" ref="W117">IF(AND(W$2&lt;&gt;0,TblTech[[#This Row],[Hour]:[Hour]]&gt;=W$2),1,0)</f>
        <v>0</v>
      </c>
      <c r="X117" s="304" cm="1">
        <f t="array" ref="X117">IF(AND(X$2&lt;&gt;0,TblTech[[#This Row],[Hour]:[Hour]]&gt;=X$2),1,0)</f>
        <v>0</v>
      </c>
      <c r="Y117" s="304" cm="1">
        <f t="array" ref="Y117">IF(AND(Y$2&lt;&gt;0,TblTech[[#This Row],[Hour]:[Hour]]&gt;=Y$2),1,0)</f>
        <v>0</v>
      </c>
      <c r="Z117" s="304" cm="1">
        <f t="array" ref="Z117">IF(AND(Z$2&lt;&gt;0,TblTech[[#This Row],[Hour]:[Hour]]&gt;=Z$2),1,0)</f>
        <v>0</v>
      </c>
      <c r="AA117" s="304" cm="1">
        <f t="array" ref="AA117">IF(AND(AA$2&lt;&gt;0,TblTech[[#This Row],[Hour]:[Hour]]&gt;=AA$2),1,0)</f>
        <v>0</v>
      </c>
      <c r="AB117" s="304" cm="1">
        <f t="array" ref="AB117">IF(AND(AB$2&lt;&gt;0,TblTech[[#This Row],[Hour]:[Hour]]&gt;=AB$2),1,0)</f>
        <v>0</v>
      </c>
      <c r="AC117" s="304" cm="1">
        <f t="array" ref="AC117">IF(AND(AC$2&lt;&gt;0,TblTech[[#This Row],[Hour]:[Hour]]&gt;=AC$2),1,0)</f>
        <v>0</v>
      </c>
      <c r="AD117" s="304" cm="1">
        <f t="array" ref="AD117">IF(AND(AD$2&lt;&gt;0,TblTech[[#This Row],[Hour]:[Hour]]&gt;=AD$2),1,0)</f>
        <v>0</v>
      </c>
      <c r="AE117" s="304" cm="1">
        <f t="array" ref="AE117">IF(AND(AE$2&lt;&gt;0,TblTech[[#This Row],[Hour]:[Hour]]&gt;=AE$2),1,0)</f>
        <v>0</v>
      </c>
      <c r="AF117" s="304" cm="1">
        <f t="array" ref="AF117">IF(AND(AF$2&lt;&gt;0,TblTech[[#This Row],[Hour]:[Hour]]&gt;=AF$2),1,0)</f>
        <v>0</v>
      </c>
      <c r="AG117" s="304" cm="1">
        <f t="array" ref="AG117">IF(AND(AG$2&lt;&gt;0,TblTech[[#This Row],[Hour]:[Hour]]&gt;=AG$2),1,0)</f>
        <v>0</v>
      </c>
      <c r="AH117" s="304" cm="1">
        <f t="array" ref="AH117">IF(AND(AH$2&lt;&gt;0,TblTech[[#This Row],[Hour]:[Hour]]&gt;=AH$2),1,0)</f>
        <v>0</v>
      </c>
      <c r="AI117" s="304" cm="1">
        <f t="array" ref="AI117">IF(AND(AI$2&lt;&gt;0,TblTech[[#This Row],[Hour]:[Hour]]&gt;=AI$2),1,0)</f>
        <v>0</v>
      </c>
      <c r="AJ117" s="304" cm="1">
        <f t="array" ref="AJ117">IF(AND(AJ$2&lt;&gt;0,TblTech[[#This Row],[Hour]:[Hour]]&gt;=AJ$2),1,0)</f>
        <v>0</v>
      </c>
      <c r="AK117" s="304" cm="1">
        <f t="array" ref="AK117">IF(AND(AK$2&lt;&gt;0,TblTech[[#This Row],[Hour]:[Hour]]&gt;=AK$2),1,0)</f>
        <v>0</v>
      </c>
      <c r="AL117" s="304" cm="1">
        <f t="array" ref="AL117">IF(AND(AL$2&lt;&gt;0,TblTech[[#This Row],[Hour]:[Hour]]&gt;=AL$2),1,0)</f>
        <v>0</v>
      </c>
      <c r="AM117" s="304" cm="1">
        <f t="array" ref="AM117">IF(AND(AM$2&lt;&gt;0,TblTech[[#This Row],[Hour]:[Hour]]&gt;=AM$2),1,0)</f>
        <v>0</v>
      </c>
      <c r="AN117" s="304" cm="1">
        <f t="array" ref="AN117">IF(AND(AN$2&lt;&gt;0,TblTech[[#This Row],[Hour]:[Hour]]&gt;=AN$2),1,0)</f>
        <v>0</v>
      </c>
      <c r="AO117" s="304" cm="1">
        <f t="array" ref="AO117">IF(AND(AO$2&lt;&gt;0,TblTech[[#This Row],[Hour]:[Hour]]&gt;=AO$2),1,0)</f>
        <v>0</v>
      </c>
      <c r="AP117" s="304" cm="1">
        <f t="array" ref="AP117">IF(AND(AP$2&lt;&gt;0,TblTech[[#This Row],[Hour]:[Hour]]&gt;=AP$2),1,0)</f>
        <v>0</v>
      </c>
      <c r="AQ117" s="304" cm="1">
        <f t="array" ref="AQ117">IF(AND(AQ$2&lt;&gt;0,TblTech[[#This Row],[Hour]:[Hour]]&gt;=AQ$2),1,0)</f>
        <v>0</v>
      </c>
      <c r="AR117" s="304" cm="1">
        <f t="array" ref="AR117">IF(AND(AR$2&lt;&gt;0,TblTech[[#This Row],[Hour]:[Hour]]&gt;=AR$2),1,0)</f>
        <v>0</v>
      </c>
      <c r="AS117" s="304" cm="1">
        <f t="array" ref="AS117">IF(AND(AS$2&lt;&gt;0,TblTech[[#This Row],[Hour]:[Hour]]&gt;=AS$2),1,0)</f>
        <v>0</v>
      </c>
      <c r="AT117" s="304" cm="1">
        <f t="array" ref="AT117">IF(AND(AT$2&lt;&gt;0,TblTech[[#This Row],[Hour]:[Hour]]&gt;=AT$2),1,0)</f>
        <v>0</v>
      </c>
      <c r="AU117" s="304" cm="1">
        <f t="array" ref="AU117">IF(AND(AU$2&lt;&gt;0,TblTech[[#This Row],[Hour]:[Hour]]&gt;=AU$2),1,0)</f>
        <v>0</v>
      </c>
      <c r="AV117" s="304" cm="1">
        <f t="array" ref="AV117">IF(AND(AV$2&lt;&gt;0,TblTech[[#This Row],[Hour]:[Hour]]&gt;=AV$2),1,0)</f>
        <v>0</v>
      </c>
      <c r="AW117" s="304" cm="1">
        <f t="array" ref="AW117">IF(AND(AW$2&lt;&gt;0,TblTech[[#This Row],[Hour]:[Hour]]&gt;=AW$2),1,0)</f>
        <v>0</v>
      </c>
      <c r="AX117" s="304" cm="1">
        <f t="array" ref="AX117">IF(AND(AX$2&lt;&gt;0,TblTech[[#This Row],[Hour]:[Hour]]&gt;=AX$2),1,0)</f>
        <v>0</v>
      </c>
      <c r="AY117" s="304" cm="1">
        <f t="array" ref="AY117">IF(AND(AY$2&lt;&gt;0,TblTech[[#This Row],[Hour]:[Hour]]&gt;=AY$2),1,0)</f>
        <v>0</v>
      </c>
      <c r="AZ117" s="304" cm="1">
        <f t="array" ref="AZ117">IF(AND(AZ$2&lt;&gt;0,TblTech[[#This Row],[Hour]:[Hour]]&gt;=AZ$2),1,0)</f>
        <v>0</v>
      </c>
      <c r="BA117" s="304" cm="1">
        <f t="array" ref="BA117">IF(AND(BA$2&lt;&gt;0,TblTech[[#This Row],[Hour]:[Hour]]&gt;=BA$2),1,0)</f>
        <v>0</v>
      </c>
      <c r="BB117" s="304" cm="1">
        <f t="array" ref="BB117">IF(AND(BB$2&lt;&gt;0,TblTech[[#This Row],[Hour]:[Hour]]&gt;=BB$2),1,0)</f>
        <v>0</v>
      </c>
      <c r="BC117" s="304" cm="1">
        <f t="array" ref="BC117">IF(AND(BC$2&lt;&gt;0,TblTech[[#This Row],[Hour]:[Hour]]&gt;=BC$2),1,0)</f>
        <v>0</v>
      </c>
      <c r="BD117" s="304" cm="1">
        <f t="array" ref="BD117">IF(AND(BD$2&lt;&gt;0,TblTech[[#This Row],[Hour]:[Hour]]&gt;=BD$2),1,0)</f>
        <v>0</v>
      </c>
      <c r="BE117" s="304" cm="1">
        <f t="array" ref="BE117">IF(AND(BE$2&lt;&gt;0,TblTech[[#This Row],[Hour]:[Hour]]&gt;=BE$2),1,0)</f>
        <v>0</v>
      </c>
      <c r="BF117" s="304" cm="1">
        <f t="array" ref="BF117">IF(AND(BF$2&lt;&gt;0,TblTech[[#This Row],[Hour]:[Hour]]&gt;=BF$2),1,0)</f>
        <v>0</v>
      </c>
      <c r="BG117" s="304" cm="1">
        <f t="array" ref="BG117">IF(AND(BG$2&lt;&gt;0,TblTech[[#This Row],[Hour]:[Hour]]&gt;=BG$2),1,0)</f>
        <v>0</v>
      </c>
      <c r="BH117" s="304" cm="1">
        <f t="array" ref="BH117">IF(AND(BH$2&lt;&gt;0,TblTech[[#This Row],[Hour]:[Hour]]&gt;=BH$2),1,0)</f>
        <v>0</v>
      </c>
      <c r="BI117" s="304" cm="1">
        <f t="array" ref="BI117">IF(AND(BI$2&lt;&gt;0,TblTech[[#This Row],[Hour]:[Hour]]&gt;=BI$2),1,0)</f>
        <v>0</v>
      </c>
      <c r="BJ117" s="304" cm="1">
        <f t="array" ref="BJ117">IF(AND(BJ$2&lt;&gt;0,TblTech[[#This Row],[Hour]:[Hour]]&gt;=BJ$2),1,0)</f>
        <v>0</v>
      </c>
      <c r="BK117" s="304" cm="1">
        <f t="array" ref="BK117">IF(AND(BK$2&lt;&gt;0,TblTech[[#This Row],[Hour]:[Hour]]&gt;=BK$2),1,0)</f>
        <v>0</v>
      </c>
      <c r="BL117" s="304" cm="1">
        <f t="array" ref="BL117">IF(AND(BL$2&lt;&gt;0,TblTech[[#This Row],[Hour]:[Hour]]&gt;=BL$2),1,0)</f>
        <v>0</v>
      </c>
      <c r="BM117" s="304" cm="1">
        <f t="array" ref="BM117">IF(AND(BM$2&lt;&gt;0,TblTech[[#This Row],[Hour]:[Hour]]&gt;=BM$2),1,0)</f>
        <v>0</v>
      </c>
      <c r="BN117" s="304" cm="1">
        <f t="array" ref="BN117">IF(AND(BN$2&lt;&gt;0,TblTech[[#This Row],[Hour]:[Hour]]&gt;=BN$2),1,0)</f>
        <v>0</v>
      </c>
      <c r="BO117" s="304" cm="1">
        <f t="array" ref="BO117">IF(AND(BO$2&lt;&gt;0,TblTech[[#This Row],[Hour]:[Hour]]&gt;=BO$2),1,0)</f>
        <v>0</v>
      </c>
      <c r="BP117" s="304" cm="1">
        <f t="array" ref="BP117">IF(AND(BP$2&lt;&gt;0,TblTech[[#This Row],[Hour]:[Hour]]&gt;=BP$2),1,0)</f>
        <v>0</v>
      </c>
      <c r="BQ117" s="304" cm="1">
        <f t="array" ref="BQ117">IF(AND(BQ$2&lt;&gt;0,TblTech[[#This Row],[Hour]:[Hour]]&gt;=BQ$2),1,0)</f>
        <v>0</v>
      </c>
      <c r="BR117" s="304" cm="1">
        <f t="array" ref="BR117">IF(AND(BR$2&lt;&gt;0,TblTech[[#This Row],[Hour]:[Hour]]&gt;=BR$2),1,0)</f>
        <v>0</v>
      </c>
      <c r="BS117" s="304" cm="1">
        <f t="array" ref="BS117">IF(AND(BS$2&lt;&gt;0,TblTech[[#This Row],[Hour]:[Hour]]&gt;=BS$2),1,0)</f>
        <v>0</v>
      </c>
      <c r="BT117" s="304" cm="1">
        <f t="array" ref="BT117">IF(AND(BT$2&lt;&gt;0,TblTech[[#This Row],[Hour]:[Hour]]&gt;=BT$2),1,0)</f>
        <v>0</v>
      </c>
      <c r="BU117" s="304" cm="1">
        <f t="array" ref="BU117">IF(AND(BU$2&lt;&gt;0,TblTech[[#This Row],[Hour]:[Hour]]&gt;=BU$2),1,0)</f>
        <v>0</v>
      </c>
      <c r="BV117" s="304" cm="1">
        <f t="array" ref="BV117">IF(AND(BV$2&lt;&gt;0,TblTech[[#This Row],[Hour]:[Hour]]&gt;=BV$2),1,0)</f>
        <v>0</v>
      </c>
      <c r="BW117" s="304" cm="1">
        <f t="array" ref="BW117">IF(AND(BW$2&lt;&gt;0,TblTech[[#This Row],[Hour]:[Hour]]&gt;=BW$2),1,0)</f>
        <v>0</v>
      </c>
      <c r="BX117" s="304" cm="1">
        <f t="array" ref="BX117">IF(AND(BX$2&lt;&gt;0,TblTech[[#This Row],[Hour]:[Hour]]&gt;=BX$2),1,0)</f>
        <v>0</v>
      </c>
      <c r="BY117" s="304" cm="1">
        <f t="array" ref="BY117">IF(AND(BY$2&lt;&gt;0,TblTech[[#This Row],[Hour]:[Hour]]&gt;=BY$2),1,0)</f>
        <v>0</v>
      </c>
      <c r="BZ117" s="304" cm="1">
        <f t="array" ref="BZ117">IF(AND(BZ$2&lt;&gt;0,TblTech[[#This Row],[Hour]:[Hour]]&gt;=BZ$2),1,0)</f>
        <v>0</v>
      </c>
      <c r="CA117" s="408">
        <f>IFERROR(INDEX($H$4:$H$79,MATCH(INDEX(TblTech[[#Headers],[1-1]:[11-1]],1,MATCH(TblTech[[#This Row],[Hour]],$M$2:$BZ$2,0)),$G$4:$G$79,0)),)</f>
        <v>0</v>
      </c>
    </row>
    <row r="118" spans="1:79" x14ac:dyDescent="0.2">
      <c r="A118" s="296">
        <f>TblRezone[[#This Row],[Hour]]</f>
        <v>115</v>
      </c>
      <c r="B118" s="297">
        <f ca="1">TblExplore[[#This Row],[Land-DB]]</f>
        <v>250</v>
      </c>
      <c r="C118" s="298">
        <f ca="1">TblProd[[#This Row],[Techpoints]]</f>
        <v>0</v>
      </c>
      <c r="D118" s="298">
        <f ca="1">TblProd[[#This Row],[Required]]</f>
        <v>3750</v>
      </c>
      <c r="E118" s="307"/>
      <c r="F118" s="308"/>
      <c r="G118" s="301"/>
      <c r="H118" s="302"/>
      <c r="I118" s="302"/>
      <c r="J118" s="302"/>
      <c r="K118" s="96">
        <f ca="1">IF(TblTech[[#This Row],[Sum of tech]]&lt;&gt;OFFSET(TblTech[[#This Row],[Sum of tech]],-1,0),1,0)</f>
        <v>0</v>
      </c>
      <c r="L118" s="303">
        <f>COUNTIF(TblTech[[#This Row],[1-1]:[11-1]],1)</f>
        <v>0</v>
      </c>
      <c r="M118" s="304" cm="1">
        <f t="array" ref="M118">IF(AND(M$2&lt;&gt;0,TblTech[[#This Row],[Hour]:[Hour]]&gt;=M$2),1,0)</f>
        <v>0</v>
      </c>
      <c r="N118" s="304" cm="1">
        <f t="array" ref="N118">IF(AND(N$2&lt;&gt;0,TblTech[[#This Row],[Hour]:[Hour]]&gt;=N$2),1,0)</f>
        <v>0</v>
      </c>
      <c r="O118" s="304" cm="1">
        <f t="array" ref="O118">IF(AND(O$2&lt;&gt;0,TblTech[[#This Row],[Hour]:[Hour]]&gt;=O$2),1,0)</f>
        <v>0</v>
      </c>
      <c r="P118" s="304" cm="1">
        <f t="array" ref="P118">IF(AND(P$2&lt;&gt;0,TblTech[[#This Row],[Hour]:[Hour]]&gt;=P$2),1,0)</f>
        <v>0</v>
      </c>
      <c r="Q118" s="304" cm="1">
        <f t="array" ref="Q118">IF(AND(Q$2&lt;&gt;0,TblTech[[#This Row],[Hour]:[Hour]]&gt;=Q$2),1,0)</f>
        <v>0</v>
      </c>
      <c r="R118" s="304" cm="1">
        <f t="array" ref="R118">IF(AND(R$2&lt;&gt;0,TblTech[[#This Row],[Hour]:[Hour]]&gt;=R$2),1,0)</f>
        <v>0</v>
      </c>
      <c r="S118" s="304" cm="1">
        <f t="array" ref="S118">IF(AND(S$2&lt;&gt;0,TblTech[[#This Row],[Hour]:[Hour]]&gt;=S$2),1,0)</f>
        <v>0</v>
      </c>
      <c r="T118" s="304" cm="1">
        <f t="array" ref="T118">IF(AND(T$2&lt;&gt;0,TblTech[[#This Row],[Hour]:[Hour]]&gt;=T$2),1,0)</f>
        <v>0</v>
      </c>
      <c r="U118" s="304" cm="1">
        <f t="array" ref="U118">IF(AND(U$2&lt;&gt;0,TblTech[[#This Row],[Hour]:[Hour]]&gt;=U$2),1,0)</f>
        <v>0</v>
      </c>
      <c r="V118" s="304" cm="1">
        <f t="array" ref="V118">IF(AND(V$2&lt;&gt;0,TblTech[[#This Row],[Hour]:[Hour]]&gt;=V$2),1,0)</f>
        <v>0</v>
      </c>
      <c r="W118" s="304" cm="1">
        <f t="array" ref="W118">IF(AND(W$2&lt;&gt;0,TblTech[[#This Row],[Hour]:[Hour]]&gt;=W$2),1,0)</f>
        <v>0</v>
      </c>
      <c r="X118" s="304" cm="1">
        <f t="array" ref="X118">IF(AND(X$2&lt;&gt;0,TblTech[[#This Row],[Hour]:[Hour]]&gt;=X$2),1,0)</f>
        <v>0</v>
      </c>
      <c r="Y118" s="304" cm="1">
        <f t="array" ref="Y118">IF(AND(Y$2&lt;&gt;0,TblTech[[#This Row],[Hour]:[Hour]]&gt;=Y$2),1,0)</f>
        <v>0</v>
      </c>
      <c r="Z118" s="304" cm="1">
        <f t="array" ref="Z118">IF(AND(Z$2&lt;&gt;0,TblTech[[#This Row],[Hour]:[Hour]]&gt;=Z$2),1,0)</f>
        <v>0</v>
      </c>
      <c r="AA118" s="304" cm="1">
        <f t="array" ref="AA118">IF(AND(AA$2&lt;&gt;0,TblTech[[#This Row],[Hour]:[Hour]]&gt;=AA$2),1,0)</f>
        <v>0</v>
      </c>
      <c r="AB118" s="304" cm="1">
        <f t="array" ref="AB118">IF(AND(AB$2&lt;&gt;0,TblTech[[#This Row],[Hour]:[Hour]]&gt;=AB$2),1,0)</f>
        <v>0</v>
      </c>
      <c r="AC118" s="304" cm="1">
        <f t="array" ref="AC118">IF(AND(AC$2&lt;&gt;0,TblTech[[#This Row],[Hour]:[Hour]]&gt;=AC$2),1,0)</f>
        <v>0</v>
      </c>
      <c r="AD118" s="304" cm="1">
        <f t="array" ref="AD118">IF(AND(AD$2&lt;&gt;0,TblTech[[#This Row],[Hour]:[Hour]]&gt;=AD$2),1,0)</f>
        <v>0</v>
      </c>
      <c r="AE118" s="304" cm="1">
        <f t="array" ref="AE118">IF(AND(AE$2&lt;&gt;0,TblTech[[#This Row],[Hour]:[Hour]]&gt;=AE$2),1,0)</f>
        <v>0</v>
      </c>
      <c r="AF118" s="304" cm="1">
        <f t="array" ref="AF118">IF(AND(AF$2&lt;&gt;0,TblTech[[#This Row],[Hour]:[Hour]]&gt;=AF$2),1,0)</f>
        <v>0</v>
      </c>
      <c r="AG118" s="304" cm="1">
        <f t="array" ref="AG118">IF(AND(AG$2&lt;&gt;0,TblTech[[#This Row],[Hour]:[Hour]]&gt;=AG$2),1,0)</f>
        <v>0</v>
      </c>
      <c r="AH118" s="304" cm="1">
        <f t="array" ref="AH118">IF(AND(AH$2&lt;&gt;0,TblTech[[#This Row],[Hour]:[Hour]]&gt;=AH$2),1,0)</f>
        <v>0</v>
      </c>
      <c r="AI118" s="304" cm="1">
        <f t="array" ref="AI118">IF(AND(AI$2&lt;&gt;0,TblTech[[#This Row],[Hour]:[Hour]]&gt;=AI$2),1,0)</f>
        <v>0</v>
      </c>
      <c r="AJ118" s="304" cm="1">
        <f t="array" ref="AJ118">IF(AND(AJ$2&lt;&gt;0,TblTech[[#This Row],[Hour]:[Hour]]&gt;=AJ$2),1,0)</f>
        <v>0</v>
      </c>
      <c r="AK118" s="304" cm="1">
        <f t="array" ref="AK118">IF(AND(AK$2&lt;&gt;0,TblTech[[#This Row],[Hour]:[Hour]]&gt;=AK$2),1,0)</f>
        <v>0</v>
      </c>
      <c r="AL118" s="304" cm="1">
        <f t="array" ref="AL118">IF(AND(AL$2&lt;&gt;0,TblTech[[#This Row],[Hour]:[Hour]]&gt;=AL$2),1,0)</f>
        <v>0</v>
      </c>
      <c r="AM118" s="304" cm="1">
        <f t="array" ref="AM118">IF(AND(AM$2&lt;&gt;0,TblTech[[#This Row],[Hour]:[Hour]]&gt;=AM$2),1,0)</f>
        <v>0</v>
      </c>
      <c r="AN118" s="304" cm="1">
        <f t="array" ref="AN118">IF(AND(AN$2&lt;&gt;0,TblTech[[#This Row],[Hour]:[Hour]]&gt;=AN$2),1,0)</f>
        <v>0</v>
      </c>
      <c r="AO118" s="304" cm="1">
        <f t="array" ref="AO118">IF(AND(AO$2&lt;&gt;0,TblTech[[#This Row],[Hour]:[Hour]]&gt;=AO$2),1,0)</f>
        <v>0</v>
      </c>
      <c r="AP118" s="304" cm="1">
        <f t="array" ref="AP118">IF(AND(AP$2&lt;&gt;0,TblTech[[#This Row],[Hour]:[Hour]]&gt;=AP$2),1,0)</f>
        <v>0</v>
      </c>
      <c r="AQ118" s="304" cm="1">
        <f t="array" ref="AQ118">IF(AND(AQ$2&lt;&gt;0,TblTech[[#This Row],[Hour]:[Hour]]&gt;=AQ$2),1,0)</f>
        <v>0</v>
      </c>
      <c r="AR118" s="304" cm="1">
        <f t="array" ref="AR118">IF(AND(AR$2&lt;&gt;0,TblTech[[#This Row],[Hour]:[Hour]]&gt;=AR$2),1,0)</f>
        <v>0</v>
      </c>
      <c r="AS118" s="304" cm="1">
        <f t="array" ref="AS118">IF(AND(AS$2&lt;&gt;0,TblTech[[#This Row],[Hour]:[Hour]]&gt;=AS$2),1,0)</f>
        <v>0</v>
      </c>
      <c r="AT118" s="304" cm="1">
        <f t="array" ref="AT118">IF(AND(AT$2&lt;&gt;0,TblTech[[#This Row],[Hour]:[Hour]]&gt;=AT$2),1,0)</f>
        <v>0</v>
      </c>
      <c r="AU118" s="304" cm="1">
        <f t="array" ref="AU118">IF(AND(AU$2&lt;&gt;0,TblTech[[#This Row],[Hour]:[Hour]]&gt;=AU$2),1,0)</f>
        <v>0</v>
      </c>
      <c r="AV118" s="304" cm="1">
        <f t="array" ref="AV118">IF(AND(AV$2&lt;&gt;0,TblTech[[#This Row],[Hour]:[Hour]]&gt;=AV$2),1,0)</f>
        <v>0</v>
      </c>
      <c r="AW118" s="304" cm="1">
        <f t="array" ref="AW118">IF(AND(AW$2&lt;&gt;0,TblTech[[#This Row],[Hour]:[Hour]]&gt;=AW$2),1,0)</f>
        <v>0</v>
      </c>
      <c r="AX118" s="304" cm="1">
        <f t="array" ref="AX118">IF(AND(AX$2&lt;&gt;0,TblTech[[#This Row],[Hour]:[Hour]]&gt;=AX$2),1,0)</f>
        <v>0</v>
      </c>
      <c r="AY118" s="304" cm="1">
        <f t="array" ref="AY118">IF(AND(AY$2&lt;&gt;0,TblTech[[#This Row],[Hour]:[Hour]]&gt;=AY$2),1,0)</f>
        <v>0</v>
      </c>
      <c r="AZ118" s="304" cm="1">
        <f t="array" ref="AZ118">IF(AND(AZ$2&lt;&gt;0,TblTech[[#This Row],[Hour]:[Hour]]&gt;=AZ$2),1,0)</f>
        <v>0</v>
      </c>
      <c r="BA118" s="304" cm="1">
        <f t="array" ref="BA118">IF(AND(BA$2&lt;&gt;0,TblTech[[#This Row],[Hour]:[Hour]]&gt;=BA$2),1,0)</f>
        <v>0</v>
      </c>
      <c r="BB118" s="304" cm="1">
        <f t="array" ref="BB118">IF(AND(BB$2&lt;&gt;0,TblTech[[#This Row],[Hour]:[Hour]]&gt;=BB$2),1,0)</f>
        <v>0</v>
      </c>
      <c r="BC118" s="304" cm="1">
        <f t="array" ref="BC118">IF(AND(BC$2&lt;&gt;0,TblTech[[#This Row],[Hour]:[Hour]]&gt;=BC$2),1,0)</f>
        <v>0</v>
      </c>
      <c r="BD118" s="304" cm="1">
        <f t="array" ref="BD118">IF(AND(BD$2&lt;&gt;0,TblTech[[#This Row],[Hour]:[Hour]]&gt;=BD$2),1,0)</f>
        <v>0</v>
      </c>
      <c r="BE118" s="304" cm="1">
        <f t="array" ref="BE118">IF(AND(BE$2&lt;&gt;0,TblTech[[#This Row],[Hour]:[Hour]]&gt;=BE$2),1,0)</f>
        <v>0</v>
      </c>
      <c r="BF118" s="304" cm="1">
        <f t="array" ref="BF118">IF(AND(BF$2&lt;&gt;0,TblTech[[#This Row],[Hour]:[Hour]]&gt;=BF$2),1,0)</f>
        <v>0</v>
      </c>
      <c r="BG118" s="304" cm="1">
        <f t="array" ref="BG118">IF(AND(BG$2&lt;&gt;0,TblTech[[#This Row],[Hour]:[Hour]]&gt;=BG$2),1,0)</f>
        <v>0</v>
      </c>
      <c r="BH118" s="304" cm="1">
        <f t="array" ref="BH118">IF(AND(BH$2&lt;&gt;0,TblTech[[#This Row],[Hour]:[Hour]]&gt;=BH$2),1,0)</f>
        <v>0</v>
      </c>
      <c r="BI118" s="304" cm="1">
        <f t="array" ref="BI118">IF(AND(BI$2&lt;&gt;0,TblTech[[#This Row],[Hour]:[Hour]]&gt;=BI$2),1,0)</f>
        <v>0</v>
      </c>
      <c r="BJ118" s="304" cm="1">
        <f t="array" ref="BJ118">IF(AND(BJ$2&lt;&gt;0,TblTech[[#This Row],[Hour]:[Hour]]&gt;=BJ$2),1,0)</f>
        <v>0</v>
      </c>
      <c r="BK118" s="304" cm="1">
        <f t="array" ref="BK118">IF(AND(BK$2&lt;&gt;0,TblTech[[#This Row],[Hour]:[Hour]]&gt;=BK$2),1,0)</f>
        <v>0</v>
      </c>
      <c r="BL118" s="304" cm="1">
        <f t="array" ref="BL118">IF(AND(BL$2&lt;&gt;0,TblTech[[#This Row],[Hour]:[Hour]]&gt;=BL$2),1,0)</f>
        <v>0</v>
      </c>
      <c r="BM118" s="304" cm="1">
        <f t="array" ref="BM118">IF(AND(BM$2&lt;&gt;0,TblTech[[#This Row],[Hour]:[Hour]]&gt;=BM$2),1,0)</f>
        <v>0</v>
      </c>
      <c r="BN118" s="304" cm="1">
        <f t="array" ref="BN118">IF(AND(BN$2&lt;&gt;0,TblTech[[#This Row],[Hour]:[Hour]]&gt;=BN$2),1,0)</f>
        <v>0</v>
      </c>
      <c r="BO118" s="304" cm="1">
        <f t="array" ref="BO118">IF(AND(BO$2&lt;&gt;0,TblTech[[#This Row],[Hour]:[Hour]]&gt;=BO$2),1,0)</f>
        <v>0</v>
      </c>
      <c r="BP118" s="304" cm="1">
        <f t="array" ref="BP118">IF(AND(BP$2&lt;&gt;0,TblTech[[#This Row],[Hour]:[Hour]]&gt;=BP$2),1,0)</f>
        <v>0</v>
      </c>
      <c r="BQ118" s="304" cm="1">
        <f t="array" ref="BQ118">IF(AND(BQ$2&lt;&gt;0,TblTech[[#This Row],[Hour]:[Hour]]&gt;=BQ$2),1,0)</f>
        <v>0</v>
      </c>
      <c r="BR118" s="304" cm="1">
        <f t="array" ref="BR118">IF(AND(BR$2&lt;&gt;0,TblTech[[#This Row],[Hour]:[Hour]]&gt;=BR$2),1,0)</f>
        <v>0</v>
      </c>
      <c r="BS118" s="304" cm="1">
        <f t="array" ref="BS118">IF(AND(BS$2&lt;&gt;0,TblTech[[#This Row],[Hour]:[Hour]]&gt;=BS$2),1,0)</f>
        <v>0</v>
      </c>
      <c r="BT118" s="304" cm="1">
        <f t="array" ref="BT118">IF(AND(BT$2&lt;&gt;0,TblTech[[#This Row],[Hour]:[Hour]]&gt;=BT$2),1,0)</f>
        <v>0</v>
      </c>
      <c r="BU118" s="304" cm="1">
        <f t="array" ref="BU118">IF(AND(BU$2&lt;&gt;0,TblTech[[#This Row],[Hour]:[Hour]]&gt;=BU$2),1,0)</f>
        <v>0</v>
      </c>
      <c r="BV118" s="304" cm="1">
        <f t="array" ref="BV118">IF(AND(BV$2&lt;&gt;0,TblTech[[#This Row],[Hour]:[Hour]]&gt;=BV$2),1,0)</f>
        <v>0</v>
      </c>
      <c r="BW118" s="304" cm="1">
        <f t="array" ref="BW118">IF(AND(BW$2&lt;&gt;0,TblTech[[#This Row],[Hour]:[Hour]]&gt;=BW$2),1,0)</f>
        <v>0</v>
      </c>
      <c r="BX118" s="304" cm="1">
        <f t="array" ref="BX118">IF(AND(BX$2&lt;&gt;0,TblTech[[#This Row],[Hour]:[Hour]]&gt;=BX$2),1,0)</f>
        <v>0</v>
      </c>
      <c r="BY118" s="304" cm="1">
        <f t="array" ref="BY118">IF(AND(BY$2&lt;&gt;0,TblTech[[#This Row],[Hour]:[Hour]]&gt;=BY$2),1,0)</f>
        <v>0</v>
      </c>
      <c r="BZ118" s="304" cm="1">
        <f t="array" ref="BZ118">IF(AND(BZ$2&lt;&gt;0,TblTech[[#This Row],[Hour]:[Hour]]&gt;=BZ$2),1,0)</f>
        <v>0</v>
      </c>
      <c r="CA118" s="408">
        <f>IFERROR(INDEX($H$4:$H$79,MATCH(INDEX(TblTech[[#Headers],[1-1]:[11-1]],1,MATCH(TblTech[[#This Row],[Hour]],$M$2:$BZ$2,0)),$G$4:$G$79,0)),)</f>
        <v>0</v>
      </c>
    </row>
    <row r="119" spans="1:79" x14ac:dyDescent="0.2">
      <c r="A119" s="296">
        <f>TblRezone[[#This Row],[Hour]]</f>
        <v>116</v>
      </c>
      <c r="B119" s="297">
        <f ca="1">TblExplore[[#This Row],[Land-DB]]</f>
        <v>250</v>
      </c>
      <c r="C119" s="298">
        <f ca="1">TblProd[[#This Row],[Techpoints]]</f>
        <v>0</v>
      </c>
      <c r="D119" s="298">
        <f ca="1">TblProd[[#This Row],[Required]]</f>
        <v>3750</v>
      </c>
      <c r="E119" s="307"/>
      <c r="F119" s="308"/>
      <c r="G119" s="301"/>
      <c r="H119" s="302"/>
      <c r="I119" s="302"/>
      <c r="J119" s="302"/>
      <c r="K119" s="96">
        <f ca="1">IF(TblTech[[#This Row],[Sum of tech]]&lt;&gt;OFFSET(TblTech[[#This Row],[Sum of tech]],-1,0),1,0)</f>
        <v>0</v>
      </c>
      <c r="L119" s="303">
        <f>COUNTIF(TblTech[[#This Row],[1-1]:[11-1]],1)</f>
        <v>0</v>
      </c>
      <c r="M119" s="304" cm="1">
        <f t="array" ref="M119">IF(AND(M$2&lt;&gt;0,TblTech[[#This Row],[Hour]:[Hour]]&gt;=M$2),1,0)</f>
        <v>0</v>
      </c>
      <c r="N119" s="304" cm="1">
        <f t="array" ref="N119">IF(AND(N$2&lt;&gt;0,TblTech[[#This Row],[Hour]:[Hour]]&gt;=N$2),1,0)</f>
        <v>0</v>
      </c>
      <c r="O119" s="304" cm="1">
        <f t="array" ref="O119">IF(AND(O$2&lt;&gt;0,TblTech[[#This Row],[Hour]:[Hour]]&gt;=O$2),1,0)</f>
        <v>0</v>
      </c>
      <c r="P119" s="304" cm="1">
        <f t="array" ref="P119">IF(AND(P$2&lt;&gt;0,TblTech[[#This Row],[Hour]:[Hour]]&gt;=P$2),1,0)</f>
        <v>0</v>
      </c>
      <c r="Q119" s="304" cm="1">
        <f t="array" ref="Q119">IF(AND(Q$2&lt;&gt;0,TblTech[[#This Row],[Hour]:[Hour]]&gt;=Q$2),1,0)</f>
        <v>0</v>
      </c>
      <c r="R119" s="304" cm="1">
        <f t="array" ref="R119">IF(AND(R$2&lt;&gt;0,TblTech[[#This Row],[Hour]:[Hour]]&gt;=R$2),1,0)</f>
        <v>0</v>
      </c>
      <c r="S119" s="304" cm="1">
        <f t="array" ref="S119">IF(AND(S$2&lt;&gt;0,TblTech[[#This Row],[Hour]:[Hour]]&gt;=S$2),1,0)</f>
        <v>0</v>
      </c>
      <c r="T119" s="304" cm="1">
        <f t="array" ref="T119">IF(AND(T$2&lt;&gt;0,TblTech[[#This Row],[Hour]:[Hour]]&gt;=T$2),1,0)</f>
        <v>0</v>
      </c>
      <c r="U119" s="304" cm="1">
        <f t="array" ref="U119">IF(AND(U$2&lt;&gt;0,TblTech[[#This Row],[Hour]:[Hour]]&gt;=U$2),1,0)</f>
        <v>0</v>
      </c>
      <c r="V119" s="304" cm="1">
        <f t="array" ref="V119">IF(AND(V$2&lt;&gt;0,TblTech[[#This Row],[Hour]:[Hour]]&gt;=V$2),1,0)</f>
        <v>0</v>
      </c>
      <c r="W119" s="304" cm="1">
        <f t="array" ref="W119">IF(AND(W$2&lt;&gt;0,TblTech[[#This Row],[Hour]:[Hour]]&gt;=W$2),1,0)</f>
        <v>0</v>
      </c>
      <c r="X119" s="304" cm="1">
        <f t="array" ref="X119">IF(AND(X$2&lt;&gt;0,TblTech[[#This Row],[Hour]:[Hour]]&gt;=X$2),1,0)</f>
        <v>0</v>
      </c>
      <c r="Y119" s="304" cm="1">
        <f t="array" ref="Y119">IF(AND(Y$2&lt;&gt;0,TblTech[[#This Row],[Hour]:[Hour]]&gt;=Y$2),1,0)</f>
        <v>0</v>
      </c>
      <c r="Z119" s="304" cm="1">
        <f t="array" ref="Z119">IF(AND(Z$2&lt;&gt;0,TblTech[[#This Row],[Hour]:[Hour]]&gt;=Z$2),1,0)</f>
        <v>0</v>
      </c>
      <c r="AA119" s="304" cm="1">
        <f t="array" ref="AA119">IF(AND(AA$2&lt;&gt;0,TblTech[[#This Row],[Hour]:[Hour]]&gt;=AA$2),1,0)</f>
        <v>0</v>
      </c>
      <c r="AB119" s="304" cm="1">
        <f t="array" ref="AB119">IF(AND(AB$2&lt;&gt;0,TblTech[[#This Row],[Hour]:[Hour]]&gt;=AB$2),1,0)</f>
        <v>0</v>
      </c>
      <c r="AC119" s="304" cm="1">
        <f t="array" ref="AC119">IF(AND(AC$2&lt;&gt;0,TblTech[[#This Row],[Hour]:[Hour]]&gt;=AC$2),1,0)</f>
        <v>0</v>
      </c>
      <c r="AD119" s="304" cm="1">
        <f t="array" ref="AD119">IF(AND(AD$2&lt;&gt;0,TblTech[[#This Row],[Hour]:[Hour]]&gt;=AD$2),1,0)</f>
        <v>0</v>
      </c>
      <c r="AE119" s="304" cm="1">
        <f t="array" ref="AE119">IF(AND(AE$2&lt;&gt;0,TblTech[[#This Row],[Hour]:[Hour]]&gt;=AE$2),1,0)</f>
        <v>0</v>
      </c>
      <c r="AF119" s="304" cm="1">
        <f t="array" ref="AF119">IF(AND(AF$2&lt;&gt;0,TblTech[[#This Row],[Hour]:[Hour]]&gt;=AF$2),1,0)</f>
        <v>0</v>
      </c>
      <c r="AG119" s="304" cm="1">
        <f t="array" ref="AG119">IF(AND(AG$2&lt;&gt;0,TblTech[[#This Row],[Hour]:[Hour]]&gt;=AG$2),1,0)</f>
        <v>0</v>
      </c>
      <c r="AH119" s="304" cm="1">
        <f t="array" ref="AH119">IF(AND(AH$2&lt;&gt;0,TblTech[[#This Row],[Hour]:[Hour]]&gt;=AH$2),1,0)</f>
        <v>0</v>
      </c>
      <c r="AI119" s="304" cm="1">
        <f t="array" ref="AI119">IF(AND(AI$2&lt;&gt;0,TblTech[[#This Row],[Hour]:[Hour]]&gt;=AI$2),1,0)</f>
        <v>0</v>
      </c>
      <c r="AJ119" s="304" cm="1">
        <f t="array" ref="AJ119">IF(AND(AJ$2&lt;&gt;0,TblTech[[#This Row],[Hour]:[Hour]]&gt;=AJ$2),1,0)</f>
        <v>0</v>
      </c>
      <c r="AK119" s="304" cm="1">
        <f t="array" ref="AK119">IF(AND(AK$2&lt;&gt;0,TblTech[[#This Row],[Hour]:[Hour]]&gt;=AK$2),1,0)</f>
        <v>0</v>
      </c>
      <c r="AL119" s="304" cm="1">
        <f t="array" ref="AL119">IF(AND(AL$2&lt;&gt;0,TblTech[[#This Row],[Hour]:[Hour]]&gt;=AL$2),1,0)</f>
        <v>0</v>
      </c>
      <c r="AM119" s="304" cm="1">
        <f t="array" ref="AM119">IF(AND(AM$2&lt;&gt;0,TblTech[[#This Row],[Hour]:[Hour]]&gt;=AM$2),1,0)</f>
        <v>0</v>
      </c>
      <c r="AN119" s="304" cm="1">
        <f t="array" ref="AN119">IF(AND(AN$2&lt;&gt;0,TblTech[[#This Row],[Hour]:[Hour]]&gt;=AN$2),1,0)</f>
        <v>0</v>
      </c>
      <c r="AO119" s="304" cm="1">
        <f t="array" ref="AO119">IF(AND(AO$2&lt;&gt;0,TblTech[[#This Row],[Hour]:[Hour]]&gt;=AO$2),1,0)</f>
        <v>0</v>
      </c>
      <c r="AP119" s="304" cm="1">
        <f t="array" ref="AP119">IF(AND(AP$2&lt;&gt;0,TblTech[[#This Row],[Hour]:[Hour]]&gt;=AP$2),1,0)</f>
        <v>0</v>
      </c>
      <c r="AQ119" s="304" cm="1">
        <f t="array" ref="AQ119">IF(AND(AQ$2&lt;&gt;0,TblTech[[#This Row],[Hour]:[Hour]]&gt;=AQ$2),1,0)</f>
        <v>0</v>
      </c>
      <c r="AR119" s="304" cm="1">
        <f t="array" ref="AR119">IF(AND(AR$2&lt;&gt;0,TblTech[[#This Row],[Hour]:[Hour]]&gt;=AR$2),1,0)</f>
        <v>0</v>
      </c>
      <c r="AS119" s="304" cm="1">
        <f t="array" ref="AS119">IF(AND(AS$2&lt;&gt;0,TblTech[[#This Row],[Hour]:[Hour]]&gt;=AS$2),1,0)</f>
        <v>0</v>
      </c>
      <c r="AT119" s="304" cm="1">
        <f t="array" ref="AT119">IF(AND(AT$2&lt;&gt;0,TblTech[[#This Row],[Hour]:[Hour]]&gt;=AT$2),1,0)</f>
        <v>0</v>
      </c>
      <c r="AU119" s="304" cm="1">
        <f t="array" ref="AU119">IF(AND(AU$2&lt;&gt;0,TblTech[[#This Row],[Hour]:[Hour]]&gt;=AU$2),1,0)</f>
        <v>0</v>
      </c>
      <c r="AV119" s="304" cm="1">
        <f t="array" ref="AV119">IF(AND(AV$2&lt;&gt;0,TblTech[[#This Row],[Hour]:[Hour]]&gt;=AV$2),1,0)</f>
        <v>0</v>
      </c>
      <c r="AW119" s="304" cm="1">
        <f t="array" ref="AW119">IF(AND(AW$2&lt;&gt;0,TblTech[[#This Row],[Hour]:[Hour]]&gt;=AW$2),1,0)</f>
        <v>0</v>
      </c>
      <c r="AX119" s="304" cm="1">
        <f t="array" ref="AX119">IF(AND(AX$2&lt;&gt;0,TblTech[[#This Row],[Hour]:[Hour]]&gt;=AX$2),1,0)</f>
        <v>0</v>
      </c>
      <c r="AY119" s="304" cm="1">
        <f t="array" ref="AY119">IF(AND(AY$2&lt;&gt;0,TblTech[[#This Row],[Hour]:[Hour]]&gt;=AY$2),1,0)</f>
        <v>0</v>
      </c>
      <c r="AZ119" s="304" cm="1">
        <f t="array" ref="AZ119">IF(AND(AZ$2&lt;&gt;0,TblTech[[#This Row],[Hour]:[Hour]]&gt;=AZ$2),1,0)</f>
        <v>0</v>
      </c>
      <c r="BA119" s="304" cm="1">
        <f t="array" ref="BA119">IF(AND(BA$2&lt;&gt;0,TblTech[[#This Row],[Hour]:[Hour]]&gt;=BA$2),1,0)</f>
        <v>0</v>
      </c>
      <c r="BB119" s="304" cm="1">
        <f t="array" ref="BB119">IF(AND(BB$2&lt;&gt;0,TblTech[[#This Row],[Hour]:[Hour]]&gt;=BB$2),1,0)</f>
        <v>0</v>
      </c>
      <c r="BC119" s="304" cm="1">
        <f t="array" ref="BC119">IF(AND(BC$2&lt;&gt;0,TblTech[[#This Row],[Hour]:[Hour]]&gt;=BC$2),1,0)</f>
        <v>0</v>
      </c>
      <c r="BD119" s="304" cm="1">
        <f t="array" ref="BD119">IF(AND(BD$2&lt;&gt;0,TblTech[[#This Row],[Hour]:[Hour]]&gt;=BD$2),1,0)</f>
        <v>0</v>
      </c>
      <c r="BE119" s="304" cm="1">
        <f t="array" ref="BE119">IF(AND(BE$2&lt;&gt;0,TblTech[[#This Row],[Hour]:[Hour]]&gt;=BE$2),1,0)</f>
        <v>0</v>
      </c>
      <c r="BF119" s="304" cm="1">
        <f t="array" ref="BF119">IF(AND(BF$2&lt;&gt;0,TblTech[[#This Row],[Hour]:[Hour]]&gt;=BF$2),1,0)</f>
        <v>0</v>
      </c>
      <c r="BG119" s="304" cm="1">
        <f t="array" ref="BG119">IF(AND(BG$2&lt;&gt;0,TblTech[[#This Row],[Hour]:[Hour]]&gt;=BG$2),1,0)</f>
        <v>0</v>
      </c>
      <c r="BH119" s="304" cm="1">
        <f t="array" ref="BH119">IF(AND(BH$2&lt;&gt;0,TblTech[[#This Row],[Hour]:[Hour]]&gt;=BH$2),1,0)</f>
        <v>0</v>
      </c>
      <c r="BI119" s="304" cm="1">
        <f t="array" ref="BI119">IF(AND(BI$2&lt;&gt;0,TblTech[[#This Row],[Hour]:[Hour]]&gt;=BI$2),1,0)</f>
        <v>0</v>
      </c>
      <c r="BJ119" s="304" cm="1">
        <f t="array" ref="BJ119">IF(AND(BJ$2&lt;&gt;0,TblTech[[#This Row],[Hour]:[Hour]]&gt;=BJ$2),1,0)</f>
        <v>0</v>
      </c>
      <c r="BK119" s="304" cm="1">
        <f t="array" ref="BK119">IF(AND(BK$2&lt;&gt;0,TblTech[[#This Row],[Hour]:[Hour]]&gt;=BK$2),1,0)</f>
        <v>0</v>
      </c>
      <c r="BL119" s="304" cm="1">
        <f t="array" ref="BL119">IF(AND(BL$2&lt;&gt;0,TblTech[[#This Row],[Hour]:[Hour]]&gt;=BL$2),1,0)</f>
        <v>0</v>
      </c>
      <c r="BM119" s="304" cm="1">
        <f t="array" ref="BM119">IF(AND(BM$2&lt;&gt;0,TblTech[[#This Row],[Hour]:[Hour]]&gt;=BM$2),1,0)</f>
        <v>0</v>
      </c>
      <c r="BN119" s="304" cm="1">
        <f t="array" ref="BN119">IF(AND(BN$2&lt;&gt;0,TblTech[[#This Row],[Hour]:[Hour]]&gt;=BN$2),1,0)</f>
        <v>0</v>
      </c>
      <c r="BO119" s="304" cm="1">
        <f t="array" ref="BO119">IF(AND(BO$2&lt;&gt;0,TblTech[[#This Row],[Hour]:[Hour]]&gt;=BO$2),1,0)</f>
        <v>0</v>
      </c>
      <c r="BP119" s="304" cm="1">
        <f t="array" ref="BP119">IF(AND(BP$2&lt;&gt;0,TblTech[[#This Row],[Hour]:[Hour]]&gt;=BP$2),1,0)</f>
        <v>0</v>
      </c>
      <c r="BQ119" s="304" cm="1">
        <f t="array" ref="BQ119">IF(AND(BQ$2&lt;&gt;0,TblTech[[#This Row],[Hour]:[Hour]]&gt;=BQ$2),1,0)</f>
        <v>0</v>
      </c>
      <c r="BR119" s="304" cm="1">
        <f t="array" ref="BR119">IF(AND(BR$2&lt;&gt;0,TblTech[[#This Row],[Hour]:[Hour]]&gt;=BR$2),1,0)</f>
        <v>0</v>
      </c>
      <c r="BS119" s="304" cm="1">
        <f t="array" ref="BS119">IF(AND(BS$2&lt;&gt;0,TblTech[[#This Row],[Hour]:[Hour]]&gt;=BS$2),1,0)</f>
        <v>0</v>
      </c>
      <c r="BT119" s="304" cm="1">
        <f t="array" ref="BT119">IF(AND(BT$2&lt;&gt;0,TblTech[[#This Row],[Hour]:[Hour]]&gt;=BT$2),1,0)</f>
        <v>0</v>
      </c>
      <c r="BU119" s="304" cm="1">
        <f t="array" ref="BU119">IF(AND(BU$2&lt;&gt;0,TblTech[[#This Row],[Hour]:[Hour]]&gt;=BU$2),1,0)</f>
        <v>0</v>
      </c>
      <c r="BV119" s="304" cm="1">
        <f t="array" ref="BV119">IF(AND(BV$2&lt;&gt;0,TblTech[[#This Row],[Hour]:[Hour]]&gt;=BV$2),1,0)</f>
        <v>0</v>
      </c>
      <c r="BW119" s="304" cm="1">
        <f t="array" ref="BW119">IF(AND(BW$2&lt;&gt;0,TblTech[[#This Row],[Hour]:[Hour]]&gt;=BW$2),1,0)</f>
        <v>0</v>
      </c>
      <c r="BX119" s="304" cm="1">
        <f t="array" ref="BX119">IF(AND(BX$2&lt;&gt;0,TblTech[[#This Row],[Hour]:[Hour]]&gt;=BX$2),1,0)</f>
        <v>0</v>
      </c>
      <c r="BY119" s="304" cm="1">
        <f t="array" ref="BY119">IF(AND(BY$2&lt;&gt;0,TblTech[[#This Row],[Hour]:[Hour]]&gt;=BY$2),1,0)</f>
        <v>0</v>
      </c>
      <c r="BZ119" s="304" cm="1">
        <f t="array" ref="BZ119">IF(AND(BZ$2&lt;&gt;0,TblTech[[#This Row],[Hour]:[Hour]]&gt;=BZ$2),1,0)</f>
        <v>0</v>
      </c>
      <c r="CA119" s="408">
        <f>IFERROR(INDEX($H$4:$H$79,MATCH(INDEX(TblTech[[#Headers],[1-1]:[11-1]],1,MATCH(TblTech[[#This Row],[Hour]],$M$2:$BZ$2,0)),$G$4:$G$79,0)),)</f>
        <v>0</v>
      </c>
    </row>
    <row r="120" spans="1:79" x14ac:dyDescent="0.2">
      <c r="A120" s="296">
        <f>TblRezone[[#This Row],[Hour]]</f>
        <v>117</v>
      </c>
      <c r="B120" s="297">
        <f ca="1">TblExplore[[#This Row],[Land-DB]]</f>
        <v>250</v>
      </c>
      <c r="C120" s="298">
        <f ca="1">TblProd[[#This Row],[Techpoints]]</f>
        <v>0</v>
      </c>
      <c r="D120" s="298">
        <f ca="1">TblProd[[#This Row],[Required]]</f>
        <v>3750</v>
      </c>
      <c r="E120" s="307"/>
      <c r="F120" s="308"/>
      <c r="G120" s="301"/>
      <c r="H120" s="302"/>
      <c r="I120" s="302"/>
      <c r="J120" s="302"/>
      <c r="K120" s="96">
        <f ca="1">IF(TblTech[[#This Row],[Sum of tech]]&lt;&gt;OFFSET(TblTech[[#This Row],[Sum of tech]],-1,0),1,0)</f>
        <v>0</v>
      </c>
      <c r="L120" s="303">
        <f>COUNTIF(TblTech[[#This Row],[1-1]:[11-1]],1)</f>
        <v>0</v>
      </c>
      <c r="M120" s="304" cm="1">
        <f t="array" ref="M120">IF(AND(M$2&lt;&gt;0,TblTech[[#This Row],[Hour]:[Hour]]&gt;=M$2),1,0)</f>
        <v>0</v>
      </c>
      <c r="N120" s="304" cm="1">
        <f t="array" ref="N120">IF(AND(N$2&lt;&gt;0,TblTech[[#This Row],[Hour]:[Hour]]&gt;=N$2),1,0)</f>
        <v>0</v>
      </c>
      <c r="O120" s="304" cm="1">
        <f t="array" ref="O120">IF(AND(O$2&lt;&gt;0,TblTech[[#This Row],[Hour]:[Hour]]&gt;=O$2),1,0)</f>
        <v>0</v>
      </c>
      <c r="P120" s="304" cm="1">
        <f t="array" ref="P120">IF(AND(P$2&lt;&gt;0,TblTech[[#This Row],[Hour]:[Hour]]&gt;=P$2),1,0)</f>
        <v>0</v>
      </c>
      <c r="Q120" s="304" cm="1">
        <f t="array" ref="Q120">IF(AND(Q$2&lt;&gt;0,TblTech[[#This Row],[Hour]:[Hour]]&gt;=Q$2),1,0)</f>
        <v>0</v>
      </c>
      <c r="R120" s="304" cm="1">
        <f t="array" ref="R120">IF(AND(R$2&lt;&gt;0,TblTech[[#This Row],[Hour]:[Hour]]&gt;=R$2),1,0)</f>
        <v>0</v>
      </c>
      <c r="S120" s="304" cm="1">
        <f t="array" ref="S120">IF(AND(S$2&lt;&gt;0,TblTech[[#This Row],[Hour]:[Hour]]&gt;=S$2),1,0)</f>
        <v>0</v>
      </c>
      <c r="T120" s="304" cm="1">
        <f t="array" ref="T120">IF(AND(T$2&lt;&gt;0,TblTech[[#This Row],[Hour]:[Hour]]&gt;=T$2),1,0)</f>
        <v>0</v>
      </c>
      <c r="U120" s="304" cm="1">
        <f t="array" ref="U120">IF(AND(U$2&lt;&gt;0,TblTech[[#This Row],[Hour]:[Hour]]&gt;=U$2),1,0)</f>
        <v>0</v>
      </c>
      <c r="V120" s="304" cm="1">
        <f t="array" ref="V120">IF(AND(V$2&lt;&gt;0,TblTech[[#This Row],[Hour]:[Hour]]&gt;=V$2),1,0)</f>
        <v>0</v>
      </c>
      <c r="W120" s="304" cm="1">
        <f t="array" ref="W120">IF(AND(W$2&lt;&gt;0,TblTech[[#This Row],[Hour]:[Hour]]&gt;=W$2),1,0)</f>
        <v>0</v>
      </c>
      <c r="X120" s="304" cm="1">
        <f t="array" ref="X120">IF(AND(X$2&lt;&gt;0,TblTech[[#This Row],[Hour]:[Hour]]&gt;=X$2),1,0)</f>
        <v>0</v>
      </c>
      <c r="Y120" s="304" cm="1">
        <f t="array" ref="Y120">IF(AND(Y$2&lt;&gt;0,TblTech[[#This Row],[Hour]:[Hour]]&gt;=Y$2),1,0)</f>
        <v>0</v>
      </c>
      <c r="Z120" s="304" cm="1">
        <f t="array" ref="Z120">IF(AND(Z$2&lt;&gt;0,TblTech[[#This Row],[Hour]:[Hour]]&gt;=Z$2),1,0)</f>
        <v>0</v>
      </c>
      <c r="AA120" s="304" cm="1">
        <f t="array" ref="AA120">IF(AND(AA$2&lt;&gt;0,TblTech[[#This Row],[Hour]:[Hour]]&gt;=AA$2),1,0)</f>
        <v>0</v>
      </c>
      <c r="AB120" s="304" cm="1">
        <f t="array" ref="AB120">IF(AND(AB$2&lt;&gt;0,TblTech[[#This Row],[Hour]:[Hour]]&gt;=AB$2),1,0)</f>
        <v>0</v>
      </c>
      <c r="AC120" s="304" cm="1">
        <f t="array" ref="AC120">IF(AND(AC$2&lt;&gt;0,TblTech[[#This Row],[Hour]:[Hour]]&gt;=AC$2),1,0)</f>
        <v>0</v>
      </c>
      <c r="AD120" s="304" cm="1">
        <f t="array" ref="AD120">IF(AND(AD$2&lt;&gt;0,TblTech[[#This Row],[Hour]:[Hour]]&gt;=AD$2),1,0)</f>
        <v>0</v>
      </c>
      <c r="AE120" s="304" cm="1">
        <f t="array" ref="AE120">IF(AND(AE$2&lt;&gt;0,TblTech[[#This Row],[Hour]:[Hour]]&gt;=AE$2),1,0)</f>
        <v>0</v>
      </c>
      <c r="AF120" s="304" cm="1">
        <f t="array" ref="AF120">IF(AND(AF$2&lt;&gt;0,TblTech[[#This Row],[Hour]:[Hour]]&gt;=AF$2),1,0)</f>
        <v>0</v>
      </c>
      <c r="AG120" s="304" cm="1">
        <f t="array" ref="AG120">IF(AND(AG$2&lt;&gt;0,TblTech[[#This Row],[Hour]:[Hour]]&gt;=AG$2),1,0)</f>
        <v>0</v>
      </c>
      <c r="AH120" s="304" cm="1">
        <f t="array" ref="AH120">IF(AND(AH$2&lt;&gt;0,TblTech[[#This Row],[Hour]:[Hour]]&gt;=AH$2),1,0)</f>
        <v>0</v>
      </c>
      <c r="AI120" s="304" cm="1">
        <f t="array" ref="AI120">IF(AND(AI$2&lt;&gt;0,TblTech[[#This Row],[Hour]:[Hour]]&gt;=AI$2),1,0)</f>
        <v>0</v>
      </c>
      <c r="AJ120" s="304" cm="1">
        <f t="array" ref="AJ120">IF(AND(AJ$2&lt;&gt;0,TblTech[[#This Row],[Hour]:[Hour]]&gt;=AJ$2),1,0)</f>
        <v>0</v>
      </c>
      <c r="AK120" s="304" cm="1">
        <f t="array" ref="AK120">IF(AND(AK$2&lt;&gt;0,TblTech[[#This Row],[Hour]:[Hour]]&gt;=AK$2),1,0)</f>
        <v>0</v>
      </c>
      <c r="AL120" s="304" cm="1">
        <f t="array" ref="AL120">IF(AND(AL$2&lt;&gt;0,TblTech[[#This Row],[Hour]:[Hour]]&gt;=AL$2),1,0)</f>
        <v>0</v>
      </c>
      <c r="AM120" s="304" cm="1">
        <f t="array" ref="AM120">IF(AND(AM$2&lt;&gt;0,TblTech[[#This Row],[Hour]:[Hour]]&gt;=AM$2),1,0)</f>
        <v>0</v>
      </c>
      <c r="AN120" s="304" cm="1">
        <f t="array" ref="AN120">IF(AND(AN$2&lt;&gt;0,TblTech[[#This Row],[Hour]:[Hour]]&gt;=AN$2),1,0)</f>
        <v>0</v>
      </c>
      <c r="AO120" s="304" cm="1">
        <f t="array" ref="AO120">IF(AND(AO$2&lt;&gt;0,TblTech[[#This Row],[Hour]:[Hour]]&gt;=AO$2),1,0)</f>
        <v>0</v>
      </c>
      <c r="AP120" s="304" cm="1">
        <f t="array" ref="AP120">IF(AND(AP$2&lt;&gt;0,TblTech[[#This Row],[Hour]:[Hour]]&gt;=AP$2),1,0)</f>
        <v>0</v>
      </c>
      <c r="AQ120" s="304" cm="1">
        <f t="array" ref="AQ120">IF(AND(AQ$2&lt;&gt;0,TblTech[[#This Row],[Hour]:[Hour]]&gt;=AQ$2),1,0)</f>
        <v>0</v>
      </c>
      <c r="AR120" s="304" cm="1">
        <f t="array" ref="AR120">IF(AND(AR$2&lt;&gt;0,TblTech[[#This Row],[Hour]:[Hour]]&gt;=AR$2),1,0)</f>
        <v>0</v>
      </c>
      <c r="AS120" s="304" cm="1">
        <f t="array" ref="AS120">IF(AND(AS$2&lt;&gt;0,TblTech[[#This Row],[Hour]:[Hour]]&gt;=AS$2),1,0)</f>
        <v>0</v>
      </c>
      <c r="AT120" s="304" cm="1">
        <f t="array" ref="AT120">IF(AND(AT$2&lt;&gt;0,TblTech[[#This Row],[Hour]:[Hour]]&gt;=AT$2),1,0)</f>
        <v>0</v>
      </c>
      <c r="AU120" s="304" cm="1">
        <f t="array" ref="AU120">IF(AND(AU$2&lt;&gt;0,TblTech[[#This Row],[Hour]:[Hour]]&gt;=AU$2),1,0)</f>
        <v>0</v>
      </c>
      <c r="AV120" s="304" cm="1">
        <f t="array" ref="AV120">IF(AND(AV$2&lt;&gt;0,TblTech[[#This Row],[Hour]:[Hour]]&gt;=AV$2),1,0)</f>
        <v>0</v>
      </c>
      <c r="AW120" s="304" cm="1">
        <f t="array" ref="AW120">IF(AND(AW$2&lt;&gt;0,TblTech[[#This Row],[Hour]:[Hour]]&gt;=AW$2),1,0)</f>
        <v>0</v>
      </c>
      <c r="AX120" s="304" cm="1">
        <f t="array" ref="AX120">IF(AND(AX$2&lt;&gt;0,TblTech[[#This Row],[Hour]:[Hour]]&gt;=AX$2),1,0)</f>
        <v>0</v>
      </c>
      <c r="AY120" s="304" cm="1">
        <f t="array" ref="AY120">IF(AND(AY$2&lt;&gt;0,TblTech[[#This Row],[Hour]:[Hour]]&gt;=AY$2),1,0)</f>
        <v>0</v>
      </c>
      <c r="AZ120" s="304" cm="1">
        <f t="array" ref="AZ120">IF(AND(AZ$2&lt;&gt;0,TblTech[[#This Row],[Hour]:[Hour]]&gt;=AZ$2),1,0)</f>
        <v>0</v>
      </c>
      <c r="BA120" s="304" cm="1">
        <f t="array" ref="BA120">IF(AND(BA$2&lt;&gt;0,TblTech[[#This Row],[Hour]:[Hour]]&gt;=BA$2),1,0)</f>
        <v>0</v>
      </c>
      <c r="BB120" s="304" cm="1">
        <f t="array" ref="BB120">IF(AND(BB$2&lt;&gt;0,TblTech[[#This Row],[Hour]:[Hour]]&gt;=BB$2),1,0)</f>
        <v>0</v>
      </c>
      <c r="BC120" s="304" cm="1">
        <f t="array" ref="BC120">IF(AND(BC$2&lt;&gt;0,TblTech[[#This Row],[Hour]:[Hour]]&gt;=BC$2),1,0)</f>
        <v>0</v>
      </c>
      <c r="BD120" s="304" cm="1">
        <f t="array" ref="BD120">IF(AND(BD$2&lt;&gt;0,TblTech[[#This Row],[Hour]:[Hour]]&gt;=BD$2),1,0)</f>
        <v>0</v>
      </c>
      <c r="BE120" s="304" cm="1">
        <f t="array" ref="BE120">IF(AND(BE$2&lt;&gt;0,TblTech[[#This Row],[Hour]:[Hour]]&gt;=BE$2),1,0)</f>
        <v>0</v>
      </c>
      <c r="BF120" s="304" cm="1">
        <f t="array" ref="BF120">IF(AND(BF$2&lt;&gt;0,TblTech[[#This Row],[Hour]:[Hour]]&gt;=BF$2),1,0)</f>
        <v>0</v>
      </c>
      <c r="BG120" s="304" cm="1">
        <f t="array" ref="BG120">IF(AND(BG$2&lt;&gt;0,TblTech[[#This Row],[Hour]:[Hour]]&gt;=BG$2),1,0)</f>
        <v>0</v>
      </c>
      <c r="BH120" s="304" cm="1">
        <f t="array" ref="BH120">IF(AND(BH$2&lt;&gt;0,TblTech[[#This Row],[Hour]:[Hour]]&gt;=BH$2),1,0)</f>
        <v>0</v>
      </c>
      <c r="BI120" s="304" cm="1">
        <f t="array" ref="BI120">IF(AND(BI$2&lt;&gt;0,TblTech[[#This Row],[Hour]:[Hour]]&gt;=BI$2),1,0)</f>
        <v>0</v>
      </c>
      <c r="BJ120" s="304" cm="1">
        <f t="array" ref="BJ120">IF(AND(BJ$2&lt;&gt;0,TblTech[[#This Row],[Hour]:[Hour]]&gt;=BJ$2),1,0)</f>
        <v>0</v>
      </c>
      <c r="BK120" s="304" cm="1">
        <f t="array" ref="BK120">IF(AND(BK$2&lt;&gt;0,TblTech[[#This Row],[Hour]:[Hour]]&gt;=BK$2),1,0)</f>
        <v>0</v>
      </c>
      <c r="BL120" s="304" cm="1">
        <f t="array" ref="BL120">IF(AND(BL$2&lt;&gt;0,TblTech[[#This Row],[Hour]:[Hour]]&gt;=BL$2),1,0)</f>
        <v>0</v>
      </c>
      <c r="BM120" s="304" cm="1">
        <f t="array" ref="BM120">IF(AND(BM$2&lt;&gt;0,TblTech[[#This Row],[Hour]:[Hour]]&gt;=BM$2),1,0)</f>
        <v>0</v>
      </c>
      <c r="BN120" s="304" cm="1">
        <f t="array" ref="BN120">IF(AND(BN$2&lt;&gt;0,TblTech[[#This Row],[Hour]:[Hour]]&gt;=BN$2),1,0)</f>
        <v>0</v>
      </c>
      <c r="BO120" s="304" cm="1">
        <f t="array" ref="BO120">IF(AND(BO$2&lt;&gt;0,TblTech[[#This Row],[Hour]:[Hour]]&gt;=BO$2),1,0)</f>
        <v>0</v>
      </c>
      <c r="BP120" s="304" cm="1">
        <f t="array" ref="BP120">IF(AND(BP$2&lt;&gt;0,TblTech[[#This Row],[Hour]:[Hour]]&gt;=BP$2),1,0)</f>
        <v>0</v>
      </c>
      <c r="BQ120" s="304" cm="1">
        <f t="array" ref="BQ120">IF(AND(BQ$2&lt;&gt;0,TblTech[[#This Row],[Hour]:[Hour]]&gt;=BQ$2),1,0)</f>
        <v>0</v>
      </c>
      <c r="BR120" s="304" cm="1">
        <f t="array" ref="BR120">IF(AND(BR$2&lt;&gt;0,TblTech[[#This Row],[Hour]:[Hour]]&gt;=BR$2),1,0)</f>
        <v>0</v>
      </c>
      <c r="BS120" s="304" cm="1">
        <f t="array" ref="BS120">IF(AND(BS$2&lt;&gt;0,TblTech[[#This Row],[Hour]:[Hour]]&gt;=BS$2),1,0)</f>
        <v>0</v>
      </c>
      <c r="BT120" s="304" cm="1">
        <f t="array" ref="BT120">IF(AND(BT$2&lt;&gt;0,TblTech[[#This Row],[Hour]:[Hour]]&gt;=BT$2),1,0)</f>
        <v>0</v>
      </c>
      <c r="BU120" s="304" cm="1">
        <f t="array" ref="BU120">IF(AND(BU$2&lt;&gt;0,TblTech[[#This Row],[Hour]:[Hour]]&gt;=BU$2),1,0)</f>
        <v>0</v>
      </c>
      <c r="BV120" s="304" cm="1">
        <f t="array" ref="BV120">IF(AND(BV$2&lt;&gt;0,TblTech[[#This Row],[Hour]:[Hour]]&gt;=BV$2),1,0)</f>
        <v>0</v>
      </c>
      <c r="BW120" s="304" cm="1">
        <f t="array" ref="BW120">IF(AND(BW$2&lt;&gt;0,TblTech[[#This Row],[Hour]:[Hour]]&gt;=BW$2),1,0)</f>
        <v>0</v>
      </c>
      <c r="BX120" s="304" cm="1">
        <f t="array" ref="BX120">IF(AND(BX$2&lt;&gt;0,TblTech[[#This Row],[Hour]:[Hour]]&gt;=BX$2),1,0)</f>
        <v>0</v>
      </c>
      <c r="BY120" s="304" cm="1">
        <f t="array" ref="BY120">IF(AND(BY$2&lt;&gt;0,TblTech[[#This Row],[Hour]:[Hour]]&gt;=BY$2),1,0)</f>
        <v>0</v>
      </c>
      <c r="BZ120" s="304" cm="1">
        <f t="array" ref="BZ120">IF(AND(BZ$2&lt;&gt;0,TblTech[[#This Row],[Hour]:[Hour]]&gt;=BZ$2),1,0)</f>
        <v>0</v>
      </c>
      <c r="CA120" s="408">
        <f>IFERROR(INDEX($H$4:$H$79,MATCH(INDEX(TblTech[[#Headers],[1-1]:[11-1]],1,MATCH(TblTech[[#This Row],[Hour]],$M$2:$BZ$2,0)),$G$4:$G$79,0)),)</f>
        <v>0</v>
      </c>
    </row>
    <row r="121" spans="1:79" x14ac:dyDescent="0.2">
      <c r="A121" s="296">
        <f>TblRezone[[#This Row],[Hour]]</f>
        <v>118</v>
      </c>
      <c r="B121" s="297">
        <f ca="1">TblExplore[[#This Row],[Land-DB]]</f>
        <v>250</v>
      </c>
      <c r="C121" s="298">
        <f ca="1">TblProd[[#This Row],[Techpoints]]</f>
        <v>0</v>
      </c>
      <c r="D121" s="298">
        <f ca="1">TblProd[[#This Row],[Required]]</f>
        <v>3750</v>
      </c>
      <c r="E121" s="307"/>
      <c r="F121" s="308"/>
      <c r="G121" s="301"/>
      <c r="H121" s="302"/>
      <c r="I121" s="302"/>
      <c r="J121" s="302"/>
      <c r="K121" s="96">
        <f ca="1">IF(TblTech[[#This Row],[Sum of tech]]&lt;&gt;OFFSET(TblTech[[#This Row],[Sum of tech]],-1,0),1,0)</f>
        <v>0</v>
      </c>
      <c r="L121" s="303">
        <f>COUNTIF(TblTech[[#This Row],[1-1]:[11-1]],1)</f>
        <v>0</v>
      </c>
      <c r="M121" s="304" cm="1">
        <f t="array" ref="M121">IF(AND(M$2&lt;&gt;0,TblTech[[#This Row],[Hour]:[Hour]]&gt;=M$2),1,0)</f>
        <v>0</v>
      </c>
      <c r="N121" s="304" cm="1">
        <f t="array" ref="N121">IF(AND(N$2&lt;&gt;0,TblTech[[#This Row],[Hour]:[Hour]]&gt;=N$2),1,0)</f>
        <v>0</v>
      </c>
      <c r="O121" s="304" cm="1">
        <f t="array" ref="O121">IF(AND(O$2&lt;&gt;0,TblTech[[#This Row],[Hour]:[Hour]]&gt;=O$2),1,0)</f>
        <v>0</v>
      </c>
      <c r="P121" s="304" cm="1">
        <f t="array" ref="P121">IF(AND(P$2&lt;&gt;0,TblTech[[#This Row],[Hour]:[Hour]]&gt;=P$2),1,0)</f>
        <v>0</v>
      </c>
      <c r="Q121" s="304" cm="1">
        <f t="array" ref="Q121">IF(AND(Q$2&lt;&gt;0,TblTech[[#This Row],[Hour]:[Hour]]&gt;=Q$2),1,0)</f>
        <v>0</v>
      </c>
      <c r="R121" s="304" cm="1">
        <f t="array" ref="R121">IF(AND(R$2&lt;&gt;0,TblTech[[#This Row],[Hour]:[Hour]]&gt;=R$2),1,0)</f>
        <v>0</v>
      </c>
      <c r="S121" s="304" cm="1">
        <f t="array" ref="S121">IF(AND(S$2&lt;&gt;0,TblTech[[#This Row],[Hour]:[Hour]]&gt;=S$2),1,0)</f>
        <v>0</v>
      </c>
      <c r="T121" s="304" cm="1">
        <f t="array" ref="T121">IF(AND(T$2&lt;&gt;0,TblTech[[#This Row],[Hour]:[Hour]]&gt;=T$2),1,0)</f>
        <v>0</v>
      </c>
      <c r="U121" s="304" cm="1">
        <f t="array" ref="U121">IF(AND(U$2&lt;&gt;0,TblTech[[#This Row],[Hour]:[Hour]]&gt;=U$2),1,0)</f>
        <v>0</v>
      </c>
      <c r="V121" s="304" cm="1">
        <f t="array" ref="V121">IF(AND(V$2&lt;&gt;0,TblTech[[#This Row],[Hour]:[Hour]]&gt;=V$2),1,0)</f>
        <v>0</v>
      </c>
      <c r="W121" s="304" cm="1">
        <f t="array" ref="W121">IF(AND(W$2&lt;&gt;0,TblTech[[#This Row],[Hour]:[Hour]]&gt;=W$2),1,0)</f>
        <v>0</v>
      </c>
      <c r="X121" s="304" cm="1">
        <f t="array" ref="X121">IF(AND(X$2&lt;&gt;0,TblTech[[#This Row],[Hour]:[Hour]]&gt;=X$2),1,0)</f>
        <v>0</v>
      </c>
      <c r="Y121" s="304" cm="1">
        <f t="array" ref="Y121">IF(AND(Y$2&lt;&gt;0,TblTech[[#This Row],[Hour]:[Hour]]&gt;=Y$2),1,0)</f>
        <v>0</v>
      </c>
      <c r="Z121" s="304" cm="1">
        <f t="array" ref="Z121">IF(AND(Z$2&lt;&gt;0,TblTech[[#This Row],[Hour]:[Hour]]&gt;=Z$2),1,0)</f>
        <v>0</v>
      </c>
      <c r="AA121" s="304" cm="1">
        <f t="array" ref="AA121">IF(AND(AA$2&lt;&gt;0,TblTech[[#This Row],[Hour]:[Hour]]&gt;=AA$2),1,0)</f>
        <v>0</v>
      </c>
      <c r="AB121" s="304" cm="1">
        <f t="array" ref="AB121">IF(AND(AB$2&lt;&gt;0,TblTech[[#This Row],[Hour]:[Hour]]&gt;=AB$2),1,0)</f>
        <v>0</v>
      </c>
      <c r="AC121" s="304" cm="1">
        <f t="array" ref="AC121">IF(AND(AC$2&lt;&gt;0,TblTech[[#This Row],[Hour]:[Hour]]&gt;=AC$2),1,0)</f>
        <v>0</v>
      </c>
      <c r="AD121" s="304" cm="1">
        <f t="array" ref="AD121">IF(AND(AD$2&lt;&gt;0,TblTech[[#This Row],[Hour]:[Hour]]&gt;=AD$2),1,0)</f>
        <v>0</v>
      </c>
      <c r="AE121" s="304" cm="1">
        <f t="array" ref="AE121">IF(AND(AE$2&lt;&gt;0,TblTech[[#This Row],[Hour]:[Hour]]&gt;=AE$2),1,0)</f>
        <v>0</v>
      </c>
      <c r="AF121" s="304" cm="1">
        <f t="array" ref="AF121">IF(AND(AF$2&lt;&gt;0,TblTech[[#This Row],[Hour]:[Hour]]&gt;=AF$2),1,0)</f>
        <v>0</v>
      </c>
      <c r="AG121" s="304" cm="1">
        <f t="array" ref="AG121">IF(AND(AG$2&lt;&gt;0,TblTech[[#This Row],[Hour]:[Hour]]&gt;=AG$2),1,0)</f>
        <v>0</v>
      </c>
      <c r="AH121" s="304" cm="1">
        <f t="array" ref="AH121">IF(AND(AH$2&lt;&gt;0,TblTech[[#This Row],[Hour]:[Hour]]&gt;=AH$2),1,0)</f>
        <v>0</v>
      </c>
      <c r="AI121" s="304" cm="1">
        <f t="array" ref="AI121">IF(AND(AI$2&lt;&gt;0,TblTech[[#This Row],[Hour]:[Hour]]&gt;=AI$2),1,0)</f>
        <v>0</v>
      </c>
      <c r="AJ121" s="304" cm="1">
        <f t="array" ref="AJ121">IF(AND(AJ$2&lt;&gt;0,TblTech[[#This Row],[Hour]:[Hour]]&gt;=AJ$2),1,0)</f>
        <v>0</v>
      </c>
      <c r="AK121" s="304" cm="1">
        <f t="array" ref="AK121">IF(AND(AK$2&lt;&gt;0,TblTech[[#This Row],[Hour]:[Hour]]&gt;=AK$2),1,0)</f>
        <v>0</v>
      </c>
      <c r="AL121" s="304" cm="1">
        <f t="array" ref="AL121">IF(AND(AL$2&lt;&gt;0,TblTech[[#This Row],[Hour]:[Hour]]&gt;=AL$2),1,0)</f>
        <v>0</v>
      </c>
      <c r="AM121" s="304" cm="1">
        <f t="array" ref="AM121">IF(AND(AM$2&lt;&gt;0,TblTech[[#This Row],[Hour]:[Hour]]&gt;=AM$2),1,0)</f>
        <v>0</v>
      </c>
      <c r="AN121" s="304" cm="1">
        <f t="array" ref="AN121">IF(AND(AN$2&lt;&gt;0,TblTech[[#This Row],[Hour]:[Hour]]&gt;=AN$2),1,0)</f>
        <v>0</v>
      </c>
      <c r="AO121" s="304" cm="1">
        <f t="array" ref="AO121">IF(AND(AO$2&lt;&gt;0,TblTech[[#This Row],[Hour]:[Hour]]&gt;=AO$2),1,0)</f>
        <v>0</v>
      </c>
      <c r="AP121" s="304" cm="1">
        <f t="array" ref="AP121">IF(AND(AP$2&lt;&gt;0,TblTech[[#This Row],[Hour]:[Hour]]&gt;=AP$2),1,0)</f>
        <v>0</v>
      </c>
      <c r="AQ121" s="304" cm="1">
        <f t="array" ref="AQ121">IF(AND(AQ$2&lt;&gt;0,TblTech[[#This Row],[Hour]:[Hour]]&gt;=AQ$2),1,0)</f>
        <v>0</v>
      </c>
      <c r="AR121" s="304" cm="1">
        <f t="array" ref="AR121">IF(AND(AR$2&lt;&gt;0,TblTech[[#This Row],[Hour]:[Hour]]&gt;=AR$2),1,0)</f>
        <v>0</v>
      </c>
      <c r="AS121" s="304" cm="1">
        <f t="array" ref="AS121">IF(AND(AS$2&lt;&gt;0,TblTech[[#This Row],[Hour]:[Hour]]&gt;=AS$2),1,0)</f>
        <v>0</v>
      </c>
      <c r="AT121" s="304" cm="1">
        <f t="array" ref="AT121">IF(AND(AT$2&lt;&gt;0,TblTech[[#This Row],[Hour]:[Hour]]&gt;=AT$2),1,0)</f>
        <v>0</v>
      </c>
      <c r="AU121" s="304" cm="1">
        <f t="array" ref="AU121">IF(AND(AU$2&lt;&gt;0,TblTech[[#This Row],[Hour]:[Hour]]&gt;=AU$2),1,0)</f>
        <v>0</v>
      </c>
      <c r="AV121" s="304" cm="1">
        <f t="array" ref="AV121">IF(AND(AV$2&lt;&gt;0,TblTech[[#This Row],[Hour]:[Hour]]&gt;=AV$2),1,0)</f>
        <v>0</v>
      </c>
      <c r="AW121" s="304" cm="1">
        <f t="array" ref="AW121">IF(AND(AW$2&lt;&gt;0,TblTech[[#This Row],[Hour]:[Hour]]&gt;=AW$2),1,0)</f>
        <v>0</v>
      </c>
      <c r="AX121" s="304" cm="1">
        <f t="array" ref="AX121">IF(AND(AX$2&lt;&gt;0,TblTech[[#This Row],[Hour]:[Hour]]&gt;=AX$2),1,0)</f>
        <v>0</v>
      </c>
      <c r="AY121" s="304" cm="1">
        <f t="array" ref="AY121">IF(AND(AY$2&lt;&gt;0,TblTech[[#This Row],[Hour]:[Hour]]&gt;=AY$2),1,0)</f>
        <v>0</v>
      </c>
      <c r="AZ121" s="304" cm="1">
        <f t="array" ref="AZ121">IF(AND(AZ$2&lt;&gt;0,TblTech[[#This Row],[Hour]:[Hour]]&gt;=AZ$2),1,0)</f>
        <v>0</v>
      </c>
      <c r="BA121" s="304" cm="1">
        <f t="array" ref="BA121">IF(AND(BA$2&lt;&gt;0,TblTech[[#This Row],[Hour]:[Hour]]&gt;=BA$2),1,0)</f>
        <v>0</v>
      </c>
      <c r="BB121" s="304" cm="1">
        <f t="array" ref="BB121">IF(AND(BB$2&lt;&gt;0,TblTech[[#This Row],[Hour]:[Hour]]&gt;=BB$2),1,0)</f>
        <v>0</v>
      </c>
      <c r="BC121" s="304" cm="1">
        <f t="array" ref="BC121">IF(AND(BC$2&lt;&gt;0,TblTech[[#This Row],[Hour]:[Hour]]&gt;=BC$2),1,0)</f>
        <v>0</v>
      </c>
      <c r="BD121" s="304" cm="1">
        <f t="array" ref="BD121">IF(AND(BD$2&lt;&gt;0,TblTech[[#This Row],[Hour]:[Hour]]&gt;=BD$2),1,0)</f>
        <v>0</v>
      </c>
      <c r="BE121" s="304" cm="1">
        <f t="array" ref="BE121">IF(AND(BE$2&lt;&gt;0,TblTech[[#This Row],[Hour]:[Hour]]&gt;=BE$2),1,0)</f>
        <v>0</v>
      </c>
      <c r="BF121" s="304" cm="1">
        <f t="array" ref="BF121">IF(AND(BF$2&lt;&gt;0,TblTech[[#This Row],[Hour]:[Hour]]&gt;=BF$2),1,0)</f>
        <v>0</v>
      </c>
      <c r="BG121" s="304" cm="1">
        <f t="array" ref="BG121">IF(AND(BG$2&lt;&gt;0,TblTech[[#This Row],[Hour]:[Hour]]&gt;=BG$2),1,0)</f>
        <v>0</v>
      </c>
      <c r="BH121" s="304" cm="1">
        <f t="array" ref="BH121">IF(AND(BH$2&lt;&gt;0,TblTech[[#This Row],[Hour]:[Hour]]&gt;=BH$2),1,0)</f>
        <v>0</v>
      </c>
      <c r="BI121" s="304" cm="1">
        <f t="array" ref="BI121">IF(AND(BI$2&lt;&gt;0,TblTech[[#This Row],[Hour]:[Hour]]&gt;=BI$2),1,0)</f>
        <v>0</v>
      </c>
      <c r="BJ121" s="304" cm="1">
        <f t="array" ref="BJ121">IF(AND(BJ$2&lt;&gt;0,TblTech[[#This Row],[Hour]:[Hour]]&gt;=BJ$2),1,0)</f>
        <v>0</v>
      </c>
      <c r="BK121" s="304" cm="1">
        <f t="array" ref="BK121">IF(AND(BK$2&lt;&gt;0,TblTech[[#This Row],[Hour]:[Hour]]&gt;=BK$2),1,0)</f>
        <v>0</v>
      </c>
      <c r="BL121" s="304" cm="1">
        <f t="array" ref="BL121">IF(AND(BL$2&lt;&gt;0,TblTech[[#This Row],[Hour]:[Hour]]&gt;=BL$2),1,0)</f>
        <v>0</v>
      </c>
      <c r="BM121" s="304" cm="1">
        <f t="array" ref="BM121">IF(AND(BM$2&lt;&gt;0,TblTech[[#This Row],[Hour]:[Hour]]&gt;=BM$2),1,0)</f>
        <v>0</v>
      </c>
      <c r="BN121" s="304" cm="1">
        <f t="array" ref="BN121">IF(AND(BN$2&lt;&gt;0,TblTech[[#This Row],[Hour]:[Hour]]&gt;=BN$2),1,0)</f>
        <v>0</v>
      </c>
      <c r="BO121" s="304" cm="1">
        <f t="array" ref="BO121">IF(AND(BO$2&lt;&gt;0,TblTech[[#This Row],[Hour]:[Hour]]&gt;=BO$2),1,0)</f>
        <v>0</v>
      </c>
      <c r="BP121" s="304" cm="1">
        <f t="array" ref="BP121">IF(AND(BP$2&lt;&gt;0,TblTech[[#This Row],[Hour]:[Hour]]&gt;=BP$2),1,0)</f>
        <v>0</v>
      </c>
      <c r="BQ121" s="304" cm="1">
        <f t="array" ref="BQ121">IF(AND(BQ$2&lt;&gt;0,TblTech[[#This Row],[Hour]:[Hour]]&gt;=BQ$2),1,0)</f>
        <v>0</v>
      </c>
      <c r="BR121" s="304" cm="1">
        <f t="array" ref="BR121">IF(AND(BR$2&lt;&gt;0,TblTech[[#This Row],[Hour]:[Hour]]&gt;=BR$2),1,0)</f>
        <v>0</v>
      </c>
      <c r="BS121" s="304" cm="1">
        <f t="array" ref="BS121">IF(AND(BS$2&lt;&gt;0,TblTech[[#This Row],[Hour]:[Hour]]&gt;=BS$2),1,0)</f>
        <v>0</v>
      </c>
      <c r="BT121" s="304" cm="1">
        <f t="array" ref="BT121">IF(AND(BT$2&lt;&gt;0,TblTech[[#This Row],[Hour]:[Hour]]&gt;=BT$2),1,0)</f>
        <v>0</v>
      </c>
      <c r="BU121" s="304" cm="1">
        <f t="array" ref="BU121">IF(AND(BU$2&lt;&gt;0,TblTech[[#This Row],[Hour]:[Hour]]&gt;=BU$2),1,0)</f>
        <v>0</v>
      </c>
      <c r="BV121" s="304" cm="1">
        <f t="array" ref="BV121">IF(AND(BV$2&lt;&gt;0,TblTech[[#This Row],[Hour]:[Hour]]&gt;=BV$2),1,0)</f>
        <v>0</v>
      </c>
      <c r="BW121" s="304" cm="1">
        <f t="array" ref="BW121">IF(AND(BW$2&lt;&gt;0,TblTech[[#This Row],[Hour]:[Hour]]&gt;=BW$2),1,0)</f>
        <v>0</v>
      </c>
      <c r="BX121" s="304" cm="1">
        <f t="array" ref="BX121">IF(AND(BX$2&lt;&gt;0,TblTech[[#This Row],[Hour]:[Hour]]&gt;=BX$2),1,0)</f>
        <v>0</v>
      </c>
      <c r="BY121" s="304" cm="1">
        <f t="array" ref="BY121">IF(AND(BY$2&lt;&gt;0,TblTech[[#This Row],[Hour]:[Hour]]&gt;=BY$2),1,0)</f>
        <v>0</v>
      </c>
      <c r="BZ121" s="304" cm="1">
        <f t="array" ref="BZ121">IF(AND(BZ$2&lt;&gt;0,TblTech[[#This Row],[Hour]:[Hour]]&gt;=BZ$2),1,0)</f>
        <v>0</v>
      </c>
      <c r="CA121" s="408">
        <f>IFERROR(INDEX($H$4:$H$79,MATCH(INDEX(TblTech[[#Headers],[1-1]:[11-1]],1,MATCH(TblTech[[#This Row],[Hour]],$M$2:$BZ$2,0)),$G$4:$G$79,0)),)</f>
        <v>0</v>
      </c>
    </row>
    <row r="122" spans="1:79" x14ac:dyDescent="0.2">
      <c r="A122" s="296">
        <f>TblRezone[[#This Row],[Hour]]</f>
        <v>119</v>
      </c>
      <c r="B122" s="297">
        <f ca="1">TblExplore[[#This Row],[Land-DB]]</f>
        <v>250</v>
      </c>
      <c r="C122" s="298">
        <f ca="1">TblProd[[#This Row],[Techpoints]]</f>
        <v>0</v>
      </c>
      <c r="D122" s="298">
        <f ca="1">TblProd[[#This Row],[Required]]</f>
        <v>3750</v>
      </c>
      <c r="E122" s="307"/>
      <c r="F122" s="308"/>
      <c r="G122" s="301"/>
      <c r="H122" s="302"/>
      <c r="I122" s="302"/>
      <c r="J122" s="302"/>
      <c r="K122" s="96">
        <f ca="1">IF(TblTech[[#This Row],[Sum of tech]]&lt;&gt;OFFSET(TblTech[[#This Row],[Sum of tech]],-1,0),1,0)</f>
        <v>0</v>
      </c>
      <c r="L122" s="303">
        <f>COUNTIF(TblTech[[#This Row],[1-1]:[11-1]],1)</f>
        <v>0</v>
      </c>
      <c r="M122" s="304" cm="1">
        <f t="array" ref="M122">IF(AND(M$2&lt;&gt;0,TblTech[[#This Row],[Hour]:[Hour]]&gt;=M$2),1,0)</f>
        <v>0</v>
      </c>
      <c r="N122" s="304" cm="1">
        <f t="array" ref="N122">IF(AND(N$2&lt;&gt;0,TblTech[[#This Row],[Hour]:[Hour]]&gt;=N$2),1,0)</f>
        <v>0</v>
      </c>
      <c r="O122" s="304" cm="1">
        <f t="array" ref="O122">IF(AND(O$2&lt;&gt;0,TblTech[[#This Row],[Hour]:[Hour]]&gt;=O$2),1,0)</f>
        <v>0</v>
      </c>
      <c r="P122" s="304" cm="1">
        <f t="array" ref="P122">IF(AND(P$2&lt;&gt;0,TblTech[[#This Row],[Hour]:[Hour]]&gt;=P$2),1,0)</f>
        <v>0</v>
      </c>
      <c r="Q122" s="304" cm="1">
        <f t="array" ref="Q122">IF(AND(Q$2&lt;&gt;0,TblTech[[#This Row],[Hour]:[Hour]]&gt;=Q$2),1,0)</f>
        <v>0</v>
      </c>
      <c r="R122" s="304" cm="1">
        <f t="array" ref="R122">IF(AND(R$2&lt;&gt;0,TblTech[[#This Row],[Hour]:[Hour]]&gt;=R$2),1,0)</f>
        <v>0</v>
      </c>
      <c r="S122" s="304" cm="1">
        <f t="array" ref="S122">IF(AND(S$2&lt;&gt;0,TblTech[[#This Row],[Hour]:[Hour]]&gt;=S$2),1,0)</f>
        <v>0</v>
      </c>
      <c r="T122" s="304" cm="1">
        <f t="array" ref="T122">IF(AND(T$2&lt;&gt;0,TblTech[[#This Row],[Hour]:[Hour]]&gt;=T$2),1,0)</f>
        <v>0</v>
      </c>
      <c r="U122" s="304" cm="1">
        <f t="array" ref="U122">IF(AND(U$2&lt;&gt;0,TblTech[[#This Row],[Hour]:[Hour]]&gt;=U$2),1,0)</f>
        <v>0</v>
      </c>
      <c r="V122" s="304" cm="1">
        <f t="array" ref="V122">IF(AND(V$2&lt;&gt;0,TblTech[[#This Row],[Hour]:[Hour]]&gt;=V$2),1,0)</f>
        <v>0</v>
      </c>
      <c r="W122" s="304" cm="1">
        <f t="array" ref="W122">IF(AND(W$2&lt;&gt;0,TblTech[[#This Row],[Hour]:[Hour]]&gt;=W$2),1,0)</f>
        <v>0</v>
      </c>
      <c r="X122" s="304" cm="1">
        <f t="array" ref="X122">IF(AND(X$2&lt;&gt;0,TblTech[[#This Row],[Hour]:[Hour]]&gt;=X$2),1,0)</f>
        <v>0</v>
      </c>
      <c r="Y122" s="304" cm="1">
        <f t="array" ref="Y122">IF(AND(Y$2&lt;&gt;0,TblTech[[#This Row],[Hour]:[Hour]]&gt;=Y$2),1,0)</f>
        <v>0</v>
      </c>
      <c r="Z122" s="304" cm="1">
        <f t="array" ref="Z122">IF(AND(Z$2&lt;&gt;0,TblTech[[#This Row],[Hour]:[Hour]]&gt;=Z$2),1,0)</f>
        <v>0</v>
      </c>
      <c r="AA122" s="304" cm="1">
        <f t="array" ref="AA122">IF(AND(AA$2&lt;&gt;0,TblTech[[#This Row],[Hour]:[Hour]]&gt;=AA$2),1,0)</f>
        <v>0</v>
      </c>
      <c r="AB122" s="304" cm="1">
        <f t="array" ref="AB122">IF(AND(AB$2&lt;&gt;0,TblTech[[#This Row],[Hour]:[Hour]]&gt;=AB$2),1,0)</f>
        <v>0</v>
      </c>
      <c r="AC122" s="304" cm="1">
        <f t="array" ref="AC122">IF(AND(AC$2&lt;&gt;0,TblTech[[#This Row],[Hour]:[Hour]]&gt;=AC$2),1,0)</f>
        <v>0</v>
      </c>
      <c r="AD122" s="304" cm="1">
        <f t="array" ref="AD122">IF(AND(AD$2&lt;&gt;0,TblTech[[#This Row],[Hour]:[Hour]]&gt;=AD$2),1,0)</f>
        <v>0</v>
      </c>
      <c r="AE122" s="304" cm="1">
        <f t="array" ref="AE122">IF(AND(AE$2&lt;&gt;0,TblTech[[#This Row],[Hour]:[Hour]]&gt;=AE$2),1,0)</f>
        <v>0</v>
      </c>
      <c r="AF122" s="304" cm="1">
        <f t="array" ref="AF122">IF(AND(AF$2&lt;&gt;0,TblTech[[#This Row],[Hour]:[Hour]]&gt;=AF$2),1,0)</f>
        <v>0</v>
      </c>
      <c r="AG122" s="304" cm="1">
        <f t="array" ref="AG122">IF(AND(AG$2&lt;&gt;0,TblTech[[#This Row],[Hour]:[Hour]]&gt;=AG$2),1,0)</f>
        <v>0</v>
      </c>
      <c r="AH122" s="304" cm="1">
        <f t="array" ref="AH122">IF(AND(AH$2&lt;&gt;0,TblTech[[#This Row],[Hour]:[Hour]]&gt;=AH$2),1,0)</f>
        <v>0</v>
      </c>
      <c r="AI122" s="304" cm="1">
        <f t="array" ref="AI122">IF(AND(AI$2&lt;&gt;0,TblTech[[#This Row],[Hour]:[Hour]]&gt;=AI$2),1,0)</f>
        <v>0</v>
      </c>
      <c r="AJ122" s="304" cm="1">
        <f t="array" ref="AJ122">IF(AND(AJ$2&lt;&gt;0,TblTech[[#This Row],[Hour]:[Hour]]&gt;=AJ$2),1,0)</f>
        <v>0</v>
      </c>
      <c r="AK122" s="304" cm="1">
        <f t="array" ref="AK122">IF(AND(AK$2&lt;&gt;0,TblTech[[#This Row],[Hour]:[Hour]]&gt;=AK$2),1,0)</f>
        <v>0</v>
      </c>
      <c r="AL122" s="304" cm="1">
        <f t="array" ref="AL122">IF(AND(AL$2&lt;&gt;0,TblTech[[#This Row],[Hour]:[Hour]]&gt;=AL$2),1,0)</f>
        <v>0</v>
      </c>
      <c r="AM122" s="304" cm="1">
        <f t="array" ref="AM122">IF(AND(AM$2&lt;&gt;0,TblTech[[#This Row],[Hour]:[Hour]]&gt;=AM$2),1,0)</f>
        <v>0</v>
      </c>
      <c r="AN122" s="304" cm="1">
        <f t="array" ref="AN122">IF(AND(AN$2&lt;&gt;0,TblTech[[#This Row],[Hour]:[Hour]]&gt;=AN$2),1,0)</f>
        <v>0</v>
      </c>
      <c r="AO122" s="304" cm="1">
        <f t="array" ref="AO122">IF(AND(AO$2&lt;&gt;0,TblTech[[#This Row],[Hour]:[Hour]]&gt;=AO$2),1,0)</f>
        <v>0</v>
      </c>
      <c r="AP122" s="304" cm="1">
        <f t="array" ref="AP122">IF(AND(AP$2&lt;&gt;0,TblTech[[#This Row],[Hour]:[Hour]]&gt;=AP$2),1,0)</f>
        <v>0</v>
      </c>
      <c r="AQ122" s="304" cm="1">
        <f t="array" ref="AQ122">IF(AND(AQ$2&lt;&gt;0,TblTech[[#This Row],[Hour]:[Hour]]&gt;=AQ$2),1,0)</f>
        <v>0</v>
      </c>
      <c r="AR122" s="304" cm="1">
        <f t="array" ref="AR122">IF(AND(AR$2&lt;&gt;0,TblTech[[#This Row],[Hour]:[Hour]]&gt;=AR$2),1,0)</f>
        <v>0</v>
      </c>
      <c r="AS122" s="304" cm="1">
        <f t="array" ref="AS122">IF(AND(AS$2&lt;&gt;0,TblTech[[#This Row],[Hour]:[Hour]]&gt;=AS$2),1,0)</f>
        <v>0</v>
      </c>
      <c r="AT122" s="304" cm="1">
        <f t="array" ref="AT122">IF(AND(AT$2&lt;&gt;0,TblTech[[#This Row],[Hour]:[Hour]]&gt;=AT$2),1,0)</f>
        <v>0</v>
      </c>
      <c r="AU122" s="304" cm="1">
        <f t="array" ref="AU122">IF(AND(AU$2&lt;&gt;0,TblTech[[#This Row],[Hour]:[Hour]]&gt;=AU$2),1,0)</f>
        <v>0</v>
      </c>
      <c r="AV122" s="304" cm="1">
        <f t="array" ref="AV122">IF(AND(AV$2&lt;&gt;0,TblTech[[#This Row],[Hour]:[Hour]]&gt;=AV$2),1,0)</f>
        <v>0</v>
      </c>
      <c r="AW122" s="304" cm="1">
        <f t="array" ref="AW122">IF(AND(AW$2&lt;&gt;0,TblTech[[#This Row],[Hour]:[Hour]]&gt;=AW$2),1,0)</f>
        <v>0</v>
      </c>
      <c r="AX122" s="304" cm="1">
        <f t="array" ref="AX122">IF(AND(AX$2&lt;&gt;0,TblTech[[#This Row],[Hour]:[Hour]]&gt;=AX$2),1,0)</f>
        <v>0</v>
      </c>
      <c r="AY122" s="304" cm="1">
        <f t="array" ref="AY122">IF(AND(AY$2&lt;&gt;0,TblTech[[#This Row],[Hour]:[Hour]]&gt;=AY$2),1,0)</f>
        <v>0</v>
      </c>
      <c r="AZ122" s="304" cm="1">
        <f t="array" ref="AZ122">IF(AND(AZ$2&lt;&gt;0,TblTech[[#This Row],[Hour]:[Hour]]&gt;=AZ$2),1,0)</f>
        <v>0</v>
      </c>
      <c r="BA122" s="304" cm="1">
        <f t="array" ref="BA122">IF(AND(BA$2&lt;&gt;0,TblTech[[#This Row],[Hour]:[Hour]]&gt;=BA$2),1,0)</f>
        <v>0</v>
      </c>
      <c r="BB122" s="304" cm="1">
        <f t="array" ref="BB122">IF(AND(BB$2&lt;&gt;0,TblTech[[#This Row],[Hour]:[Hour]]&gt;=BB$2),1,0)</f>
        <v>0</v>
      </c>
      <c r="BC122" s="304" cm="1">
        <f t="array" ref="BC122">IF(AND(BC$2&lt;&gt;0,TblTech[[#This Row],[Hour]:[Hour]]&gt;=BC$2),1,0)</f>
        <v>0</v>
      </c>
      <c r="BD122" s="304" cm="1">
        <f t="array" ref="BD122">IF(AND(BD$2&lt;&gt;0,TblTech[[#This Row],[Hour]:[Hour]]&gt;=BD$2),1,0)</f>
        <v>0</v>
      </c>
      <c r="BE122" s="304" cm="1">
        <f t="array" ref="BE122">IF(AND(BE$2&lt;&gt;0,TblTech[[#This Row],[Hour]:[Hour]]&gt;=BE$2),1,0)</f>
        <v>0</v>
      </c>
      <c r="BF122" s="304" cm="1">
        <f t="array" ref="BF122">IF(AND(BF$2&lt;&gt;0,TblTech[[#This Row],[Hour]:[Hour]]&gt;=BF$2),1,0)</f>
        <v>0</v>
      </c>
      <c r="BG122" s="304" cm="1">
        <f t="array" ref="BG122">IF(AND(BG$2&lt;&gt;0,TblTech[[#This Row],[Hour]:[Hour]]&gt;=BG$2),1,0)</f>
        <v>0</v>
      </c>
      <c r="BH122" s="304" cm="1">
        <f t="array" ref="BH122">IF(AND(BH$2&lt;&gt;0,TblTech[[#This Row],[Hour]:[Hour]]&gt;=BH$2),1,0)</f>
        <v>0</v>
      </c>
      <c r="BI122" s="304" cm="1">
        <f t="array" ref="BI122">IF(AND(BI$2&lt;&gt;0,TblTech[[#This Row],[Hour]:[Hour]]&gt;=BI$2),1,0)</f>
        <v>0</v>
      </c>
      <c r="BJ122" s="304" cm="1">
        <f t="array" ref="BJ122">IF(AND(BJ$2&lt;&gt;0,TblTech[[#This Row],[Hour]:[Hour]]&gt;=BJ$2),1,0)</f>
        <v>0</v>
      </c>
      <c r="BK122" s="304" cm="1">
        <f t="array" ref="BK122">IF(AND(BK$2&lt;&gt;0,TblTech[[#This Row],[Hour]:[Hour]]&gt;=BK$2),1,0)</f>
        <v>0</v>
      </c>
      <c r="BL122" s="304" cm="1">
        <f t="array" ref="BL122">IF(AND(BL$2&lt;&gt;0,TblTech[[#This Row],[Hour]:[Hour]]&gt;=BL$2),1,0)</f>
        <v>0</v>
      </c>
      <c r="BM122" s="304" cm="1">
        <f t="array" ref="BM122">IF(AND(BM$2&lt;&gt;0,TblTech[[#This Row],[Hour]:[Hour]]&gt;=BM$2),1,0)</f>
        <v>0</v>
      </c>
      <c r="BN122" s="304" cm="1">
        <f t="array" ref="BN122">IF(AND(BN$2&lt;&gt;0,TblTech[[#This Row],[Hour]:[Hour]]&gt;=BN$2),1,0)</f>
        <v>0</v>
      </c>
      <c r="BO122" s="304" cm="1">
        <f t="array" ref="BO122">IF(AND(BO$2&lt;&gt;0,TblTech[[#This Row],[Hour]:[Hour]]&gt;=BO$2),1,0)</f>
        <v>0</v>
      </c>
      <c r="BP122" s="304" cm="1">
        <f t="array" ref="BP122">IF(AND(BP$2&lt;&gt;0,TblTech[[#This Row],[Hour]:[Hour]]&gt;=BP$2),1,0)</f>
        <v>0</v>
      </c>
      <c r="BQ122" s="304" cm="1">
        <f t="array" ref="BQ122">IF(AND(BQ$2&lt;&gt;0,TblTech[[#This Row],[Hour]:[Hour]]&gt;=BQ$2),1,0)</f>
        <v>0</v>
      </c>
      <c r="BR122" s="304" cm="1">
        <f t="array" ref="BR122">IF(AND(BR$2&lt;&gt;0,TblTech[[#This Row],[Hour]:[Hour]]&gt;=BR$2),1,0)</f>
        <v>0</v>
      </c>
      <c r="BS122" s="304" cm="1">
        <f t="array" ref="BS122">IF(AND(BS$2&lt;&gt;0,TblTech[[#This Row],[Hour]:[Hour]]&gt;=BS$2),1,0)</f>
        <v>0</v>
      </c>
      <c r="BT122" s="304" cm="1">
        <f t="array" ref="BT122">IF(AND(BT$2&lt;&gt;0,TblTech[[#This Row],[Hour]:[Hour]]&gt;=BT$2),1,0)</f>
        <v>0</v>
      </c>
      <c r="BU122" s="304" cm="1">
        <f t="array" ref="BU122">IF(AND(BU$2&lt;&gt;0,TblTech[[#This Row],[Hour]:[Hour]]&gt;=BU$2),1,0)</f>
        <v>0</v>
      </c>
      <c r="BV122" s="304" cm="1">
        <f t="array" ref="BV122">IF(AND(BV$2&lt;&gt;0,TblTech[[#This Row],[Hour]:[Hour]]&gt;=BV$2),1,0)</f>
        <v>0</v>
      </c>
      <c r="BW122" s="304" cm="1">
        <f t="array" ref="BW122">IF(AND(BW$2&lt;&gt;0,TblTech[[#This Row],[Hour]:[Hour]]&gt;=BW$2),1,0)</f>
        <v>0</v>
      </c>
      <c r="BX122" s="304" cm="1">
        <f t="array" ref="BX122">IF(AND(BX$2&lt;&gt;0,TblTech[[#This Row],[Hour]:[Hour]]&gt;=BX$2),1,0)</f>
        <v>0</v>
      </c>
      <c r="BY122" s="304" cm="1">
        <f t="array" ref="BY122">IF(AND(BY$2&lt;&gt;0,TblTech[[#This Row],[Hour]:[Hour]]&gt;=BY$2),1,0)</f>
        <v>0</v>
      </c>
      <c r="BZ122" s="304" cm="1">
        <f t="array" ref="BZ122">IF(AND(BZ$2&lt;&gt;0,TblTech[[#This Row],[Hour]:[Hour]]&gt;=BZ$2),1,0)</f>
        <v>0</v>
      </c>
      <c r="CA122" s="408">
        <f>IFERROR(INDEX($H$4:$H$79,MATCH(INDEX(TblTech[[#Headers],[1-1]:[11-1]],1,MATCH(TblTech[[#This Row],[Hour]],$M$2:$BZ$2,0)),$G$4:$G$79,0)),)</f>
        <v>0</v>
      </c>
    </row>
    <row r="123" spans="1:79" x14ac:dyDescent="0.2">
      <c r="A123" s="296">
        <f>TblRezone[[#This Row],[Hour]]</f>
        <v>120</v>
      </c>
      <c r="B123" s="297">
        <f ca="1">TblExplore[[#This Row],[Land-DB]]</f>
        <v>250</v>
      </c>
      <c r="C123" s="298">
        <f ca="1">TblProd[[#This Row],[Techpoints]]</f>
        <v>0</v>
      </c>
      <c r="D123" s="298">
        <f ca="1">TblProd[[#This Row],[Required]]</f>
        <v>3750</v>
      </c>
      <c r="E123" s="307"/>
      <c r="F123" s="308"/>
      <c r="G123" s="301"/>
      <c r="H123" s="302"/>
      <c r="I123" s="302"/>
      <c r="J123" s="302"/>
      <c r="K123" s="96">
        <f ca="1">IF(TblTech[[#This Row],[Sum of tech]]&lt;&gt;OFFSET(TblTech[[#This Row],[Sum of tech]],-1,0),1,0)</f>
        <v>0</v>
      </c>
      <c r="L123" s="303">
        <f>COUNTIF(TblTech[[#This Row],[1-1]:[11-1]],1)</f>
        <v>0</v>
      </c>
      <c r="M123" s="304" cm="1">
        <f t="array" ref="M123">IF(AND(M$2&lt;&gt;0,TblTech[[#This Row],[Hour]:[Hour]]&gt;=M$2),1,0)</f>
        <v>0</v>
      </c>
      <c r="N123" s="304" cm="1">
        <f t="array" ref="N123">IF(AND(N$2&lt;&gt;0,TblTech[[#This Row],[Hour]:[Hour]]&gt;=N$2),1,0)</f>
        <v>0</v>
      </c>
      <c r="O123" s="304" cm="1">
        <f t="array" ref="O123">IF(AND(O$2&lt;&gt;0,TblTech[[#This Row],[Hour]:[Hour]]&gt;=O$2),1,0)</f>
        <v>0</v>
      </c>
      <c r="P123" s="304" cm="1">
        <f t="array" ref="P123">IF(AND(P$2&lt;&gt;0,TblTech[[#This Row],[Hour]:[Hour]]&gt;=P$2),1,0)</f>
        <v>0</v>
      </c>
      <c r="Q123" s="304" cm="1">
        <f t="array" ref="Q123">IF(AND(Q$2&lt;&gt;0,TblTech[[#This Row],[Hour]:[Hour]]&gt;=Q$2),1,0)</f>
        <v>0</v>
      </c>
      <c r="R123" s="304" cm="1">
        <f t="array" ref="R123">IF(AND(R$2&lt;&gt;0,TblTech[[#This Row],[Hour]:[Hour]]&gt;=R$2),1,0)</f>
        <v>0</v>
      </c>
      <c r="S123" s="304" cm="1">
        <f t="array" ref="S123">IF(AND(S$2&lt;&gt;0,TblTech[[#This Row],[Hour]:[Hour]]&gt;=S$2),1,0)</f>
        <v>0</v>
      </c>
      <c r="T123" s="304" cm="1">
        <f t="array" ref="T123">IF(AND(T$2&lt;&gt;0,TblTech[[#This Row],[Hour]:[Hour]]&gt;=T$2),1,0)</f>
        <v>0</v>
      </c>
      <c r="U123" s="304" cm="1">
        <f t="array" ref="U123">IF(AND(U$2&lt;&gt;0,TblTech[[#This Row],[Hour]:[Hour]]&gt;=U$2),1,0)</f>
        <v>0</v>
      </c>
      <c r="V123" s="304" cm="1">
        <f t="array" ref="V123">IF(AND(V$2&lt;&gt;0,TblTech[[#This Row],[Hour]:[Hour]]&gt;=V$2),1,0)</f>
        <v>0</v>
      </c>
      <c r="W123" s="304" cm="1">
        <f t="array" ref="W123">IF(AND(W$2&lt;&gt;0,TblTech[[#This Row],[Hour]:[Hour]]&gt;=W$2),1,0)</f>
        <v>0</v>
      </c>
      <c r="X123" s="304" cm="1">
        <f t="array" ref="X123">IF(AND(X$2&lt;&gt;0,TblTech[[#This Row],[Hour]:[Hour]]&gt;=X$2),1,0)</f>
        <v>0</v>
      </c>
      <c r="Y123" s="304" cm="1">
        <f t="array" ref="Y123">IF(AND(Y$2&lt;&gt;0,TblTech[[#This Row],[Hour]:[Hour]]&gt;=Y$2),1,0)</f>
        <v>0</v>
      </c>
      <c r="Z123" s="304" cm="1">
        <f t="array" ref="Z123">IF(AND(Z$2&lt;&gt;0,TblTech[[#This Row],[Hour]:[Hour]]&gt;=Z$2),1,0)</f>
        <v>0</v>
      </c>
      <c r="AA123" s="304" cm="1">
        <f t="array" ref="AA123">IF(AND(AA$2&lt;&gt;0,TblTech[[#This Row],[Hour]:[Hour]]&gt;=AA$2),1,0)</f>
        <v>0</v>
      </c>
      <c r="AB123" s="304" cm="1">
        <f t="array" ref="AB123">IF(AND(AB$2&lt;&gt;0,TblTech[[#This Row],[Hour]:[Hour]]&gt;=AB$2),1,0)</f>
        <v>0</v>
      </c>
      <c r="AC123" s="304" cm="1">
        <f t="array" ref="AC123">IF(AND(AC$2&lt;&gt;0,TblTech[[#This Row],[Hour]:[Hour]]&gt;=AC$2),1,0)</f>
        <v>0</v>
      </c>
      <c r="AD123" s="304" cm="1">
        <f t="array" ref="AD123">IF(AND(AD$2&lt;&gt;0,TblTech[[#This Row],[Hour]:[Hour]]&gt;=AD$2),1,0)</f>
        <v>0</v>
      </c>
      <c r="AE123" s="304" cm="1">
        <f t="array" ref="AE123">IF(AND(AE$2&lt;&gt;0,TblTech[[#This Row],[Hour]:[Hour]]&gt;=AE$2),1,0)</f>
        <v>0</v>
      </c>
      <c r="AF123" s="304" cm="1">
        <f t="array" ref="AF123">IF(AND(AF$2&lt;&gt;0,TblTech[[#This Row],[Hour]:[Hour]]&gt;=AF$2),1,0)</f>
        <v>0</v>
      </c>
      <c r="AG123" s="304" cm="1">
        <f t="array" ref="AG123">IF(AND(AG$2&lt;&gt;0,TblTech[[#This Row],[Hour]:[Hour]]&gt;=AG$2),1,0)</f>
        <v>0</v>
      </c>
      <c r="AH123" s="304" cm="1">
        <f t="array" ref="AH123">IF(AND(AH$2&lt;&gt;0,TblTech[[#This Row],[Hour]:[Hour]]&gt;=AH$2),1,0)</f>
        <v>0</v>
      </c>
      <c r="AI123" s="304" cm="1">
        <f t="array" ref="AI123">IF(AND(AI$2&lt;&gt;0,TblTech[[#This Row],[Hour]:[Hour]]&gt;=AI$2),1,0)</f>
        <v>0</v>
      </c>
      <c r="AJ123" s="304" cm="1">
        <f t="array" ref="AJ123">IF(AND(AJ$2&lt;&gt;0,TblTech[[#This Row],[Hour]:[Hour]]&gt;=AJ$2),1,0)</f>
        <v>0</v>
      </c>
      <c r="AK123" s="304" cm="1">
        <f t="array" ref="AK123">IF(AND(AK$2&lt;&gt;0,TblTech[[#This Row],[Hour]:[Hour]]&gt;=AK$2),1,0)</f>
        <v>0</v>
      </c>
      <c r="AL123" s="304" cm="1">
        <f t="array" ref="AL123">IF(AND(AL$2&lt;&gt;0,TblTech[[#This Row],[Hour]:[Hour]]&gt;=AL$2),1,0)</f>
        <v>0</v>
      </c>
      <c r="AM123" s="304" cm="1">
        <f t="array" ref="AM123">IF(AND(AM$2&lt;&gt;0,TblTech[[#This Row],[Hour]:[Hour]]&gt;=AM$2),1,0)</f>
        <v>0</v>
      </c>
      <c r="AN123" s="304" cm="1">
        <f t="array" ref="AN123">IF(AND(AN$2&lt;&gt;0,TblTech[[#This Row],[Hour]:[Hour]]&gt;=AN$2),1,0)</f>
        <v>0</v>
      </c>
      <c r="AO123" s="304" cm="1">
        <f t="array" ref="AO123">IF(AND(AO$2&lt;&gt;0,TblTech[[#This Row],[Hour]:[Hour]]&gt;=AO$2),1,0)</f>
        <v>0</v>
      </c>
      <c r="AP123" s="304" cm="1">
        <f t="array" ref="AP123">IF(AND(AP$2&lt;&gt;0,TblTech[[#This Row],[Hour]:[Hour]]&gt;=AP$2),1,0)</f>
        <v>0</v>
      </c>
      <c r="AQ123" s="304" cm="1">
        <f t="array" ref="AQ123">IF(AND(AQ$2&lt;&gt;0,TblTech[[#This Row],[Hour]:[Hour]]&gt;=AQ$2),1,0)</f>
        <v>0</v>
      </c>
      <c r="AR123" s="304" cm="1">
        <f t="array" ref="AR123">IF(AND(AR$2&lt;&gt;0,TblTech[[#This Row],[Hour]:[Hour]]&gt;=AR$2),1,0)</f>
        <v>0</v>
      </c>
      <c r="AS123" s="304" cm="1">
        <f t="array" ref="AS123">IF(AND(AS$2&lt;&gt;0,TblTech[[#This Row],[Hour]:[Hour]]&gt;=AS$2),1,0)</f>
        <v>0</v>
      </c>
      <c r="AT123" s="304" cm="1">
        <f t="array" ref="AT123">IF(AND(AT$2&lt;&gt;0,TblTech[[#This Row],[Hour]:[Hour]]&gt;=AT$2),1,0)</f>
        <v>0</v>
      </c>
      <c r="AU123" s="304" cm="1">
        <f t="array" ref="AU123">IF(AND(AU$2&lt;&gt;0,TblTech[[#This Row],[Hour]:[Hour]]&gt;=AU$2),1,0)</f>
        <v>0</v>
      </c>
      <c r="AV123" s="304" cm="1">
        <f t="array" ref="AV123">IF(AND(AV$2&lt;&gt;0,TblTech[[#This Row],[Hour]:[Hour]]&gt;=AV$2),1,0)</f>
        <v>0</v>
      </c>
      <c r="AW123" s="304" cm="1">
        <f t="array" ref="AW123">IF(AND(AW$2&lt;&gt;0,TblTech[[#This Row],[Hour]:[Hour]]&gt;=AW$2),1,0)</f>
        <v>0</v>
      </c>
      <c r="AX123" s="304" cm="1">
        <f t="array" ref="AX123">IF(AND(AX$2&lt;&gt;0,TblTech[[#This Row],[Hour]:[Hour]]&gt;=AX$2),1,0)</f>
        <v>0</v>
      </c>
      <c r="AY123" s="304" cm="1">
        <f t="array" ref="AY123">IF(AND(AY$2&lt;&gt;0,TblTech[[#This Row],[Hour]:[Hour]]&gt;=AY$2),1,0)</f>
        <v>0</v>
      </c>
      <c r="AZ123" s="304" cm="1">
        <f t="array" ref="AZ123">IF(AND(AZ$2&lt;&gt;0,TblTech[[#This Row],[Hour]:[Hour]]&gt;=AZ$2),1,0)</f>
        <v>0</v>
      </c>
      <c r="BA123" s="304" cm="1">
        <f t="array" ref="BA123">IF(AND(BA$2&lt;&gt;0,TblTech[[#This Row],[Hour]:[Hour]]&gt;=BA$2),1,0)</f>
        <v>0</v>
      </c>
      <c r="BB123" s="304" cm="1">
        <f t="array" ref="BB123">IF(AND(BB$2&lt;&gt;0,TblTech[[#This Row],[Hour]:[Hour]]&gt;=BB$2),1,0)</f>
        <v>0</v>
      </c>
      <c r="BC123" s="304" cm="1">
        <f t="array" ref="BC123">IF(AND(BC$2&lt;&gt;0,TblTech[[#This Row],[Hour]:[Hour]]&gt;=BC$2),1,0)</f>
        <v>0</v>
      </c>
      <c r="BD123" s="304" cm="1">
        <f t="array" ref="BD123">IF(AND(BD$2&lt;&gt;0,TblTech[[#This Row],[Hour]:[Hour]]&gt;=BD$2),1,0)</f>
        <v>0</v>
      </c>
      <c r="BE123" s="304" cm="1">
        <f t="array" ref="BE123">IF(AND(BE$2&lt;&gt;0,TblTech[[#This Row],[Hour]:[Hour]]&gt;=BE$2),1,0)</f>
        <v>0</v>
      </c>
      <c r="BF123" s="304" cm="1">
        <f t="array" ref="BF123">IF(AND(BF$2&lt;&gt;0,TblTech[[#This Row],[Hour]:[Hour]]&gt;=BF$2),1,0)</f>
        <v>0</v>
      </c>
      <c r="BG123" s="304" cm="1">
        <f t="array" ref="BG123">IF(AND(BG$2&lt;&gt;0,TblTech[[#This Row],[Hour]:[Hour]]&gt;=BG$2),1,0)</f>
        <v>0</v>
      </c>
      <c r="BH123" s="304" cm="1">
        <f t="array" ref="BH123">IF(AND(BH$2&lt;&gt;0,TblTech[[#This Row],[Hour]:[Hour]]&gt;=BH$2),1,0)</f>
        <v>0</v>
      </c>
      <c r="BI123" s="304" cm="1">
        <f t="array" ref="BI123">IF(AND(BI$2&lt;&gt;0,TblTech[[#This Row],[Hour]:[Hour]]&gt;=BI$2),1,0)</f>
        <v>0</v>
      </c>
      <c r="BJ123" s="304" cm="1">
        <f t="array" ref="BJ123">IF(AND(BJ$2&lt;&gt;0,TblTech[[#This Row],[Hour]:[Hour]]&gt;=BJ$2),1,0)</f>
        <v>0</v>
      </c>
      <c r="BK123" s="304" cm="1">
        <f t="array" ref="BK123">IF(AND(BK$2&lt;&gt;0,TblTech[[#This Row],[Hour]:[Hour]]&gt;=BK$2),1,0)</f>
        <v>0</v>
      </c>
      <c r="BL123" s="304" cm="1">
        <f t="array" ref="BL123">IF(AND(BL$2&lt;&gt;0,TblTech[[#This Row],[Hour]:[Hour]]&gt;=BL$2),1,0)</f>
        <v>0</v>
      </c>
      <c r="BM123" s="304" cm="1">
        <f t="array" ref="BM123">IF(AND(BM$2&lt;&gt;0,TblTech[[#This Row],[Hour]:[Hour]]&gt;=BM$2),1,0)</f>
        <v>0</v>
      </c>
      <c r="BN123" s="304" cm="1">
        <f t="array" ref="BN123">IF(AND(BN$2&lt;&gt;0,TblTech[[#This Row],[Hour]:[Hour]]&gt;=BN$2),1,0)</f>
        <v>0</v>
      </c>
      <c r="BO123" s="304" cm="1">
        <f t="array" ref="BO123">IF(AND(BO$2&lt;&gt;0,TblTech[[#This Row],[Hour]:[Hour]]&gt;=BO$2),1,0)</f>
        <v>0</v>
      </c>
      <c r="BP123" s="304" cm="1">
        <f t="array" ref="BP123">IF(AND(BP$2&lt;&gt;0,TblTech[[#This Row],[Hour]:[Hour]]&gt;=BP$2),1,0)</f>
        <v>0</v>
      </c>
      <c r="BQ123" s="304" cm="1">
        <f t="array" ref="BQ123">IF(AND(BQ$2&lt;&gt;0,TblTech[[#This Row],[Hour]:[Hour]]&gt;=BQ$2),1,0)</f>
        <v>0</v>
      </c>
      <c r="BR123" s="304" cm="1">
        <f t="array" ref="BR123">IF(AND(BR$2&lt;&gt;0,TblTech[[#This Row],[Hour]:[Hour]]&gt;=BR$2),1,0)</f>
        <v>0</v>
      </c>
      <c r="BS123" s="304" cm="1">
        <f t="array" ref="BS123">IF(AND(BS$2&lt;&gt;0,TblTech[[#This Row],[Hour]:[Hour]]&gt;=BS$2),1,0)</f>
        <v>0</v>
      </c>
      <c r="BT123" s="304" cm="1">
        <f t="array" ref="BT123">IF(AND(BT$2&lt;&gt;0,TblTech[[#This Row],[Hour]:[Hour]]&gt;=BT$2),1,0)</f>
        <v>0</v>
      </c>
      <c r="BU123" s="304" cm="1">
        <f t="array" ref="BU123">IF(AND(BU$2&lt;&gt;0,TblTech[[#This Row],[Hour]:[Hour]]&gt;=BU$2),1,0)</f>
        <v>0</v>
      </c>
      <c r="BV123" s="304" cm="1">
        <f t="array" ref="BV123">IF(AND(BV$2&lt;&gt;0,TblTech[[#This Row],[Hour]:[Hour]]&gt;=BV$2),1,0)</f>
        <v>0</v>
      </c>
      <c r="BW123" s="304" cm="1">
        <f t="array" ref="BW123">IF(AND(BW$2&lt;&gt;0,TblTech[[#This Row],[Hour]:[Hour]]&gt;=BW$2),1,0)</f>
        <v>0</v>
      </c>
      <c r="BX123" s="304" cm="1">
        <f t="array" ref="BX123">IF(AND(BX$2&lt;&gt;0,TblTech[[#This Row],[Hour]:[Hour]]&gt;=BX$2),1,0)</f>
        <v>0</v>
      </c>
      <c r="BY123" s="304" cm="1">
        <f t="array" ref="BY123">IF(AND(BY$2&lt;&gt;0,TblTech[[#This Row],[Hour]:[Hour]]&gt;=BY$2),1,0)</f>
        <v>0</v>
      </c>
      <c r="BZ123" s="304" cm="1">
        <f t="array" ref="BZ123">IF(AND(BZ$2&lt;&gt;0,TblTech[[#This Row],[Hour]:[Hour]]&gt;=BZ$2),1,0)</f>
        <v>0</v>
      </c>
      <c r="CA123" s="408">
        <f>IFERROR(INDEX($H$4:$H$79,MATCH(INDEX(TblTech[[#Headers],[1-1]:[11-1]],1,MATCH(TblTech[[#This Row],[Hour]],$M$2:$BZ$2,0)),$G$4:$G$79,0)),)</f>
        <v>0</v>
      </c>
    </row>
    <row r="124" spans="1:79" x14ac:dyDescent="0.2">
      <c r="A124" s="296">
        <f>TblRezone[[#This Row],[Hour]]</f>
        <v>121</v>
      </c>
      <c r="B124" s="297">
        <f ca="1">TblExplore[[#This Row],[Land-DB]]</f>
        <v>250</v>
      </c>
      <c r="C124" s="298">
        <f ca="1">TblProd[[#This Row],[Techpoints]]</f>
        <v>0</v>
      </c>
      <c r="D124" s="298">
        <f ca="1">TblProd[[#This Row],[Required]]</f>
        <v>3750</v>
      </c>
      <c r="E124" s="307"/>
      <c r="F124" s="308"/>
      <c r="G124" s="301"/>
      <c r="H124" s="302"/>
      <c r="I124" s="302"/>
      <c r="J124" s="302"/>
      <c r="K124" s="96">
        <f ca="1">IF(TblTech[[#This Row],[Sum of tech]]&lt;&gt;OFFSET(TblTech[[#This Row],[Sum of tech]],-1,0),1,0)</f>
        <v>0</v>
      </c>
      <c r="L124" s="303">
        <f>COUNTIF(TblTech[[#This Row],[1-1]:[11-1]],1)</f>
        <v>0</v>
      </c>
      <c r="M124" s="304" cm="1">
        <f t="array" ref="M124">IF(AND(M$2&lt;&gt;0,TblTech[[#This Row],[Hour]:[Hour]]&gt;=M$2),1,0)</f>
        <v>0</v>
      </c>
      <c r="N124" s="304" cm="1">
        <f t="array" ref="N124">IF(AND(N$2&lt;&gt;0,TblTech[[#This Row],[Hour]:[Hour]]&gt;=N$2),1,0)</f>
        <v>0</v>
      </c>
      <c r="O124" s="304" cm="1">
        <f t="array" ref="O124">IF(AND(O$2&lt;&gt;0,TblTech[[#This Row],[Hour]:[Hour]]&gt;=O$2),1,0)</f>
        <v>0</v>
      </c>
      <c r="P124" s="304" cm="1">
        <f t="array" ref="P124">IF(AND(P$2&lt;&gt;0,TblTech[[#This Row],[Hour]:[Hour]]&gt;=P$2),1,0)</f>
        <v>0</v>
      </c>
      <c r="Q124" s="304" cm="1">
        <f t="array" ref="Q124">IF(AND(Q$2&lt;&gt;0,TblTech[[#This Row],[Hour]:[Hour]]&gt;=Q$2),1,0)</f>
        <v>0</v>
      </c>
      <c r="R124" s="304" cm="1">
        <f t="array" ref="R124">IF(AND(R$2&lt;&gt;0,TblTech[[#This Row],[Hour]:[Hour]]&gt;=R$2),1,0)</f>
        <v>0</v>
      </c>
      <c r="S124" s="304" cm="1">
        <f t="array" ref="S124">IF(AND(S$2&lt;&gt;0,TblTech[[#This Row],[Hour]:[Hour]]&gt;=S$2),1,0)</f>
        <v>0</v>
      </c>
      <c r="T124" s="304" cm="1">
        <f t="array" ref="T124">IF(AND(T$2&lt;&gt;0,TblTech[[#This Row],[Hour]:[Hour]]&gt;=T$2),1,0)</f>
        <v>0</v>
      </c>
      <c r="U124" s="304" cm="1">
        <f t="array" ref="U124">IF(AND(U$2&lt;&gt;0,TblTech[[#This Row],[Hour]:[Hour]]&gt;=U$2),1,0)</f>
        <v>0</v>
      </c>
      <c r="V124" s="304" cm="1">
        <f t="array" ref="V124">IF(AND(V$2&lt;&gt;0,TblTech[[#This Row],[Hour]:[Hour]]&gt;=V$2),1,0)</f>
        <v>0</v>
      </c>
      <c r="W124" s="304" cm="1">
        <f t="array" ref="W124">IF(AND(W$2&lt;&gt;0,TblTech[[#This Row],[Hour]:[Hour]]&gt;=W$2),1,0)</f>
        <v>0</v>
      </c>
      <c r="X124" s="304" cm="1">
        <f t="array" ref="X124">IF(AND(X$2&lt;&gt;0,TblTech[[#This Row],[Hour]:[Hour]]&gt;=X$2),1,0)</f>
        <v>0</v>
      </c>
      <c r="Y124" s="304" cm="1">
        <f t="array" ref="Y124">IF(AND(Y$2&lt;&gt;0,TblTech[[#This Row],[Hour]:[Hour]]&gt;=Y$2),1,0)</f>
        <v>0</v>
      </c>
      <c r="Z124" s="304" cm="1">
        <f t="array" ref="Z124">IF(AND(Z$2&lt;&gt;0,TblTech[[#This Row],[Hour]:[Hour]]&gt;=Z$2),1,0)</f>
        <v>0</v>
      </c>
      <c r="AA124" s="304" cm="1">
        <f t="array" ref="AA124">IF(AND(AA$2&lt;&gt;0,TblTech[[#This Row],[Hour]:[Hour]]&gt;=AA$2),1,0)</f>
        <v>0</v>
      </c>
      <c r="AB124" s="304" cm="1">
        <f t="array" ref="AB124">IF(AND(AB$2&lt;&gt;0,TblTech[[#This Row],[Hour]:[Hour]]&gt;=AB$2),1,0)</f>
        <v>0</v>
      </c>
      <c r="AC124" s="304" cm="1">
        <f t="array" ref="AC124">IF(AND(AC$2&lt;&gt;0,TblTech[[#This Row],[Hour]:[Hour]]&gt;=AC$2),1,0)</f>
        <v>0</v>
      </c>
      <c r="AD124" s="304" cm="1">
        <f t="array" ref="AD124">IF(AND(AD$2&lt;&gt;0,TblTech[[#This Row],[Hour]:[Hour]]&gt;=AD$2),1,0)</f>
        <v>0</v>
      </c>
      <c r="AE124" s="304" cm="1">
        <f t="array" ref="AE124">IF(AND(AE$2&lt;&gt;0,TblTech[[#This Row],[Hour]:[Hour]]&gt;=AE$2),1,0)</f>
        <v>0</v>
      </c>
      <c r="AF124" s="304" cm="1">
        <f t="array" ref="AF124">IF(AND(AF$2&lt;&gt;0,TblTech[[#This Row],[Hour]:[Hour]]&gt;=AF$2),1,0)</f>
        <v>0</v>
      </c>
      <c r="AG124" s="304" cm="1">
        <f t="array" ref="AG124">IF(AND(AG$2&lt;&gt;0,TblTech[[#This Row],[Hour]:[Hour]]&gt;=AG$2),1,0)</f>
        <v>0</v>
      </c>
      <c r="AH124" s="304" cm="1">
        <f t="array" ref="AH124">IF(AND(AH$2&lt;&gt;0,TblTech[[#This Row],[Hour]:[Hour]]&gt;=AH$2),1,0)</f>
        <v>0</v>
      </c>
      <c r="AI124" s="304" cm="1">
        <f t="array" ref="AI124">IF(AND(AI$2&lt;&gt;0,TblTech[[#This Row],[Hour]:[Hour]]&gt;=AI$2),1,0)</f>
        <v>0</v>
      </c>
      <c r="AJ124" s="304" cm="1">
        <f t="array" ref="AJ124">IF(AND(AJ$2&lt;&gt;0,TblTech[[#This Row],[Hour]:[Hour]]&gt;=AJ$2),1,0)</f>
        <v>0</v>
      </c>
      <c r="AK124" s="304" cm="1">
        <f t="array" ref="AK124">IF(AND(AK$2&lt;&gt;0,TblTech[[#This Row],[Hour]:[Hour]]&gt;=AK$2),1,0)</f>
        <v>0</v>
      </c>
      <c r="AL124" s="304" cm="1">
        <f t="array" ref="AL124">IF(AND(AL$2&lt;&gt;0,TblTech[[#This Row],[Hour]:[Hour]]&gt;=AL$2),1,0)</f>
        <v>0</v>
      </c>
      <c r="AM124" s="304" cm="1">
        <f t="array" ref="AM124">IF(AND(AM$2&lt;&gt;0,TblTech[[#This Row],[Hour]:[Hour]]&gt;=AM$2),1,0)</f>
        <v>0</v>
      </c>
      <c r="AN124" s="304" cm="1">
        <f t="array" ref="AN124">IF(AND(AN$2&lt;&gt;0,TblTech[[#This Row],[Hour]:[Hour]]&gt;=AN$2),1,0)</f>
        <v>0</v>
      </c>
      <c r="AO124" s="304" cm="1">
        <f t="array" ref="AO124">IF(AND(AO$2&lt;&gt;0,TblTech[[#This Row],[Hour]:[Hour]]&gt;=AO$2),1,0)</f>
        <v>0</v>
      </c>
      <c r="AP124" s="304" cm="1">
        <f t="array" ref="AP124">IF(AND(AP$2&lt;&gt;0,TblTech[[#This Row],[Hour]:[Hour]]&gt;=AP$2),1,0)</f>
        <v>0</v>
      </c>
      <c r="AQ124" s="304" cm="1">
        <f t="array" ref="AQ124">IF(AND(AQ$2&lt;&gt;0,TblTech[[#This Row],[Hour]:[Hour]]&gt;=AQ$2),1,0)</f>
        <v>0</v>
      </c>
      <c r="AR124" s="304" cm="1">
        <f t="array" ref="AR124">IF(AND(AR$2&lt;&gt;0,TblTech[[#This Row],[Hour]:[Hour]]&gt;=AR$2),1,0)</f>
        <v>0</v>
      </c>
      <c r="AS124" s="304" cm="1">
        <f t="array" ref="AS124">IF(AND(AS$2&lt;&gt;0,TblTech[[#This Row],[Hour]:[Hour]]&gt;=AS$2),1,0)</f>
        <v>0</v>
      </c>
      <c r="AT124" s="304" cm="1">
        <f t="array" ref="AT124">IF(AND(AT$2&lt;&gt;0,TblTech[[#This Row],[Hour]:[Hour]]&gt;=AT$2),1,0)</f>
        <v>0</v>
      </c>
      <c r="AU124" s="304" cm="1">
        <f t="array" ref="AU124">IF(AND(AU$2&lt;&gt;0,TblTech[[#This Row],[Hour]:[Hour]]&gt;=AU$2),1,0)</f>
        <v>0</v>
      </c>
      <c r="AV124" s="304" cm="1">
        <f t="array" ref="AV124">IF(AND(AV$2&lt;&gt;0,TblTech[[#This Row],[Hour]:[Hour]]&gt;=AV$2),1,0)</f>
        <v>0</v>
      </c>
      <c r="AW124" s="304" cm="1">
        <f t="array" ref="AW124">IF(AND(AW$2&lt;&gt;0,TblTech[[#This Row],[Hour]:[Hour]]&gt;=AW$2),1,0)</f>
        <v>0</v>
      </c>
      <c r="AX124" s="304" cm="1">
        <f t="array" ref="AX124">IF(AND(AX$2&lt;&gt;0,TblTech[[#This Row],[Hour]:[Hour]]&gt;=AX$2),1,0)</f>
        <v>0</v>
      </c>
      <c r="AY124" s="304" cm="1">
        <f t="array" ref="AY124">IF(AND(AY$2&lt;&gt;0,TblTech[[#This Row],[Hour]:[Hour]]&gt;=AY$2),1,0)</f>
        <v>0</v>
      </c>
      <c r="AZ124" s="304" cm="1">
        <f t="array" ref="AZ124">IF(AND(AZ$2&lt;&gt;0,TblTech[[#This Row],[Hour]:[Hour]]&gt;=AZ$2),1,0)</f>
        <v>0</v>
      </c>
      <c r="BA124" s="304" cm="1">
        <f t="array" ref="BA124">IF(AND(BA$2&lt;&gt;0,TblTech[[#This Row],[Hour]:[Hour]]&gt;=BA$2),1,0)</f>
        <v>0</v>
      </c>
      <c r="BB124" s="304" cm="1">
        <f t="array" ref="BB124">IF(AND(BB$2&lt;&gt;0,TblTech[[#This Row],[Hour]:[Hour]]&gt;=BB$2),1,0)</f>
        <v>0</v>
      </c>
      <c r="BC124" s="304" cm="1">
        <f t="array" ref="BC124">IF(AND(BC$2&lt;&gt;0,TblTech[[#This Row],[Hour]:[Hour]]&gt;=BC$2),1,0)</f>
        <v>0</v>
      </c>
      <c r="BD124" s="304" cm="1">
        <f t="array" ref="BD124">IF(AND(BD$2&lt;&gt;0,TblTech[[#This Row],[Hour]:[Hour]]&gt;=BD$2),1,0)</f>
        <v>0</v>
      </c>
      <c r="BE124" s="304" cm="1">
        <f t="array" ref="BE124">IF(AND(BE$2&lt;&gt;0,TblTech[[#This Row],[Hour]:[Hour]]&gt;=BE$2),1,0)</f>
        <v>0</v>
      </c>
      <c r="BF124" s="304" cm="1">
        <f t="array" ref="BF124">IF(AND(BF$2&lt;&gt;0,TblTech[[#This Row],[Hour]:[Hour]]&gt;=BF$2),1,0)</f>
        <v>0</v>
      </c>
      <c r="BG124" s="304" cm="1">
        <f t="array" ref="BG124">IF(AND(BG$2&lt;&gt;0,TblTech[[#This Row],[Hour]:[Hour]]&gt;=BG$2),1,0)</f>
        <v>0</v>
      </c>
      <c r="BH124" s="304" cm="1">
        <f t="array" ref="BH124">IF(AND(BH$2&lt;&gt;0,TblTech[[#This Row],[Hour]:[Hour]]&gt;=BH$2),1,0)</f>
        <v>0</v>
      </c>
      <c r="BI124" s="304" cm="1">
        <f t="array" ref="BI124">IF(AND(BI$2&lt;&gt;0,TblTech[[#This Row],[Hour]:[Hour]]&gt;=BI$2),1,0)</f>
        <v>0</v>
      </c>
      <c r="BJ124" s="304" cm="1">
        <f t="array" ref="BJ124">IF(AND(BJ$2&lt;&gt;0,TblTech[[#This Row],[Hour]:[Hour]]&gt;=BJ$2),1,0)</f>
        <v>0</v>
      </c>
      <c r="BK124" s="304" cm="1">
        <f t="array" ref="BK124">IF(AND(BK$2&lt;&gt;0,TblTech[[#This Row],[Hour]:[Hour]]&gt;=BK$2),1,0)</f>
        <v>0</v>
      </c>
      <c r="BL124" s="304" cm="1">
        <f t="array" ref="BL124">IF(AND(BL$2&lt;&gt;0,TblTech[[#This Row],[Hour]:[Hour]]&gt;=BL$2),1,0)</f>
        <v>0</v>
      </c>
      <c r="BM124" s="304" cm="1">
        <f t="array" ref="BM124">IF(AND(BM$2&lt;&gt;0,TblTech[[#This Row],[Hour]:[Hour]]&gt;=BM$2),1,0)</f>
        <v>0</v>
      </c>
      <c r="BN124" s="304" cm="1">
        <f t="array" ref="BN124">IF(AND(BN$2&lt;&gt;0,TblTech[[#This Row],[Hour]:[Hour]]&gt;=BN$2),1,0)</f>
        <v>0</v>
      </c>
      <c r="BO124" s="304" cm="1">
        <f t="array" ref="BO124">IF(AND(BO$2&lt;&gt;0,TblTech[[#This Row],[Hour]:[Hour]]&gt;=BO$2),1,0)</f>
        <v>0</v>
      </c>
      <c r="BP124" s="304" cm="1">
        <f t="array" ref="BP124">IF(AND(BP$2&lt;&gt;0,TblTech[[#This Row],[Hour]:[Hour]]&gt;=BP$2),1,0)</f>
        <v>0</v>
      </c>
      <c r="BQ124" s="304" cm="1">
        <f t="array" ref="BQ124">IF(AND(BQ$2&lt;&gt;0,TblTech[[#This Row],[Hour]:[Hour]]&gt;=BQ$2),1,0)</f>
        <v>0</v>
      </c>
      <c r="BR124" s="304" cm="1">
        <f t="array" ref="BR124">IF(AND(BR$2&lt;&gt;0,TblTech[[#This Row],[Hour]:[Hour]]&gt;=BR$2),1,0)</f>
        <v>0</v>
      </c>
      <c r="BS124" s="304" cm="1">
        <f t="array" ref="BS124">IF(AND(BS$2&lt;&gt;0,TblTech[[#This Row],[Hour]:[Hour]]&gt;=BS$2),1,0)</f>
        <v>0</v>
      </c>
      <c r="BT124" s="304" cm="1">
        <f t="array" ref="BT124">IF(AND(BT$2&lt;&gt;0,TblTech[[#This Row],[Hour]:[Hour]]&gt;=BT$2),1,0)</f>
        <v>0</v>
      </c>
      <c r="BU124" s="304" cm="1">
        <f t="array" ref="BU124">IF(AND(BU$2&lt;&gt;0,TblTech[[#This Row],[Hour]:[Hour]]&gt;=BU$2),1,0)</f>
        <v>0</v>
      </c>
      <c r="BV124" s="304" cm="1">
        <f t="array" ref="BV124">IF(AND(BV$2&lt;&gt;0,TblTech[[#This Row],[Hour]:[Hour]]&gt;=BV$2),1,0)</f>
        <v>0</v>
      </c>
      <c r="BW124" s="304" cm="1">
        <f t="array" ref="BW124">IF(AND(BW$2&lt;&gt;0,TblTech[[#This Row],[Hour]:[Hour]]&gt;=BW$2),1,0)</f>
        <v>0</v>
      </c>
      <c r="BX124" s="304" cm="1">
        <f t="array" ref="BX124">IF(AND(BX$2&lt;&gt;0,TblTech[[#This Row],[Hour]:[Hour]]&gt;=BX$2),1,0)</f>
        <v>0</v>
      </c>
      <c r="BY124" s="304" cm="1">
        <f t="array" ref="BY124">IF(AND(BY$2&lt;&gt;0,TblTech[[#This Row],[Hour]:[Hour]]&gt;=BY$2),1,0)</f>
        <v>0</v>
      </c>
      <c r="BZ124" s="304" cm="1">
        <f t="array" ref="BZ124">IF(AND(BZ$2&lt;&gt;0,TblTech[[#This Row],[Hour]:[Hour]]&gt;=BZ$2),1,0)</f>
        <v>0</v>
      </c>
      <c r="CA124" s="408">
        <f>IFERROR(INDEX($H$4:$H$79,MATCH(INDEX(TblTech[[#Headers],[1-1]:[11-1]],1,MATCH(TblTech[[#This Row],[Hour]],$M$2:$BZ$2,0)),$G$4:$G$79,0)),)</f>
        <v>0</v>
      </c>
    </row>
    <row r="125" spans="1:79" x14ac:dyDescent="0.2">
      <c r="A125" s="296">
        <f>TblRezone[[#This Row],[Hour]]</f>
        <v>122</v>
      </c>
      <c r="B125" s="297">
        <f ca="1">TblExplore[[#This Row],[Land-DB]]</f>
        <v>250</v>
      </c>
      <c r="C125" s="298">
        <f ca="1">TblProd[[#This Row],[Techpoints]]</f>
        <v>0</v>
      </c>
      <c r="D125" s="298">
        <f ca="1">TblProd[[#This Row],[Required]]</f>
        <v>3750</v>
      </c>
      <c r="E125" s="307"/>
      <c r="F125" s="308"/>
      <c r="G125" s="301"/>
      <c r="H125" s="302"/>
      <c r="I125" s="302"/>
      <c r="J125" s="302"/>
      <c r="K125" s="96">
        <f ca="1">IF(TblTech[[#This Row],[Sum of tech]]&lt;&gt;OFFSET(TblTech[[#This Row],[Sum of tech]],-1,0),1,0)</f>
        <v>0</v>
      </c>
      <c r="L125" s="303">
        <f>COUNTIF(TblTech[[#This Row],[1-1]:[11-1]],1)</f>
        <v>0</v>
      </c>
      <c r="M125" s="304" cm="1">
        <f t="array" ref="M125">IF(AND(M$2&lt;&gt;0,TblTech[[#This Row],[Hour]:[Hour]]&gt;=M$2),1,0)</f>
        <v>0</v>
      </c>
      <c r="N125" s="304" cm="1">
        <f t="array" ref="N125">IF(AND(N$2&lt;&gt;0,TblTech[[#This Row],[Hour]:[Hour]]&gt;=N$2),1,0)</f>
        <v>0</v>
      </c>
      <c r="O125" s="304" cm="1">
        <f t="array" ref="O125">IF(AND(O$2&lt;&gt;0,TblTech[[#This Row],[Hour]:[Hour]]&gt;=O$2),1,0)</f>
        <v>0</v>
      </c>
      <c r="P125" s="304" cm="1">
        <f t="array" ref="P125">IF(AND(P$2&lt;&gt;0,TblTech[[#This Row],[Hour]:[Hour]]&gt;=P$2),1,0)</f>
        <v>0</v>
      </c>
      <c r="Q125" s="304" cm="1">
        <f t="array" ref="Q125">IF(AND(Q$2&lt;&gt;0,TblTech[[#This Row],[Hour]:[Hour]]&gt;=Q$2),1,0)</f>
        <v>0</v>
      </c>
      <c r="R125" s="304" cm="1">
        <f t="array" ref="R125">IF(AND(R$2&lt;&gt;0,TblTech[[#This Row],[Hour]:[Hour]]&gt;=R$2),1,0)</f>
        <v>0</v>
      </c>
      <c r="S125" s="304" cm="1">
        <f t="array" ref="S125">IF(AND(S$2&lt;&gt;0,TblTech[[#This Row],[Hour]:[Hour]]&gt;=S$2),1,0)</f>
        <v>0</v>
      </c>
      <c r="T125" s="304" cm="1">
        <f t="array" ref="T125">IF(AND(T$2&lt;&gt;0,TblTech[[#This Row],[Hour]:[Hour]]&gt;=T$2),1,0)</f>
        <v>0</v>
      </c>
      <c r="U125" s="304" cm="1">
        <f t="array" ref="U125">IF(AND(U$2&lt;&gt;0,TblTech[[#This Row],[Hour]:[Hour]]&gt;=U$2),1,0)</f>
        <v>0</v>
      </c>
      <c r="V125" s="304" cm="1">
        <f t="array" ref="V125">IF(AND(V$2&lt;&gt;0,TblTech[[#This Row],[Hour]:[Hour]]&gt;=V$2),1,0)</f>
        <v>0</v>
      </c>
      <c r="W125" s="304" cm="1">
        <f t="array" ref="W125">IF(AND(W$2&lt;&gt;0,TblTech[[#This Row],[Hour]:[Hour]]&gt;=W$2),1,0)</f>
        <v>0</v>
      </c>
      <c r="X125" s="304" cm="1">
        <f t="array" ref="X125">IF(AND(X$2&lt;&gt;0,TblTech[[#This Row],[Hour]:[Hour]]&gt;=X$2),1,0)</f>
        <v>0</v>
      </c>
      <c r="Y125" s="304" cm="1">
        <f t="array" ref="Y125">IF(AND(Y$2&lt;&gt;0,TblTech[[#This Row],[Hour]:[Hour]]&gt;=Y$2),1,0)</f>
        <v>0</v>
      </c>
      <c r="Z125" s="304" cm="1">
        <f t="array" ref="Z125">IF(AND(Z$2&lt;&gt;0,TblTech[[#This Row],[Hour]:[Hour]]&gt;=Z$2),1,0)</f>
        <v>0</v>
      </c>
      <c r="AA125" s="304" cm="1">
        <f t="array" ref="AA125">IF(AND(AA$2&lt;&gt;0,TblTech[[#This Row],[Hour]:[Hour]]&gt;=AA$2),1,0)</f>
        <v>0</v>
      </c>
      <c r="AB125" s="304" cm="1">
        <f t="array" ref="AB125">IF(AND(AB$2&lt;&gt;0,TblTech[[#This Row],[Hour]:[Hour]]&gt;=AB$2),1,0)</f>
        <v>0</v>
      </c>
      <c r="AC125" s="304" cm="1">
        <f t="array" ref="AC125">IF(AND(AC$2&lt;&gt;0,TblTech[[#This Row],[Hour]:[Hour]]&gt;=AC$2),1,0)</f>
        <v>0</v>
      </c>
      <c r="AD125" s="304" cm="1">
        <f t="array" ref="AD125">IF(AND(AD$2&lt;&gt;0,TblTech[[#This Row],[Hour]:[Hour]]&gt;=AD$2),1,0)</f>
        <v>0</v>
      </c>
      <c r="AE125" s="304" cm="1">
        <f t="array" ref="AE125">IF(AND(AE$2&lt;&gt;0,TblTech[[#This Row],[Hour]:[Hour]]&gt;=AE$2),1,0)</f>
        <v>0</v>
      </c>
      <c r="AF125" s="304" cm="1">
        <f t="array" ref="AF125">IF(AND(AF$2&lt;&gt;0,TblTech[[#This Row],[Hour]:[Hour]]&gt;=AF$2),1,0)</f>
        <v>0</v>
      </c>
      <c r="AG125" s="304" cm="1">
        <f t="array" ref="AG125">IF(AND(AG$2&lt;&gt;0,TblTech[[#This Row],[Hour]:[Hour]]&gt;=AG$2),1,0)</f>
        <v>0</v>
      </c>
      <c r="AH125" s="304" cm="1">
        <f t="array" ref="AH125">IF(AND(AH$2&lt;&gt;0,TblTech[[#This Row],[Hour]:[Hour]]&gt;=AH$2),1,0)</f>
        <v>0</v>
      </c>
      <c r="AI125" s="304" cm="1">
        <f t="array" ref="AI125">IF(AND(AI$2&lt;&gt;0,TblTech[[#This Row],[Hour]:[Hour]]&gt;=AI$2),1,0)</f>
        <v>0</v>
      </c>
      <c r="AJ125" s="304" cm="1">
        <f t="array" ref="AJ125">IF(AND(AJ$2&lt;&gt;0,TblTech[[#This Row],[Hour]:[Hour]]&gt;=AJ$2),1,0)</f>
        <v>0</v>
      </c>
      <c r="AK125" s="304" cm="1">
        <f t="array" ref="AK125">IF(AND(AK$2&lt;&gt;0,TblTech[[#This Row],[Hour]:[Hour]]&gt;=AK$2),1,0)</f>
        <v>0</v>
      </c>
      <c r="AL125" s="304" cm="1">
        <f t="array" ref="AL125">IF(AND(AL$2&lt;&gt;0,TblTech[[#This Row],[Hour]:[Hour]]&gt;=AL$2),1,0)</f>
        <v>0</v>
      </c>
      <c r="AM125" s="304" cm="1">
        <f t="array" ref="AM125">IF(AND(AM$2&lt;&gt;0,TblTech[[#This Row],[Hour]:[Hour]]&gt;=AM$2),1,0)</f>
        <v>0</v>
      </c>
      <c r="AN125" s="304" cm="1">
        <f t="array" ref="AN125">IF(AND(AN$2&lt;&gt;0,TblTech[[#This Row],[Hour]:[Hour]]&gt;=AN$2),1,0)</f>
        <v>0</v>
      </c>
      <c r="AO125" s="304" cm="1">
        <f t="array" ref="AO125">IF(AND(AO$2&lt;&gt;0,TblTech[[#This Row],[Hour]:[Hour]]&gt;=AO$2),1,0)</f>
        <v>0</v>
      </c>
      <c r="AP125" s="304" cm="1">
        <f t="array" ref="AP125">IF(AND(AP$2&lt;&gt;0,TblTech[[#This Row],[Hour]:[Hour]]&gt;=AP$2),1,0)</f>
        <v>0</v>
      </c>
      <c r="AQ125" s="304" cm="1">
        <f t="array" ref="AQ125">IF(AND(AQ$2&lt;&gt;0,TblTech[[#This Row],[Hour]:[Hour]]&gt;=AQ$2),1,0)</f>
        <v>0</v>
      </c>
      <c r="AR125" s="304" cm="1">
        <f t="array" ref="AR125">IF(AND(AR$2&lt;&gt;0,TblTech[[#This Row],[Hour]:[Hour]]&gt;=AR$2),1,0)</f>
        <v>0</v>
      </c>
      <c r="AS125" s="304" cm="1">
        <f t="array" ref="AS125">IF(AND(AS$2&lt;&gt;0,TblTech[[#This Row],[Hour]:[Hour]]&gt;=AS$2),1,0)</f>
        <v>0</v>
      </c>
      <c r="AT125" s="304" cm="1">
        <f t="array" ref="AT125">IF(AND(AT$2&lt;&gt;0,TblTech[[#This Row],[Hour]:[Hour]]&gt;=AT$2),1,0)</f>
        <v>0</v>
      </c>
      <c r="AU125" s="304" cm="1">
        <f t="array" ref="AU125">IF(AND(AU$2&lt;&gt;0,TblTech[[#This Row],[Hour]:[Hour]]&gt;=AU$2),1,0)</f>
        <v>0</v>
      </c>
      <c r="AV125" s="304" cm="1">
        <f t="array" ref="AV125">IF(AND(AV$2&lt;&gt;0,TblTech[[#This Row],[Hour]:[Hour]]&gt;=AV$2),1,0)</f>
        <v>0</v>
      </c>
      <c r="AW125" s="304" cm="1">
        <f t="array" ref="AW125">IF(AND(AW$2&lt;&gt;0,TblTech[[#This Row],[Hour]:[Hour]]&gt;=AW$2),1,0)</f>
        <v>0</v>
      </c>
      <c r="AX125" s="304" cm="1">
        <f t="array" ref="AX125">IF(AND(AX$2&lt;&gt;0,TblTech[[#This Row],[Hour]:[Hour]]&gt;=AX$2),1,0)</f>
        <v>0</v>
      </c>
      <c r="AY125" s="304" cm="1">
        <f t="array" ref="AY125">IF(AND(AY$2&lt;&gt;0,TblTech[[#This Row],[Hour]:[Hour]]&gt;=AY$2),1,0)</f>
        <v>0</v>
      </c>
      <c r="AZ125" s="304" cm="1">
        <f t="array" ref="AZ125">IF(AND(AZ$2&lt;&gt;0,TblTech[[#This Row],[Hour]:[Hour]]&gt;=AZ$2),1,0)</f>
        <v>0</v>
      </c>
      <c r="BA125" s="304" cm="1">
        <f t="array" ref="BA125">IF(AND(BA$2&lt;&gt;0,TblTech[[#This Row],[Hour]:[Hour]]&gt;=BA$2),1,0)</f>
        <v>0</v>
      </c>
      <c r="BB125" s="304" cm="1">
        <f t="array" ref="BB125">IF(AND(BB$2&lt;&gt;0,TblTech[[#This Row],[Hour]:[Hour]]&gt;=BB$2),1,0)</f>
        <v>0</v>
      </c>
      <c r="BC125" s="304" cm="1">
        <f t="array" ref="BC125">IF(AND(BC$2&lt;&gt;0,TblTech[[#This Row],[Hour]:[Hour]]&gt;=BC$2),1,0)</f>
        <v>0</v>
      </c>
      <c r="BD125" s="304" cm="1">
        <f t="array" ref="BD125">IF(AND(BD$2&lt;&gt;0,TblTech[[#This Row],[Hour]:[Hour]]&gt;=BD$2),1,0)</f>
        <v>0</v>
      </c>
      <c r="BE125" s="304" cm="1">
        <f t="array" ref="BE125">IF(AND(BE$2&lt;&gt;0,TblTech[[#This Row],[Hour]:[Hour]]&gt;=BE$2),1,0)</f>
        <v>0</v>
      </c>
      <c r="BF125" s="304" cm="1">
        <f t="array" ref="BF125">IF(AND(BF$2&lt;&gt;0,TblTech[[#This Row],[Hour]:[Hour]]&gt;=BF$2),1,0)</f>
        <v>0</v>
      </c>
      <c r="BG125" s="304" cm="1">
        <f t="array" ref="BG125">IF(AND(BG$2&lt;&gt;0,TblTech[[#This Row],[Hour]:[Hour]]&gt;=BG$2),1,0)</f>
        <v>0</v>
      </c>
      <c r="BH125" s="304" cm="1">
        <f t="array" ref="BH125">IF(AND(BH$2&lt;&gt;0,TblTech[[#This Row],[Hour]:[Hour]]&gt;=BH$2),1,0)</f>
        <v>0</v>
      </c>
      <c r="BI125" s="304" cm="1">
        <f t="array" ref="BI125">IF(AND(BI$2&lt;&gt;0,TblTech[[#This Row],[Hour]:[Hour]]&gt;=BI$2),1,0)</f>
        <v>0</v>
      </c>
      <c r="BJ125" s="304" cm="1">
        <f t="array" ref="BJ125">IF(AND(BJ$2&lt;&gt;0,TblTech[[#This Row],[Hour]:[Hour]]&gt;=BJ$2),1,0)</f>
        <v>0</v>
      </c>
      <c r="BK125" s="304" cm="1">
        <f t="array" ref="BK125">IF(AND(BK$2&lt;&gt;0,TblTech[[#This Row],[Hour]:[Hour]]&gt;=BK$2),1,0)</f>
        <v>0</v>
      </c>
      <c r="BL125" s="304" cm="1">
        <f t="array" ref="BL125">IF(AND(BL$2&lt;&gt;0,TblTech[[#This Row],[Hour]:[Hour]]&gt;=BL$2),1,0)</f>
        <v>0</v>
      </c>
      <c r="BM125" s="304" cm="1">
        <f t="array" ref="BM125">IF(AND(BM$2&lt;&gt;0,TblTech[[#This Row],[Hour]:[Hour]]&gt;=BM$2),1,0)</f>
        <v>0</v>
      </c>
      <c r="BN125" s="304" cm="1">
        <f t="array" ref="BN125">IF(AND(BN$2&lt;&gt;0,TblTech[[#This Row],[Hour]:[Hour]]&gt;=BN$2),1,0)</f>
        <v>0</v>
      </c>
      <c r="BO125" s="304" cm="1">
        <f t="array" ref="BO125">IF(AND(BO$2&lt;&gt;0,TblTech[[#This Row],[Hour]:[Hour]]&gt;=BO$2),1,0)</f>
        <v>0</v>
      </c>
      <c r="BP125" s="304" cm="1">
        <f t="array" ref="BP125">IF(AND(BP$2&lt;&gt;0,TblTech[[#This Row],[Hour]:[Hour]]&gt;=BP$2),1,0)</f>
        <v>0</v>
      </c>
      <c r="BQ125" s="304" cm="1">
        <f t="array" ref="BQ125">IF(AND(BQ$2&lt;&gt;0,TblTech[[#This Row],[Hour]:[Hour]]&gt;=BQ$2),1,0)</f>
        <v>0</v>
      </c>
      <c r="BR125" s="304" cm="1">
        <f t="array" ref="BR125">IF(AND(BR$2&lt;&gt;0,TblTech[[#This Row],[Hour]:[Hour]]&gt;=BR$2),1,0)</f>
        <v>0</v>
      </c>
      <c r="BS125" s="304" cm="1">
        <f t="array" ref="BS125">IF(AND(BS$2&lt;&gt;0,TblTech[[#This Row],[Hour]:[Hour]]&gt;=BS$2),1,0)</f>
        <v>0</v>
      </c>
      <c r="BT125" s="304" cm="1">
        <f t="array" ref="BT125">IF(AND(BT$2&lt;&gt;0,TblTech[[#This Row],[Hour]:[Hour]]&gt;=BT$2),1,0)</f>
        <v>0</v>
      </c>
      <c r="BU125" s="304" cm="1">
        <f t="array" ref="BU125">IF(AND(BU$2&lt;&gt;0,TblTech[[#This Row],[Hour]:[Hour]]&gt;=BU$2),1,0)</f>
        <v>0</v>
      </c>
      <c r="BV125" s="304" cm="1">
        <f t="array" ref="BV125">IF(AND(BV$2&lt;&gt;0,TblTech[[#This Row],[Hour]:[Hour]]&gt;=BV$2),1,0)</f>
        <v>0</v>
      </c>
      <c r="BW125" s="304" cm="1">
        <f t="array" ref="BW125">IF(AND(BW$2&lt;&gt;0,TblTech[[#This Row],[Hour]:[Hour]]&gt;=BW$2),1,0)</f>
        <v>0</v>
      </c>
      <c r="BX125" s="304" cm="1">
        <f t="array" ref="BX125">IF(AND(BX$2&lt;&gt;0,TblTech[[#This Row],[Hour]:[Hour]]&gt;=BX$2),1,0)</f>
        <v>0</v>
      </c>
      <c r="BY125" s="304" cm="1">
        <f t="array" ref="BY125">IF(AND(BY$2&lt;&gt;0,TblTech[[#This Row],[Hour]:[Hour]]&gt;=BY$2),1,0)</f>
        <v>0</v>
      </c>
      <c r="BZ125" s="304" cm="1">
        <f t="array" ref="BZ125">IF(AND(BZ$2&lt;&gt;0,TblTech[[#This Row],[Hour]:[Hour]]&gt;=BZ$2),1,0)</f>
        <v>0</v>
      </c>
      <c r="CA125" s="408">
        <f>IFERROR(INDEX($H$4:$H$79,MATCH(INDEX(TblTech[[#Headers],[1-1]:[11-1]],1,MATCH(TblTech[[#This Row],[Hour]],$M$2:$BZ$2,0)),$G$4:$G$79,0)),)</f>
        <v>0</v>
      </c>
    </row>
    <row r="126" spans="1:79" x14ac:dyDescent="0.2">
      <c r="A126" s="296">
        <f>TblRezone[[#This Row],[Hour]]</f>
        <v>123</v>
      </c>
      <c r="B126" s="297">
        <f ca="1">TblExplore[[#This Row],[Land-DB]]</f>
        <v>250</v>
      </c>
      <c r="C126" s="298">
        <f ca="1">TblProd[[#This Row],[Techpoints]]</f>
        <v>0</v>
      </c>
      <c r="D126" s="298">
        <f ca="1">TblProd[[#This Row],[Required]]</f>
        <v>3750</v>
      </c>
      <c r="E126" s="307"/>
      <c r="F126" s="308"/>
      <c r="G126" s="301"/>
      <c r="H126" s="302"/>
      <c r="I126" s="302"/>
      <c r="J126" s="302"/>
      <c r="K126" s="96">
        <f ca="1">IF(TblTech[[#This Row],[Sum of tech]]&lt;&gt;OFFSET(TblTech[[#This Row],[Sum of tech]],-1,0),1,0)</f>
        <v>0</v>
      </c>
      <c r="L126" s="303">
        <f>COUNTIF(TblTech[[#This Row],[1-1]:[11-1]],1)</f>
        <v>0</v>
      </c>
      <c r="M126" s="304" cm="1">
        <f t="array" ref="M126">IF(AND(M$2&lt;&gt;0,TblTech[[#This Row],[Hour]:[Hour]]&gt;=M$2),1,0)</f>
        <v>0</v>
      </c>
      <c r="N126" s="304" cm="1">
        <f t="array" ref="N126">IF(AND(N$2&lt;&gt;0,TblTech[[#This Row],[Hour]:[Hour]]&gt;=N$2),1,0)</f>
        <v>0</v>
      </c>
      <c r="O126" s="304" cm="1">
        <f t="array" ref="O126">IF(AND(O$2&lt;&gt;0,TblTech[[#This Row],[Hour]:[Hour]]&gt;=O$2),1,0)</f>
        <v>0</v>
      </c>
      <c r="P126" s="304" cm="1">
        <f t="array" ref="P126">IF(AND(P$2&lt;&gt;0,TblTech[[#This Row],[Hour]:[Hour]]&gt;=P$2),1,0)</f>
        <v>0</v>
      </c>
      <c r="Q126" s="304" cm="1">
        <f t="array" ref="Q126">IF(AND(Q$2&lt;&gt;0,TblTech[[#This Row],[Hour]:[Hour]]&gt;=Q$2),1,0)</f>
        <v>0</v>
      </c>
      <c r="R126" s="304" cm="1">
        <f t="array" ref="R126">IF(AND(R$2&lt;&gt;0,TblTech[[#This Row],[Hour]:[Hour]]&gt;=R$2),1,0)</f>
        <v>0</v>
      </c>
      <c r="S126" s="304" cm="1">
        <f t="array" ref="S126">IF(AND(S$2&lt;&gt;0,TblTech[[#This Row],[Hour]:[Hour]]&gt;=S$2),1,0)</f>
        <v>0</v>
      </c>
      <c r="T126" s="304" cm="1">
        <f t="array" ref="T126">IF(AND(T$2&lt;&gt;0,TblTech[[#This Row],[Hour]:[Hour]]&gt;=T$2),1,0)</f>
        <v>0</v>
      </c>
      <c r="U126" s="304" cm="1">
        <f t="array" ref="U126">IF(AND(U$2&lt;&gt;0,TblTech[[#This Row],[Hour]:[Hour]]&gt;=U$2),1,0)</f>
        <v>0</v>
      </c>
      <c r="V126" s="304" cm="1">
        <f t="array" ref="V126">IF(AND(V$2&lt;&gt;0,TblTech[[#This Row],[Hour]:[Hour]]&gt;=V$2),1,0)</f>
        <v>0</v>
      </c>
      <c r="W126" s="304" cm="1">
        <f t="array" ref="W126">IF(AND(W$2&lt;&gt;0,TblTech[[#This Row],[Hour]:[Hour]]&gt;=W$2),1,0)</f>
        <v>0</v>
      </c>
      <c r="X126" s="304" cm="1">
        <f t="array" ref="X126">IF(AND(X$2&lt;&gt;0,TblTech[[#This Row],[Hour]:[Hour]]&gt;=X$2),1,0)</f>
        <v>0</v>
      </c>
      <c r="Y126" s="304" cm="1">
        <f t="array" ref="Y126">IF(AND(Y$2&lt;&gt;0,TblTech[[#This Row],[Hour]:[Hour]]&gt;=Y$2),1,0)</f>
        <v>0</v>
      </c>
      <c r="Z126" s="304" cm="1">
        <f t="array" ref="Z126">IF(AND(Z$2&lt;&gt;0,TblTech[[#This Row],[Hour]:[Hour]]&gt;=Z$2),1,0)</f>
        <v>0</v>
      </c>
      <c r="AA126" s="304" cm="1">
        <f t="array" ref="AA126">IF(AND(AA$2&lt;&gt;0,TblTech[[#This Row],[Hour]:[Hour]]&gt;=AA$2),1,0)</f>
        <v>0</v>
      </c>
      <c r="AB126" s="304" cm="1">
        <f t="array" ref="AB126">IF(AND(AB$2&lt;&gt;0,TblTech[[#This Row],[Hour]:[Hour]]&gt;=AB$2),1,0)</f>
        <v>0</v>
      </c>
      <c r="AC126" s="304" cm="1">
        <f t="array" ref="AC126">IF(AND(AC$2&lt;&gt;0,TblTech[[#This Row],[Hour]:[Hour]]&gt;=AC$2),1,0)</f>
        <v>0</v>
      </c>
      <c r="AD126" s="304" cm="1">
        <f t="array" ref="AD126">IF(AND(AD$2&lt;&gt;0,TblTech[[#This Row],[Hour]:[Hour]]&gt;=AD$2),1,0)</f>
        <v>0</v>
      </c>
      <c r="AE126" s="304" cm="1">
        <f t="array" ref="AE126">IF(AND(AE$2&lt;&gt;0,TblTech[[#This Row],[Hour]:[Hour]]&gt;=AE$2),1,0)</f>
        <v>0</v>
      </c>
      <c r="AF126" s="304" cm="1">
        <f t="array" ref="AF126">IF(AND(AF$2&lt;&gt;0,TblTech[[#This Row],[Hour]:[Hour]]&gt;=AF$2),1,0)</f>
        <v>0</v>
      </c>
      <c r="AG126" s="304" cm="1">
        <f t="array" ref="AG126">IF(AND(AG$2&lt;&gt;0,TblTech[[#This Row],[Hour]:[Hour]]&gt;=AG$2),1,0)</f>
        <v>0</v>
      </c>
      <c r="AH126" s="304" cm="1">
        <f t="array" ref="AH126">IF(AND(AH$2&lt;&gt;0,TblTech[[#This Row],[Hour]:[Hour]]&gt;=AH$2),1,0)</f>
        <v>0</v>
      </c>
      <c r="AI126" s="304" cm="1">
        <f t="array" ref="AI126">IF(AND(AI$2&lt;&gt;0,TblTech[[#This Row],[Hour]:[Hour]]&gt;=AI$2),1,0)</f>
        <v>0</v>
      </c>
      <c r="AJ126" s="304" cm="1">
        <f t="array" ref="AJ126">IF(AND(AJ$2&lt;&gt;0,TblTech[[#This Row],[Hour]:[Hour]]&gt;=AJ$2),1,0)</f>
        <v>0</v>
      </c>
      <c r="AK126" s="304" cm="1">
        <f t="array" ref="AK126">IF(AND(AK$2&lt;&gt;0,TblTech[[#This Row],[Hour]:[Hour]]&gt;=AK$2),1,0)</f>
        <v>0</v>
      </c>
      <c r="AL126" s="304" cm="1">
        <f t="array" ref="AL126">IF(AND(AL$2&lt;&gt;0,TblTech[[#This Row],[Hour]:[Hour]]&gt;=AL$2),1,0)</f>
        <v>0</v>
      </c>
      <c r="AM126" s="304" cm="1">
        <f t="array" ref="AM126">IF(AND(AM$2&lt;&gt;0,TblTech[[#This Row],[Hour]:[Hour]]&gt;=AM$2),1,0)</f>
        <v>0</v>
      </c>
      <c r="AN126" s="304" cm="1">
        <f t="array" ref="AN126">IF(AND(AN$2&lt;&gt;0,TblTech[[#This Row],[Hour]:[Hour]]&gt;=AN$2),1,0)</f>
        <v>0</v>
      </c>
      <c r="AO126" s="304" cm="1">
        <f t="array" ref="AO126">IF(AND(AO$2&lt;&gt;0,TblTech[[#This Row],[Hour]:[Hour]]&gt;=AO$2),1,0)</f>
        <v>0</v>
      </c>
      <c r="AP126" s="304" cm="1">
        <f t="array" ref="AP126">IF(AND(AP$2&lt;&gt;0,TblTech[[#This Row],[Hour]:[Hour]]&gt;=AP$2),1,0)</f>
        <v>0</v>
      </c>
      <c r="AQ126" s="304" cm="1">
        <f t="array" ref="AQ126">IF(AND(AQ$2&lt;&gt;0,TblTech[[#This Row],[Hour]:[Hour]]&gt;=AQ$2),1,0)</f>
        <v>0</v>
      </c>
      <c r="AR126" s="304" cm="1">
        <f t="array" ref="AR126">IF(AND(AR$2&lt;&gt;0,TblTech[[#This Row],[Hour]:[Hour]]&gt;=AR$2),1,0)</f>
        <v>0</v>
      </c>
      <c r="AS126" s="304" cm="1">
        <f t="array" ref="AS126">IF(AND(AS$2&lt;&gt;0,TblTech[[#This Row],[Hour]:[Hour]]&gt;=AS$2),1,0)</f>
        <v>0</v>
      </c>
      <c r="AT126" s="304" cm="1">
        <f t="array" ref="AT126">IF(AND(AT$2&lt;&gt;0,TblTech[[#This Row],[Hour]:[Hour]]&gt;=AT$2),1,0)</f>
        <v>0</v>
      </c>
      <c r="AU126" s="304" cm="1">
        <f t="array" ref="AU126">IF(AND(AU$2&lt;&gt;0,TblTech[[#This Row],[Hour]:[Hour]]&gt;=AU$2),1,0)</f>
        <v>0</v>
      </c>
      <c r="AV126" s="304" cm="1">
        <f t="array" ref="AV126">IF(AND(AV$2&lt;&gt;0,TblTech[[#This Row],[Hour]:[Hour]]&gt;=AV$2),1,0)</f>
        <v>0</v>
      </c>
      <c r="AW126" s="304" cm="1">
        <f t="array" ref="AW126">IF(AND(AW$2&lt;&gt;0,TblTech[[#This Row],[Hour]:[Hour]]&gt;=AW$2),1,0)</f>
        <v>0</v>
      </c>
      <c r="AX126" s="304" cm="1">
        <f t="array" ref="AX126">IF(AND(AX$2&lt;&gt;0,TblTech[[#This Row],[Hour]:[Hour]]&gt;=AX$2),1,0)</f>
        <v>0</v>
      </c>
      <c r="AY126" s="304" cm="1">
        <f t="array" ref="AY126">IF(AND(AY$2&lt;&gt;0,TblTech[[#This Row],[Hour]:[Hour]]&gt;=AY$2),1,0)</f>
        <v>0</v>
      </c>
      <c r="AZ126" s="304" cm="1">
        <f t="array" ref="AZ126">IF(AND(AZ$2&lt;&gt;0,TblTech[[#This Row],[Hour]:[Hour]]&gt;=AZ$2),1,0)</f>
        <v>0</v>
      </c>
      <c r="BA126" s="304" cm="1">
        <f t="array" ref="BA126">IF(AND(BA$2&lt;&gt;0,TblTech[[#This Row],[Hour]:[Hour]]&gt;=BA$2),1,0)</f>
        <v>0</v>
      </c>
      <c r="BB126" s="304" cm="1">
        <f t="array" ref="BB126">IF(AND(BB$2&lt;&gt;0,TblTech[[#This Row],[Hour]:[Hour]]&gt;=BB$2),1,0)</f>
        <v>0</v>
      </c>
      <c r="BC126" s="304" cm="1">
        <f t="array" ref="BC126">IF(AND(BC$2&lt;&gt;0,TblTech[[#This Row],[Hour]:[Hour]]&gt;=BC$2),1,0)</f>
        <v>0</v>
      </c>
      <c r="BD126" s="304" cm="1">
        <f t="array" ref="BD126">IF(AND(BD$2&lt;&gt;0,TblTech[[#This Row],[Hour]:[Hour]]&gt;=BD$2),1,0)</f>
        <v>0</v>
      </c>
      <c r="BE126" s="304" cm="1">
        <f t="array" ref="BE126">IF(AND(BE$2&lt;&gt;0,TblTech[[#This Row],[Hour]:[Hour]]&gt;=BE$2),1,0)</f>
        <v>0</v>
      </c>
      <c r="BF126" s="304" cm="1">
        <f t="array" ref="BF126">IF(AND(BF$2&lt;&gt;0,TblTech[[#This Row],[Hour]:[Hour]]&gt;=BF$2),1,0)</f>
        <v>0</v>
      </c>
      <c r="BG126" s="304" cm="1">
        <f t="array" ref="BG126">IF(AND(BG$2&lt;&gt;0,TblTech[[#This Row],[Hour]:[Hour]]&gt;=BG$2),1,0)</f>
        <v>0</v>
      </c>
      <c r="BH126" s="304" cm="1">
        <f t="array" ref="BH126">IF(AND(BH$2&lt;&gt;0,TblTech[[#This Row],[Hour]:[Hour]]&gt;=BH$2),1,0)</f>
        <v>0</v>
      </c>
      <c r="BI126" s="304" cm="1">
        <f t="array" ref="BI126">IF(AND(BI$2&lt;&gt;0,TblTech[[#This Row],[Hour]:[Hour]]&gt;=BI$2),1,0)</f>
        <v>0</v>
      </c>
      <c r="BJ126" s="304" cm="1">
        <f t="array" ref="BJ126">IF(AND(BJ$2&lt;&gt;0,TblTech[[#This Row],[Hour]:[Hour]]&gt;=BJ$2),1,0)</f>
        <v>0</v>
      </c>
      <c r="BK126" s="304" cm="1">
        <f t="array" ref="BK126">IF(AND(BK$2&lt;&gt;0,TblTech[[#This Row],[Hour]:[Hour]]&gt;=BK$2),1,0)</f>
        <v>0</v>
      </c>
      <c r="BL126" s="304" cm="1">
        <f t="array" ref="BL126">IF(AND(BL$2&lt;&gt;0,TblTech[[#This Row],[Hour]:[Hour]]&gt;=BL$2),1,0)</f>
        <v>0</v>
      </c>
      <c r="BM126" s="304" cm="1">
        <f t="array" ref="BM126">IF(AND(BM$2&lt;&gt;0,TblTech[[#This Row],[Hour]:[Hour]]&gt;=BM$2),1,0)</f>
        <v>0</v>
      </c>
      <c r="BN126" s="304" cm="1">
        <f t="array" ref="BN126">IF(AND(BN$2&lt;&gt;0,TblTech[[#This Row],[Hour]:[Hour]]&gt;=BN$2),1,0)</f>
        <v>0</v>
      </c>
      <c r="BO126" s="304" cm="1">
        <f t="array" ref="BO126">IF(AND(BO$2&lt;&gt;0,TblTech[[#This Row],[Hour]:[Hour]]&gt;=BO$2),1,0)</f>
        <v>0</v>
      </c>
      <c r="BP126" s="304" cm="1">
        <f t="array" ref="BP126">IF(AND(BP$2&lt;&gt;0,TblTech[[#This Row],[Hour]:[Hour]]&gt;=BP$2),1,0)</f>
        <v>0</v>
      </c>
      <c r="BQ126" s="304" cm="1">
        <f t="array" ref="BQ126">IF(AND(BQ$2&lt;&gt;0,TblTech[[#This Row],[Hour]:[Hour]]&gt;=BQ$2),1,0)</f>
        <v>0</v>
      </c>
      <c r="BR126" s="304" cm="1">
        <f t="array" ref="BR126">IF(AND(BR$2&lt;&gt;0,TblTech[[#This Row],[Hour]:[Hour]]&gt;=BR$2),1,0)</f>
        <v>0</v>
      </c>
      <c r="BS126" s="304" cm="1">
        <f t="array" ref="BS126">IF(AND(BS$2&lt;&gt;0,TblTech[[#This Row],[Hour]:[Hour]]&gt;=BS$2),1,0)</f>
        <v>0</v>
      </c>
      <c r="BT126" s="304" cm="1">
        <f t="array" ref="BT126">IF(AND(BT$2&lt;&gt;0,TblTech[[#This Row],[Hour]:[Hour]]&gt;=BT$2),1,0)</f>
        <v>0</v>
      </c>
      <c r="BU126" s="304" cm="1">
        <f t="array" ref="BU126">IF(AND(BU$2&lt;&gt;0,TblTech[[#This Row],[Hour]:[Hour]]&gt;=BU$2),1,0)</f>
        <v>0</v>
      </c>
      <c r="BV126" s="304" cm="1">
        <f t="array" ref="BV126">IF(AND(BV$2&lt;&gt;0,TblTech[[#This Row],[Hour]:[Hour]]&gt;=BV$2),1,0)</f>
        <v>0</v>
      </c>
      <c r="BW126" s="304" cm="1">
        <f t="array" ref="BW126">IF(AND(BW$2&lt;&gt;0,TblTech[[#This Row],[Hour]:[Hour]]&gt;=BW$2),1,0)</f>
        <v>0</v>
      </c>
      <c r="BX126" s="304" cm="1">
        <f t="array" ref="BX126">IF(AND(BX$2&lt;&gt;0,TblTech[[#This Row],[Hour]:[Hour]]&gt;=BX$2),1,0)</f>
        <v>0</v>
      </c>
      <c r="BY126" s="304" cm="1">
        <f t="array" ref="BY126">IF(AND(BY$2&lt;&gt;0,TblTech[[#This Row],[Hour]:[Hour]]&gt;=BY$2),1,0)</f>
        <v>0</v>
      </c>
      <c r="BZ126" s="304" cm="1">
        <f t="array" ref="BZ126">IF(AND(BZ$2&lt;&gt;0,TblTech[[#This Row],[Hour]:[Hour]]&gt;=BZ$2),1,0)</f>
        <v>0</v>
      </c>
      <c r="CA126" s="408">
        <f>IFERROR(INDEX($H$4:$H$79,MATCH(INDEX(TblTech[[#Headers],[1-1]:[11-1]],1,MATCH(TblTech[[#This Row],[Hour]],$M$2:$BZ$2,0)),$G$4:$G$79,0)),)</f>
        <v>0</v>
      </c>
    </row>
    <row r="127" spans="1:79" x14ac:dyDescent="0.2">
      <c r="A127" s="296">
        <f>TblRezone[[#This Row],[Hour]]</f>
        <v>124</v>
      </c>
      <c r="B127" s="297">
        <f ca="1">TblExplore[[#This Row],[Land-DB]]</f>
        <v>250</v>
      </c>
      <c r="C127" s="298">
        <f ca="1">TblProd[[#This Row],[Techpoints]]</f>
        <v>0</v>
      </c>
      <c r="D127" s="298">
        <f ca="1">TblProd[[#This Row],[Required]]</f>
        <v>3750</v>
      </c>
      <c r="E127" s="307"/>
      <c r="F127" s="308"/>
      <c r="G127" s="301"/>
      <c r="H127" s="302"/>
      <c r="I127" s="302"/>
      <c r="J127" s="302"/>
      <c r="K127" s="96">
        <f ca="1">IF(TblTech[[#This Row],[Sum of tech]]&lt;&gt;OFFSET(TblTech[[#This Row],[Sum of tech]],-1,0),1,0)</f>
        <v>0</v>
      </c>
      <c r="L127" s="303">
        <f>COUNTIF(TblTech[[#This Row],[1-1]:[11-1]],1)</f>
        <v>0</v>
      </c>
      <c r="M127" s="304" cm="1">
        <f t="array" ref="M127">IF(AND(M$2&lt;&gt;0,TblTech[[#This Row],[Hour]:[Hour]]&gt;=M$2),1,0)</f>
        <v>0</v>
      </c>
      <c r="N127" s="304" cm="1">
        <f t="array" ref="N127">IF(AND(N$2&lt;&gt;0,TblTech[[#This Row],[Hour]:[Hour]]&gt;=N$2),1,0)</f>
        <v>0</v>
      </c>
      <c r="O127" s="304" cm="1">
        <f t="array" ref="O127">IF(AND(O$2&lt;&gt;0,TblTech[[#This Row],[Hour]:[Hour]]&gt;=O$2),1,0)</f>
        <v>0</v>
      </c>
      <c r="P127" s="304" cm="1">
        <f t="array" ref="P127">IF(AND(P$2&lt;&gt;0,TblTech[[#This Row],[Hour]:[Hour]]&gt;=P$2),1,0)</f>
        <v>0</v>
      </c>
      <c r="Q127" s="304" cm="1">
        <f t="array" ref="Q127">IF(AND(Q$2&lt;&gt;0,TblTech[[#This Row],[Hour]:[Hour]]&gt;=Q$2),1,0)</f>
        <v>0</v>
      </c>
      <c r="R127" s="304" cm="1">
        <f t="array" ref="R127">IF(AND(R$2&lt;&gt;0,TblTech[[#This Row],[Hour]:[Hour]]&gt;=R$2),1,0)</f>
        <v>0</v>
      </c>
      <c r="S127" s="304" cm="1">
        <f t="array" ref="S127">IF(AND(S$2&lt;&gt;0,TblTech[[#This Row],[Hour]:[Hour]]&gt;=S$2),1,0)</f>
        <v>0</v>
      </c>
      <c r="T127" s="304" cm="1">
        <f t="array" ref="T127">IF(AND(T$2&lt;&gt;0,TblTech[[#This Row],[Hour]:[Hour]]&gt;=T$2),1,0)</f>
        <v>0</v>
      </c>
      <c r="U127" s="304" cm="1">
        <f t="array" ref="U127">IF(AND(U$2&lt;&gt;0,TblTech[[#This Row],[Hour]:[Hour]]&gt;=U$2),1,0)</f>
        <v>0</v>
      </c>
      <c r="V127" s="304" cm="1">
        <f t="array" ref="V127">IF(AND(V$2&lt;&gt;0,TblTech[[#This Row],[Hour]:[Hour]]&gt;=V$2),1,0)</f>
        <v>0</v>
      </c>
      <c r="W127" s="304" cm="1">
        <f t="array" ref="W127">IF(AND(W$2&lt;&gt;0,TblTech[[#This Row],[Hour]:[Hour]]&gt;=W$2),1,0)</f>
        <v>0</v>
      </c>
      <c r="X127" s="304" cm="1">
        <f t="array" ref="X127">IF(AND(X$2&lt;&gt;0,TblTech[[#This Row],[Hour]:[Hour]]&gt;=X$2),1,0)</f>
        <v>0</v>
      </c>
      <c r="Y127" s="304" cm="1">
        <f t="array" ref="Y127">IF(AND(Y$2&lt;&gt;0,TblTech[[#This Row],[Hour]:[Hour]]&gt;=Y$2),1,0)</f>
        <v>0</v>
      </c>
      <c r="Z127" s="304" cm="1">
        <f t="array" ref="Z127">IF(AND(Z$2&lt;&gt;0,TblTech[[#This Row],[Hour]:[Hour]]&gt;=Z$2),1,0)</f>
        <v>0</v>
      </c>
      <c r="AA127" s="304" cm="1">
        <f t="array" ref="AA127">IF(AND(AA$2&lt;&gt;0,TblTech[[#This Row],[Hour]:[Hour]]&gt;=AA$2),1,0)</f>
        <v>0</v>
      </c>
      <c r="AB127" s="304" cm="1">
        <f t="array" ref="AB127">IF(AND(AB$2&lt;&gt;0,TblTech[[#This Row],[Hour]:[Hour]]&gt;=AB$2),1,0)</f>
        <v>0</v>
      </c>
      <c r="AC127" s="304" cm="1">
        <f t="array" ref="AC127">IF(AND(AC$2&lt;&gt;0,TblTech[[#This Row],[Hour]:[Hour]]&gt;=AC$2),1,0)</f>
        <v>0</v>
      </c>
      <c r="AD127" s="304" cm="1">
        <f t="array" ref="AD127">IF(AND(AD$2&lt;&gt;0,TblTech[[#This Row],[Hour]:[Hour]]&gt;=AD$2),1,0)</f>
        <v>0</v>
      </c>
      <c r="AE127" s="304" cm="1">
        <f t="array" ref="AE127">IF(AND(AE$2&lt;&gt;0,TblTech[[#This Row],[Hour]:[Hour]]&gt;=AE$2),1,0)</f>
        <v>0</v>
      </c>
      <c r="AF127" s="304" cm="1">
        <f t="array" ref="AF127">IF(AND(AF$2&lt;&gt;0,TblTech[[#This Row],[Hour]:[Hour]]&gt;=AF$2),1,0)</f>
        <v>0</v>
      </c>
      <c r="AG127" s="304" cm="1">
        <f t="array" ref="AG127">IF(AND(AG$2&lt;&gt;0,TblTech[[#This Row],[Hour]:[Hour]]&gt;=AG$2),1,0)</f>
        <v>0</v>
      </c>
      <c r="AH127" s="304" cm="1">
        <f t="array" ref="AH127">IF(AND(AH$2&lt;&gt;0,TblTech[[#This Row],[Hour]:[Hour]]&gt;=AH$2),1,0)</f>
        <v>0</v>
      </c>
      <c r="AI127" s="304" cm="1">
        <f t="array" ref="AI127">IF(AND(AI$2&lt;&gt;0,TblTech[[#This Row],[Hour]:[Hour]]&gt;=AI$2),1,0)</f>
        <v>0</v>
      </c>
      <c r="AJ127" s="304" cm="1">
        <f t="array" ref="AJ127">IF(AND(AJ$2&lt;&gt;0,TblTech[[#This Row],[Hour]:[Hour]]&gt;=AJ$2),1,0)</f>
        <v>0</v>
      </c>
      <c r="AK127" s="304" cm="1">
        <f t="array" ref="AK127">IF(AND(AK$2&lt;&gt;0,TblTech[[#This Row],[Hour]:[Hour]]&gt;=AK$2),1,0)</f>
        <v>0</v>
      </c>
      <c r="AL127" s="304" cm="1">
        <f t="array" ref="AL127">IF(AND(AL$2&lt;&gt;0,TblTech[[#This Row],[Hour]:[Hour]]&gt;=AL$2),1,0)</f>
        <v>0</v>
      </c>
      <c r="AM127" s="304" cm="1">
        <f t="array" ref="AM127">IF(AND(AM$2&lt;&gt;0,TblTech[[#This Row],[Hour]:[Hour]]&gt;=AM$2),1,0)</f>
        <v>0</v>
      </c>
      <c r="AN127" s="304" cm="1">
        <f t="array" ref="AN127">IF(AND(AN$2&lt;&gt;0,TblTech[[#This Row],[Hour]:[Hour]]&gt;=AN$2),1,0)</f>
        <v>0</v>
      </c>
      <c r="AO127" s="304" cm="1">
        <f t="array" ref="AO127">IF(AND(AO$2&lt;&gt;0,TblTech[[#This Row],[Hour]:[Hour]]&gt;=AO$2),1,0)</f>
        <v>0</v>
      </c>
      <c r="AP127" s="304" cm="1">
        <f t="array" ref="AP127">IF(AND(AP$2&lt;&gt;0,TblTech[[#This Row],[Hour]:[Hour]]&gt;=AP$2),1,0)</f>
        <v>0</v>
      </c>
      <c r="AQ127" s="304" cm="1">
        <f t="array" ref="AQ127">IF(AND(AQ$2&lt;&gt;0,TblTech[[#This Row],[Hour]:[Hour]]&gt;=AQ$2),1,0)</f>
        <v>0</v>
      </c>
      <c r="AR127" s="304" cm="1">
        <f t="array" ref="AR127">IF(AND(AR$2&lt;&gt;0,TblTech[[#This Row],[Hour]:[Hour]]&gt;=AR$2),1,0)</f>
        <v>0</v>
      </c>
      <c r="AS127" s="304" cm="1">
        <f t="array" ref="AS127">IF(AND(AS$2&lt;&gt;0,TblTech[[#This Row],[Hour]:[Hour]]&gt;=AS$2),1,0)</f>
        <v>0</v>
      </c>
      <c r="AT127" s="304" cm="1">
        <f t="array" ref="AT127">IF(AND(AT$2&lt;&gt;0,TblTech[[#This Row],[Hour]:[Hour]]&gt;=AT$2),1,0)</f>
        <v>0</v>
      </c>
      <c r="AU127" s="304" cm="1">
        <f t="array" ref="AU127">IF(AND(AU$2&lt;&gt;0,TblTech[[#This Row],[Hour]:[Hour]]&gt;=AU$2),1,0)</f>
        <v>0</v>
      </c>
      <c r="AV127" s="304" cm="1">
        <f t="array" ref="AV127">IF(AND(AV$2&lt;&gt;0,TblTech[[#This Row],[Hour]:[Hour]]&gt;=AV$2),1,0)</f>
        <v>0</v>
      </c>
      <c r="AW127" s="304" cm="1">
        <f t="array" ref="AW127">IF(AND(AW$2&lt;&gt;0,TblTech[[#This Row],[Hour]:[Hour]]&gt;=AW$2),1,0)</f>
        <v>0</v>
      </c>
      <c r="AX127" s="304" cm="1">
        <f t="array" ref="AX127">IF(AND(AX$2&lt;&gt;0,TblTech[[#This Row],[Hour]:[Hour]]&gt;=AX$2),1,0)</f>
        <v>0</v>
      </c>
      <c r="AY127" s="304" cm="1">
        <f t="array" ref="AY127">IF(AND(AY$2&lt;&gt;0,TblTech[[#This Row],[Hour]:[Hour]]&gt;=AY$2),1,0)</f>
        <v>0</v>
      </c>
      <c r="AZ127" s="304" cm="1">
        <f t="array" ref="AZ127">IF(AND(AZ$2&lt;&gt;0,TblTech[[#This Row],[Hour]:[Hour]]&gt;=AZ$2),1,0)</f>
        <v>0</v>
      </c>
      <c r="BA127" s="304" cm="1">
        <f t="array" ref="BA127">IF(AND(BA$2&lt;&gt;0,TblTech[[#This Row],[Hour]:[Hour]]&gt;=BA$2),1,0)</f>
        <v>0</v>
      </c>
      <c r="BB127" s="304" cm="1">
        <f t="array" ref="BB127">IF(AND(BB$2&lt;&gt;0,TblTech[[#This Row],[Hour]:[Hour]]&gt;=BB$2),1,0)</f>
        <v>0</v>
      </c>
      <c r="BC127" s="304" cm="1">
        <f t="array" ref="BC127">IF(AND(BC$2&lt;&gt;0,TblTech[[#This Row],[Hour]:[Hour]]&gt;=BC$2),1,0)</f>
        <v>0</v>
      </c>
      <c r="BD127" s="304" cm="1">
        <f t="array" ref="BD127">IF(AND(BD$2&lt;&gt;0,TblTech[[#This Row],[Hour]:[Hour]]&gt;=BD$2),1,0)</f>
        <v>0</v>
      </c>
      <c r="BE127" s="304" cm="1">
        <f t="array" ref="BE127">IF(AND(BE$2&lt;&gt;0,TblTech[[#This Row],[Hour]:[Hour]]&gt;=BE$2),1,0)</f>
        <v>0</v>
      </c>
      <c r="BF127" s="304" cm="1">
        <f t="array" ref="BF127">IF(AND(BF$2&lt;&gt;0,TblTech[[#This Row],[Hour]:[Hour]]&gt;=BF$2),1,0)</f>
        <v>0</v>
      </c>
      <c r="BG127" s="304" cm="1">
        <f t="array" ref="BG127">IF(AND(BG$2&lt;&gt;0,TblTech[[#This Row],[Hour]:[Hour]]&gt;=BG$2),1,0)</f>
        <v>0</v>
      </c>
      <c r="BH127" s="304" cm="1">
        <f t="array" ref="BH127">IF(AND(BH$2&lt;&gt;0,TblTech[[#This Row],[Hour]:[Hour]]&gt;=BH$2),1,0)</f>
        <v>0</v>
      </c>
      <c r="BI127" s="304" cm="1">
        <f t="array" ref="BI127">IF(AND(BI$2&lt;&gt;0,TblTech[[#This Row],[Hour]:[Hour]]&gt;=BI$2),1,0)</f>
        <v>0</v>
      </c>
      <c r="BJ127" s="304" cm="1">
        <f t="array" ref="BJ127">IF(AND(BJ$2&lt;&gt;0,TblTech[[#This Row],[Hour]:[Hour]]&gt;=BJ$2),1,0)</f>
        <v>0</v>
      </c>
      <c r="BK127" s="304" cm="1">
        <f t="array" ref="BK127">IF(AND(BK$2&lt;&gt;0,TblTech[[#This Row],[Hour]:[Hour]]&gt;=BK$2),1,0)</f>
        <v>0</v>
      </c>
      <c r="BL127" s="304" cm="1">
        <f t="array" ref="BL127">IF(AND(BL$2&lt;&gt;0,TblTech[[#This Row],[Hour]:[Hour]]&gt;=BL$2),1,0)</f>
        <v>0</v>
      </c>
      <c r="BM127" s="304" cm="1">
        <f t="array" ref="BM127">IF(AND(BM$2&lt;&gt;0,TblTech[[#This Row],[Hour]:[Hour]]&gt;=BM$2),1,0)</f>
        <v>0</v>
      </c>
      <c r="BN127" s="304" cm="1">
        <f t="array" ref="BN127">IF(AND(BN$2&lt;&gt;0,TblTech[[#This Row],[Hour]:[Hour]]&gt;=BN$2),1,0)</f>
        <v>0</v>
      </c>
      <c r="BO127" s="304" cm="1">
        <f t="array" ref="BO127">IF(AND(BO$2&lt;&gt;0,TblTech[[#This Row],[Hour]:[Hour]]&gt;=BO$2),1,0)</f>
        <v>0</v>
      </c>
      <c r="BP127" s="304" cm="1">
        <f t="array" ref="BP127">IF(AND(BP$2&lt;&gt;0,TblTech[[#This Row],[Hour]:[Hour]]&gt;=BP$2),1,0)</f>
        <v>0</v>
      </c>
      <c r="BQ127" s="304" cm="1">
        <f t="array" ref="BQ127">IF(AND(BQ$2&lt;&gt;0,TblTech[[#This Row],[Hour]:[Hour]]&gt;=BQ$2),1,0)</f>
        <v>0</v>
      </c>
      <c r="BR127" s="304" cm="1">
        <f t="array" ref="BR127">IF(AND(BR$2&lt;&gt;0,TblTech[[#This Row],[Hour]:[Hour]]&gt;=BR$2),1,0)</f>
        <v>0</v>
      </c>
      <c r="BS127" s="304" cm="1">
        <f t="array" ref="BS127">IF(AND(BS$2&lt;&gt;0,TblTech[[#This Row],[Hour]:[Hour]]&gt;=BS$2),1,0)</f>
        <v>0</v>
      </c>
      <c r="BT127" s="304" cm="1">
        <f t="array" ref="BT127">IF(AND(BT$2&lt;&gt;0,TblTech[[#This Row],[Hour]:[Hour]]&gt;=BT$2),1,0)</f>
        <v>0</v>
      </c>
      <c r="BU127" s="304" cm="1">
        <f t="array" ref="BU127">IF(AND(BU$2&lt;&gt;0,TblTech[[#This Row],[Hour]:[Hour]]&gt;=BU$2),1,0)</f>
        <v>0</v>
      </c>
      <c r="BV127" s="304" cm="1">
        <f t="array" ref="BV127">IF(AND(BV$2&lt;&gt;0,TblTech[[#This Row],[Hour]:[Hour]]&gt;=BV$2),1,0)</f>
        <v>0</v>
      </c>
      <c r="BW127" s="304" cm="1">
        <f t="array" ref="BW127">IF(AND(BW$2&lt;&gt;0,TblTech[[#This Row],[Hour]:[Hour]]&gt;=BW$2),1,0)</f>
        <v>0</v>
      </c>
      <c r="BX127" s="304" cm="1">
        <f t="array" ref="BX127">IF(AND(BX$2&lt;&gt;0,TblTech[[#This Row],[Hour]:[Hour]]&gt;=BX$2),1,0)</f>
        <v>0</v>
      </c>
      <c r="BY127" s="304" cm="1">
        <f t="array" ref="BY127">IF(AND(BY$2&lt;&gt;0,TblTech[[#This Row],[Hour]:[Hour]]&gt;=BY$2),1,0)</f>
        <v>0</v>
      </c>
      <c r="BZ127" s="304" cm="1">
        <f t="array" ref="BZ127">IF(AND(BZ$2&lt;&gt;0,TblTech[[#This Row],[Hour]:[Hour]]&gt;=BZ$2),1,0)</f>
        <v>0</v>
      </c>
      <c r="CA127" s="408">
        <f>IFERROR(INDEX($H$4:$H$79,MATCH(INDEX(TblTech[[#Headers],[1-1]:[11-1]],1,MATCH(TblTech[[#This Row],[Hour]],$M$2:$BZ$2,0)),$G$4:$G$79,0)),)</f>
        <v>0</v>
      </c>
    </row>
    <row r="128" spans="1:79" x14ac:dyDescent="0.2">
      <c r="A128" s="296">
        <f>TblRezone[[#This Row],[Hour]]</f>
        <v>125</v>
      </c>
      <c r="B128" s="297">
        <f ca="1">TblExplore[[#This Row],[Land-DB]]</f>
        <v>250</v>
      </c>
      <c r="C128" s="298">
        <f ca="1">TblProd[[#This Row],[Techpoints]]</f>
        <v>0</v>
      </c>
      <c r="D128" s="298">
        <f ca="1">TblProd[[#This Row],[Required]]</f>
        <v>3750</v>
      </c>
      <c r="E128" s="307"/>
      <c r="F128" s="308"/>
      <c r="G128" s="301"/>
      <c r="H128" s="302"/>
      <c r="I128" s="302"/>
      <c r="J128" s="302"/>
      <c r="K128" s="96">
        <f ca="1">IF(TblTech[[#This Row],[Sum of tech]]&lt;&gt;OFFSET(TblTech[[#This Row],[Sum of tech]],-1,0),1,0)</f>
        <v>0</v>
      </c>
      <c r="L128" s="303">
        <f>COUNTIF(TblTech[[#This Row],[1-1]:[11-1]],1)</f>
        <v>0</v>
      </c>
      <c r="M128" s="304" cm="1">
        <f t="array" ref="M128">IF(AND(M$2&lt;&gt;0,TblTech[[#This Row],[Hour]:[Hour]]&gt;=M$2),1,0)</f>
        <v>0</v>
      </c>
      <c r="N128" s="304" cm="1">
        <f t="array" ref="N128">IF(AND(N$2&lt;&gt;0,TblTech[[#This Row],[Hour]:[Hour]]&gt;=N$2),1,0)</f>
        <v>0</v>
      </c>
      <c r="O128" s="304" cm="1">
        <f t="array" ref="O128">IF(AND(O$2&lt;&gt;0,TblTech[[#This Row],[Hour]:[Hour]]&gt;=O$2),1,0)</f>
        <v>0</v>
      </c>
      <c r="P128" s="304" cm="1">
        <f t="array" ref="P128">IF(AND(P$2&lt;&gt;0,TblTech[[#This Row],[Hour]:[Hour]]&gt;=P$2),1,0)</f>
        <v>0</v>
      </c>
      <c r="Q128" s="304" cm="1">
        <f t="array" ref="Q128">IF(AND(Q$2&lt;&gt;0,TblTech[[#This Row],[Hour]:[Hour]]&gt;=Q$2),1,0)</f>
        <v>0</v>
      </c>
      <c r="R128" s="304" cm="1">
        <f t="array" ref="R128">IF(AND(R$2&lt;&gt;0,TblTech[[#This Row],[Hour]:[Hour]]&gt;=R$2),1,0)</f>
        <v>0</v>
      </c>
      <c r="S128" s="304" cm="1">
        <f t="array" ref="S128">IF(AND(S$2&lt;&gt;0,TblTech[[#This Row],[Hour]:[Hour]]&gt;=S$2),1,0)</f>
        <v>0</v>
      </c>
      <c r="T128" s="304" cm="1">
        <f t="array" ref="T128">IF(AND(T$2&lt;&gt;0,TblTech[[#This Row],[Hour]:[Hour]]&gt;=T$2),1,0)</f>
        <v>0</v>
      </c>
      <c r="U128" s="304" cm="1">
        <f t="array" ref="U128">IF(AND(U$2&lt;&gt;0,TblTech[[#This Row],[Hour]:[Hour]]&gt;=U$2),1,0)</f>
        <v>0</v>
      </c>
      <c r="V128" s="304" cm="1">
        <f t="array" ref="V128">IF(AND(V$2&lt;&gt;0,TblTech[[#This Row],[Hour]:[Hour]]&gt;=V$2),1,0)</f>
        <v>0</v>
      </c>
      <c r="W128" s="304" cm="1">
        <f t="array" ref="W128">IF(AND(W$2&lt;&gt;0,TblTech[[#This Row],[Hour]:[Hour]]&gt;=W$2),1,0)</f>
        <v>0</v>
      </c>
      <c r="X128" s="304" cm="1">
        <f t="array" ref="X128">IF(AND(X$2&lt;&gt;0,TblTech[[#This Row],[Hour]:[Hour]]&gt;=X$2),1,0)</f>
        <v>0</v>
      </c>
      <c r="Y128" s="304" cm="1">
        <f t="array" ref="Y128">IF(AND(Y$2&lt;&gt;0,TblTech[[#This Row],[Hour]:[Hour]]&gt;=Y$2),1,0)</f>
        <v>0</v>
      </c>
      <c r="Z128" s="304" cm="1">
        <f t="array" ref="Z128">IF(AND(Z$2&lt;&gt;0,TblTech[[#This Row],[Hour]:[Hour]]&gt;=Z$2),1,0)</f>
        <v>0</v>
      </c>
      <c r="AA128" s="304" cm="1">
        <f t="array" ref="AA128">IF(AND(AA$2&lt;&gt;0,TblTech[[#This Row],[Hour]:[Hour]]&gt;=AA$2),1,0)</f>
        <v>0</v>
      </c>
      <c r="AB128" s="304" cm="1">
        <f t="array" ref="AB128">IF(AND(AB$2&lt;&gt;0,TblTech[[#This Row],[Hour]:[Hour]]&gt;=AB$2),1,0)</f>
        <v>0</v>
      </c>
      <c r="AC128" s="304" cm="1">
        <f t="array" ref="AC128">IF(AND(AC$2&lt;&gt;0,TblTech[[#This Row],[Hour]:[Hour]]&gt;=AC$2),1,0)</f>
        <v>0</v>
      </c>
      <c r="AD128" s="304" cm="1">
        <f t="array" ref="AD128">IF(AND(AD$2&lt;&gt;0,TblTech[[#This Row],[Hour]:[Hour]]&gt;=AD$2),1,0)</f>
        <v>0</v>
      </c>
      <c r="AE128" s="304" cm="1">
        <f t="array" ref="AE128">IF(AND(AE$2&lt;&gt;0,TblTech[[#This Row],[Hour]:[Hour]]&gt;=AE$2),1,0)</f>
        <v>0</v>
      </c>
      <c r="AF128" s="304" cm="1">
        <f t="array" ref="AF128">IF(AND(AF$2&lt;&gt;0,TblTech[[#This Row],[Hour]:[Hour]]&gt;=AF$2),1,0)</f>
        <v>0</v>
      </c>
      <c r="AG128" s="304" cm="1">
        <f t="array" ref="AG128">IF(AND(AG$2&lt;&gt;0,TblTech[[#This Row],[Hour]:[Hour]]&gt;=AG$2),1,0)</f>
        <v>0</v>
      </c>
      <c r="AH128" s="304" cm="1">
        <f t="array" ref="AH128">IF(AND(AH$2&lt;&gt;0,TblTech[[#This Row],[Hour]:[Hour]]&gt;=AH$2),1,0)</f>
        <v>0</v>
      </c>
      <c r="AI128" s="304" cm="1">
        <f t="array" ref="AI128">IF(AND(AI$2&lt;&gt;0,TblTech[[#This Row],[Hour]:[Hour]]&gt;=AI$2),1,0)</f>
        <v>0</v>
      </c>
      <c r="AJ128" s="304" cm="1">
        <f t="array" ref="AJ128">IF(AND(AJ$2&lt;&gt;0,TblTech[[#This Row],[Hour]:[Hour]]&gt;=AJ$2),1,0)</f>
        <v>0</v>
      </c>
      <c r="AK128" s="304" cm="1">
        <f t="array" ref="AK128">IF(AND(AK$2&lt;&gt;0,TblTech[[#This Row],[Hour]:[Hour]]&gt;=AK$2),1,0)</f>
        <v>0</v>
      </c>
      <c r="AL128" s="304" cm="1">
        <f t="array" ref="AL128">IF(AND(AL$2&lt;&gt;0,TblTech[[#This Row],[Hour]:[Hour]]&gt;=AL$2),1,0)</f>
        <v>0</v>
      </c>
      <c r="AM128" s="304" cm="1">
        <f t="array" ref="AM128">IF(AND(AM$2&lt;&gt;0,TblTech[[#This Row],[Hour]:[Hour]]&gt;=AM$2),1,0)</f>
        <v>0</v>
      </c>
      <c r="AN128" s="304" cm="1">
        <f t="array" ref="AN128">IF(AND(AN$2&lt;&gt;0,TblTech[[#This Row],[Hour]:[Hour]]&gt;=AN$2),1,0)</f>
        <v>0</v>
      </c>
      <c r="AO128" s="304" cm="1">
        <f t="array" ref="AO128">IF(AND(AO$2&lt;&gt;0,TblTech[[#This Row],[Hour]:[Hour]]&gt;=AO$2),1,0)</f>
        <v>0</v>
      </c>
      <c r="AP128" s="304" cm="1">
        <f t="array" ref="AP128">IF(AND(AP$2&lt;&gt;0,TblTech[[#This Row],[Hour]:[Hour]]&gt;=AP$2),1,0)</f>
        <v>0</v>
      </c>
      <c r="AQ128" s="304" cm="1">
        <f t="array" ref="AQ128">IF(AND(AQ$2&lt;&gt;0,TblTech[[#This Row],[Hour]:[Hour]]&gt;=AQ$2),1,0)</f>
        <v>0</v>
      </c>
      <c r="AR128" s="304" cm="1">
        <f t="array" ref="AR128">IF(AND(AR$2&lt;&gt;0,TblTech[[#This Row],[Hour]:[Hour]]&gt;=AR$2),1,0)</f>
        <v>0</v>
      </c>
      <c r="AS128" s="304" cm="1">
        <f t="array" ref="AS128">IF(AND(AS$2&lt;&gt;0,TblTech[[#This Row],[Hour]:[Hour]]&gt;=AS$2),1,0)</f>
        <v>0</v>
      </c>
      <c r="AT128" s="304" cm="1">
        <f t="array" ref="AT128">IF(AND(AT$2&lt;&gt;0,TblTech[[#This Row],[Hour]:[Hour]]&gt;=AT$2),1,0)</f>
        <v>0</v>
      </c>
      <c r="AU128" s="304" cm="1">
        <f t="array" ref="AU128">IF(AND(AU$2&lt;&gt;0,TblTech[[#This Row],[Hour]:[Hour]]&gt;=AU$2),1,0)</f>
        <v>0</v>
      </c>
      <c r="AV128" s="304" cm="1">
        <f t="array" ref="AV128">IF(AND(AV$2&lt;&gt;0,TblTech[[#This Row],[Hour]:[Hour]]&gt;=AV$2),1,0)</f>
        <v>0</v>
      </c>
      <c r="AW128" s="304" cm="1">
        <f t="array" ref="AW128">IF(AND(AW$2&lt;&gt;0,TblTech[[#This Row],[Hour]:[Hour]]&gt;=AW$2),1,0)</f>
        <v>0</v>
      </c>
      <c r="AX128" s="304" cm="1">
        <f t="array" ref="AX128">IF(AND(AX$2&lt;&gt;0,TblTech[[#This Row],[Hour]:[Hour]]&gt;=AX$2),1,0)</f>
        <v>0</v>
      </c>
      <c r="AY128" s="304" cm="1">
        <f t="array" ref="AY128">IF(AND(AY$2&lt;&gt;0,TblTech[[#This Row],[Hour]:[Hour]]&gt;=AY$2),1,0)</f>
        <v>0</v>
      </c>
      <c r="AZ128" s="304" cm="1">
        <f t="array" ref="AZ128">IF(AND(AZ$2&lt;&gt;0,TblTech[[#This Row],[Hour]:[Hour]]&gt;=AZ$2),1,0)</f>
        <v>0</v>
      </c>
      <c r="BA128" s="304" cm="1">
        <f t="array" ref="BA128">IF(AND(BA$2&lt;&gt;0,TblTech[[#This Row],[Hour]:[Hour]]&gt;=BA$2),1,0)</f>
        <v>0</v>
      </c>
      <c r="BB128" s="304" cm="1">
        <f t="array" ref="BB128">IF(AND(BB$2&lt;&gt;0,TblTech[[#This Row],[Hour]:[Hour]]&gt;=BB$2),1,0)</f>
        <v>0</v>
      </c>
      <c r="BC128" s="304" cm="1">
        <f t="array" ref="BC128">IF(AND(BC$2&lt;&gt;0,TblTech[[#This Row],[Hour]:[Hour]]&gt;=BC$2),1,0)</f>
        <v>0</v>
      </c>
      <c r="BD128" s="304" cm="1">
        <f t="array" ref="BD128">IF(AND(BD$2&lt;&gt;0,TblTech[[#This Row],[Hour]:[Hour]]&gt;=BD$2),1,0)</f>
        <v>0</v>
      </c>
      <c r="BE128" s="304" cm="1">
        <f t="array" ref="BE128">IF(AND(BE$2&lt;&gt;0,TblTech[[#This Row],[Hour]:[Hour]]&gt;=BE$2),1,0)</f>
        <v>0</v>
      </c>
      <c r="BF128" s="304" cm="1">
        <f t="array" ref="BF128">IF(AND(BF$2&lt;&gt;0,TblTech[[#This Row],[Hour]:[Hour]]&gt;=BF$2),1,0)</f>
        <v>0</v>
      </c>
      <c r="BG128" s="304" cm="1">
        <f t="array" ref="BG128">IF(AND(BG$2&lt;&gt;0,TblTech[[#This Row],[Hour]:[Hour]]&gt;=BG$2),1,0)</f>
        <v>0</v>
      </c>
      <c r="BH128" s="304" cm="1">
        <f t="array" ref="BH128">IF(AND(BH$2&lt;&gt;0,TblTech[[#This Row],[Hour]:[Hour]]&gt;=BH$2),1,0)</f>
        <v>0</v>
      </c>
      <c r="BI128" s="304" cm="1">
        <f t="array" ref="BI128">IF(AND(BI$2&lt;&gt;0,TblTech[[#This Row],[Hour]:[Hour]]&gt;=BI$2),1,0)</f>
        <v>0</v>
      </c>
      <c r="BJ128" s="304" cm="1">
        <f t="array" ref="BJ128">IF(AND(BJ$2&lt;&gt;0,TblTech[[#This Row],[Hour]:[Hour]]&gt;=BJ$2),1,0)</f>
        <v>0</v>
      </c>
      <c r="BK128" s="304" cm="1">
        <f t="array" ref="BK128">IF(AND(BK$2&lt;&gt;0,TblTech[[#This Row],[Hour]:[Hour]]&gt;=BK$2),1,0)</f>
        <v>0</v>
      </c>
      <c r="BL128" s="304" cm="1">
        <f t="array" ref="BL128">IF(AND(BL$2&lt;&gt;0,TblTech[[#This Row],[Hour]:[Hour]]&gt;=BL$2),1,0)</f>
        <v>0</v>
      </c>
      <c r="BM128" s="304" cm="1">
        <f t="array" ref="BM128">IF(AND(BM$2&lt;&gt;0,TblTech[[#This Row],[Hour]:[Hour]]&gt;=BM$2),1,0)</f>
        <v>0</v>
      </c>
      <c r="BN128" s="304" cm="1">
        <f t="array" ref="BN128">IF(AND(BN$2&lt;&gt;0,TblTech[[#This Row],[Hour]:[Hour]]&gt;=BN$2),1,0)</f>
        <v>0</v>
      </c>
      <c r="BO128" s="304" cm="1">
        <f t="array" ref="BO128">IF(AND(BO$2&lt;&gt;0,TblTech[[#This Row],[Hour]:[Hour]]&gt;=BO$2),1,0)</f>
        <v>0</v>
      </c>
      <c r="BP128" s="304" cm="1">
        <f t="array" ref="BP128">IF(AND(BP$2&lt;&gt;0,TblTech[[#This Row],[Hour]:[Hour]]&gt;=BP$2),1,0)</f>
        <v>0</v>
      </c>
      <c r="BQ128" s="304" cm="1">
        <f t="array" ref="BQ128">IF(AND(BQ$2&lt;&gt;0,TblTech[[#This Row],[Hour]:[Hour]]&gt;=BQ$2),1,0)</f>
        <v>0</v>
      </c>
      <c r="BR128" s="304" cm="1">
        <f t="array" ref="BR128">IF(AND(BR$2&lt;&gt;0,TblTech[[#This Row],[Hour]:[Hour]]&gt;=BR$2),1,0)</f>
        <v>0</v>
      </c>
      <c r="BS128" s="304" cm="1">
        <f t="array" ref="BS128">IF(AND(BS$2&lt;&gt;0,TblTech[[#This Row],[Hour]:[Hour]]&gt;=BS$2),1,0)</f>
        <v>0</v>
      </c>
      <c r="BT128" s="304" cm="1">
        <f t="array" ref="BT128">IF(AND(BT$2&lt;&gt;0,TblTech[[#This Row],[Hour]:[Hour]]&gt;=BT$2),1,0)</f>
        <v>0</v>
      </c>
      <c r="BU128" s="304" cm="1">
        <f t="array" ref="BU128">IF(AND(BU$2&lt;&gt;0,TblTech[[#This Row],[Hour]:[Hour]]&gt;=BU$2),1,0)</f>
        <v>0</v>
      </c>
      <c r="BV128" s="304" cm="1">
        <f t="array" ref="BV128">IF(AND(BV$2&lt;&gt;0,TblTech[[#This Row],[Hour]:[Hour]]&gt;=BV$2),1,0)</f>
        <v>0</v>
      </c>
      <c r="BW128" s="304" cm="1">
        <f t="array" ref="BW128">IF(AND(BW$2&lt;&gt;0,TblTech[[#This Row],[Hour]:[Hour]]&gt;=BW$2),1,0)</f>
        <v>0</v>
      </c>
      <c r="BX128" s="304" cm="1">
        <f t="array" ref="BX128">IF(AND(BX$2&lt;&gt;0,TblTech[[#This Row],[Hour]:[Hour]]&gt;=BX$2),1,0)</f>
        <v>0</v>
      </c>
      <c r="BY128" s="304" cm="1">
        <f t="array" ref="BY128">IF(AND(BY$2&lt;&gt;0,TblTech[[#This Row],[Hour]:[Hour]]&gt;=BY$2),1,0)</f>
        <v>0</v>
      </c>
      <c r="BZ128" s="304" cm="1">
        <f t="array" ref="BZ128">IF(AND(BZ$2&lt;&gt;0,TblTech[[#This Row],[Hour]:[Hour]]&gt;=BZ$2),1,0)</f>
        <v>0</v>
      </c>
      <c r="CA128" s="408">
        <f>IFERROR(INDEX($H$4:$H$79,MATCH(INDEX(TblTech[[#Headers],[1-1]:[11-1]],1,MATCH(TblTech[[#This Row],[Hour]],$M$2:$BZ$2,0)),$G$4:$G$79,0)),)</f>
        <v>0</v>
      </c>
    </row>
    <row r="129" spans="1:79" x14ac:dyDescent="0.2">
      <c r="A129" s="296">
        <f>TblRezone[[#This Row],[Hour]]</f>
        <v>126</v>
      </c>
      <c r="B129" s="297">
        <f ca="1">TblExplore[[#This Row],[Land-DB]]</f>
        <v>250</v>
      </c>
      <c r="C129" s="298">
        <f ca="1">TblProd[[#This Row],[Techpoints]]</f>
        <v>0</v>
      </c>
      <c r="D129" s="298">
        <f ca="1">TblProd[[#This Row],[Required]]</f>
        <v>3750</v>
      </c>
      <c r="E129" s="307"/>
      <c r="F129" s="308"/>
      <c r="G129" s="301"/>
      <c r="H129" s="302"/>
      <c r="I129" s="302"/>
      <c r="J129" s="302"/>
      <c r="K129" s="96">
        <f ca="1">IF(TblTech[[#This Row],[Sum of tech]]&lt;&gt;OFFSET(TblTech[[#This Row],[Sum of tech]],-1,0),1,0)</f>
        <v>0</v>
      </c>
      <c r="L129" s="303">
        <f>COUNTIF(TblTech[[#This Row],[1-1]:[11-1]],1)</f>
        <v>0</v>
      </c>
      <c r="M129" s="304" cm="1">
        <f t="array" ref="M129">IF(AND(M$2&lt;&gt;0,TblTech[[#This Row],[Hour]:[Hour]]&gt;=M$2),1,0)</f>
        <v>0</v>
      </c>
      <c r="N129" s="304" cm="1">
        <f t="array" ref="N129">IF(AND(N$2&lt;&gt;0,TblTech[[#This Row],[Hour]:[Hour]]&gt;=N$2),1,0)</f>
        <v>0</v>
      </c>
      <c r="O129" s="304" cm="1">
        <f t="array" ref="O129">IF(AND(O$2&lt;&gt;0,TblTech[[#This Row],[Hour]:[Hour]]&gt;=O$2),1,0)</f>
        <v>0</v>
      </c>
      <c r="P129" s="304" cm="1">
        <f t="array" ref="P129">IF(AND(P$2&lt;&gt;0,TblTech[[#This Row],[Hour]:[Hour]]&gt;=P$2),1,0)</f>
        <v>0</v>
      </c>
      <c r="Q129" s="304" cm="1">
        <f t="array" ref="Q129">IF(AND(Q$2&lt;&gt;0,TblTech[[#This Row],[Hour]:[Hour]]&gt;=Q$2),1,0)</f>
        <v>0</v>
      </c>
      <c r="R129" s="304" cm="1">
        <f t="array" ref="R129">IF(AND(R$2&lt;&gt;0,TblTech[[#This Row],[Hour]:[Hour]]&gt;=R$2),1,0)</f>
        <v>0</v>
      </c>
      <c r="S129" s="304" cm="1">
        <f t="array" ref="S129">IF(AND(S$2&lt;&gt;0,TblTech[[#This Row],[Hour]:[Hour]]&gt;=S$2),1,0)</f>
        <v>0</v>
      </c>
      <c r="T129" s="304" cm="1">
        <f t="array" ref="T129">IF(AND(T$2&lt;&gt;0,TblTech[[#This Row],[Hour]:[Hour]]&gt;=T$2),1,0)</f>
        <v>0</v>
      </c>
      <c r="U129" s="304" cm="1">
        <f t="array" ref="U129">IF(AND(U$2&lt;&gt;0,TblTech[[#This Row],[Hour]:[Hour]]&gt;=U$2),1,0)</f>
        <v>0</v>
      </c>
      <c r="V129" s="304" cm="1">
        <f t="array" ref="V129">IF(AND(V$2&lt;&gt;0,TblTech[[#This Row],[Hour]:[Hour]]&gt;=V$2),1,0)</f>
        <v>0</v>
      </c>
      <c r="W129" s="304" cm="1">
        <f t="array" ref="W129">IF(AND(W$2&lt;&gt;0,TblTech[[#This Row],[Hour]:[Hour]]&gt;=W$2),1,0)</f>
        <v>0</v>
      </c>
      <c r="X129" s="304" cm="1">
        <f t="array" ref="X129">IF(AND(X$2&lt;&gt;0,TblTech[[#This Row],[Hour]:[Hour]]&gt;=X$2),1,0)</f>
        <v>0</v>
      </c>
      <c r="Y129" s="304" cm="1">
        <f t="array" ref="Y129">IF(AND(Y$2&lt;&gt;0,TblTech[[#This Row],[Hour]:[Hour]]&gt;=Y$2),1,0)</f>
        <v>0</v>
      </c>
      <c r="Z129" s="304" cm="1">
        <f t="array" ref="Z129">IF(AND(Z$2&lt;&gt;0,TblTech[[#This Row],[Hour]:[Hour]]&gt;=Z$2),1,0)</f>
        <v>0</v>
      </c>
      <c r="AA129" s="304" cm="1">
        <f t="array" ref="AA129">IF(AND(AA$2&lt;&gt;0,TblTech[[#This Row],[Hour]:[Hour]]&gt;=AA$2),1,0)</f>
        <v>0</v>
      </c>
      <c r="AB129" s="304" cm="1">
        <f t="array" ref="AB129">IF(AND(AB$2&lt;&gt;0,TblTech[[#This Row],[Hour]:[Hour]]&gt;=AB$2),1,0)</f>
        <v>0</v>
      </c>
      <c r="AC129" s="304" cm="1">
        <f t="array" ref="AC129">IF(AND(AC$2&lt;&gt;0,TblTech[[#This Row],[Hour]:[Hour]]&gt;=AC$2),1,0)</f>
        <v>0</v>
      </c>
      <c r="AD129" s="304" cm="1">
        <f t="array" ref="AD129">IF(AND(AD$2&lt;&gt;0,TblTech[[#This Row],[Hour]:[Hour]]&gt;=AD$2),1,0)</f>
        <v>0</v>
      </c>
      <c r="AE129" s="304" cm="1">
        <f t="array" ref="AE129">IF(AND(AE$2&lt;&gt;0,TblTech[[#This Row],[Hour]:[Hour]]&gt;=AE$2),1,0)</f>
        <v>0</v>
      </c>
      <c r="AF129" s="304" cm="1">
        <f t="array" ref="AF129">IF(AND(AF$2&lt;&gt;0,TblTech[[#This Row],[Hour]:[Hour]]&gt;=AF$2),1,0)</f>
        <v>0</v>
      </c>
      <c r="AG129" s="304" cm="1">
        <f t="array" ref="AG129">IF(AND(AG$2&lt;&gt;0,TblTech[[#This Row],[Hour]:[Hour]]&gt;=AG$2),1,0)</f>
        <v>0</v>
      </c>
      <c r="AH129" s="304" cm="1">
        <f t="array" ref="AH129">IF(AND(AH$2&lt;&gt;0,TblTech[[#This Row],[Hour]:[Hour]]&gt;=AH$2),1,0)</f>
        <v>0</v>
      </c>
      <c r="AI129" s="304" cm="1">
        <f t="array" ref="AI129">IF(AND(AI$2&lt;&gt;0,TblTech[[#This Row],[Hour]:[Hour]]&gt;=AI$2),1,0)</f>
        <v>0</v>
      </c>
      <c r="AJ129" s="304" cm="1">
        <f t="array" ref="AJ129">IF(AND(AJ$2&lt;&gt;0,TblTech[[#This Row],[Hour]:[Hour]]&gt;=AJ$2),1,0)</f>
        <v>0</v>
      </c>
      <c r="AK129" s="304" cm="1">
        <f t="array" ref="AK129">IF(AND(AK$2&lt;&gt;0,TblTech[[#This Row],[Hour]:[Hour]]&gt;=AK$2),1,0)</f>
        <v>0</v>
      </c>
      <c r="AL129" s="304" cm="1">
        <f t="array" ref="AL129">IF(AND(AL$2&lt;&gt;0,TblTech[[#This Row],[Hour]:[Hour]]&gt;=AL$2),1,0)</f>
        <v>0</v>
      </c>
      <c r="AM129" s="304" cm="1">
        <f t="array" ref="AM129">IF(AND(AM$2&lt;&gt;0,TblTech[[#This Row],[Hour]:[Hour]]&gt;=AM$2),1,0)</f>
        <v>0</v>
      </c>
      <c r="AN129" s="304" cm="1">
        <f t="array" ref="AN129">IF(AND(AN$2&lt;&gt;0,TblTech[[#This Row],[Hour]:[Hour]]&gt;=AN$2),1,0)</f>
        <v>0</v>
      </c>
      <c r="AO129" s="304" cm="1">
        <f t="array" ref="AO129">IF(AND(AO$2&lt;&gt;0,TblTech[[#This Row],[Hour]:[Hour]]&gt;=AO$2),1,0)</f>
        <v>0</v>
      </c>
      <c r="AP129" s="304" cm="1">
        <f t="array" ref="AP129">IF(AND(AP$2&lt;&gt;0,TblTech[[#This Row],[Hour]:[Hour]]&gt;=AP$2),1,0)</f>
        <v>0</v>
      </c>
      <c r="AQ129" s="304" cm="1">
        <f t="array" ref="AQ129">IF(AND(AQ$2&lt;&gt;0,TblTech[[#This Row],[Hour]:[Hour]]&gt;=AQ$2),1,0)</f>
        <v>0</v>
      </c>
      <c r="AR129" s="304" cm="1">
        <f t="array" ref="AR129">IF(AND(AR$2&lt;&gt;0,TblTech[[#This Row],[Hour]:[Hour]]&gt;=AR$2),1,0)</f>
        <v>0</v>
      </c>
      <c r="AS129" s="304" cm="1">
        <f t="array" ref="AS129">IF(AND(AS$2&lt;&gt;0,TblTech[[#This Row],[Hour]:[Hour]]&gt;=AS$2),1,0)</f>
        <v>0</v>
      </c>
      <c r="AT129" s="304" cm="1">
        <f t="array" ref="AT129">IF(AND(AT$2&lt;&gt;0,TblTech[[#This Row],[Hour]:[Hour]]&gt;=AT$2),1,0)</f>
        <v>0</v>
      </c>
      <c r="AU129" s="304" cm="1">
        <f t="array" ref="AU129">IF(AND(AU$2&lt;&gt;0,TblTech[[#This Row],[Hour]:[Hour]]&gt;=AU$2),1,0)</f>
        <v>0</v>
      </c>
      <c r="AV129" s="304" cm="1">
        <f t="array" ref="AV129">IF(AND(AV$2&lt;&gt;0,TblTech[[#This Row],[Hour]:[Hour]]&gt;=AV$2),1,0)</f>
        <v>0</v>
      </c>
      <c r="AW129" s="304" cm="1">
        <f t="array" ref="AW129">IF(AND(AW$2&lt;&gt;0,TblTech[[#This Row],[Hour]:[Hour]]&gt;=AW$2),1,0)</f>
        <v>0</v>
      </c>
      <c r="AX129" s="304" cm="1">
        <f t="array" ref="AX129">IF(AND(AX$2&lt;&gt;0,TblTech[[#This Row],[Hour]:[Hour]]&gt;=AX$2),1,0)</f>
        <v>0</v>
      </c>
      <c r="AY129" s="304" cm="1">
        <f t="array" ref="AY129">IF(AND(AY$2&lt;&gt;0,TblTech[[#This Row],[Hour]:[Hour]]&gt;=AY$2),1,0)</f>
        <v>0</v>
      </c>
      <c r="AZ129" s="304" cm="1">
        <f t="array" ref="AZ129">IF(AND(AZ$2&lt;&gt;0,TblTech[[#This Row],[Hour]:[Hour]]&gt;=AZ$2),1,0)</f>
        <v>0</v>
      </c>
      <c r="BA129" s="304" cm="1">
        <f t="array" ref="BA129">IF(AND(BA$2&lt;&gt;0,TblTech[[#This Row],[Hour]:[Hour]]&gt;=BA$2),1,0)</f>
        <v>0</v>
      </c>
      <c r="BB129" s="304" cm="1">
        <f t="array" ref="BB129">IF(AND(BB$2&lt;&gt;0,TblTech[[#This Row],[Hour]:[Hour]]&gt;=BB$2),1,0)</f>
        <v>0</v>
      </c>
      <c r="BC129" s="304" cm="1">
        <f t="array" ref="BC129">IF(AND(BC$2&lt;&gt;0,TblTech[[#This Row],[Hour]:[Hour]]&gt;=BC$2),1,0)</f>
        <v>0</v>
      </c>
      <c r="BD129" s="304" cm="1">
        <f t="array" ref="BD129">IF(AND(BD$2&lt;&gt;0,TblTech[[#This Row],[Hour]:[Hour]]&gt;=BD$2),1,0)</f>
        <v>0</v>
      </c>
      <c r="BE129" s="304" cm="1">
        <f t="array" ref="BE129">IF(AND(BE$2&lt;&gt;0,TblTech[[#This Row],[Hour]:[Hour]]&gt;=BE$2),1,0)</f>
        <v>0</v>
      </c>
      <c r="BF129" s="304" cm="1">
        <f t="array" ref="BF129">IF(AND(BF$2&lt;&gt;0,TblTech[[#This Row],[Hour]:[Hour]]&gt;=BF$2),1,0)</f>
        <v>0</v>
      </c>
      <c r="BG129" s="304" cm="1">
        <f t="array" ref="BG129">IF(AND(BG$2&lt;&gt;0,TblTech[[#This Row],[Hour]:[Hour]]&gt;=BG$2),1,0)</f>
        <v>0</v>
      </c>
      <c r="BH129" s="304" cm="1">
        <f t="array" ref="BH129">IF(AND(BH$2&lt;&gt;0,TblTech[[#This Row],[Hour]:[Hour]]&gt;=BH$2),1,0)</f>
        <v>0</v>
      </c>
      <c r="BI129" s="304" cm="1">
        <f t="array" ref="BI129">IF(AND(BI$2&lt;&gt;0,TblTech[[#This Row],[Hour]:[Hour]]&gt;=BI$2),1,0)</f>
        <v>0</v>
      </c>
      <c r="BJ129" s="304" cm="1">
        <f t="array" ref="BJ129">IF(AND(BJ$2&lt;&gt;0,TblTech[[#This Row],[Hour]:[Hour]]&gt;=BJ$2),1,0)</f>
        <v>0</v>
      </c>
      <c r="BK129" s="304" cm="1">
        <f t="array" ref="BK129">IF(AND(BK$2&lt;&gt;0,TblTech[[#This Row],[Hour]:[Hour]]&gt;=BK$2),1,0)</f>
        <v>0</v>
      </c>
      <c r="BL129" s="304" cm="1">
        <f t="array" ref="BL129">IF(AND(BL$2&lt;&gt;0,TblTech[[#This Row],[Hour]:[Hour]]&gt;=BL$2),1,0)</f>
        <v>0</v>
      </c>
      <c r="BM129" s="304" cm="1">
        <f t="array" ref="BM129">IF(AND(BM$2&lt;&gt;0,TblTech[[#This Row],[Hour]:[Hour]]&gt;=BM$2),1,0)</f>
        <v>0</v>
      </c>
      <c r="BN129" s="304" cm="1">
        <f t="array" ref="BN129">IF(AND(BN$2&lt;&gt;0,TblTech[[#This Row],[Hour]:[Hour]]&gt;=BN$2),1,0)</f>
        <v>0</v>
      </c>
      <c r="BO129" s="304" cm="1">
        <f t="array" ref="BO129">IF(AND(BO$2&lt;&gt;0,TblTech[[#This Row],[Hour]:[Hour]]&gt;=BO$2),1,0)</f>
        <v>0</v>
      </c>
      <c r="BP129" s="304" cm="1">
        <f t="array" ref="BP129">IF(AND(BP$2&lt;&gt;0,TblTech[[#This Row],[Hour]:[Hour]]&gt;=BP$2),1,0)</f>
        <v>0</v>
      </c>
      <c r="BQ129" s="304" cm="1">
        <f t="array" ref="BQ129">IF(AND(BQ$2&lt;&gt;0,TblTech[[#This Row],[Hour]:[Hour]]&gt;=BQ$2),1,0)</f>
        <v>0</v>
      </c>
      <c r="BR129" s="304" cm="1">
        <f t="array" ref="BR129">IF(AND(BR$2&lt;&gt;0,TblTech[[#This Row],[Hour]:[Hour]]&gt;=BR$2),1,0)</f>
        <v>0</v>
      </c>
      <c r="BS129" s="304" cm="1">
        <f t="array" ref="BS129">IF(AND(BS$2&lt;&gt;0,TblTech[[#This Row],[Hour]:[Hour]]&gt;=BS$2),1,0)</f>
        <v>0</v>
      </c>
      <c r="BT129" s="304" cm="1">
        <f t="array" ref="BT129">IF(AND(BT$2&lt;&gt;0,TblTech[[#This Row],[Hour]:[Hour]]&gt;=BT$2),1,0)</f>
        <v>0</v>
      </c>
      <c r="BU129" s="304" cm="1">
        <f t="array" ref="BU129">IF(AND(BU$2&lt;&gt;0,TblTech[[#This Row],[Hour]:[Hour]]&gt;=BU$2),1,0)</f>
        <v>0</v>
      </c>
      <c r="BV129" s="304" cm="1">
        <f t="array" ref="BV129">IF(AND(BV$2&lt;&gt;0,TblTech[[#This Row],[Hour]:[Hour]]&gt;=BV$2),1,0)</f>
        <v>0</v>
      </c>
      <c r="BW129" s="304" cm="1">
        <f t="array" ref="BW129">IF(AND(BW$2&lt;&gt;0,TblTech[[#This Row],[Hour]:[Hour]]&gt;=BW$2),1,0)</f>
        <v>0</v>
      </c>
      <c r="BX129" s="304" cm="1">
        <f t="array" ref="BX129">IF(AND(BX$2&lt;&gt;0,TblTech[[#This Row],[Hour]:[Hour]]&gt;=BX$2),1,0)</f>
        <v>0</v>
      </c>
      <c r="BY129" s="304" cm="1">
        <f t="array" ref="BY129">IF(AND(BY$2&lt;&gt;0,TblTech[[#This Row],[Hour]:[Hour]]&gt;=BY$2),1,0)</f>
        <v>0</v>
      </c>
      <c r="BZ129" s="304" cm="1">
        <f t="array" ref="BZ129">IF(AND(BZ$2&lt;&gt;0,TblTech[[#This Row],[Hour]:[Hour]]&gt;=BZ$2),1,0)</f>
        <v>0</v>
      </c>
      <c r="CA129" s="408">
        <f>IFERROR(INDEX($H$4:$H$79,MATCH(INDEX(TblTech[[#Headers],[1-1]:[11-1]],1,MATCH(TblTech[[#This Row],[Hour]],$M$2:$BZ$2,0)),$G$4:$G$79,0)),)</f>
        <v>0</v>
      </c>
    </row>
    <row r="130" spans="1:79" x14ac:dyDescent="0.2">
      <c r="A130" s="296">
        <f>TblRezone[[#This Row],[Hour]]</f>
        <v>127</v>
      </c>
      <c r="B130" s="297">
        <f ca="1">TblExplore[[#This Row],[Land-DB]]</f>
        <v>250</v>
      </c>
      <c r="C130" s="298">
        <f ca="1">TblProd[[#This Row],[Techpoints]]</f>
        <v>0</v>
      </c>
      <c r="D130" s="298">
        <f ca="1">TblProd[[#This Row],[Required]]</f>
        <v>3750</v>
      </c>
      <c r="E130" s="307"/>
      <c r="F130" s="308"/>
      <c r="G130" s="301"/>
      <c r="H130" s="302"/>
      <c r="I130" s="302"/>
      <c r="J130" s="302"/>
      <c r="K130" s="96">
        <f ca="1">IF(TblTech[[#This Row],[Sum of tech]]&lt;&gt;OFFSET(TblTech[[#This Row],[Sum of tech]],-1,0),1,0)</f>
        <v>0</v>
      </c>
      <c r="L130" s="303">
        <f>COUNTIF(TblTech[[#This Row],[1-1]:[11-1]],1)</f>
        <v>0</v>
      </c>
      <c r="M130" s="304" cm="1">
        <f t="array" ref="M130">IF(AND(M$2&lt;&gt;0,TblTech[[#This Row],[Hour]:[Hour]]&gt;=M$2),1,0)</f>
        <v>0</v>
      </c>
      <c r="N130" s="304" cm="1">
        <f t="array" ref="N130">IF(AND(N$2&lt;&gt;0,TblTech[[#This Row],[Hour]:[Hour]]&gt;=N$2),1,0)</f>
        <v>0</v>
      </c>
      <c r="O130" s="304" cm="1">
        <f t="array" ref="O130">IF(AND(O$2&lt;&gt;0,TblTech[[#This Row],[Hour]:[Hour]]&gt;=O$2),1,0)</f>
        <v>0</v>
      </c>
      <c r="P130" s="304" cm="1">
        <f t="array" ref="P130">IF(AND(P$2&lt;&gt;0,TblTech[[#This Row],[Hour]:[Hour]]&gt;=P$2),1,0)</f>
        <v>0</v>
      </c>
      <c r="Q130" s="304" cm="1">
        <f t="array" ref="Q130">IF(AND(Q$2&lt;&gt;0,TblTech[[#This Row],[Hour]:[Hour]]&gt;=Q$2),1,0)</f>
        <v>0</v>
      </c>
      <c r="R130" s="304" cm="1">
        <f t="array" ref="R130">IF(AND(R$2&lt;&gt;0,TblTech[[#This Row],[Hour]:[Hour]]&gt;=R$2),1,0)</f>
        <v>0</v>
      </c>
      <c r="S130" s="304" cm="1">
        <f t="array" ref="S130">IF(AND(S$2&lt;&gt;0,TblTech[[#This Row],[Hour]:[Hour]]&gt;=S$2),1,0)</f>
        <v>0</v>
      </c>
      <c r="T130" s="304" cm="1">
        <f t="array" ref="T130">IF(AND(T$2&lt;&gt;0,TblTech[[#This Row],[Hour]:[Hour]]&gt;=T$2),1,0)</f>
        <v>0</v>
      </c>
      <c r="U130" s="304" cm="1">
        <f t="array" ref="U130">IF(AND(U$2&lt;&gt;0,TblTech[[#This Row],[Hour]:[Hour]]&gt;=U$2),1,0)</f>
        <v>0</v>
      </c>
      <c r="V130" s="304" cm="1">
        <f t="array" ref="V130">IF(AND(V$2&lt;&gt;0,TblTech[[#This Row],[Hour]:[Hour]]&gt;=V$2),1,0)</f>
        <v>0</v>
      </c>
      <c r="W130" s="304" cm="1">
        <f t="array" ref="W130">IF(AND(W$2&lt;&gt;0,TblTech[[#This Row],[Hour]:[Hour]]&gt;=W$2),1,0)</f>
        <v>0</v>
      </c>
      <c r="X130" s="304" cm="1">
        <f t="array" ref="X130">IF(AND(X$2&lt;&gt;0,TblTech[[#This Row],[Hour]:[Hour]]&gt;=X$2),1,0)</f>
        <v>0</v>
      </c>
      <c r="Y130" s="304" cm="1">
        <f t="array" ref="Y130">IF(AND(Y$2&lt;&gt;0,TblTech[[#This Row],[Hour]:[Hour]]&gt;=Y$2),1,0)</f>
        <v>0</v>
      </c>
      <c r="Z130" s="304" cm="1">
        <f t="array" ref="Z130">IF(AND(Z$2&lt;&gt;0,TblTech[[#This Row],[Hour]:[Hour]]&gt;=Z$2),1,0)</f>
        <v>0</v>
      </c>
      <c r="AA130" s="304" cm="1">
        <f t="array" ref="AA130">IF(AND(AA$2&lt;&gt;0,TblTech[[#This Row],[Hour]:[Hour]]&gt;=AA$2),1,0)</f>
        <v>0</v>
      </c>
      <c r="AB130" s="304" cm="1">
        <f t="array" ref="AB130">IF(AND(AB$2&lt;&gt;0,TblTech[[#This Row],[Hour]:[Hour]]&gt;=AB$2),1,0)</f>
        <v>0</v>
      </c>
      <c r="AC130" s="304" cm="1">
        <f t="array" ref="AC130">IF(AND(AC$2&lt;&gt;0,TblTech[[#This Row],[Hour]:[Hour]]&gt;=AC$2),1,0)</f>
        <v>0</v>
      </c>
      <c r="AD130" s="304" cm="1">
        <f t="array" ref="AD130">IF(AND(AD$2&lt;&gt;0,TblTech[[#This Row],[Hour]:[Hour]]&gt;=AD$2),1,0)</f>
        <v>0</v>
      </c>
      <c r="AE130" s="304" cm="1">
        <f t="array" ref="AE130">IF(AND(AE$2&lt;&gt;0,TblTech[[#This Row],[Hour]:[Hour]]&gt;=AE$2),1,0)</f>
        <v>0</v>
      </c>
      <c r="AF130" s="304" cm="1">
        <f t="array" ref="AF130">IF(AND(AF$2&lt;&gt;0,TblTech[[#This Row],[Hour]:[Hour]]&gt;=AF$2),1,0)</f>
        <v>0</v>
      </c>
      <c r="AG130" s="304" cm="1">
        <f t="array" ref="AG130">IF(AND(AG$2&lt;&gt;0,TblTech[[#This Row],[Hour]:[Hour]]&gt;=AG$2),1,0)</f>
        <v>0</v>
      </c>
      <c r="AH130" s="304" cm="1">
        <f t="array" ref="AH130">IF(AND(AH$2&lt;&gt;0,TblTech[[#This Row],[Hour]:[Hour]]&gt;=AH$2),1,0)</f>
        <v>0</v>
      </c>
      <c r="AI130" s="304" cm="1">
        <f t="array" ref="AI130">IF(AND(AI$2&lt;&gt;0,TblTech[[#This Row],[Hour]:[Hour]]&gt;=AI$2),1,0)</f>
        <v>0</v>
      </c>
      <c r="AJ130" s="304" cm="1">
        <f t="array" ref="AJ130">IF(AND(AJ$2&lt;&gt;0,TblTech[[#This Row],[Hour]:[Hour]]&gt;=AJ$2),1,0)</f>
        <v>0</v>
      </c>
      <c r="AK130" s="304" cm="1">
        <f t="array" ref="AK130">IF(AND(AK$2&lt;&gt;0,TblTech[[#This Row],[Hour]:[Hour]]&gt;=AK$2),1,0)</f>
        <v>0</v>
      </c>
      <c r="AL130" s="304" cm="1">
        <f t="array" ref="AL130">IF(AND(AL$2&lt;&gt;0,TblTech[[#This Row],[Hour]:[Hour]]&gt;=AL$2),1,0)</f>
        <v>0</v>
      </c>
      <c r="AM130" s="304" cm="1">
        <f t="array" ref="AM130">IF(AND(AM$2&lt;&gt;0,TblTech[[#This Row],[Hour]:[Hour]]&gt;=AM$2),1,0)</f>
        <v>0</v>
      </c>
      <c r="AN130" s="304" cm="1">
        <f t="array" ref="AN130">IF(AND(AN$2&lt;&gt;0,TblTech[[#This Row],[Hour]:[Hour]]&gt;=AN$2),1,0)</f>
        <v>0</v>
      </c>
      <c r="AO130" s="304" cm="1">
        <f t="array" ref="AO130">IF(AND(AO$2&lt;&gt;0,TblTech[[#This Row],[Hour]:[Hour]]&gt;=AO$2),1,0)</f>
        <v>0</v>
      </c>
      <c r="AP130" s="304" cm="1">
        <f t="array" ref="AP130">IF(AND(AP$2&lt;&gt;0,TblTech[[#This Row],[Hour]:[Hour]]&gt;=AP$2),1,0)</f>
        <v>0</v>
      </c>
      <c r="AQ130" s="304" cm="1">
        <f t="array" ref="AQ130">IF(AND(AQ$2&lt;&gt;0,TblTech[[#This Row],[Hour]:[Hour]]&gt;=AQ$2),1,0)</f>
        <v>0</v>
      </c>
      <c r="AR130" s="304" cm="1">
        <f t="array" ref="AR130">IF(AND(AR$2&lt;&gt;0,TblTech[[#This Row],[Hour]:[Hour]]&gt;=AR$2),1,0)</f>
        <v>0</v>
      </c>
      <c r="AS130" s="304" cm="1">
        <f t="array" ref="AS130">IF(AND(AS$2&lt;&gt;0,TblTech[[#This Row],[Hour]:[Hour]]&gt;=AS$2),1,0)</f>
        <v>0</v>
      </c>
      <c r="AT130" s="304" cm="1">
        <f t="array" ref="AT130">IF(AND(AT$2&lt;&gt;0,TblTech[[#This Row],[Hour]:[Hour]]&gt;=AT$2),1,0)</f>
        <v>0</v>
      </c>
      <c r="AU130" s="304" cm="1">
        <f t="array" ref="AU130">IF(AND(AU$2&lt;&gt;0,TblTech[[#This Row],[Hour]:[Hour]]&gt;=AU$2),1,0)</f>
        <v>0</v>
      </c>
      <c r="AV130" s="304" cm="1">
        <f t="array" ref="AV130">IF(AND(AV$2&lt;&gt;0,TblTech[[#This Row],[Hour]:[Hour]]&gt;=AV$2),1,0)</f>
        <v>0</v>
      </c>
      <c r="AW130" s="304" cm="1">
        <f t="array" ref="AW130">IF(AND(AW$2&lt;&gt;0,TblTech[[#This Row],[Hour]:[Hour]]&gt;=AW$2),1,0)</f>
        <v>0</v>
      </c>
      <c r="AX130" s="304" cm="1">
        <f t="array" ref="AX130">IF(AND(AX$2&lt;&gt;0,TblTech[[#This Row],[Hour]:[Hour]]&gt;=AX$2),1,0)</f>
        <v>0</v>
      </c>
      <c r="AY130" s="304" cm="1">
        <f t="array" ref="AY130">IF(AND(AY$2&lt;&gt;0,TblTech[[#This Row],[Hour]:[Hour]]&gt;=AY$2),1,0)</f>
        <v>0</v>
      </c>
      <c r="AZ130" s="304" cm="1">
        <f t="array" ref="AZ130">IF(AND(AZ$2&lt;&gt;0,TblTech[[#This Row],[Hour]:[Hour]]&gt;=AZ$2),1,0)</f>
        <v>0</v>
      </c>
      <c r="BA130" s="304" cm="1">
        <f t="array" ref="BA130">IF(AND(BA$2&lt;&gt;0,TblTech[[#This Row],[Hour]:[Hour]]&gt;=BA$2),1,0)</f>
        <v>0</v>
      </c>
      <c r="BB130" s="304" cm="1">
        <f t="array" ref="BB130">IF(AND(BB$2&lt;&gt;0,TblTech[[#This Row],[Hour]:[Hour]]&gt;=BB$2),1,0)</f>
        <v>0</v>
      </c>
      <c r="BC130" s="304" cm="1">
        <f t="array" ref="BC130">IF(AND(BC$2&lt;&gt;0,TblTech[[#This Row],[Hour]:[Hour]]&gt;=BC$2),1,0)</f>
        <v>0</v>
      </c>
      <c r="BD130" s="304" cm="1">
        <f t="array" ref="BD130">IF(AND(BD$2&lt;&gt;0,TblTech[[#This Row],[Hour]:[Hour]]&gt;=BD$2),1,0)</f>
        <v>0</v>
      </c>
      <c r="BE130" s="304" cm="1">
        <f t="array" ref="BE130">IF(AND(BE$2&lt;&gt;0,TblTech[[#This Row],[Hour]:[Hour]]&gt;=BE$2),1,0)</f>
        <v>0</v>
      </c>
      <c r="BF130" s="304" cm="1">
        <f t="array" ref="BF130">IF(AND(BF$2&lt;&gt;0,TblTech[[#This Row],[Hour]:[Hour]]&gt;=BF$2),1,0)</f>
        <v>0</v>
      </c>
      <c r="BG130" s="304" cm="1">
        <f t="array" ref="BG130">IF(AND(BG$2&lt;&gt;0,TblTech[[#This Row],[Hour]:[Hour]]&gt;=BG$2),1,0)</f>
        <v>0</v>
      </c>
      <c r="BH130" s="304" cm="1">
        <f t="array" ref="BH130">IF(AND(BH$2&lt;&gt;0,TblTech[[#This Row],[Hour]:[Hour]]&gt;=BH$2),1,0)</f>
        <v>0</v>
      </c>
      <c r="BI130" s="304" cm="1">
        <f t="array" ref="BI130">IF(AND(BI$2&lt;&gt;0,TblTech[[#This Row],[Hour]:[Hour]]&gt;=BI$2),1,0)</f>
        <v>0</v>
      </c>
      <c r="BJ130" s="304" cm="1">
        <f t="array" ref="BJ130">IF(AND(BJ$2&lt;&gt;0,TblTech[[#This Row],[Hour]:[Hour]]&gt;=BJ$2),1,0)</f>
        <v>0</v>
      </c>
      <c r="BK130" s="304" cm="1">
        <f t="array" ref="BK130">IF(AND(BK$2&lt;&gt;0,TblTech[[#This Row],[Hour]:[Hour]]&gt;=BK$2),1,0)</f>
        <v>0</v>
      </c>
      <c r="BL130" s="304" cm="1">
        <f t="array" ref="BL130">IF(AND(BL$2&lt;&gt;0,TblTech[[#This Row],[Hour]:[Hour]]&gt;=BL$2),1,0)</f>
        <v>0</v>
      </c>
      <c r="BM130" s="304" cm="1">
        <f t="array" ref="BM130">IF(AND(BM$2&lt;&gt;0,TblTech[[#This Row],[Hour]:[Hour]]&gt;=BM$2),1,0)</f>
        <v>0</v>
      </c>
      <c r="BN130" s="304" cm="1">
        <f t="array" ref="BN130">IF(AND(BN$2&lt;&gt;0,TblTech[[#This Row],[Hour]:[Hour]]&gt;=BN$2),1,0)</f>
        <v>0</v>
      </c>
      <c r="BO130" s="304" cm="1">
        <f t="array" ref="BO130">IF(AND(BO$2&lt;&gt;0,TblTech[[#This Row],[Hour]:[Hour]]&gt;=BO$2),1,0)</f>
        <v>0</v>
      </c>
      <c r="BP130" s="304" cm="1">
        <f t="array" ref="BP130">IF(AND(BP$2&lt;&gt;0,TblTech[[#This Row],[Hour]:[Hour]]&gt;=BP$2),1,0)</f>
        <v>0</v>
      </c>
      <c r="BQ130" s="304" cm="1">
        <f t="array" ref="BQ130">IF(AND(BQ$2&lt;&gt;0,TblTech[[#This Row],[Hour]:[Hour]]&gt;=BQ$2),1,0)</f>
        <v>0</v>
      </c>
      <c r="BR130" s="304" cm="1">
        <f t="array" ref="BR130">IF(AND(BR$2&lt;&gt;0,TblTech[[#This Row],[Hour]:[Hour]]&gt;=BR$2),1,0)</f>
        <v>0</v>
      </c>
      <c r="BS130" s="304" cm="1">
        <f t="array" ref="BS130">IF(AND(BS$2&lt;&gt;0,TblTech[[#This Row],[Hour]:[Hour]]&gt;=BS$2),1,0)</f>
        <v>0</v>
      </c>
      <c r="BT130" s="304" cm="1">
        <f t="array" ref="BT130">IF(AND(BT$2&lt;&gt;0,TblTech[[#This Row],[Hour]:[Hour]]&gt;=BT$2),1,0)</f>
        <v>0</v>
      </c>
      <c r="BU130" s="304" cm="1">
        <f t="array" ref="BU130">IF(AND(BU$2&lt;&gt;0,TblTech[[#This Row],[Hour]:[Hour]]&gt;=BU$2),1,0)</f>
        <v>0</v>
      </c>
      <c r="BV130" s="304" cm="1">
        <f t="array" ref="BV130">IF(AND(BV$2&lt;&gt;0,TblTech[[#This Row],[Hour]:[Hour]]&gt;=BV$2),1,0)</f>
        <v>0</v>
      </c>
      <c r="BW130" s="304" cm="1">
        <f t="array" ref="BW130">IF(AND(BW$2&lt;&gt;0,TblTech[[#This Row],[Hour]:[Hour]]&gt;=BW$2),1,0)</f>
        <v>0</v>
      </c>
      <c r="BX130" s="304" cm="1">
        <f t="array" ref="BX130">IF(AND(BX$2&lt;&gt;0,TblTech[[#This Row],[Hour]:[Hour]]&gt;=BX$2),1,0)</f>
        <v>0</v>
      </c>
      <c r="BY130" s="304" cm="1">
        <f t="array" ref="BY130">IF(AND(BY$2&lt;&gt;0,TblTech[[#This Row],[Hour]:[Hour]]&gt;=BY$2),1,0)</f>
        <v>0</v>
      </c>
      <c r="BZ130" s="304" cm="1">
        <f t="array" ref="BZ130">IF(AND(BZ$2&lt;&gt;0,TblTech[[#This Row],[Hour]:[Hour]]&gt;=BZ$2),1,0)</f>
        <v>0</v>
      </c>
      <c r="CA130" s="408">
        <f>IFERROR(INDEX($H$4:$H$79,MATCH(INDEX(TblTech[[#Headers],[1-1]:[11-1]],1,MATCH(TblTech[[#This Row],[Hour]],$M$2:$BZ$2,0)),$G$4:$G$79,0)),)</f>
        <v>0</v>
      </c>
    </row>
    <row r="131" spans="1:79" x14ac:dyDescent="0.2">
      <c r="A131" s="296">
        <f>TblRezone[[#This Row],[Hour]]</f>
        <v>128</v>
      </c>
      <c r="B131" s="297">
        <f ca="1">TblExplore[[#This Row],[Land-DB]]</f>
        <v>250</v>
      </c>
      <c r="C131" s="298">
        <f ca="1">TblProd[[#This Row],[Techpoints]]</f>
        <v>0</v>
      </c>
      <c r="D131" s="298">
        <f ca="1">TblProd[[#This Row],[Required]]</f>
        <v>3750</v>
      </c>
      <c r="E131" s="307"/>
      <c r="F131" s="308"/>
      <c r="G131" s="301"/>
      <c r="H131" s="302"/>
      <c r="I131" s="302"/>
      <c r="J131" s="302"/>
      <c r="K131" s="96">
        <f ca="1">IF(TblTech[[#This Row],[Sum of tech]]&lt;&gt;OFFSET(TblTech[[#This Row],[Sum of tech]],-1,0),1,0)</f>
        <v>0</v>
      </c>
      <c r="L131" s="303">
        <f>COUNTIF(TblTech[[#This Row],[1-1]:[11-1]],1)</f>
        <v>0</v>
      </c>
      <c r="M131" s="304" cm="1">
        <f t="array" ref="M131">IF(AND(M$2&lt;&gt;0,TblTech[[#This Row],[Hour]:[Hour]]&gt;=M$2),1,0)</f>
        <v>0</v>
      </c>
      <c r="N131" s="304" cm="1">
        <f t="array" ref="N131">IF(AND(N$2&lt;&gt;0,TblTech[[#This Row],[Hour]:[Hour]]&gt;=N$2),1,0)</f>
        <v>0</v>
      </c>
      <c r="O131" s="304" cm="1">
        <f t="array" ref="O131">IF(AND(O$2&lt;&gt;0,TblTech[[#This Row],[Hour]:[Hour]]&gt;=O$2),1,0)</f>
        <v>0</v>
      </c>
      <c r="P131" s="304" cm="1">
        <f t="array" ref="P131">IF(AND(P$2&lt;&gt;0,TblTech[[#This Row],[Hour]:[Hour]]&gt;=P$2),1,0)</f>
        <v>0</v>
      </c>
      <c r="Q131" s="304" cm="1">
        <f t="array" ref="Q131">IF(AND(Q$2&lt;&gt;0,TblTech[[#This Row],[Hour]:[Hour]]&gt;=Q$2),1,0)</f>
        <v>0</v>
      </c>
      <c r="R131" s="304" cm="1">
        <f t="array" ref="R131">IF(AND(R$2&lt;&gt;0,TblTech[[#This Row],[Hour]:[Hour]]&gt;=R$2),1,0)</f>
        <v>0</v>
      </c>
      <c r="S131" s="304" cm="1">
        <f t="array" ref="S131">IF(AND(S$2&lt;&gt;0,TblTech[[#This Row],[Hour]:[Hour]]&gt;=S$2),1,0)</f>
        <v>0</v>
      </c>
      <c r="T131" s="304" cm="1">
        <f t="array" ref="T131">IF(AND(T$2&lt;&gt;0,TblTech[[#This Row],[Hour]:[Hour]]&gt;=T$2),1,0)</f>
        <v>0</v>
      </c>
      <c r="U131" s="304" cm="1">
        <f t="array" ref="U131">IF(AND(U$2&lt;&gt;0,TblTech[[#This Row],[Hour]:[Hour]]&gt;=U$2),1,0)</f>
        <v>0</v>
      </c>
      <c r="V131" s="304" cm="1">
        <f t="array" ref="V131">IF(AND(V$2&lt;&gt;0,TblTech[[#This Row],[Hour]:[Hour]]&gt;=V$2),1,0)</f>
        <v>0</v>
      </c>
      <c r="W131" s="304" cm="1">
        <f t="array" ref="W131">IF(AND(W$2&lt;&gt;0,TblTech[[#This Row],[Hour]:[Hour]]&gt;=W$2),1,0)</f>
        <v>0</v>
      </c>
      <c r="X131" s="304" cm="1">
        <f t="array" ref="X131">IF(AND(X$2&lt;&gt;0,TblTech[[#This Row],[Hour]:[Hour]]&gt;=X$2),1,0)</f>
        <v>0</v>
      </c>
      <c r="Y131" s="304" cm="1">
        <f t="array" ref="Y131">IF(AND(Y$2&lt;&gt;0,TblTech[[#This Row],[Hour]:[Hour]]&gt;=Y$2),1,0)</f>
        <v>0</v>
      </c>
      <c r="Z131" s="304" cm="1">
        <f t="array" ref="Z131">IF(AND(Z$2&lt;&gt;0,TblTech[[#This Row],[Hour]:[Hour]]&gt;=Z$2),1,0)</f>
        <v>0</v>
      </c>
      <c r="AA131" s="304" cm="1">
        <f t="array" ref="AA131">IF(AND(AA$2&lt;&gt;0,TblTech[[#This Row],[Hour]:[Hour]]&gt;=AA$2),1,0)</f>
        <v>0</v>
      </c>
      <c r="AB131" s="304" cm="1">
        <f t="array" ref="AB131">IF(AND(AB$2&lt;&gt;0,TblTech[[#This Row],[Hour]:[Hour]]&gt;=AB$2),1,0)</f>
        <v>0</v>
      </c>
      <c r="AC131" s="304" cm="1">
        <f t="array" ref="AC131">IF(AND(AC$2&lt;&gt;0,TblTech[[#This Row],[Hour]:[Hour]]&gt;=AC$2),1,0)</f>
        <v>0</v>
      </c>
      <c r="AD131" s="304" cm="1">
        <f t="array" ref="AD131">IF(AND(AD$2&lt;&gt;0,TblTech[[#This Row],[Hour]:[Hour]]&gt;=AD$2),1,0)</f>
        <v>0</v>
      </c>
      <c r="AE131" s="304" cm="1">
        <f t="array" ref="AE131">IF(AND(AE$2&lt;&gt;0,TblTech[[#This Row],[Hour]:[Hour]]&gt;=AE$2),1,0)</f>
        <v>0</v>
      </c>
      <c r="AF131" s="304" cm="1">
        <f t="array" ref="AF131">IF(AND(AF$2&lt;&gt;0,TblTech[[#This Row],[Hour]:[Hour]]&gt;=AF$2),1,0)</f>
        <v>0</v>
      </c>
      <c r="AG131" s="304" cm="1">
        <f t="array" ref="AG131">IF(AND(AG$2&lt;&gt;0,TblTech[[#This Row],[Hour]:[Hour]]&gt;=AG$2),1,0)</f>
        <v>0</v>
      </c>
      <c r="AH131" s="304" cm="1">
        <f t="array" ref="AH131">IF(AND(AH$2&lt;&gt;0,TblTech[[#This Row],[Hour]:[Hour]]&gt;=AH$2),1,0)</f>
        <v>0</v>
      </c>
      <c r="AI131" s="304" cm="1">
        <f t="array" ref="AI131">IF(AND(AI$2&lt;&gt;0,TblTech[[#This Row],[Hour]:[Hour]]&gt;=AI$2),1,0)</f>
        <v>0</v>
      </c>
      <c r="AJ131" s="304" cm="1">
        <f t="array" ref="AJ131">IF(AND(AJ$2&lt;&gt;0,TblTech[[#This Row],[Hour]:[Hour]]&gt;=AJ$2),1,0)</f>
        <v>0</v>
      </c>
      <c r="AK131" s="304" cm="1">
        <f t="array" ref="AK131">IF(AND(AK$2&lt;&gt;0,TblTech[[#This Row],[Hour]:[Hour]]&gt;=AK$2),1,0)</f>
        <v>0</v>
      </c>
      <c r="AL131" s="304" cm="1">
        <f t="array" ref="AL131">IF(AND(AL$2&lt;&gt;0,TblTech[[#This Row],[Hour]:[Hour]]&gt;=AL$2),1,0)</f>
        <v>0</v>
      </c>
      <c r="AM131" s="304" cm="1">
        <f t="array" ref="AM131">IF(AND(AM$2&lt;&gt;0,TblTech[[#This Row],[Hour]:[Hour]]&gt;=AM$2),1,0)</f>
        <v>0</v>
      </c>
      <c r="AN131" s="304" cm="1">
        <f t="array" ref="AN131">IF(AND(AN$2&lt;&gt;0,TblTech[[#This Row],[Hour]:[Hour]]&gt;=AN$2),1,0)</f>
        <v>0</v>
      </c>
      <c r="AO131" s="304" cm="1">
        <f t="array" ref="AO131">IF(AND(AO$2&lt;&gt;0,TblTech[[#This Row],[Hour]:[Hour]]&gt;=AO$2),1,0)</f>
        <v>0</v>
      </c>
      <c r="AP131" s="304" cm="1">
        <f t="array" ref="AP131">IF(AND(AP$2&lt;&gt;0,TblTech[[#This Row],[Hour]:[Hour]]&gt;=AP$2),1,0)</f>
        <v>0</v>
      </c>
      <c r="AQ131" s="304" cm="1">
        <f t="array" ref="AQ131">IF(AND(AQ$2&lt;&gt;0,TblTech[[#This Row],[Hour]:[Hour]]&gt;=AQ$2),1,0)</f>
        <v>0</v>
      </c>
      <c r="AR131" s="304" cm="1">
        <f t="array" ref="AR131">IF(AND(AR$2&lt;&gt;0,TblTech[[#This Row],[Hour]:[Hour]]&gt;=AR$2),1,0)</f>
        <v>0</v>
      </c>
      <c r="AS131" s="304" cm="1">
        <f t="array" ref="AS131">IF(AND(AS$2&lt;&gt;0,TblTech[[#This Row],[Hour]:[Hour]]&gt;=AS$2),1,0)</f>
        <v>0</v>
      </c>
      <c r="AT131" s="304" cm="1">
        <f t="array" ref="AT131">IF(AND(AT$2&lt;&gt;0,TblTech[[#This Row],[Hour]:[Hour]]&gt;=AT$2),1,0)</f>
        <v>0</v>
      </c>
      <c r="AU131" s="304" cm="1">
        <f t="array" ref="AU131">IF(AND(AU$2&lt;&gt;0,TblTech[[#This Row],[Hour]:[Hour]]&gt;=AU$2),1,0)</f>
        <v>0</v>
      </c>
      <c r="AV131" s="304" cm="1">
        <f t="array" ref="AV131">IF(AND(AV$2&lt;&gt;0,TblTech[[#This Row],[Hour]:[Hour]]&gt;=AV$2),1,0)</f>
        <v>0</v>
      </c>
      <c r="AW131" s="304" cm="1">
        <f t="array" ref="AW131">IF(AND(AW$2&lt;&gt;0,TblTech[[#This Row],[Hour]:[Hour]]&gt;=AW$2),1,0)</f>
        <v>0</v>
      </c>
      <c r="AX131" s="304" cm="1">
        <f t="array" ref="AX131">IF(AND(AX$2&lt;&gt;0,TblTech[[#This Row],[Hour]:[Hour]]&gt;=AX$2),1,0)</f>
        <v>0</v>
      </c>
      <c r="AY131" s="304" cm="1">
        <f t="array" ref="AY131">IF(AND(AY$2&lt;&gt;0,TblTech[[#This Row],[Hour]:[Hour]]&gt;=AY$2),1,0)</f>
        <v>0</v>
      </c>
      <c r="AZ131" s="304" cm="1">
        <f t="array" ref="AZ131">IF(AND(AZ$2&lt;&gt;0,TblTech[[#This Row],[Hour]:[Hour]]&gt;=AZ$2),1,0)</f>
        <v>0</v>
      </c>
      <c r="BA131" s="304" cm="1">
        <f t="array" ref="BA131">IF(AND(BA$2&lt;&gt;0,TblTech[[#This Row],[Hour]:[Hour]]&gt;=BA$2),1,0)</f>
        <v>0</v>
      </c>
      <c r="BB131" s="304" cm="1">
        <f t="array" ref="BB131">IF(AND(BB$2&lt;&gt;0,TblTech[[#This Row],[Hour]:[Hour]]&gt;=BB$2),1,0)</f>
        <v>0</v>
      </c>
      <c r="BC131" s="304" cm="1">
        <f t="array" ref="BC131">IF(AND(BC$2&lt;&gt;0,TblTech[[#This Row],[Hour]:[Hour]]&gt;=BC$2),1,0)</f>
        <v>0</v>
      </c>
      <c r="BD131" s="304" cm="1">
        <f t="array" ref="BD131">IF(AND(BD$2&lt;&gt;0,TblTech[[#This Row],[Hour]:[Hour]]&gt;=BD$2),1,0)</f>
        <v>0</v>
      </c>
      <c r="BE131" s="304" cm="1">
        <f t="array" ref="BE131">IF(AND(BE$2&lt;&gt;0,TblTech[[#This Row],[Hour]:[Hour]]&gt;=BE$2),1,0)</f>
        <v>0</v>
      </c>
      <c r="BF131" s="304" cm="1">
        <f t="array" ref="BF131">IF(AND(BF$2&lt;&gt;0,TblTech[[#This Row],[Hour]:[Hour]]&gt;=BF$2),1,0)</f>
        <v>0</v>
      </c>
      <c r="BG131" s="304" cm="1">
        <f t="array" ref="BG131">IF(AND(BG$2&lt;&gt;0,TblTech[[#This Row],[Hour]:[Hour]]&gt;=BG$2),1,0)</f>
        <v>0</v>
      </c>
      <c r="BH131" s="304" cm="1">
        <f t="array" ref="BH131">IF(AND(BH$2&lt;&gt;0,TblTech[[#This Row],[Hour]:[Hour]]&gt;=BH$2),1,0)</f>
        <v>0</v>
      </c>
      <c r="BI131" s="304" cm="1">
        <f t="array" ref="BI131">IF(AND(BI$2&lt;&gt;0,TblTech[[#This Row],[Hour]:[Hour]]&gt;=BI$2),1,0)</f>
        <v>0</v>
      </c>
      <c r="BJ131" s="304" cm="1">
        <f t="array" ref="BJ131">IF(AND(BJ$2&lt;&gt;0,TblTech[[#This Row],[Hour]:[Hour]]&gt;=BJ$2),1,0)</f>
        <v>0</v>
      </c>
      <c r="BK131" s="304" cm="1">
        <f t="array" ref="BK131">IF(AND(BK$2&lt;&gt;0,TblTech[[#This Row],[Hour]:[Hour]]&gt;=BK$2),1,0)</f>
        <v>0</v>
      </c>
      <c r="BL131" s="304" cm="1">
        <f t="array" ref="BL131">IF(AND(BL$2&lt;&gt;0,TblTech[[#This Row],[Hour]:[Hour]]&gt;=BL$2),1,0)</f>
        <v>0</v>
      </c>
      <c r="BM131" s="304" cm="1">
        <f t="array" ref="BM131">IF(AND(BM$2&lt;&gt;0,TblTech[[#This Row],[Hour]:[Hour]]&gt;=BM$2),1,0)</f>
        <v>0</v>
      </c>
      <c r="BN131" s="304" cm="1">
        <f t="array" ref="BN131">IF(AND(BN$2&lt;&gt;0,TblTech[[#This Row],[Hour]:[Hour]]&gt;=BN$2),1,0)</f>
        <v>0</v>
      </c>
      <c r="BO131" s="304" cm="1">
        <f t="array" ref="BO131">IF(AND(BO$2&lt;&gt;0,TblTech[[#This Row],[Hour]:[Hour]]&gt;=BO$2),1,0)</f>
        <v>0</v>
      </c>
      <c r="BP131" s="304" cm="1">
        <f t="array" ref="BP131">IF(AND(BP$2&lt;&gt;0,TblTech[[#This Row],[Hour]:[Hour]]&gt;=BP$2),1,0)</f>
        <v>0</v>
      </c>
      <c r="BQ131" s="304" cm="1">
        <f t="array" ref="BQ131">IF(AND(BQ$2&lt;&gt;0,TblTech[[#This Row],[Hour]:[Hour]]&gt;=BQ$2),1,0)</f>
        <v>0</v>
      </c>
      <c r="BR131" s="304" cm="1">
        <f t="array" ref="BR131">IF(AND(BR$2&lt;&gt;0,TblTech[[#This Row],[Hour]:[Hour]]&gt;=BR$2),1,0)</f>
        <v>0</v>
      </c>
      <c r="BS131" s="304" cm="1">
        <f t="array" ref="BS131">IF(AND(BS$2&lt;&gt;0,TblTech[[#This Row],[Hour]:[Hour]]&gt;=BS$2),1,0)</f>
        <v>0</v>
      </c>
      <c r="BT131" s="304" cm="1">
        <f t="array" ref="BT131">IF(AND(BT$2&lt;&gt;0,TblTech[[#This Row],[Hour]:[Hour]]&gt;=BT$2),1,0)</f>
        <v>0</v>
      </c>
      <c r="BU131" s="304" cm="1">
        <f t="array" ref="BU131">IF(AND(BU$2&lt;&gt;0,TblTech[[#This Row],[Hour]:[Hour]]&gt;=BU$2),1,0)</f>
        <v>0</v>
      </c>
      <c r="BV131" s="304" cm="1">
        <f t="array" ref="BV131">IF(AND(BV$2&lt;&gt;0,TblTech[[#This Row],[Hour]:[Hour]]&gt;=BV$2),1,0)</f>
        <v>0</v>
      </c>
      <c r="BW131" s="304" cm="1">
        <f t="array" ref="BW131">IF(AND(BW$2&lt;&gt;0,TblTech[[#This Row],[Hour]:[Hour]]&gt;=BW$2),1,0)</f>
        <v>0</v>
      </c>
      <c r="BX131" s="304" cm="1">
        <f t="array" ref="BX131">IF(AND(BX$2&lt;&gt;0,TblTech[[#This Row],[Hour]:[Hour]]&gt;=BX$2),1,0)</f>
        <v>0</v>
      </c>
      <c r="BY131" s="304" cm="1">
        <f t="array" ref="BY131">IF(AND(BY$2&lt;&gt;0,TblTech[[#This Row],[Hour]:[Hour]]&gt;=BY$2),1,0)</f>
        <v>0</v>
      </c>
      <c r="BZ131" s="304" cm="1">
        <f t="array" ref="BZ131">IF(AND(BZ$2&lt;&gt;0,TblTech[[#This Row],[Hour]:[Hour]]&gt;=BZ$2),1,0)</f>
        <v>0</v>
      </c>
      <c r="CA131" s="408">
        <f>IFERROR(INDEX($H$4:$H$79,MATCH(INDEX(TblTech[[#Headers],[1-1]:[11-1]],1,MATCH(TblTech[[#This Row],[Hour]],$M$2:$BZ$2,0)),$G$4:$G$79,0)),)</f>
        <v>0</v>
      </c>
    </row>
    <row r="132" spans="1:79" x14ac:dyDescent="0.2">
      <c r="A132" s="296">
        <f>TblRezone[[#This Row],[Hour]]</f>
        <v>129</v>
      </c>
      <c r="B132" s="297">
        <f ca="1">TblExplore[[#This Row],[Land-DB]]</f>
        <v>250</v>
      </c>
      <c r="C132" s="298">
        <f ca="1">TblProd[[#This Row],[Techpoints]]</f>
        <v>0</v>
      </c>
      <c r="D132" s="298">
        <f ca="1">TblProd[[#This Row],[Required]]</f>
        <v>3750</v>
      </c>
      <c r="E132" s="307"/>
      <c r="F132" s="308"/>
      <c r="G132" s="301"/>
      <c r="H132" s="302"/>
      <c r="I132" s="302"/>
      <c r="J132" s="302"/>
      <c r="K132" s="96">
        <f ca="1">IF(TblTech[[#This Row],[Sum of tech]]&lt;&gt;OFFSET(TblTech[[#This Row],[Sum of tech]],-1,0),1,0)</f>
        <v>0</v>
      </c>
      <c r="L132" s="303">
        <f>COUNTIF(TblTech[[#This Row],[1-1]:[11-1]],1)</f>
        <v>0</v>
      </c>
      <c r="M132" s="304" cm="1">
        <f t="array" ref="M132">IF(AND(M$2&lt;&gt;0,TblTech[[#This Row],[Hour]:[Hour]]&gt;=M$2),1,0)</f>
        <v>0</v>
      </c>
      <c r="N132" s="304" cm="1">
        <f t="array" ref="N132">IF(AND(N$2&lt;&gt;0,TblTech[[#This Row],[Hour]:[Hour]]&gt;=N$2),1,0)</f>
        <v>0</v>
      </c>
      <c r="O132" s="304" cm="1">
        <f t="array" ref="O132">IF(AND(O$2&lt;&gt;0,TblTech[[#This Row],[Hour]:[Hour]]&gt;=O$2),1,0)</f>
        <v>0</v>
      </c>
      <c r="P132" s="304" cm="1">
        <f t="array" ref="P132">IF(AND(P$2&lt;&gt;0,TblTech[[#This Row],[Hour]:[Hour]]&gt;=P$2),1,0)</f>
        <v>0</v>
      </c>
      <c r="Q132" s="304" cm="1">
        <f t="array" ref="Q132">IF(AND(Q$2&lt;&gt;0,TblTech[[#This Row],[Hour]:[Hour]]&gt;=Q$2),1,0)</f>
        <v>0</v>
      </c>
      <c r="R132" s="304" cm="1">
        <f t="array" ref="R132">IF(AND(R$2&lt;&gt;0,TblTech[[#This Row],[Hour]:[Hour]]&gt;=R$2),1,0)</f>
        <v>0</v>
      </c>
      <c r="S132" s="304" cm="1">
        <f t="array" ref="S132">IF(AND(S$2&lt;&gt;0,TblTech[[#This Row],[Hour]:[Hour]]&gt;=S$2),1,0)</f>
        <v>0</v>
      </c>
      <c r="T132" s="304" cm="1">
        <f t="array" ref="T132">IF(AND(T$2&lt;&gt;0,TblTech[[#This Row],[Hour]:[Hour]]&gt;=T$2),1,0)</f>
        <v>0</v>
      </c>
      <c r="U132" s="304" cm="1">
        <f t="array" ref="U132">IF(AND(U$2&lt;&gt;0,TblTech[[#This Row],[Hour]:[Hour]]&gt;=U$2),1,0)</f>
        <v>0</v>
      </c>
      <c r="V132" s="304" cm="1">
        <f t="array" ref="V132">IF(AND(V$2&lt;&gt;0,TblTech[[#This Row],[Hour]:[Hour]]&gt;=V$2),1,0)</f>
        <v>0</v>
      </c>
      <c r="W132" s="304" cm="1">
        <f t="array" ref="W132">IF(AND(W$2&lt;&gt;0,TblTech[[#This Row],[Hour]:[Hour]]&gt;=W$2),1,0)</f>
        <v>0</v>
      </c>
      <c r="X132" s="304" cm="1">
        <f t="array" ref="X132">IF(AND(X$2&lt;&gt;0,TblTech[[#This Row],[Hour]:[Hour]]&gt;=X$2),1,0)</f>
        <v>0</v>
      </c>
      <c r="Y132" s="304" cm="1">
        <f t="array" ref="Y132">IF(AND(Y$2&lt;&gt;0,TblTech[[#This Row],[Hour]:[Hour]]&gt;=Y$2),1,0)</f>
        <v>0</v>
      </c>
      <c r="Z132" s="304" cm="1">
        <f t="array" ref="Z132">IF(AND(Z$2&lt;&gt;0,TblTech[[#This Row],[Hour]:[Hour]]&gt;=Z$2),1,0)</f>
        <v>0</v>
      </c>
      <c r="AA132" s="304" cm="1">
        <f t="array" ref="AA132">IF(AND(AA$2&lt;&gt;0,TblTech[[#This Row],[Hour]:[Hour]]&gt;=AA$2),1,0)</f>
        <v>0</v>
      </c>
      <c r="AB132" s="304" cm="1">
        <f t="array" ref="AB132">IF(AND(AB$2&lt;&gt;0,TblTech[[#This Row],[Hour]:[Hour]]&gt;=AB$2),1,0)</f>
        <v>0</v>
      </c>
      <c r="AC132" s="304" cm="1">
        <f t="array" ref="AC132">IF(AND(AC$2&lt;&gt;0,TblTech[[#This Row],[Hour]:[Hour]]&gt;=AC$2),1,0)</f>
        <v>0</v>
      </c>
      <c r="AD132" s="304" cm="1">
        <f t="array" ref="AD132">IF(AND(AD$2&lt;&gt;0,TblTech[[#This Row],[Hour]:[Hour]]&gt;=AD$2),1,0)</f>
        <v>0</v>
      </c>
      <c r="AE132" s="304" cm="1">
        <f t="array" ref="AE132">IF(AND(AE$2&lt;&gt;0,TblTech[[#This Row],[Hour]:[Hour]]&gt;=AE$2),1,0)</f>
        <v>0</v>
      </c>
      <c r="AF132" s="304" cm="1">
        <f t="array" ref="AF132">IF(AND(AF$2&lt;&gt;0,TblTech[[#This Row],[Hour]:[Hour]]&gt;=AF$2),1,0)</f>
        <v>0</v>
      </c>
      <c r="AG132" s="304" cm="1">
        <f t="array" ref="AG132">IF(AND(AG$2&lt;&gt;0,TblTech[[#This Row],[Hour]:[Hour]]&gt;=AG$2),1,0)</f>
        <v>0</v>
      </c>
      <c r="AH132" s="304" cm="1">
        <f t="array" ref="AH132">IF(AND(AH$2&lt;&gt;0,TblTech[[#This Row],[Hour]:[Hour]]&gt;=AH$2),1,0)</f>
        <v>0</v>
      </c>
      <c r="AI132" s="304" cm="1">
        <f t="array" ref="AI132">IF(AND(AI$2&lt;&gt;0,TblTech[[#This Row],[Hour]:[Hour]]&gt;=AI$2),1,0)</f>
        <v>0</v>
      </c>
      <c r="AJ132" s="304" cm="1">
        <f t="array" ref="AJ132">IF(AND(AJ$2&lt;&gt;0,TblTech[[#This Row],[Hour]:[Hour]]&gt;=AJ$2),1,0)</f>
        <v>0</v>
      </c>
      <c r="AK132" s="304" cm="1">
        <f t="array" ref="AK132">IF(AND(AK$2&lt;&gt;0,TblTech[[#This Row],[Hour]:[Hour]]&gt;=AK$2),1,0)</f>
        <v>0</v>
      </c>
      <c r="AL132" s="304" cm="1">
        <f t="array" ref="AL132">IF(AND(AL$2&lt;&gt;0,TblTech[[#This Row],[Hour]:[Hour]]&gt;=AL$2),1,0)</f>
        <v>0</v>
      </c>
      <c r="AM132" s="304" cm="1">
        <f t="array" ref="AM132">IF(AND(AM$2&lt;&gt;0,TblTech[[#This Row],[Hour]:[Hour]]&gt;=AM$2),1,0)</f>
        <v>0</v>
      </c>
      <c r="AN132" s="304" cm="1">
        <f t="array" ref="AN132">IF(AND(AN$2&lt;&gt;0,TblTech[[#This Row],[Hour]:[Hour]]&gt;=AN$2),1,0)</f>
        <v>0</v>
      </c>
      <c r="AO132" s="304" cm="1">
        <f t="array" ref="AO132">IF(AND(AO$2&lt;&gt;0,TblTech[[#This Row],[Hour]:[Hour]]&gt;=AO$2),1,0)</f>
        <v>0</v>
      </c>
      <c r="AP132" s="304" cm="1">
        <f t="array" ref="AP132">IF(AND(AP$2&lt;&gt;0,TblTech[[#This Row],[Hour]:[Hour]]&gt;=AP$2),1,0)</f>
        <v>0</v>
      </c>
      <c r="AQ132" s="304" cm="1">
        <f t="array" ref="AQ132">IF(AND(AQ$2&lt;&gt;0,TblTech[[#This Row],[Hour]:[Hour]]&gt;=AQ$2),1,0)</f>
        <v>0</v>
      </c>
      <c r="AR132" s="304" cm="1">
        <f t="array" ref="AR132">IF(AND(AR$2&lt;&gt;0,TblTech[[#This Row],[Hour]:[Hour]]&gt;=AR$2),1,0)</f>
        <v>0</v>
      </c>
      <c r="AS132" s="304" cm="1">
        <f t="array" ref="AS132">IF(AND(AS$2&lt;&gt;0,TblTech[[#This Row],[Hour]:[Hour]]&gt;=AS$2),1,0)</f>
        <v>0</v>
      </c>
      <c r="AT132" s="304" cm="1">
        <f t="array" ref="AT132">IF(AND(AT$2&lt;&gt;0,TblTech[[#This Row],[Hour]:[Hour]]&gt;=AT$2),1,0)</f>
        <v>0</v>
      </c>
      <c r="AU132" s="304" cm="1">
        <f t="array" ref="AU132">IF(AND(AU$2&lt;&gt;0,TblTech[[#This Row],[Hour]:[Hour]]&gt;=AU$2),1,0)</f>
        <v>0</v>
      </c>
      <c r="AV132" s="304" cm="1">
        <f t="array" ref="AV132">IF(AND(AV$2&lt;&gt;0,TblTech[[#This Row],[Hour]:[Hour]]&gt;=AV$2),1,0)</f>
        <v>0</v>
      </c>
      <c r="AW132" s="304" cm="1">
        <f t="array" ref="AW132">IF(AND(AW$2&lt;&gt;0,TblTech[[#This Row],[Hour]:[Hour]]&gt;=AW$2),1,0)</f>
        <v>0</v>
      </c>
      <c r="AX132" s="304" cm="1">
        <f t="array" ref="AX132">IF(AND(AX$2&lt;&gt;0,TblTech[[#This Row],[Hour]:[Hour]]&gt;=AX$2),1,0)</f>
        <v>0</v>
      </c>
      <c r="AY132" s="304" cm="1">
        <f t="array" ref="AY132">IF(AND(AY$2&lt;&gt;0,TblTech[[#This Row],[Hour]:[Hour]]&gt;=AY$2),1,0)</f>
        <v>0</v>
      </c>
      <c r="AZ132" s="304" cm="1">
        <f t="array" ref="AZ132">IF(AND(AZ$2&lt;&gt;0,TblTech[[#This Row],[Hour]:[Hour]]&gt;=AZ$2),1,0)</f>
        <v>0</v>
      </c>
      <c r="BA132" s="304" cm="1">
        <f t="array" ref="BA132">IF(AND(BA$2&lt;&gt;0,TblTech[[#This Row],[Hour]:[Hour]]&gt;=BA$2),1,0)</f>
        <v>0</v>
      </c>
      <c r="BB132" s="304" cm="1">
        <f t="array" ref="BB132">IF(AND(BB$2&lt;&gt;0,TblTech[[#This Row],[Hour]:[Hour]]&gt;=BB$2),1,0)</f>
        <v>0</v>
      </c>
      <c r="BC132" s="304" cm="1">
        <f t="array" ref="BC132">IF(AND(BC$2&lt;&gt;0,TblTech[[#This Row],[Hour]:[Hour]]&gt;=BC$2),1,0)</f>
        <v>0</v>
      </c>
      <c r="BD132" s="304" cm="1">
        <f t="array" ref="BD132">IF(AND(BD$2&lt;&gt;0,TblTech[[#This Row],[Hour]:[Hour]]&gt;=BD$2),1,0)</f>
        <v>0</v>
      </c>
      <c r="BE132" s="304" cm="1">
        <f t="array" ref="BE132">IF(AND(BE$2&lt;&gt;0,TblTech[[#This Row],[Hour]:[Hour]]&gt;=BE$2),1,0)</f>
        <v>0</v>
      </c>
      <c r="BF132" s="304" cm="1">
        <f t="array" ref="BF132">IF(AND(BF$2&lt;&gt;0,TblTech[[#This Row],[Hour]:[Hour]]&gt;=BF$2),1,0)</f>
        <v>0</v>
      </c>
      <c r="BG132" s="304" cm="1">
        <f t="array" ref="BG132">IF(AND(BG$2&lt;&gt;0,TblTech[[#This Row],[Hour]:[Hour]]&gt;=BG$2),1,0)</f>
        <v>0</v>
      </c>
      <c r="BH132" s="304" cm="1">
        <f t="array" ref="BH132">IF(AND(BH$2&lt;&gt;0,TblTech[[#This Row],[Hour]:[Hour]]&gt;=BH$2),1,0)</f>
        <v>0</v>
      </c>
      <c r="BI132" s="304" cm="1">
        <f t="array" ref="BI132">IF(AND(BI$2&lt;&gt;0,TblTech[[#This Row],[Hour]:[Hour]]&gt;=BI$2),1,0)</f>
        <v>0</v>
      </c>
      <c r="BJ132" s="304" cm="1">
        <f t="array" ref="BJ132">IF(AND(BJ$2&lt;&gt;0,TblTech[[#This Row],[Hour]:[Hour]]&gt;=BJ$2),1,0)</f>
        <v>0</v>
      </c>
      <c r="BK132" s="304" cm="1">
        <f t="array" ref="BK132">IF(AND(BK$2&lt;&gt;0,TblTech[[#This Row],[Hour]:[Hour]]&gt;=BK$2),1,0)</f>
        <v>0</v>
      </c>
      <c r="BL132" s="304" cm="1">
        <f t="array" ref="BL132">IF(AND(BL$2&lt;&gt;0,TblTech[[#This Row],[Hour]:[Hour]]&gt;=BL$2),1,0)</f>
        <v>0</v>
      </c>
      <c r="BM132" s="304" cm="1">
        <f t="array" ref="BM132">IF(AND(BM$2&lt;&gt;0,TblTech[[#This Row],[Hour]:[Hour]]&gt;=BM$2),1,0)</f>
        <v>0</v>
      </c>
      <c r="BN132" s="304" cm="1">
        <f t="array" ref="BN132">IF(AND(BN$2&lt;&gt;0,TblTech[[#This Row],[Hour]:[Hour]]&gt;=BN$2),1,0)</f>
        <v>0</v>
      </c>
      <c r="BO132" s="304" cm="1">
        <f t="array" ref="BO132">IF(AND(BO$2&lt;&gt;0,TblTech[[#This Row],[Hour]:[Hour]]&gt;=BO$2),1,0)</f>
        <v>0</v>
      </c>
      <c r="BP132" s="304" cm="1">
        <f t="array" ref="BP132">IF(AND(BP$2&lt;&gt;0,TblTech[[#This Row],[Hour]:[Hour]]&gt;=BP$2),1,0)</f>
        <v>0</v>
      </c>
      <c r="BQ132" s="304" cm="1">
        <f t="array" ref="BQ132">IF(AND(BQ$2&lt;&gt;0,TblTech[[#This Row],[Hour]:[Hour]]&gt;=BQ$2),1,0)</f>
        <v>0</v>
      </c>
      <c r="BR132" s="304" cm="1">
        <f t="array" ref="BR132">IF(AND(BR$2&lt;&gt;0,TblTech[[#This Row],[Hour]:[Hour]]&gt;=BR$2),1,0)</f>
        <v>0</v>
      </c>
      <c r="BS132" s="304" cm="1">
        <f t="array" ref="BS132">IF(AND(BS$2&lt;&gt;0,TblTech[[#This Row],[Hour]:[Hour]]&gt;=BS$2),1,0)</f>
        <v>0</v>
      </c>
      <c r="BT132" s="304" cm="1">
        <f t="array" ref="BT132">IF(AND(BT$2&lt;&gt;0,TblTech[[#This Row],[Hour]:[Hour]]&gt;=BT$2),1,0)</f>
        <v>0</v>
      </c>
      <c r="BU132" s="304" cm="1">
        <f t="array" ref="BU132">IF(AND(BU$2&lt;&gt;0,TblTech[[#This Row],[Hour]:[Hour]]&gt;=BU$2),1,0)</f>
        <v>0</v>
      </c>
      <c r="BV132" s="304" cm="1">
        <f t="array" ref="BV132">IF(AND(BV$2&lt;&gt;0,TblTech[[#This Row],[Hour]:[Hour]]&gt;=BV$2),1,0)</f>
        <v>0</v>
      </c>
      <c r="BW132" s="304" cm="1">
        <f t="array" ref="BW132">IF(AND(BW$2&lt;&gt;0,TblTech[[#This Row],[Hour]:[Hour]]&gt;=BW$2),1,0)</f>
        <v>0</v>
      </c>
      <c r="BX132" s="304" cm="1">
        <f t="array" ref="BX132">IF(AND(BX$2&lt;&gt;0,TblTech[[#This Row],[Hour]:[Hour]]&gt;=BX$2),1,0)</f>
        <v>0</v>
      </c>
      <c r="BY132" s="304" cm="1">
        <f t="array" ref="BY132">IF(AND(BY$2&lt;&gt;0,TblTech[[#This Row],[Hour]:[Hour]]&gt;=BY$2),1,0)</f>
        <v>0</v>
      </c>
      <c r="BZ132" s="304" cm="1">
        <f t="array" ref="BZ132">IF(AND(BZ$2&lt;&gt;0,TblTech[[#This Row],[Hour]:[Hour]]&gt;=BZ$2),1,0)</f>
        <v>0</v>
      </c>
      <c r="CA132" s="408">
        <f>IFERROR(INDEX($H$4:$H$79,MATCH(INDEX(TblTech[[#Headers],[1-1]:[11-1]],1,MATCH(TblTech[[#This Row],[Hour]],$M$2:$BZ$2,0)),$G$4:$G$79,0)),)</f>
        <v>0</v>
      </c>
    </row>
    <row r="133" spans="1:79" x14ac:dyDescent="0.2">
      <c r="A133" s="296">
        <f>TblRezone[[#This Row],[Hour]]</f>
        <v>130</v>
      </c>
      <c r="B133" s="297">
        <f ca="1">TblExplore[[#This Row],[Land-DB]]</f>
        <v>250</v>
      </c>
      <c r="C133" s="298">
        <f ca="1">TblProd[[#This Row],[Techpoints]]</f>
        <v>0</v>
      </c>
      <c r="D133" s="298">
        <f ca="1">TblProd[[#This Row],[Required]]</f>
        <v>3750</v>
      </c>
      <c r="E133" s="307"/>
      <c r="F133" s="308"/>
      <c r="G133" s="301"/>
      <c r="H133" s="302"/>
      <c r="I133" s="302"/>
      <c r="J133" s="302"/>
      <c r="K133" s="96">
        <f ca="1">IF(TblTech[[#This Row],[Sum of tech]]&lt;&gt;OFFSET(TblTech[[#This Row],[Sum of tech]],-1,0),1,0)</f>
        <v>0</v>
      </c>
      <c r="L133" s="303">
        <f>COUNTIF(TblTech[[#This Row],[1-1]:[11-1]],1)</f>
        <v>0</v>
      </c>
      <c r="M133" s="304" cm="1">
        <f t="array" ref="M133">IF(AND(M$2&lt;&gt;0,TblTech[[#This Row],[Hour]:[Hour]]&gt;=M$2),1,0)</f>
        <v>0</v>
      </c>
      <c r="N133" s="304" cm="1">
        <f t="array" ref="N133">IF(AND(N$2&lt;&gt;0,TblTech[[#This Row],[Hour]:[Hour]]&gt;=N$2),1,0)</f>
        <v>0</v>
      </c>
      <c r="O133" s="304" cm="1">
        <f t="array" ref="O133">IF(AND(O$2&lt;&gt;0,TblTech[[#This Row],[Hour]:[Hour]]&gt;=O$2),1,0)</f>
        <v>0</v>
      </c>
      <c r="P133" s="304" cm="1">
        <f t="array" ref="P133">IF(AND(P$2&lt;&gt;0,TblTech[[#This Row],[Hour]:[Hour]]&gt;=P$2),1,0)</f>
        <v>0</v>
      </c>
      <c r="Q133" s="304" cm="1">
        <f t="array" ref="Q133">IF(AND(Q$2&lt;&gt;0,TblTech[[#This Row],[Hour]:[Hour]]&gt;=Q$2),1,0)</f>
        <v>0</v>
      </c>
      <c r="R133" s="304" cm="1">
        <f t="array" ref="R133">IF(AND(R$2&lt;&gt;0,TblTech[[#This Row],[Hour]:[Hour]]&gt;=R$2),1,0)</f>
        <v>0</v>
      </c>
      <c r="S133" s="304" cm="1">
        <f t="array" ref="S133">IF(AND(S$2&lt;&gt;0,TblTech[[#This Row],[Hour]:[Hour]]&gt;=S$2),1,0)</f>
        <v>0</v>
      </c>
      <c r="T133" s="304" cm="1">
        <f t="array" ref="T133">IF(AND(T$2&lt;&gt;0,TblTech[[#This Row],[Hour]:[Hour]]&gt;=T$2),1,0)</f>
        <v>0</v>
      </c>
      <c r="U133" s="304" cm="1">
        <f t="array" ref="U133">IF(AND(U$2&lt;&gt;0,TblTech[[#This Row],[Hour]:[Hour]]&gt;=U$2),1,0)</f>
        <v>0</v>
      </c>
      <c r="V133" s="304" cm="1">
        <f t="array" ref="V133">IF(AND(V$2&lt;&gt;0,TblTech[[#This Row],[Hour]:[Hour]]&gt;=V$2),1,0)</f>
        <v>0</v>
      </c>
      <c r="W133" s="304" cm="1">
        <f t="array" ref="W133">IF(AND(W$2&lt;&gt;0,TblTech[[#This Row],[Hour]:[Hour]]&gt;=W$2),1,0)</f>
        <v>0</v>
      </c>
      <c r="X133" s="304" cm="1">
        <f t="array" ref="X133">IF(AND(X$2&lt;&gt;0,TblTech[[#This Row],[Hour]:[Hour]]&gt;=X$2),1,0)</f>
        <v>0</v>
      </c>
      <c r="Y133" s="304" cm="1">
        <f t="array" ref="Y133">IF(AND(Y$2&lt;&gt;0,TblTech[[#This Row],[Hour]:[Hour]]&gt;=Y$2),1,0)</f>
        <v>0</v>
      </c>
      <c r="Z133" s="304" cm="1">
        <f t="array" ref="Z133">IF(AND(Z$2&lt;&gt;0,TblTech[[#This Row],[Hour]:[Hour]]&gt;=Z$2),1,0)</f>
        <v>0</v>
      </c>
      <c r="AA133" s="304" cm="1">
        <f t="array" ref="AA133">IF(AND(AA$2&lt;&gt;0,TblTech[[#This Row],[Hour]:[Hour]]&gt;=AA$2),1,0)</f>
        <v>0</v>
      </c>
      <c r="AB133" s="304" cm="1">
        <f t="array" ref="AB133">IF(AND(AB$2&lt;&gt;0,TblTech[[#This Row],[Hour]:[Hour]]&gt;=AB$2),1,0)</f>
        <v>0</v>
      </c>
      <c r="AC133" s="304" cm="1">
        <f t="array" ref="AC133">IF(AND(AC$2&lt;&gt;0,TblTech[[#This Row],[Hour]:[Hour]]&gt;=AC$2),1,0)</f>
        <v>0</v>
      </c>
      <c r="AD133" s="304" cm="1">
        <f t="array" ref="AD133">IF(AND(AD$2&lt;&gt;0,TblTech[[#This Row],[Hour]:[Hour]]&gt;=AD$2),1,0)</f>
        <v>0</v>
      </c>
      <c r="AE133" s="304" cm="1">
        <f t="array" ref="AE133">IF(AND(AE$2&lt;&gt;0,TblTech[[#This Row],[Hour]:[Hour]]&gt;=AE$2),1,0)</f>
        <v>0</v>
      </c>
      <c r="AF133" s="304" cm="1">
        <f t="array" ref="AF133">IF(AND(AF$2&lt;&gt;0,TblTech[[#This Row],[Hour]:[Hour]]&gt;=AF$2),1,0)</f>
        <v>0</v>
      </c>
      <c r="AG133" s="304" cm="1">
        <f t="array" ref="AG133">IF(AND(AG$2&lt;&gt;0,TblTech[[#This Row],[Hour]:[Hour]]&gt;=AG$2),1,0)</f>
        <v>0</v>
      </c>
      <c r="AH133" s="304" cm="1">
        <f t="array" ref="AH133">IF(AND(AH$2&lt;&gt;0,TblTech[[#This Row],[Hour]:[Hour]]&gt;=AH$2),1,0)</f>
        <v>0</v>
      </c>
      <c r="AI133" s="304" cm="1">
        <f t="array" ref="AI133">IF(AND(AI$2&lt;&gt;0,TblTech[[#This Row],[Hour]:[Hour]]&gt;=AI$2),1,0)</f>
        <v>0</v>
      </c>
      <c r="AJ133" s="304" cm="1">
        <f t="array" ref="AJ133">IF(AND(AJ$2&lt;&gt;0,TblTech[[#This Row],[Hour]:[Hour]]&gt;=AJ$2),1,0)</f>
        <v>0</v>
      </c>
      <c r="AK133" s="304" cm="1">
        <f t="array" ref="AK133">IF(AND(AK$2&lt;&gt;0,TblTech[[#This Row],[Hour]:[Hour]]&gt;=AK$2),1,0)</f>
        <v>0</v>
      </c>
      <c r="AL133" s="304" cm="1">
        <f t="array" ref="AL133">IF(AND(AL$2&lt;&gt;0,TblTech[[#This Row],[Hour]:[Hour]]&gt;=AL$2),1,0)</f>
        <v>0</v>
      </c>
      <c r="AM133" s="304" cm="1">
        <f t="array" ref="AM133">IF(AND(AM$2&lt;&gt;0,TblTech[[#This Row],[Hour]:[Hour]]&gt;=AM$2),1,0)</f>
        <v>0</v>
      </c>
      <c r="AN133" s="304" cm="1">
        <f t="array" ref="AN133">IF(AND(AN$2&lt;&gt;0,TblTech[[#This Row],[Hour]:[Hour]]&gt;=AN$2),1,0)</f>
        <v>0</v>
      </c>
      <c r="AO133" s="304" cm="1">
        <f t="array" ref="AO133">IF(AND(AO$2&lt;&gt;0,TblTech[[#This Row],[Hour]:[Hour]]&gt;=AO$2),1,0)</f>
        <v>0</v>
      </c>
      <c r="AP133" s="304" cm="1">
        <f t="array" ref="AP133">IF(AND(AP$2&lt;&gt;0,TblTech[[#This Row],[Hour]:[Hour]]&gt;=AP$2),1,0)</f>
        <v>0</v>
      </c>
      <c r="AQ133" s="304" cm="1">
        <f t="array" ref="AQ133">IF(AND(AQ$2&lt;&gt;0,TblTech[[#This Row],[Hour]:[Hour]]&gt;=AQ$2),1,0)</f>
        <v>0</v>
      </c>
      <c r="AR133" s="304" cm="1">
        <f t="array" ref="AR133">IF(AND(AR$2&lt;&gt;0,TblTech[[#This Row],[Hour]:[Hour]]&gt;=AR$2),1,0)</f>
        <v>0</v>
      </c>
      <c r="AS133" s="304" cm="1">
        <f t="array" ref="AS133">IF(AND(AS$2&lt;&gt;0,TblTech[[#This Row],[Hour]:[Hour]]&gt;=AS$2),1,0)</f>
        <v>0</v>
      </c>
      <c r="AT133" s="304" cm="1">
        <f t="array" ref="AT133">IF(AND(AT$2&lt;&gt;0,TblTech[[#This Row],[Hour]:[Hour]]&gt;=AT$2),1,0)</f>
        <v>0</v>
      </c>
      <c r="AU133" s="304" cm="1">
        <f t="array" ref="AU133">IF(AND(AU$2&lt;&gt;0,TblTech[[#This Row],[Hour]:[Hour]]&gt;=AU$2),1,0)</f>
        <v>0</v>
      </c>
      <c r="AV133" s="304" cm="1">
        <f t="array" ref="AV133">IF(AND(AV$2&lt;&gt;0,TblTech[[#This Row],[Hour]:[Hour]]&gt;=AV$2),1,0)</f>
        <v>0</v>
      </c>
      <c r="AW133" s="304" cm="1">
        <f t="array" ref="AW133">IF(AND(AW$2&lt;&gt;0,TblTech[[#This Row],[Hour]:[Hour]]&gt;=AW$2),1,0)</f>
        <v>0</v>
      </c>
      <c r="AX133" s="304" cm="1">
        <f t="array" ref="AX133">IF(AND(AX$2&lt;&gt;0,TblTech[[#This Row],[Hour]:[Hour]]&gt;=AX$2),1,0)</f>
        <v>0</v>
      </c>
      <c r="AY133" s="304" cm="1">
        <f t="array" ref="AY133">IF(AND(AY$2&lt;&gt;0,TblTech[[#This Row],[Hour]:[Hour]]&gt;=AY$2),1,0)</f>
        <v>0</v>
      </c>
      <c r="AZ133" s="304" cm="1">
        <f t="array" ref="AZ133">IF(AND(AZ$2&lt;&gt;0,TblTech[[#This Row],[Hour]:[Hour]]&gt;=AZ$2),1,0)</f>
        <v>0</v>
      </c>
      <c r="BA133" s="304" cm="1">
        <f t="array" ref="BA133">IF(AND(BA$2&lt;&gt;0,TblTech[[#This Row],[Hour]:[Hour]]&gt;=BA$2),1,0)</f>
        <v>0</v>
      </c>
      <c r="BB133" s="304" cm="1">
        <f t="array" ref="BB133">IF(AND(BB$2&lt;&gt;0,TblTech[[#This Row],[Hour]:[Hour]]&gt;=BB$2),1,0)</f>
        <v>0</v>
      </c>
      <c r="BC133" s="304" cm="1">
        <f t="array" ref="BC133">IF(AND(BC$2&lt;&gt;0,TblTech[[#This Row],[Hour]:[Hour]]&gt;=BC$2),1,0)</f>
        <v>0</v>
      </c>
      <c r="BD133" s="304" cm="1">
        <f t="array" ref="BD133">IF(AND(BD$2&lt;&gt;0,TblTech[[#This Row],[Hour]:[Hour]]&gt;=BD$2),1,0)</f>
        <v>0</v>
      </c>
      <c r="BE133" s="304" cm="1">
        <f t="array" ref="BE133">IF(AND(BE$2&lt;&gt;0,TblTech[[#This Row],[Hour]:[Hour]]&gt;=BE$2),1,0)</f>
        <v>0</v>
      </c>
      <c r="BF133" s="304" cm="1">
        <f t="array" ref="BF133">IF(AND(BF$2&lt;&gt;0,TblTech[[#This Row],[Hour]:[Hour]]&gt;=BF$2),1,0)</f>
        <v>0</v>
      </c>
      <c r="BG133" s="304" cm="1">
        <f t="array" ref="BG133">IF(AND(BG$2&lt;&gt;0,TblTech[[#This Row],[Hour]:[Hour]]&gt;=BG$2),1,0)</f>
        <v>0</v>
      </c>
      <c r="BH133" s="304" cm="1">
        <f t="array" ref="BH133">IF(AND(BH$2&lt;&gt;0,TblTech[[#This Row],[Hour]:[Hour]]&gt;=BH$2),1,0)</f>
        <v>0</v>
      </c>
      <c r="BI133" s="304" cm="1">
        <f t="array" ref="BI133">IF(AND(BI$2&lt;&gt;0,TblTech[[#This Row],[Hour]:[Hour]]&gt;=BI$2),1,0)</f>
        <v>0</v>
      </c>
      <c r="BJ133" s="304" cm="1">
        <f t="array" ref="BJ133">IF(AND(BJ$2&lt;&gt;0,TblTech[[#This Row],[Hour]:[Hour]]&gt;=BJ$2),1,0)</f>
        <v>0</v>
      </c>
      <c r="BK133" s="304" cm="1">
        <f t="array" ref="BK133">IF(AND(BK$2&lt;&gt;0,TblTech[[#This Row],[Hour]:[Hour]]&gt;=BK$2),1,0)</f>
        <v>0</v>
      </c>
      <c r="BL133" s="304" cm="1">
        <f t="array" ref="BL133">IF(AND(BL$2&lt;&gt;0,TblTech[[#This Row],[Hour]:[Hour]]&gt;=BL$2),1,0)</f>
        <v>0</v>
      </c>
      <c r="BM133" s="304" cm="1">
        <f t="array" ref="BM133">IF(AND(BM$2&lt;&gt;0,TblTech[[#This Row],[Hour]:[Hour]]&gt;=BM$2),1,0)</f>
        <v>0</v>
      </c>
      <c r="BN133" s="304" cm="1">
        <f t="array" ref="BN133">IF(AND(BN$2&lt;&gt;0,TblTech[[#This Row],[Hour]:[Hour]]&gt;=BN$2),1,0)</f>
        <v>0</v>
      </c>
      <c r="BO133" s="304" cm="1">
        <f t="array" ref="BO133">IF(AND(BO$2&lt;&gt;0,TblTech[[#This Row],[Hour]:[Hour]]&gt;=BO$2),1,0)</f>
        <v>0</v>
      </c>
      <c r="BP133" s="304" cm="1">
        <f t="array" ref="BP133">IF(AND(BP$2&lt;&gt;0,TblTech[[#This Row],[Hour]:[Hour]]&gt;=BP$2),1,0)</f>
        <v>0</v>
      </c>
      <c r="BQ133" s="304" cm="1">
        <f t="array" ref="BQ133">IF(AND(BQ$2&lt;&gt;0,TblTech[[#This Row],[Hour]:[Hour]]&gt;=BQ$2),1,0)</f>
        <v>0</v>
      </c>
      <c r="BR133" s="304" cm="1">
        <f t="array" ref="BR133">IF(AND(BR$2&lt;&gt;0,TblTech[[#This Row],[Hour]:[Hour]]&gt;=BR$2),1,0)</f>
        <v>0</v>
      </c>
      <c r="BS133" s="304" cm="1">
        <f t="array" ref="BS133">IF(AND(BS$2&lt;&gt;0,TblTech[[#This Row],[Hour]:[Hour]]&gt;=BS$2),1,0)</f>
        <v>0</v>
      </c>
      <c r="BT133" s="304" cm="1">
        <f t="array" ref="BT133">IF(AND(BT$2&lt;&gt;0,TblTech[[#This Row],[Hour]:[Hour]]&gt;=BT$2),1,0)</f>
        <v>0</v>
      </c>
      <c r="BU133" s="304" cm="1">
        <f t="array" ref="BU133">IF(AND(BU$2&lt;&gt;0,TblTech[[#This Row],[Hour]:[Hour]]&gt;=BU$2),1,0)</f>
        <v>0</v>
      </c>
      <c r="BV133" s="304" cm="1">
        <f t="array" ref="BV133">IF(AND(BV$2&lt;&gt;0,TblTech[[#This Row],[Hour]:[Hour]]&gt;=BV$2),1,0)</f>
        <v>0</v>
      </c>
      <c r="BW133" s="304" cm="1">
        <f t="array" ref="BW133">IF(AND(BW$2&lt;&gt;0,TblTech[[#This Row],[Hour]:[Hour]]&gt;=BW$2),1,0)</f>
        <v>0</v>
      </c>
      <c r="BX133" s="304" cm="1">
        <f t="array" ref="BX133">IF(AND(BX$2&lt;&gt;0,TblTech[[#This Row],[Hour]:[Hour]]&gt;=BX$2),1,0)</f>
        <v>0</v>
      </c>
      <c r="BY133" s="304" cm="1">
        <f t="array" ref="BY133">IF(AND(BY$2&lt;&gt;0,TblTech[[#This Row],[Hour]:[Hour]]&gt;=BY$2),1,0)</f>
        <v>0</v>
      </c>
      <c r="BZ133" s="304" cm="1">
        <f t="array" ref="BZ133">IF(AND(BZ$2&lt;&gt;0,TblTech[[#This Row],[Hour]:[Hour]]&gt;=BZ$2),1,0)</f>
        <v>0</v>
      </c>
      <c r="CA133" s="408">
        <f>IFERROR(INDEX($H$4:$H$79,MATCH(INDEX(TblTech[[#Headers],[1-1]:[11-1]],1,MATCH(TblTech[[#This Row],[Hour]],$M$2:$BZ$2,0)),$G$4:$G$79,0)),)</f>
        <v>0</v>
      </c>
    </row>
    <row r="134" spans="1:79" x14ac:dyDescent="0.2">
      <c r="A134" s="296">
        <f>TblRezone[[#This Row],[Hour]]</f>
        <v>131</v>
      </c>
      <c r="B134" s="297">
        <f ca="1">TblExplore[[#This Row],[Land-DB]]</f>
        <v>250</v>
      </c>
      <c r="C134" s="298">
        <f ca="1">TblProd[[#This Row],[Techpoints]]</f>
        <v>0</v>
      </c>
      <c r="D134" s="298">
        <f ca="1">TblProd[[#This Row],[Required]]</f>
        <v>3750</v>
      </c>
      <c r="E134" s="307"/>
      <c r="F134" s="308"/>
      <c r="G134" s="301"/>
      <c r="H134" s="302"/>
      <c r="I134" s="302"/>
      <c r="J134" s="302"/>
      <c r="K134" s="96">
        <f ca="1">IF(TblTech[[#This Row],[Sum of tech]]&lt;&gt;OFFSET(TblTech[[#This Row],[Sum of tech]],-1,0),1,0)</f>
        <v>0</v>
      </c>
      <c r="L134" s="303">
        <f>COUNTIF(TblTech[[#This Row],[1-1]:[11-1]],1)</f>
        <v>0</v>
      </c>
      <c r="M134" s="304" cm="1">
        <f t="array" ref="M134">IF(AND(M$2&lt;&gt;0,TblTech[[#This Row],[Hour]:[Hour]]&gt;=M$2),1,0)</f>
        <v>0</v>
      </c>
      <c r="N134" s="304" cm="1">
        <f t="array" ref="N134">IF(AND(N$2&lt;&gt;0,TblTech[[#This Row],[Hour]:[Hour]]&gt;=N$2),1,0)</f>
        <v>0</v>
      </c>
      <c r="O134" s="304" cm="1">
        <f t="array" ref="O134">IF(AND(O$2&lt;&gt;0,TblTech[[#This Row],[Hour]:[Hour]]&gt;=O$2),1,0)</f>
        <v>0</v>
      </c>
      <c r="P134" s="304" cm="1">
        <f t="array" ref="P134">IF(AND(P$2&lt;&gt;0,TblTech[[#This Row],[Hour]:[Hour]]&gt;=P$2),1,0)</f>
        <v>0</v>
      </c>
      <c r="Q134" s="304" cm="1">
        <f t="array" ref="Q134">IF(AND(Q$2&lt;&gt;0,TblTech[[#This Row],[Hour]:[Hour]]&gt;=Q$2),1,0)</f>
        <v>0</v>
      </c>
      <c r="R134" s="304" cm="1">
        <f t="array" ref="R134">IF(AND(R$2&lt;&gt;0,TblTech[[#This Row],[Hour]:[Hour]]&gt;=R$2),1,0)</f>
        <v>0</v>
      </c>
      <c r="S134" s="304" cm="1">
        <f t="array" ref="S134">IF(AND(S$2&lt;&gt;0,TblTech[[#This Row],[Hour]:[Hour]]&gt;=S$2),1,0)</f>
        <v>0</v>
      </c>
      <c r="T134" s="304" cm="1">
        <f t="array" ref="T134">IF(AND(T$2&lt;&gt;0,TblTech[[#This Row],[Hour]:[Hour]]&gt;=T$2),1,0)</f>
        <v>0</v>
      </c>
      <c r="U134" s="304" cm="1">
        <f t="array" ref="U134">IF(AND(U$2&lt;&gt;0,TblTech[[#This Row],[Hour]:[Hour]]&gt;=U$2),1,0)</f>
        <v>0</v>
      </c>
      <c r="V134" s="304" cm="1">
        <f t="array" ref="V134">IF(AND(V$2&lt;&gt;0,TblTech[[#This Row],[Hour]:[Hour]]&gt;=V$2),1,0)</f>
        <v>0</v>
      </c>
      <c r="W134" s="304" cm="1">
        <f t="array" ref="W134">IF(AND(W$2&lt;&gt;0,TblTech[[#This Row],[Hour]:[Hour]]&gt;=W$2),1,0)</f>
        <v>0</v>
      </c>
      <c r="X134" s="304" cm="1">
        <f t="array" ref="X134">IF(AND(X$2&lt;&gt;0,TblTech[[#This Row],[Hour]:[Hour]]&gt;=X$2),1,0)</f>
        <v>0</v>
      </c>
      <c r="Y134" s="304" cm="1">
        <f t="array" ref="Y134">IF(AND(Y$2&lt;&gt;0,TblTech[[#This Row],[Hour]:[Hour]]&gt;=Y$2),1,0)</f>
        <v>0</v>
      </c>
      <c r="Z134" s="304" cm="1">
        <f t="array" ref="Z134">IF(AND(Z$2&lt;&gt;0,TblTech[[#This Row],[Hour]:[Hour]]&gt;=Z$2),1,0)</f>
        <v>0</v>
      </c>
      <c r="AA134" s="304" cm="1">
        <f t="array" ref="AA134">IF(AND(AA$2&lt;&gt;0,TblTech[[#This Row],[Hour]:[Hour]]&gt;=AA$2),1,0)</f>
        <v>0</v>
      </c>
      <c r="AB134" s="304" cm="1">
        <f t="array" ref="AB134">IF(AND(AB$2&lt;&gt;0,TblTech[[#This Row],[Hour]:[Hour]]&gt;=AB$2),1,0)</f>
        <v>0</v>
      </c>
      <c r="AC134" s="304" cm="1">
        <f t="array" ref="AC134">IF(AND(AC$2&lt;&gt;0,TblTech[[#This Row],[Hour]:[Hour]]&gt;=AC$2),1,0)</f>
        <v>0</v>
      </c>
      <c r="AD134" s="304" cm="1">
        <f t="array" ref="AD134">IF(AND(AD$2&lt;&gt;0,TblTech[[#This Row],[Hour]:[Hour]]&gt;=AD$2),1,0)</f>
        <v>0</v>
      </c>
      <c r="AE134" s="304" cm="1">
        <f t="array" ref="AE134">IF(AND(AE$2&lt;&gt;0,TblTech[[#This Row],[Hour]:[Hour]]&gt;=AE$2),1,0)</f>
        <v>0</v>
      </c>
      <c r="AF134" s="304" cm="1">
        <f t="array" ref="AF134">IF(AND(AF$2&lt;&gt;0,TblTech[[#This Row],[Hour]:[Hour]]&gt;=AF$2),1,0)</f>
        <v>0</v>
      </c>
      <c r="AG134" s="304" cm="1">
        <f t="array" ref="AG134">IF(AND(AG$2&lt;&gt;0,TblTech[[#This Row],[Hour]:[Hour]]&gt;=AG$2),1,0)</f>
        <v>0</v>
      </c>
      <c r="AH134" s="304" cm="1">
        <f t="array" ref="AH134">IF(AND(AH$2&lt;&gt;0,TblTech[[#This Row],[Hour]:[Hour]]&gt;=AH$2),1,0)</f>
        <v>0</v>
      </c>
      <c r="AI134" s="304" cm="1">
        <f t="array" ref="AI134">IF(AND(AI$2&lt;&gt;0,TblTech[[#This Row],[Hour]:[Hour]]&gt;=AI$2),1,0)</f>
        <v>0</v>
      </c>
      <c r="AJ134" s="304" cm="1">
        <f t="array" ref="AJ134">IF(AND(AJ$2&lt;&gt;0,TblTech[[#This Row],[Hour]:[Hour]]&gt;=AJ$2),1,0)</f>
        <v>0</v>
      </c>
      <c r="AK134" s="304" cm="1">
        <f t="array" ref="AK134">IF(AND(AK$2&lt;&gt;0,TblTech[[#This Row],[Hour]:[Hour]]&gt;=AK$2),1,0)</f>
        <v>0</v>
      </c>
      <c r="AL134" s="304" cm="1">
        <f t="array" ref="AL134">IF(AND(AL$2&lt;&gt;0,TblTech[[#This Row],[Hour]:[Hour]]&gt;=AL$2),1,0)</f>
        <v>0</v>
      </c>
      <c r="AM134" s="304" cm="1">
        <f t="array" ref="AM134">IF(AND(AM$2&lt;&gt;0,TblTech[[#This Row],[Hour]:[Hour]]&gt;=AM$2),1,0)</f>
        <v>0</v>
      </c>
      <c r="AN134" s="304" cm="1">
        <f t="array" ref="AN134">IF(AND(AN$2&lt;&gt;0,TblTech[[#This Row],[Hour]:[Hour]]&gt;=AN$2),1,0)</f>
        <v>0</v>
      </c>
      <c r="AO134" s="304" cm="1">
        <f t="array" ref="AO134">IF(AND(AO$2&lt;&gt;0,TblTech[[#This Row],[Hour]:[Hour]]&gt;=AO$2),1,0)</f>
        <v>0</v>
      </c>
      <c r="AP134" s="304" cm="1">
        <f t="array" ref="AP134">IF(AND(AP$2&lt;&gt;0,TblTech[[#This Row],[Hour]:[Hour]]&gt;=AP$2),1,0)</f>
        <v>0</v>
      </c>
      <c r="AQ134" s="304" cm="1">
        <f t="array" ref="AQ134">IF(AND(AQ$2&lt;&gt;0,TblTech[[#This Row],[Hour]:[Hour]]&gt;=AQ$2),1,0)</f>
        <v>0</v>
      </c>
      <c r="AR134" s="304" cm="1">
        <f t="array" ref="AR134">IF(AND(AR$2&lt;&gt;0,TblTech[[#This Row],[Hour]:[Hour]]&gt;=AR$2),1,0)</f>
        <v>0</v>
      </c>
      <c r="AS134" s="304" cm="1">
        <f t="array" ref="AS134">IF(AND(AS$2&lt;&gt;0,TblTech[[#This Row],[Hour]:[Hour]]&gt;=AS$2),1,0)</f>
        <v>0</v>
      </c>
      <c r="AT134" s="304" cm="1">
        <f t="array" ref="AT134">IF(AND(AT$2&lt;&gt;0,TblTech[[#This Row],[Hour]:[Hour]]&gt;=AT$2),1,0)</f>
        <v>0</v>
      </c>
      <c r="AU134" s="304" cm="1">
        <f t="array" ref="AU134">IF(AND(AU$2&lt;&gt;0,TblTech[[#This Row],[Hour]:[Hour]]&gt;=AU$2),1,0)</f>
        <v>0</v>
      </c>
      <c r="AV134" s="304" cm="1">
        <f t="array" ref="AV134">IF(AND(AV$2&lt;&gt;0,TblTech[[#This Row],[Hour]:[Hour]]&gt;=AV$2),1,0)</f>
        <v>0</v>
      </c>
      <c r="AW134" s="304" cm="1">
        <f t="array" ref="AW134">IF(AND(AW$2&lt;&gt;0,TblTech[[#This Row],[Hour]:[Hour]]&gt;=AW$2),1,0)</f>
        <v>0</v>
      </c>
      <c r="AX134" s="304" cm="1">
        <f t="array" ref="AX134">IF(AND(AX$2&lt;&gt;0,TblTech[[#This Row],[Hour]:[Hour]]&gt;=AX$2),1,0)</f>
        <v>0</v>
      </c>
      <c r="AY134" s="304" cm="1">
        <f t="array" ref="AY134">IF(AND(AY$2&lt;&gt;0,TblTech[[#This Row],[Hour]:[Hour]]&gt;=AY$2),1,0)</f>
        <v>0</v>
      </c>
      <c r="AZ134" s="304" cm="1">
        <f t="array" ref="AZ134">IF(AND(AZ$2&lt;&gt;0,TblTech[[#This Row],[Hour]:[Hour]]&gt;=AZ$2),1,0)</f>
        <v>0</v>
      </c>
      <c r="BA134" s="304" cm="1">
        <f t="array" ref="BA134">IF(AND(BA$2&lt;&gt;0,TblTech[[#This Row],[Hour]:[Hour]]&gt;=BA$2),1,0)</f>
        <v>0</v>
      </c>
      <c r="BB134" s="304" cm="1">
        <f t="array" ref="BB134">IF(AND(BB$2&lt;&gt;0,TblTech[[#This Row],[Hour]:[Hour]]&gt;=BB$2),1,0)</f>
        <v>0</v>
      </c>
      <c r="BC134" s="304" cm="1">
        <f t="array" ref="BC134">IF(AND(BC$2&lt;&gt;0,TblTech[[#This Row],[Hour]:[Hour]]&gt;=BC$2),1,0)</f>
        <v>0</v>
      </c>
      <c r="BD134" s="304" cm="1">
        <f t="array" ref="BD134">IF(AND(BD$2&lt;&gt;0,TblTech[[#This Row],[Hour]:[Hour]]&gt;=BD$2),1,0)</f>
        <v>0</v>
      </c>
      <c r="BE134" s="304" cm="1">
        <f t="array" ref="BE134">IF(AND(BE$2&lt;&gt;0,TblTech[[#This Row],[Hour]:[Hour]]&gt;=BE$2),1,0)</f>
        <v>0</v>
      </c>
      <c r="BF134" s="304" cm="1">
        <f t="array" ref="BF134">IF(AND(BF$2&lt;&gt;0,TblTech[[#This Row],[Hour]:[Hour]]&gt;=BF$2),1,0)</f>
        <v>0</v>
      </c>
      <c r="BG134" s="304" cm="1">
        <f t="array" ref="BG134">IF(AND(BG$2&lt;&gt;0,TblTech[[#This Row],[Hour]:[Hour]]&gt;=BG$2),1,0)</f>
        <v>0</v>
      </c>
      <c r="BH134" s="304" cm="1">
        <f t="array" ref="BH134">IF(AND(BH$2&lt;&gt;0,TblTech[[#This Row],[Hour]:[Hour]]&gt;=BH$2),1,0)</f>
        <v>0</v>
      </c>
      <c r="BI134" s="304" cm="1">
        <f t="array" ref="BI134">IF(AND(BI$2&lt;&gt;0,TblTech[[#This Row],[Hour]:[Hour]]&gt;=BI$2),1,0)</f>
        <v>0</v>
      </c>
      <c r="BJ134" s="304" cm="1">
        <f t="array" ref="BJ134">IF(AND(BJ$2&lt;&gt;0,TblTech[[#This Row],[Hour]:[Hour]]&gt;=BJ$2),1,0)</f>
        <v>0</v>
      </c>
      <c r="BK134" s="304" cm="1">
        <f t="array" ref="BK134">IF(AND(BK$2&lt;&gt;0,TblTech[[#This Row],[Hour]:[Hour]]&gt;=BK$2),1,0)</f>
        <v>0</v>
      </c>
      <c r="BL134" s="304" cm="1">
        <f t="array" ref="BL134">IF(AND(BL$2&lt;&gt;0,TblTech[[#This Row],[Hour]:[Hour]]&gt;=BL$2),1,0)</f>
        <v>0</v>
      </c>
      <c r="BM134" s="304" cm="1">
        <f t="array" ref="BM134">IF(AND(BM$2&lt;&gt;0,TblTech[[#This Row],[Hour]:[Hour]]&gt;=BM$2),1,0)</f>
        <v>0</v>
      </c>
      <c r="BN134" s="304" cm="1">
        <f t="array" ref="BN134">IF(AND(BN$2&lt;&gt;0,TblTech[[#This Row],[Hour]:[Hour]]&gt;=BN$2),1,0)</f>
        <v>0</v>
      </c>
      <c r="BO134" s="304" cm="1">
        <f t="array" ref="BO134">IF(AND(BO$2&lt;&gt;0,TblTech[[#This Row],[Hour]:[Hour]]&gt;=BO$2),1,0)</f>
        <v>0</v>
      </c>
      <c r="BP134" s="304" cm="1">
        <f t="array" ref="BP134">IF(AND(BP$2&lt;&gt;0,TblTech[[#This Row],[Hour]:[Hour]]&gt;=BP$2),1,0)</f>
        <v>0</v>
      </c>
      <c r="BQ134" s="304" cm="1">
        <f t="array" ref="BQ134">IF(AND(BQ$2&lt;&gt;0,TblTech[[#This Row],[Hour]:[Hour]]&gt;=BQ$2),1,0)</f>
        <v>0</v>
      </c>
      <c r="BR134" s="304" cm="1">
        <f t="array" ref="BR134">IF(AND(BR$2&lt;&gt;0,TblTech[[#This Row],[Hour]:[Hour]]&gt;=BR$2),1,0)</f>
        <v>0</v>
      </c>
      <c r="BS134" s="304" cm="1">
        <f t="array" ref="BS134">IF(AND(BS$2&lt;&gt;0,TblTech[[#This Row],[Hour]:[Hour]]&gt;=BS$2),1,0)</f>
        <v>0</v>
      </c>
      <c r="BT134" s="304" cm="1">
        <f t="array" ref="BT134">IF(AND(BT$2&lt;&gt;0,TblTech[[#This Row],[Hour]:[Hour]]&gt;=BT$2),1,0)</f>
        <v>0</v>
      </c>
      <c r="BU134" s="304" cm="1">
        <f t="array" ref="BU134">IF(AND(BU$2&lt;&gt;0,TblTech[[#This Row],[Hour]:[Hour]]&gt;=BU$2),1,0)</f>
        <v>0</v>
      </c>
      <c r="BV134" s="304" cm="1">
        <f t="array" ref="BV134">IF(AND(BV$2&lt;&gt;0,TblTech[[#This Row],[Hour]:[Hour]]&gt;=BV$2),1,0)</f>
        <v>0</v>
      </c>
      <c r="BW134" s="304" cm="1">
        <f t="array" ref="BW134">IF(AND(BW$2&lt;&gt;0,TblTech[[#This Row],[Hour]:[Hour]]&gt;=BW$2),1,0)</f>
        <v>0</v>
      </c>
      <c r="BX134" s="304" cm="1">
        <f t="array" ref="BX134">IF(AND(BX$2&lt;&gt;0,TblTech[[#This Row],[Hour]:[Hour]]&gt;=BX$2),1,0)</f>
        <v>0</v>
      </c>
      <c r="BY134" s="304" cm="1">
        <f t="array" ref="BY134">IF(AND(BY$2&lt;&gt;0,TblTech[[#This Row],[Hour]:[Hour]]&gt;=BY$2),1,0)</f>
        <v>0</v>
      </c>
      <c r="BZ134" s="304" cm="1">
        <f t="array" ref="BZ134">IF(AND(BZ$2&lt;&gt;0,TblTech[[#This Row],[Hour]:[Hour]]&gt;=BZ$2),1,0)</f>
        <v>0</v>
      </c>
      <c r="CA134" s="408">
        <f>IFERROR(INDEX($H$4:$H$79,MATCH(INDEX(TblTech[[#Headers],[1-1]:[11-1]],1,MATCH(TblTech[[#This Row],[Hour]],$M$2:$BZ$2,0)),$G$4:$G$79,0)),)</f>
        <v>0</v>
      </c>
    </row>
    <row r="135" spans="1:79" x14ac:dyDescent="0.2">
      <c r="A135" s="296">
        <f>TblRezone[[#This Row],[Hour]]</f>
        <v>132</v>
      </c>
      <c r="B135" s="297">
        <f ca="1">TblExplore[[#This Row],[Land-DB]]</f>
        <v>250</v>
      </c>
      <c r="C135" s="298">
        <f ca="1">TblProd[[#This Row],[Techpoints]]</f>
        <v>0</v>
      </c>
      <c r="D135" s="298">
        <f ca="1">TblProd[[#This Row],[Required]]</f>
        <v>3750</v>
      </c>
      <c r="E135" s="307"/>
      <c r="F135" s="308"/>
      <c r="G135" s="301"/>
      <c r="H135" s="302"/>
      <c r="I135" s="302"/>
      <c r="J135" s="302"/>
      <c r="K135" s="96">
        <f ca="1">IF(TblTech[[#This Row],[Sum of tech]]&lt;&gt;OFFSET(TblTech[[#This Row],[Sum of tech]],-1,0),1,0)</f>
        <v>0</v>
      </c>
      <c r="L135" s="303">
        <f>COUNTIF(TblTech[[#This Row],[1-1]:[11-1]],1)</f>
        <v>0</v>
      </c>
      <c r="M135" s="304" cm="1">
        <f t="array" ref="M135">IF(AND(M$2&lt;&gt;0,TblTech[[#This Row],[Hour]:[Hour]]&gt;=M$2),1,0)</f>
        <v>0</v>
      </c>
      <c r="N135" s="304" cm="1">
        <f t="array" ref="N135">IF(AND(N$2&lt;&gt;0,TblTech[[#This Row],[Hour]:[Hour]]&gt;=N$2),1,0)</f>
        <v>0</v>
      </c>
      <c r="O135" s="304" cm="1">
        <f t="array" ref="O135">IF(AND(O$2&lt;&gt;0,TblTech[[#This Row],[Hour]:[Hour]]&gt;=O$2),1,0)</f>
        <v>0</v>
      </c>
      <c r="P135" s="304" cm="1">
        <f t="array" ref="P135">IF(AND(P$2&lt;&gt;0,TblTech[[#This Row],[Hour]:[Hour]]&gt;=P$2),1,0)</f>
        <v>0</v>
      </c>
      <c r="Q135" s="304" cm="1">
        <f t="array" ref="Q135">IF(AND(Q$2&lt;&gt;0,TblTech[[#This Row],[Hour]:[Hour]]&gt;=Q$2),1,0)</f>
        <v>0</v>
      </c>
      <c r="R135" s="304" cm="1">
        <f t="array" ref="R135">IF(AND(R$2&lt;&gt;0,TblTech[[#This Row],[Hour]:[Hour]]&gt;=R$2),1,0)</f>
        <v>0</v>
      </c>
      <c r="S135" s="304" cm="1">
        <f t="array" ref="S135">IF(AND(S$2&lt;&gt;0,TblTech[[#This Row],[Hour]:[Hour]]&gt;=S$2),1,0)</f>
        <v>0</v>
      </c>
      <c r="T135" s="304" cm="1">
        <f t="array" ref="T135">IF(AND(T$2&lt;&gt;0,TblTech[[#This Row],[Hour]:[Hour]]&gt;=T$2),1,0)</f>
        <v>0</v>
      </c>
      <c r="U135" s="304" cm="1">
        <f t="array" ref="U135">IF(AND(U$2&lt;&gt;0,TblTech[[#This Row],[Hour]:[Hour]]&gt;=U$2),1,0)</f>
        <v>0</v>
      </c>
      <c r="V135" s="304" cm="1">
        <f t="array" ref="V135">IF(AND(V$2&lt;&gt;0,TblTech[[#This Row],[Hour]:[Hour]]&gt;=V$2),1,0)</f>
        <v>0</v>
      </c>
      <c r="W135" s="304" cm="1">
        <f t="array" ref="W135">IF(AND(W$2&lt;&gt;0,TblTech[[#This Row],[Hour]:[Hour]]&gt;=W$2),1,0)</f>
        <v>0</v>
      </c>
      <c r="X135" s="304" cm="1">
        <f t="array" ref="X135">IF(AND(X$2&lt;&gt;0,TblTech[[#This Row],[Hour]:[Hour]]&gt;=X$2),1,0)</f>
        <v>0</v>
      </c>
      <c r="Y135" s="304" cm="1">
        <f t="array" ref="Y135">IF(AND(Y$2&lt;&gt;0,TblTech[[#This Row],[Hour]:[Hour]]&gt;=Y$2),1,0)</f>
        <v>0</v>
      </c>
      <c r="Z135" s="304" cm="1">
        <f t="array" ref="Z135">IF(AND(Z$2&lt;&gt;0,TblTech[[#This Row],[Hour]:[Hour]]&gt;=Z$2),1,0)</f>
        <v>0</v>
      </c>
      <c r="AA135" s="304" cm="1">
        <f t="array" ref="AA135">IF(AND(AA$2&lt;&gt;0,TblTech[[#This Row],[Hour]:[Hour]]&gt;=AA$2),1,0)</f>
        <v>0</v>
      </c>
      <c r="AB135" s="304" cm="1">
        <f t="array" ref="AB135">IF(AND(AB$2&lt;&gt;0,TblTech[[#This Row],[Hour]:[Hour]]&gt;=AB$2),1,0)</f>
        <v>0</v>
      </c>
      <c r="AC135" s="304" cm="1">
        <f t="array" ref="AC135">IF(AND(AC$2&lt;&gt;0,TblTech[[#This Row],[Hour]:[Hour]]&gt;=AC$2),1,0)</f>
        <v>0</v>
      </c>
      <c r="AD135" s="304" cm="1">
        <f t="array" ref="AD135">IF(AND(AD$2&lt;&gt;0,TblTech[[#This Row],[Hour]:[Hour]]&gt;=AD$2),1,0)</f>
        <v>0</v>
      </c>
      <c r="AE135" s="304" cm="1">
        <f t="array" ref="AE135">IF(AND(AE$2&lt;&gt;0,TblTech[[#This Row],[Hour]:[Hour]]&gt;=AE$2),1,0)</f>
        <v>0</v>
      </c>
      <c r="AF135" s="304" cm="1">
        <f t="array" ref="AF135">IF(AND(AF$2&lt;&gt;0,TblTech[[#This Row],[Hour]:[Hour]]&gt;=AF$2),1,0)</f>
        <v>0</v>
      </c>
      <c r="AG135" s="304" cm="1">
        <f t="array" ref="AG135">IF(AND(AG$2&lt;&gt;0,TblTech[[#This Row],[Hour]:[Hour]]&gt;=AG$2),1,0)</f>
        <v>0</v>
      </c>
      <c r="AH135" s="304" cm="1">
        <f t="array" ref="AH135">IF(AND(AH$2&lt;&gt;0,TblTech[[#This Row],[Hour]:[Hour]]&gt;=AH$2),1,0)</f>
        <v>0</v>
      </c>
      <c r="AI135" s="304" cm="1">
        <f t="array" ref="AI135">IF(AND(AI$2&lt;&gt;0,TblTech[[#This Row],[Hour]:[Hour]]&gt;=AI$2),1,0)</f>
        <v>0</v>
      </c>
      <c r="AJ135" s="304" cm="1">
        <f t="array" ref="AJ135">IF(AND(AJ$2&lt;&gt;0,TblTech[[#This Row],[Hour]:[Hour]]&gt;=AJ$2),1,0)</f>
        <v>0</v>
      </c>
      <c r="AK135" s="304" cm="1">
        <f t="array" ref="AK135">IF(AND(AK$2&lt;&gt;0,TblTech[[#This Row],[Hour]:[Hour]]&gt;=AK$2),1,0)</f>
        <v>0</v>
      </c>
      <c r="AL135" s="304" cm="1">
        <f t="array" ref="AL135">IF(AND(AL$2&lt;&gt;0,TblTech[[#This Row],[Hour]:[Hour]]&gt;=AL$2),1,0)</f>
        <v>0</v>
      </c>
      <c r="AM135" s="304" cm="1">
        <f t="array" ref="AM135">IF(AND(AM$2&lt;&gt;0,TblTech[[#This Row],[Hour]:[Hour]]&gt;=AM$2),1,0)</f>
        <v>0</v>
      </c>
      <c r="AN135" s="304" cm="1">
        <f t="array" ref="AN135">IF(AND(AN$2&lt;&gt;0,TblTech[[#This Row],[Hour]:[Hour]]&gt;=AN$2),1,0)</f>
        <v>0</v>
      </c>
      <c r="AO135" s="304" cm="1">
        <f t="array" ref="AO135">IF(AND(AO$2&lt;&gt;0,TblTech[[#This Row],[Hour]:[Hour]]&gt;=AO$2),1,0)</f>
        <v>0</v>
      </c>
      <c r="AP135" s="304" cm="1">
        <f t="array" ref="AP135">IF(AND(AP$2&lt;&gt;0,TblTech[[#This Row],[Hour]:[Hour]]&gt;=AP$2),1,0)</f>
        <v>0</v>
      </c>
      <c r="AQ135" s="304" cm="1">
        <f t="array" ref="AQ135">IF(AND(AQ$2&lt;&gt;0,TblTech[[#This Row],[Hour]:[Hour]]&gt;=AQ$2),1,0)</f>
        <v>0</v>
      </c>
      <c r="AR135" s="304" cm="1">
        <f t="array" ref="AR135">IF(AND(AR$2&lt;&gt;0,TblTech[[#This Row],[Hour]:[Hour]]&gt;=AR$2),1,0)</f>
        <v>0</v>
      </c>
      <c r="AS135" s="304" cm="1">
        <f t="array" ref="AS135">IF(AND(AS$2&lt;&gt;0,TblTech[[#This Row],[Hour]:[Hour]]&gt;=AS$2),1,0)</f>
        <v>0</v>
      </c>
      <c r="AT135" s="304" cm="1">
        <f t="array" ref="AT135">IF(AND(AT$2&lt;&gt;0,TblTech[[#This Row],[Hour]:[Hour]]&gt;=AT$2),1,0)</f>
        <v>0</v>
      </c>
      <c r="AU135" s="304" cm="1">
        <f t="array" ref="AU135">IF(AND(AU$2&lt;&gt;0,TblTech[[#This Row],[Hour]:[Hour]]&gt;=AU$2),1,0)</f>
        <v>0</v>
      </c>
      <c r="AV135" s="304" cm="1">
        <f t="array" ref="AV135">IF(AND(AV$2&lt;&gt;0,TblTech[[#This Row],[Hour]:[Hour]]&gt;=AV$2),1,0)</f>
        <v>0</v>
      </c>
      <c r="AW135" s="304" cm="1">
        <f t="array" ref="AW135">IF(AND(AW$2&lt;&gt;0,TblTech[[#This Row],[Hour]:[Hour]]&gt;=AW$2),1,0)</f>
        <v>0</v>
      </c>
      <c r="AX135" s="304" cm="1">
        <f t="array" ref="AX135">IF(AND(AX$2&lt;&gt;0,TblTech[[#This Row],[Hour]:[Hour]]&gt;=AX$2),1,0)</f>
        <v>0</v>
      </c>
      <c r="AY135" s="304" cm="1">
        <f t="array" ref="AY135">IF(AND(AY$2&lt;&gt;0,TblTech[[#This Row],[Hour]:[Hour]]&gt;=AY$2),1,0)</f>
        <v>0</v>
      </c>
      <c r="AZ135" s="304" cm="1">
        <f t="array" ref="AZ135">IF(AND(AZ$2&lt;&gt;0,TblTech[[#This Row],[Hour]:[Hour]]&gt;=AZ$2),1,0)</f>
        <v>0</v>
      </c>
      <c r="BA135" s="304" cm="1">
        <f t="array" ref="BA135">IF(AND(BA$2&lt;&gt;0,TblTech[[#This Row],[Hour]:[Hour]]&gt;=BA$2),1,0)</f>
        <v>0</v>
      </c>
      <c r="BB135" s="304" cm="1">
        <f t="array" ref="BB135">IF(AND(BB$2&lt;&gt;0,TblTech[[#This Row],[Hour]:[Hour]]&gt;=BB$2),1,0)</f>
        <v>0</v>
      </c>
      <c r="BC135" s="304" cm="1">
        <f t="array" ref="BC135">IF(AND(BC$2&lt;&gt;0,TblTech[[#This Row],[Hour]:[Hour]]&gt;=BC$2),1,0)</f>
        <v>0</v>
      </c>
      <c r="BD135" s="304" cm="1">
        <f t="array" ref="BD135">IF(AND(BD$2&lt;&gt;0,TblTech[[#This Row],[Hour]:[Hour]]&gt;=BD$2),1,0)</f>
        <v>0</v>
      </c>
      <c r="BE135" s="304" cm="1">
        <f t="array" ref="BE135">IF(AND(BE$2&lt;&gt;0,TblTech[[#This Row],[Hour]:[Hour]]&gt;=BE$2),1,0)</f>
        <v>0</v>
      </c>
      <c r="BF135" s="304" cm="1">
        <f t="array" ref="BF135">IF(AND(BF$2&lt;&gt;0,TblTech[[#This Row],[Hour]:[Hour]]&gt;=BF$2),1,0)</f>
        <v>0</v>
      </c>
      <c r="BG135" s="304" cm="1">
        <f t="array" ref="BG135">IF(AND(BG$2&lt;&gt;0,TblTech[[#This Row],[Hour]:[Hour]]&gt;=BG$2),1,0)</f>
        <v>0</v>
      </c>
      <c r="BH135" s="304" cm="1">
        <f t="array" ref="BH135">IF(AND(BH$2&lt;&gt;0,TblTech[[#This Row],[Hour]:[Hour]]&gt;=BH$2),1,0)</f>
        <v>0</v>
      </c>
      <c r="BI135" s="304" cm="1">
        <f t="array" ref="BI135">IF(AND(BI$2&lt;&gt;0,TblTech[[#This Row],[Hour]:[Hour]]&gt;=BI$2),1,0)</f>
        <v>0</v>
      </c>
      <c r="BJ135" s="304" cm="1">
        <f t="array" ref="BJ135">IF(AND(BJ$2&lt;&gt;0,TblTech[[#This Row],[Hour]:[Hour]]&gt;=BJ$2),1,0)</f>
        <v>0</v>
      </c>
      <c r="BK135" s="304" cm="1">
        <f t="array" ref="BK135">IF(AND(BK$2&lt;&gt;0,TblTech[[#This Row],[Hour]:[Hour]]&gt;=BK$2),1,0)</f>
        <v>0</v>
      </c>
      <c r="BL135" s="304" cm="1">
        <f t="array" ref="BL135">IF(AND(BL$2&lt;&gt;0,TblTech[[#This Row],[Hour]:[Hour]]&gt;=BL$2),1,0)</f>
        <v>0</v>
      </c>
      <c r="BM135" s="304" cm="1">
        <f t="array" ref="BM135">IF(AND(BM$2&lt;&gt;0,TblTech[[#This Row],[Hour]:[Hour]]&gt;=BM$2),1,0)</f>
        <v>0</v>
      </c>
      <c r="BN135" s="304" cm="1">
        <f t="array" ref="BN135">IF(AND(BN$2&lt;&gt;0,TblTech[[#This Row],[Hour]:[Hour]]&gt;=BN$2),1,0)</f>
        <v>0</v>
      </c>
      <c r="BO135" s="304" cm="1">
        <f t="array" ref="BO135">IF(AND(BO$2&lt;&gt;0,TblTech[[#This Row],[Hour]:[Hour]]&gt;=BO$2),1,0)</f>
        <v>0</v>
      </c>
      <c r="BP135" s="304" cm="1">
        <f t="array" ref="BP135">IF(AND(BP$2&lt;&gt;0,TblTech[[#This Row],[Hour]:[Hour]]&gt;=BP$2),1,0)</f>
        <v>0</v>
      </c>
      <c r="BQ135" s="304" cm="1">
        <f t="array" ref="BQ135">IF(AND(BQ$2&lt;&gt;0,TblTech[[#This Row],[Hour]:[Hour]]&gt;=BQ$2),1,0)</f>
        <v>0</v>
      </c>
      <c r="BR135" s="304" cm="1">
        <f t="array" ref="BR135">IF(AND(BR$2&lt;&gt;0,TblTech[[#This Row],[Hour]:[Hour]]&gt;=BR$2),1,0)</f>
        <v>0</v>
      </c>
      <c r="BS135" s="304" cm="1">
        <f t="array" ref="BS135">IF(AND(BS$2&lt;&gt;0,TblTech[[#This Row],[Hour]:[Hour]]&gt;=BS$2),1,0)</f>
        <v>0</v>
      </c>
      <c r="BT135" s="304" cm="1">
        <f t="array" ref="BT135">IF(AND(BT$2&lt;&gt;0,TblTech[[#This Row],[Hour]:[Hour]]&gt;=BT$2),1,0)</f>
        <v>0</v>
      </c>
      <c r="BU135" s="304" cm="1">
        <f t="array" ref="BU135">IF(AND(BU$2&lt;&gt;0,TblTech[[#This Row],[Hour]:[Hour]]&gt;=BU$2),1,0)</f>
        <v>0</v>
      </c>
      <c r="BV135" s="304" cm="1">
        <f t="array" ref="BV135">IF(AND(BV$2&lt;&gt;0,TblTech[[#This Row],[Hour]:[Hour]]&gt;=BV$2),1,0)</f>
        <v>0</v>
      </c>
      <c r="BW135" s="304" cm="1">
        <f t="array" ref="BW135">IF(AND(BW$2&lt;&gt;0,TblTech[[#This Row],[Hour]:[Hour]]&gt;=BW$2),1,0)</f>
        <v>0</v>
      </c>
      <c r="BX135" s="304" cm="1">
        <f t="array" ref="BX135">IF(AND(BX$2&lt;&gt;0,TblTech[[#This Row],[Hour]:[Hour]]&gt;=BX$2),1,0)</f>
        <v>0</v>
      </c>
      <c r="BY135" s="304" cm="1">
        <f t="array" ref="BY135">IF(AND(BY$2&lt;&gt;0,TblTech[[#This Row],[Hour]:[Hour]]&gt;=BY$2),1,0)</f>
        <v>0</v>
      </c>
      <c r="BZ135" s="304" cm="1">
        <f t="array" ref="BZ135">IF(AND(BZ$2&lt;&gt;0,TblTech[[#This Row],[Hour]:[Hour]]&gt;=BZ$2),1,0)</f>
        <v>0</v>
      </c>
      <c r="CA135" s="408">
        <f>IFERROR(INDEX($H$4:$H$79,MATCH(INDEX(TblTech[[#Headers],[1-1]:[11-1]],1,MATCH(TblTech[[#This Row],[Hour]],$M$2:$BZ$2,0)),$G$4:$G$79,0)),)</f>
        <v>0</v>
      </c>
    </row>
    <row r="136" spans="1:79" x14ac:dyDescent="0.2">
      <c r="A136" s="296">
        <f>TblRezone[[#This Row],[Hour]]</f>
        <v>133</v>
      </c>
      <c r="B136" s="297">
        <f ca="1">TblExplore[[#This Row],[Land-DB]]</f>
        <v>250</v>
      </c>
      <c r="C136" s="298">
        <f ca="1">TblProd[[#This Row],[Techpoints]]</f>
        <v>0</v>
      </c>
      <c r="D136" s="298">
        <f ca="1">TblProd[[#This Row],[Required]]</f>
        <v>3750</v>
      </c>
      <c r="E136" s="307"/>
      <c r="F136" s="308"/>
      <c r="G136" s="301"/>
      <c r="H136" s="302"/>
      <c r="I136" s="302"/>
      <c r="J136" s="302"/>
      <c r="K136" s="96">
        <f ca="1">IF(TblTech[[#This Row],[Sum of tech]]&lt;&gt;OFFSET(TblTech[[#This Row],[Sum of tech]],-1,0),1,0)</f>
        <v>0</v>
      </c>
      <c r="L136" s="303">
        <f>COUNTIF(TblTech[[#This Row],[1-1]:[11-1]],1)</f>
        <v>0</v>
      </c>
      <c r="M136" s="304" cm="1">
        <f t="array" ref="M136">IF(AND(M$2&lt;&gt;0,TblTech[[#This Row],[Hour]:[Hour]]&gt;=M$2),1,0)</f>
        <v>0</v>
      </c>
      <c r="N136" s="304" cm="1">
        <f t="array" ref="N136">IF(AND(N$2&lt;&gt;0,TblTech[[#This Row],[Hour]:[Hour]]&gt;=N$2),1,0)</f>
        <v>0</v>
      </c>
      <c r="O136" s="304" cm="1">
        <f t="array" ref="O136">IF(AND(O$2&lt;&gt;0,TblTech[[#This Row],[Hour]:[Hour]]&gt;=O$2),1,0)</f>
        <v>0</v>
      </c>
      <c r="P136" s="304" cm="1">
        <f t="array" ref="P136">IF(AND(P$2&lt;&gt;0,TblTech[[#This Row],[Hour]:[Hour]]&gt;=P$2),1,0)</f>
        <v>0</v>
      </c>
      <c r="Q136" s="304" cm="1">
        <f t="array" ref="Q136">IF(AND(Q$2&lt;&gt;0,TblTech[[#This Row],[Hour]:[Hour]]&gt;=Q$2),1,0)</f>
        <v>0</v>
      </c>
      <c r="R136" s="304" cm="1">
        <f t="array" ref="R136">IF(AND(R$2&lt;&gt;0,TblTech[[#This Row],[Hour]:[Hour]]&gt;=R$2),1,0)</f>
        <v>0</v>
      </c>
      <c r="S136" s="304" cm="1">
        <f t="array" ref="S136">IF(AND(S$2&lt;&gt;0,TblTech[[#This Row],[Hour]:[Hour]]&gt;=S$2),1,0)</f>
        <v>0</v>
      </c>
      <c r="T136" s="304" cm="1">
        <f t="array" ref="T136">IF(AND(T$2&lt;&gt;0,TblTech[[#This Row],[Hour]:[Hour]]&gt;=T$2),1,0)</f>
        <v>0</v>
      </c>
      <c r="U136" s="304" cm="1">
        <f t="array" ref="U136">IF(AND(U$2&lt;&gt;0,TblTech[[#This Row],[Hour]:[Hour]]&gt;=U$2),1,0)</f>
        <v>0</v>
      </c>
      <c r="V136" s="304" cm="1">
        <f t="array" ref="V136">IF(AND(V$2&lt;&gt;0,TblTech[[#This Row],[Hour]:[Hour]]&gt;=V$2),1,0)</f>
        <v>0</v>
      </c>
      <c r="W136" s="304" cm="1">
        <f t="array" ref="W136">IF(AND(W$2&lt;&gt;0,TblTech[[#This Row],[Hour]:[Hour]]&gt;=W$2),1,0)</f>
        <v>0</v>
      </c>
      <c r="X136" s="304" cm="1">
        <f t="array" ref="X136">IF(AND(X$2&lt;&gt;0,TblTech[[#This Row],[Hour]:[Hour]]&gt;=X$2),1,0)</f>
        <v>0</v>
      </c>
      <c r="Y136" s="304" cm="1">
        <f t="array" ref="Y136">IF(AND(Y$2&lt;&gt;0,TblTech[[#This Row],[Hour]:[Hour]]&gt;=Y$2),1,0)</f>
        <v>0</v>
      </c>
      <c r="Z136" s="304" cm="1">
        <f t="array" ref="Z136">IF(AND(Z$2&lt;&gt;0,TblTech[[#This Row],[Hour]:[Hour]]&gt;=Z$2),1,0)</f>
        <v>0</v>
      </c>
      <c r="AA136" s="304" cm="1">
        <f t="array" ref="AA136">IF(AND(AA$2&lt;&gt;0,TblTech[[#This Row],[Hour]:[Hour]]&gt;=AA$2),1,0)</f>
        <v>0</v>
      </c>
      <c r="AB136" s="304" cm="1">
        <f t="array" ref="AB136">IF(AND(AB$2&lt;&gt;0,TblTech[[#This Row],[Hour]:[Hour]]&gt;=AB$2),1,0)</f>
        <v>0</v>
      </c>
      <c r="AC136" s="304" cm="1">
        <f t="array" ref="AC136">IF(AND(AC$2&lt;&gt;0,TblTech[[#This Row],[Hour]:[Hour]]&gt;=AC$2),1,0)</f>
        <v>0</v>
      </c>
      <c r="AD136" s="304" cm="1">
        <f t="array" ref="AD136">IF(AND(AD$2&lt;&gt;0,TblTech[[#This Row],[Hour]:[Hour]]&gt;=AD$2),1,0)</f>
        <v>0</v>
      </c>
      <c r="AE136" s="304" cm="1">
        <f t="array" ref="AE136">IF(AND(AE$2&lt;&gt;0,TblTech[[#This Row],[Hour]:[Hour]]&gt;=AE$2),1,0)</f>
        <v>0</v>
      </c>
      <c r="AF136" s="304" cm="1">
        <f t="array" ref="AF136">IF(AND(AF$2&lt;&gt;0,TblTech[[#This Row],[Hour]:[Hour]]&gt;=AF$2),1,0)</f>
        <v>0</v>
      </c>
      <c r="AG136" s="304" cm="1">
        <f t="array" ref="AG136">IF(AND(AG$2&lt;&gt;0,TblTech[[#This Row],[Hour]:[Hour]]&gt;=AG$2),1,0)</f>
        <v>0</v>
      </c>
      <c r="AH136" s="304" cm="1">
        <f t="array" ref="AH136">IF(AND(AH$2&lt;&gt;0,TblTech[[#This Row],[Hour]:[Hour]]&gt;=AH$2),1,0)</f>
        <v>0</v>
      </c>
      <c r="AI136" s="304" cm="1">
        <f t="array" ref="AI136">IF(AND(AI$2&lt;&gt;0,TblTech[[#This Row],[Hour]:[Hour]]&gt;=AI$2),1,0)</f>
        <v>0</v>
      </c>
      <c r="AJ136" s="304" cm="1">
        <f t="array" ref="AJ136">IF(AND(AJ$2&lt;&gt;0,TblTech[[#This Row],[Hour]:[Hour]]&gt;=AJ$2),1,0)</f>
        <v>0</v>
      </c>
      <c r="AK136" s="304" cm="1">
        <f t="array" ref="AK136">IF(AND(AK$2&lt;&gt;0,TblTech[[#This Row],[Hour]:[Hour]]&gt;=AK$2),1,0)</f>
        <v>0</v>
      </c>
      <c r="AL136" s="304" cm="1">
        <f t="array" ref="AL136">IF(AND(AL$2&lt;&gt;0,TblTech[[#This Row],[Hour]:[Hour]]&gt;=AL$2),1,0)</f>
        <v>0</v>
      </c>
      <c r="AM136" s="304" cm="1">
        <f t="array" ref="AM136">IF(AND(AM$2&lt;&gt;0,TblTech[[#This Row],[Hour]:[Hour]]&gt;=AM$2),1,0)</f>
        <v>0</v>
      </c>
      <c r="AN136" s="304" cm="1">
        <f t="array" ref="AN136">IF(AND(AN$2&lt;&gt;0,TblTech[[#This Row],[Hour]:[Hour]]&gt;=AN$2),1,0)</f>
        <v>0</v>
      </c>
      <c r="AO136" s="304" cm="1">
        <f t="array" ref="AO136">IF(AND(AO$2&lt;&gt;0,TblTech[[#This Row],[Hour]:[Hour]]&gt;=AO$2),1,0)</f>
        <v>0</v>
      </c>
      <c r="AP136" s="304" cm="1">
        <f t="array" ref="AP136">IF(AND(AP$2&lt;&gt;0,TblTech[[#This Row],[Hour]:[Hour]]&gt;=AP$2),1,0)</f>
        <v>0</v>
      </c>
      <c r="AQ136" s="304" cm="1">
        <f t="array" ref="AQ136">IF(AND(AQ$2&lt;&gt;0,TblTech[[#This Row],[Hour]:[Hour]]&gt;=AQ$2),1,0)</f>
        <v>0</v>
      </c>
      <c r="AR136" s="304" cm="1">
        <f t="array" ref="AR136">IF(AND(AR$2&lt;&gt;0,TblTech[[#This Row],[Hour]:[Hour]]&gt;=AR$2),1,0)</f>
        <v>0</v>
      </c>
      <c r="AS136" s="304" cm="1">
        <f t="array" ref="AS136">IF(AND(AS$2&lt;&gt;0,TblTech[[#This Row],[Hour]:[Hour]]&gt;=AS$2),1,0)</f>
        <v>0</v>
      </c>
      <c r="AT136" s="304" cm="1">
        <f t="array" ref="AT136">IF(AND(AT$2&lt;&gt;0,TblTech[[#This Row],[Hour]:[Hour]]&gt;=AT$2),1,0)</f>
        <v>0</v>
      </c>
      <c r="AU136" s="304" cm="1">
        <f t="array" ref="AU136">IF(AND(AU$2&lt;&gt;0,TblTech[[#This Row],[Hour]:[Hour]]&gt;=AU$2),1,0)</f>
        <v>0</v>
      </c>
      <c r="AV136" s="304" cm="1">
        <f t="array" ref="AV136">IF(AND(AV$2&lt;&gt;0,TblTech[[#This Row],[Hour]:[Hour]]&gt;=AV$2),1,0)</f>
        <v>0</v>
      </c>
      <c r="AW136" s="304" cm="1">
        <f t="array" ref="AW136">IF(AND(AW$2&lt;&gt;0,TblTech[[#This Row],[Hour]:[Hour]]&gt;=AW$2),1,0)</f>
        <v>0</v>
      </c>
      <c r="AX136" s="304" cm="1">
        <f t="array" ref="AX136">IF(AND(AX$2&lt;&gt;0,TblTech[[#This Row],[Hour]:[Hour]]&gt;=AX$2),1,0)</f>
        <v>0</v>
      </c>
      <c r="AY136" s="304" cm="1">
        <f t="array" ref="AY136">IF(AND(AY$2&lt;&gt;0,TblTech[[#This Row],[Hour]:[Hour]]&gt;=AY$2),1,0)</f>
        <v>0</v>
      </c>
      <c r="AZ136" s="304" cm="1">
        <f t="array" ref="AZ136">IF(AND(AZ$2&lt;&gt;0,TblTech[[#This Row],[Hour]:[Hour]]&gt;=AZ$2),1,0)</f>
        <v>0</v>
      </c>
      <c r="BA136" s="304" cm="1">
        <f t="array" ref="BA136">IF(AND(BA$2&lt;&gt;0,TblTech[[#This Row],[Hour]:[Hour]]&gt;=BA$2),1,0)</f>
        <v>0</v>
      </c>
      <c r="BB136" s="304" cm="1">
        <f t="array" ref="BB136">IF(AND(BB$2&lt;&gt;0,TblTech[[#This Row],[Hour]:[Hour]]&gt;=BB$2),1,0)</f>
        <v>0</v>
      </c>
      <c r="BC136" s="304" cm="1">
        <f t="array" ref="BC136">IF(AND(BC$2&lt;&gt;0,TblTech[[#This Row],[Hour]:[Hour]]&gt;=BC$2),1,0)</f>
        <v>0</v>
      </c>
      <c r="BD136" s="304" cm="1">
        <f t="array" ref="BD136">IF(AND(BD$2&lt;&gt;0,TblTech[[#This Row],[Hour]:[Hour]]&gt;=BD$2),1,0)</f>
        <v>0</v>
      </c>
      <c r="BE136" s="304" cm="1">
        <f t="array" ref="BE136">IF(AND(BE$2&lt;&gt;0,TblTech[[#This Row],[Hour]:[Hour]]&gt;=BE$2),1,0)</f>
        <v>0</v>
      </c>
      <c r="BF136" s="304" cm="1">
        <f t="array" ref="BF136">IF(AND(BF$2&lt;&gt;0,TblTech[[#This Row],[Hour]:[Hour]]&gt;=BF$2),1,0)</f>
        <v>0</v>
      </c>
      <c r="BG136" s="304" cm="1">
        <f t="array" ref="BG136">IF(AND(BG$2&lt;&gt;0,TblTech[[#This Row],[Hour]:[Hour]]&gt;=BG$2),1,0)</f>
        <v>0</v>
      </c>
      <c r="BH136" s="304" cm="1">
        <f t="array" ref="BH136">IF(AND(BH$2&lt;&gt;0,TblTech[[#This Row],[Hour]:[Hour]]&gt;=BH$2),1,0)</f>
        <v>0</v>
      </c>
      <c r="BI136" s="304" cm="1">
        <f t="array" ref="BI136">IF(AND(BI$2&lt;&gt;0,TblTech[[#This Row],[Hour]:[Hour]]&gt;=BI$2),1,0)</f>
        <v>0</v>
      </c>
      <c r="BJ136" s="304" cm="1">
        <f t="array" ref="BJ136">IF(AND(BJ$2&lt;&gt;0,TblTech[[#This Row],[Hour]:[Hour]]&gt;=BJ$2),1,0)</f>
        <v>0</v>
      </c>
      <c r="BK136" s="304" cm="1">
        <f t="array" ref="BK136">IF(AND(BK$2&lt;&gt;0,TblTech[[#This Row],[Hour]:[Hour]]&gt;=BK$2),1,0)</f>
        <v>0</v>
      </c>
      <c r="BL136" s="304" cm="1">
        <f t="array" ref="BL136">IF(AND(BL$2&lt;&gt;0,TblTech[[#This Row],[Hour]:[Hour]]&gt;=BL$2),1,0)</f>
        <v>0</v>
      </c>
      <c r="BM136" s="304" cm="1">
        <f t="array" ref="BM136">IF(AND(BM$2&lt;&gt;0,TblTech[[#This Row],[Hour]:[Hour]]&gt;=BM$2),1,0)</f>
        <v>0</v>
      </c>
      <c r="BN136" s="304" cm="1">
        <f t="array" ref="BN136">IF(AND(BN$2&lt;&gt;0,TblTech[[#This Row],[Hour]:[Hour]]&gt;=BN$2),1,0)</f>
        <v>0</v>
      </c>
      <c r="BO136" s="304" cm="1">
        <f t="array" ref="BO136">IF(AND(BO$2&lt;&gt;0,TblTech[[#This Row],[Hour]:[Hour]]&gt;=BO$2),1,0)</f>
        <v>0</v>
      </c>
      <c r="BP136" s="304" cm="1">
        <f t="array" ref="BP136">IF(AND(BP$2&lt;&gt;0,TblTech[[#This Row],[Hour]:[Hour]]&gt;=BP$2),1,0)</f>
        <v>0</v>
      </c>
      <c r="BQ136" s="304" cm="1">
        <f t="array" ref="BQ136">IF(AND(BQ$2&lt;&gt;0,TblTech[[#This Row],[Hour]:[Hour]]&gt;=BQ$2),1,0)</f>
        <v>0</v>
      </c>
      <c r="BR136" s="304" cm="1">
        <f t="array" ref="BR136">IF(AND(BR$2&lt;&gt;0,TblTech[[#This Row],[Hour]:[Hour]]&gt;=BR$2),1,0)</f>
        <v>0</v>
      </c>
      <c r="BS136" s="304" cm="1">
        <f t="array" ref="BS136">IF(AND(BS$2&lt;&gt;0,TblTech[[#This Row],[Hour]:[Hour]]&gt;=BS$2),1,0)</f>
        <v>0</v>
      </c>
      <c r="BT136" s="304" cm="1">
        <f t="array" ref="BT136">IF(AND(BT$2&lt;&gt;0,TblTech[[#This Row],[Hour]:[Hour]]&gt;=BT$2),1,0)</f>
        <v>0</v>
      </c>
      <c r="BU136" s="304" cm="1">
        <f t="array" ref="BU136">IF(AND(BU$2&lt;&gt;0,TblTech[[#This Row],[Hour]:[Hour]]&gt;=BU$2),1,0)</f>
        <v>0</v>
      </c>
      <c r="BV136" s="304" cm="1">
        <f t="array" ref="BV136">IF(AND(BV$2&lt;&gt;0,TblTech[[#This Row],[Hour]:[Hour]]&gt;=BV$2),1,0)</f>
        <v>0</v>
      </c>
      <c r="BW136" s="304" cm="1">
        <f t="array" ref="BW136">IF(AND(BW$2&lt;&gt;0,TblTech[[#This Row],[Hour]:[Hour]]&gt;=BW$2),1,0)</f>
        <v>0</v>
      </c>
      <c r="BX136" s="304" cm="1">
        <f t="array" ref="BX136">IF(AND(BX$2&lt;&gt;0,TblTech[[#This Row],[Hour]:[Hour]]&gt;=BX$2),1,0)</f>
        <v>0</v>
      </c>
      <c r="BY136" s="304" cm="1">
        <f t="array" ref="BY136">IF(AND(BY$2&lt;&gt;0,TblTech[[#This Row],[Hour]:[Hour]]&gt;=BY$2),1,0)</f>
        <v>0</v>
      </c>
      <c r="BZ136" s="304" cm="1">
        <f t="array" ref="BZ136">IF(AND(BZ$2&lt;&gt;0,TblTech[[#This Row],[Hour]:[Hour]]&gt;=BZ$2),1,0)</f>
        <v>0</v>
      </c>
      <c r="CA136" s="408">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customWidth="1"/>
    <col min="48" max="48" width="3" style="45" customWidth="1"/>
    <col min="49" max="52" width="11.42578125" style="57" customWidth="1"/>
    <col min="53" max="53" width="3" style="45" customWidth="1"/>
    <col min="54" max="57" width="11.42578125" style="57" customWidth="1"/>
    <col min="58" max="58" width="3" style="45" customWidth="1"/>
    <col min="59" max="62" width="11.42578125" style="57" customWidth="1"/>
    <col min="63" max="63" width="3" style="45" customWidth="1"/>
    <col min="64" max="67" width="11.42578125" style="57" customWidth="1"/>
    <col min="68" max="68" width="3" style="45" customWidth="1"/>
    <col min="69" max="72" width="11.42578125" style="57" customWidth="1"/>
    <col min="73" max="73" width="3" style="45" customWidth="1"/>
    <col min="74" max="74" width="12.140625" style="45" customWidth="1"/>
    <col min="75" max="75" width="10.42578125" style="45" customWidth="1"/>
    <col min="76" max="76" width="3" style="45" customWidth="1"/>
    <col min="77" max="77" width="9.85546875" style="45" customWidth="1"/>
    <col min="78" max="78" width="13.5703125" style="45"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287</v>
      </c>
      <c r="K1" s="28"/>
      <c r="O1" s="5" t="s">
        <v>221</v>
      </c>
      <c r="W1" s="5" t="s">
        <v>1031</v>
      </c>
      <c r="Y1" s="28" t="s">
        <v>37</v>
      </c>
      <c r="Z1" s="28"/>
      <c r="AA1" s="28"/>
      <c r="AB1" s="28"/>
      <c r="AC1" s="28"/>
      <c r="AD1" s="28"/>
      <c r="AF1" s="496" t="s">
        <v>215</v>
      </c>
      <c r="AG1" s="496"/>
      <c r="AH1" s="28"/>
      <c r="AI1" s="28"/>
      <c r="AJ1" s="28"/>
      <c r="AK1" s="28"/>
      <c r="AM1" s="496" t="s">
        <v>223</v>
      </c>
      <c r="AN1" s="496"/>
      <c r="AO1" s="28"/>
      <c r="AP1" s="28"/>
      <c r="AR1" s="496" t="s">
        <v>224</v>
      </c>
      <c r="AS1" s="496"/>
      <c r="AT1" s="497"/>
      <c r="AU1" s="28"/>
      <c r="AW1" s="496" t="s">
        <v>225</v>
      </c>
      <c r="AX1" s="496"/>
      <c r="AY1" s="496"/>
      <c r="AZ1" s="28"/>
      <c r="BB1" s="496" t="s">
        <v>226</v>
      </c>
      <c r="BC1" s="496"/>
      <c r="BD1" s="496"/>
      <c r="BE1" s="496"/>
      <c r="BG1" s="496" t="s">
        <v>227</v>
      </c>
      <c r="BH1" s="496"/>
      <c r="BI1" s="496"/>
      <c r="BJ1" s="28"/>
      <c r="BL1" s="496" t="s">
        <v>228</v>
      </c>
      <c r="BM1" s="497"/>
      <c r="BN1" s="497"/>
      <c r="BO1" s="28"/>
      <c r="BQ1" s="496" t="s">
        <v>229</v>
      </c>
      <c r="BR1" s="496"/>
      <c r="BS1" s="496"/>
      <c r="BT1" s="28"/>
      <c r="BV1" s="5" t="s">
        <v>313</v>
      </c>
    </row>
    <row r="2" spans="1:84" s="5" customFormat="1" x14ac:dyDescent="0.2">
      <c r="C2" s="28"/>
      <c r="D2" s="28"/>
      <c r="E2" s="28"/>
      <c r="F2" s="28"/>
      <c r="K2" s="28"/>
      <c r="Y2" s="294" t="s">
        <v>214</v>
      </c>
      <c r="Z2" s="294" t="s">
        <v>216</v>
      </c>
      <c r="AA2" s="294" t="s">
        <v>217</v>
      </c>
      <c r="AB2" s="294" t="s">
        <v>218</v>
      </c>
      <c r="AC2" s="294" t="s">
        <v>219</v>
      </c>
      <c r="AD2" s="294" t="s">
        <v>220</v>
      </c>
      <c r="AF2" s="294" t="s">
        <v>214</v>
      </c>
      <c r="AG2" s="294" t="s">
        <v>216</v>
      </c>
      <c r="AH2" s="294" t="s">
        <v>217</v>
      </c>
      <c r="AI2" s="294" t="s">
        <v>218</v>
      </c>
      <c r="AJ2" s="294" t="s">
        <v>219</v>
      </c>
      <c r="AK2" s="294" t="s">
        <v>220</v>
      </c>
      <c r="AM2" s="294" t="s">
        <v>2</v>
      </c>
      <c r="AN2" s="294" t="s">
        <v>7</v>
      </c>
      <c r="AO2" s="294" t="s">
        <v>3</v>
      </c>
      <c r="AP2" s="294" t="s">
        <v>4</v>
      </c>
      <c r="AR2" s="294" t="s">
        <v>2</v>
      </c>
      <c r="AS2" s="294" t="s">
        <v>7</v>
      </c>
      <c r="AT2" s="294" t="s">
        <v>3</v>
      </c>
      <c r="AU2" s="294" t="s">
        <v>4</v>
      </c>
      <c r="AW2" s="294" t="s">
        <v>2</v>
      </c>
      <c r="AX2" s="294" t="s">
        <v>7</v>
      </c>
      <c r="AY2" s="294" t="s">
        <v>3</v>
      </c>
      <c r="AZ2" s="294" t="s">
        <v>4</v>
      </c>
      <c r="BB2" s="294" t="s">
        <v>2</v>
      </c>
      <c r="BC2" s="294" t="s">
        <v>7</v>
      </c>
      <c r="BD2" s="294" t="s">
        <v>3</v>
      </c>
      <c r="BE2" s="294" t="s">
        <v>4</v>
      </c>
      <c r="BG2" s="294" t="s">
        <v>2</v>
      </c>
      <c r="BH2" s="294" t="s">
        <v>7</v>
      </c>
      <c r="BI2" s="294" t="s">
        <v>3</v>
      </c>
      <c r="BJ2" s="294" t="s">
        <v>4</v>
      </c>
      <c r="BL2" s="294" t="s">
        <v>2</v>
      </c>
      <c r="BM2" s="294" t="s">
        <v>7</v>
      </c>
      <c r="BN2" s="294" t="s">
        <v>3</v>
      </c>
      <c r="BO2" s="294" t="s">
        <v>4</v>
      </c>
      <c r="BQ2" s="294" t="s">
        <v>2</v>
      </c>
      <c r="BR2" s="294" t="s">
        <v>7</v>
      </c>
      <c r="BS2" s="294" t="s">
        <v>3</v>
      </c>
      <c r="BT2" s="294" t="s">
        <v>4</v>
      </c>
    </row>
    <row r="3" spans="1:84" s="159" customFormat="1" ht="15" customHeight="1" x14ac:dyDescent="0.2">
      <c r="A3" s="143" t="s">
        <v>1</v>
      </c>
      <c r="B3" s="143" t="s">
        <v>791</v>
      </c>
      <c r="C3" s="143" t="s">
        <v>2</v>
      </c>
      <c r="D3" s="143" t="s">
        <v>7</v>
      </c>
      <c r="E3" s="143" t="s">
        <v>3</v>
      </c>
      <c r="F3" s="143" t="s">
        <v>4</v>
      </c>
      <c r="G3" s="143" t="s">
        <v>792</v>
      </c>
      <c r="H3" s="143" t="s">
        <v>279</v>
      </c>
      <c r="I3" s="143" t="s">
        <v>230</v>
      </c>
      <c r="J3" s="143" t="s">
        <v>23</v>
      </c>
      <c r="K3" s="143" t="s">
        <v>0</v>
      </c>
      <c r="L3" s="143" t="s">
        <v>316</v>
      </c>
      <c r="M3" s="143" t="s">
        <v>312</v>
      </c>
      <c r="N3" s="143" t="s">
        <v>992</v>
      </c>
      <c r="O3" s="143" t="s">
        <v>319</v>
      </c>
      <c r="P3" s="143" t="s">
        <v>222</v>
      </c>
      <c r="Q3" s="143" t="s">
        <v>320</v>
      </c>
      <c r="R3" s="143" t="s">
        <v>993</v>
      </c>
      <c r="S3" s="143" t="s">
        <v>994</v>
      </c>
      <c r="T3" s="143" t="s">
        <v>995</v>
      </c>
      <c r="U3" s="143" t="s">
        <v>996</v>
      </c>
      <c r="V3" s="143" t="s">
        <v>997</v>
      </c>
      <c r="W3" s="143" t="s">
        <v>998</v>
      </c>
      <c r="X3" s="143" t="s">
        <v>793</v>
      </c>
      <c r="Y3" s="143" t="s">
        <v>214</v>
      </c>
      <c r="Z3" s="143" t="s">
        <v>216</v>
      </c>
      <c r="AA3" s="143" t="s">
        <v>217</v>
      </c>
      <c r="AB3" s="143" t="s">
        <v>218</v>
      </c>
      <c r="AC3" s="143" t="s">
        <v>219</v>
      </c>
      <c r="AD3" s="143" t="s">
        <v>220</v>
      </c>
      <c r="AE3" s="143" t="s">
        <v>809</v>
      </c>
      <c r="AF3" s="143" t="s">
        <v>1061</v>
      </c>
      <c r="AG3" s="143" t="s">
        <v>959</v>
      </c>
      <c r="AH3" s="143" t="s">
        <v>960</v>
      </c>
      <c r="AI3" s="143" t="s">
        <v>961</v>
      </c>
      <c r="AJ3" s="143" t="s">
        <v>962</v>
      </c>
      <c r="AK3" s="143" t="s">
        <v>963</v>
      </c>
      <c r="AL3" s="143" t="s">
        <v>810</v>
      </c>
      <c r="AM3" s="263" t="s">
        <v>964</v>
      </c>
      <c r="AN3" s="263" t="s">
        <v>965</v>
      </c>
      <c r="AO3" s="263" t="s">
        <v>966</v>
      </c>
      <c r="AP3" s="263" t="s">
        <v>967</v>
      </c>
      <c r="AQ3" s="263" t="s">
        <v>811</v>
      </c>
      <c r="AR3" s="263" t="s">
        <v>968</v>
      </c>
      <c r="AS3" s="263" t="s">
        <v>969</v>
      </c>
      <c r="AT3" s="263" t="s">
        <v>970</v>
      </c>
      <c r="AU3" s="263" t="s">
        <v>971</v>
      </c>
      <c r="AV3" s="263" t="s">
        <v>886</v>
      </c>
      <c r="AW3" s="263" t="s">
        <v>972</v>
      </c>
      <c r="AX3" s="263" t="s">
        <v>973</v>
      </c>
      <c r="AY3" s="263" t="s">
        <v>974</v>
      </c>
      <c r="AZ3" s="263" t="s">
        <v>975</v>
      </c>
      <c r="BA3" s="263" t="s">
        <v>887</v>
      </c>
      <c r="BB3" s="263" t="s">
        <v>976</v>
      </c>
      <c r="BC3" s="263" t="s">
        <v>977</v>
      </c>
      <c r="BD3" s="263" t="s">
        <v>978</v>
      </c>
      <c r="BE3" s="263" t="s">
        <v>979</v>
      </c>
      <c r="BF3" s="263" t="s">
        <v>1062</v>
      </c>
      <c r="BG3" s="263" t="s">
        <v>980</v>
      </c>
      <c r="BH3" s="263" t="s">
        <v>981</v>
      </c>
      <c r="BI3" s="263" t="s">
        <v>982</v>
      </c>
      <c r="BJ3" s="263" t="s">
        <v>983</v>
      </c>
      <c r="BK3" s="263" t="s">
        <v>1063</v>
      </c>
      <c r="BL3" s="263" t="s">
        <v>984</v>
      </c>
      <c r="BM3" s="263" t="s">
        <v>985</v>
      </c>
      <c r="BN3" s="263" t="s">
        <v>986</v>
      </c>
      <c r="BO3" s="263" t="s">
        <v>987</v>
      </c>
      <c r="BP3" s="263" t="s">
        <v>1064</v>
      </c>
      <c r="BQ3" s="263" t="s">
        <v>988</v>
      </c>
      <c r="BR3" s="263" t="s">
        <v>989</v>
      </c>
      <c r="BS3" s="263" t="s">
        <v>990</v>
      </c>
      <c r="BT3" s="263" t="s">
        <v>991</v>
      </c>
      <c r="BU3" s="143" t="s">
        <v>1065</v>
      </c>
      <c r="BV3" s="310" t="s">
        <v>314</v>
      </c>
      <c r="BW3" s="143" t="s">
        <v>999</v>
      </c>
      <c r="BX3" s="143" t="s">
        <v>1066</v>
      </c>
      <c r="BY3" s="143" t="s">
        <v>1000</v>
      </c>
      <c r="BZ3" s="143" t="s">
        <v>315</v>
      </c>
    </row>
    <row r="4" spans="1:84" x14ac:dyDescent="0.2">
      <c r="A4" s="230">
        <f ca="1">TblConstr[[#This Row],[Land]]</f>
        <v>250</v>
      </c>
      <c r="B4" s="150"/>
      <c r="C4" s="97">
        <f ca="1">TblProd[[#This Row],[Platinum]]</f>
        <v>100000</v>
      </c>
      <c r="D4" s="97">
        <f ca="1">TblProd[[#This Row],[Lumber]]</f>
        <v>15000</v>
      </c>
      <c r="E4" s="97">
        <f ca="1">TblProd[[#This Row],[Ore]]</f>
        <v>0</v>
      </c>
      <c r="F4" s="97">
        <f>TblProd[[#This Row],[Gems]]</f>
        <v>10000</v>
      </c>
      <c r="G4" s="162"/>
      <c r="H4" s="97">
        <f ca="1">TblMili[[#This Row],[Draftees]]</f>
        <v>100</v>
      </c>
      <c r="I4" s="188">
        <f ca="1">TblPop[[#This Row],[Employment]]</f>
        <v>1</v>
      </c>
      <c r="J4" s="188">
        <f ca="1">TblPop[[#This Row],[Total]]/TblPop[[#This Row],[Net max]]</f>
        <v>0.67854113655640369</v>
      </c>
      <c r="K4" s="311">
        <f>TblRezone[[#This Row],[Hour]]</f>
        <v>1</v>
      </c>
      <c r="L4" s="312">
        <f>TblImps[[#This Row],[Real time]]</f>
        <v>44810.75</v>
      </c>
      <c r="M4" s="62">
        <f>IF(ISERROR(TblImps[[#This Row],[algorithm]]),0,TblImps[[#This Row],[algorithm]]*1)</f>
        <v>0</v>
      </c>
      <c r="N4" s="97">
        <f ca="1">TblImps[[#This Row],[Land]]</f>
        <v>250</v>
      </c>
      <c r="O4" s="313" t="s">
        <v>4</v>
      </c>
      <c r="P4" s="314"/>
      <c r="Q4" s="313" t="s">
        <v>214</v>
      </c>
      <c r="R4" s="313" t="s">
        <v>7</v>
      </c>
      <c r="S4" s="314"/>
      <c r="T4" s="313" t="s">
        <v>214</v>
      </c>
      <c r="U4" s="313" t="s">
        <v>3</v>
      </c>
      <c r="V4" s="314"/>
      <c r="W4" s="313" t="s">
        <v>214</v>
      </c>
      <c r="X4" s="150"/>
      <c r="Y4" s="315">
        <f ca="1">science_cap*(1-EXP(-TblImps[[#This Row],[Σ Science]]/(science_param*(OFFSET(TblImps[[#This Row],[Land]],1,0)-OFFSET(TblExplore[[#This Row],[Land Bonus]],1,0)*20)+15000)))*(1+(mason_bonus*TblConstr[[#This Row],[Tot Mas]]/TblConstr[[#This Row],[Land (2)]]))</f>
        <v>0</v>
      </c>
      <c r="Z4" s="315">
        <f ca="1">keep_cap*(1-EXP(-TblImps[[#This Row],[Σ Keep]]/(keep_param*(OFFSET(TblImps[[#This Row],[Land]],1,0)-OFFSET(TblExplore[[#This Row],[Land Bonus]],1,0)*20)+15000)))*(1+(mason_bonus*TblConstr[[#This Row],[Tot Mas]]/TblConstr[[#This Row],[Land (2)]]))</f>
        <v>0</v>
      </c>
      <c r="AA4" s="315">
        <f ca="1">harbor_towers_cap*(1-EXP(-TblImps[[#This Row],[Σ Towers]]/(towers_param*(OFFSET(TblImps[[#This Row],[Land]],1,0)-OFFSET(TblExplore[[#This Row],[Land Bonus]],1,0)*20)+15000)))*(1+(mason_bonus*TblConstr[[#This Row],[Tot Mas]]/TblConstr[[#This Row],[Land (2)]]))</f>
        <v>0</v>
      </c>
      <c r="AB4" s="315">
        <f ca="1">walls_forges_cap*(1-EXP(-TblImps[[#This Row],[Σ Forges]]/(walls_forges_param*(OFFSET(TblImps[[#This Row],[Land]],1,0)-OFFSET(TblExplore[[#This Row],[Land Bonus]],1,0)*20)+15000)))*(1+(mason_bonus*TblConstr[[#This Row],[Tot Mas]]/TblConstr[[#This Row],[Land (2)]]))</f>
        <v>0</v>
      </c>
      <c r="AC4" s="315">
        <f ca="1">walls_forges_cap*(1-EXP(-TblImps[[#This Row],[Σ Walls]]/(walls_forges_param*(OFFSET(TblImps[[#This Row],[Land]],1,0)-OFFSET(TblExplore[[#This Row],[Land Bonus]],1,0)*20)+15000)))*(1+(mason_bonus*TblConstr[[#This Row],[Tot Mas]]/TblConstr[[#This Row],[Land (2)]]))</f>
        <v>0</v>
      </c>
      <c r="AD4" s="315">
        <f ca="1">harbor_towers_cap*(1-EXP(-TblImps[[#This Row],[Σ Irrigation]]/(harbor_towers_param*(OFFSET(TblImps[[#This Row],[Land]],1,0)-OFFSET(TblExplore[[#This Row],[Land Bonus]],1,0)*20)+15000)))*(1+(mason_bonus*TblConstr[[#This Row],[Tot Mas]]/TblConstr[[#This Row],[Land (2)]]))</f>
        <v>0</v>
      </c>
      <c r="AE4" s="150"/>
      <c r="AF4" s="316">
        <f>(1+Overview!$I$28)*SUM(TblImps[[#This Row],[P2]:[G2]])</f>
        <v>0</v>
      </c>
      <c r="AG4" s="316">
        <f>(1+Overview!$I$28)*SUM(TblImps[[#This Row],[P3]:[G3]])</f>
        <v>0</v>
      </c>
      <c r="AH4" s="316">
        <f>(1+Overview!$I$28 + tech_7_1*TblTech[[#This Row],[7-1]])*SUM(TblImps[[#This Row],[P4]:[G4]])</f>
        <v>0</v>
      </c>
      <c r="AI4" s="316">
        <f>(1+Overview!$I$28)*SUM(TblImps[[#This Row],[P5]:[G5]])</f>
        <v>0</v>
      </c>
      <c r="AJ4" s="316">
        <f>(1+Overview!$I$28)*SUM(TblImps[[#This Row],[P6]:[G6]])</f>
        <v>0</v>
      </c>
      <c r="AK4" s="316">
        <f>(1+Overview!$I$28 + tech_7_1*TblTech[[#This Row],[7-1]])*SUM(TblImps[[#This Row],[P7]:[G7]])</f>
        <v>0</v>
      </c>
      <c r="AL4" s="150"/>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50"/>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50"/>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50"/>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50"/>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50"/>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50"/>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50"/>
      <c r="BV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62">
        <f>TblImps[[#This Row],[Login]]</f>
        <v>0</v>
      </c>
      <c r="BX4" s="145"/>
      <c r="BY4" s="317">
        <f>Overview!E15</f>
        <v>44810.75</v>
      </c>
      <c r="BZ4" s="318">
        <f>Overview!B15</f>
        <v>44811</v>
      </c>
      <c r="CA4" s="57"/>
      <c r="CB4" s="319"/>
      <c r="CC4" s="320"/>
    </row>
    <row r="5" spans="1:84" x14ac:dyDescent="0.2">
      <c r="A5" s="230">
        <f ca="1">TblConstr[[#This Row],[Land]]</f>
        <v>250</v>
      </c>
      <c r="B5" s="150"/>
      <c r="C5" s="97">
        <f ca="1">TblProd[[#This Row],[Platinum]]</f>
        <v>104860</v>
      </c>
      <c r="D5" s="97">
        <f ca="1">TblProd[[#This Row],[Lumber]]</f>
        <v>15850</v>
      </c>
      <c r="E5" s="97">
        <f ca="1">TblProd[[#This Row],[Ore]]</f>
        <v>0</v>
      </c>
      <c r="F5" s="97">
        <f ca="1">TblProd[[#This Row],[Gems]]</f>
        <v>10000</v>
      </c>
      <c r="G5" s="162"/>
      <c r="H5" s="97">
        <f ca="1">TblMili[[#This Row],[Draftees]]</f>
        <v>113</v>
      </c>
      <c r="I5" s="188">
        <f ca="1">TblPop[[#This Row],[Employment]]</f>
        <v>1</v>
      </c>
      <c r="J5" s="188">
        <f ca="1">TblPop[[#This Row],[Total]]/TblPop[[#This Row],[Net max]]</f>
        <v>0.69508057675996604</v>
      </c>
      <c r="K5" s="311">
        <f>TblRezone[[#This Row],[Hour]]</f>
        <v>2</v>
      </c>
      <c r="L5" s="312">
        <f ca="1">TblImps[[#This Row],[Real time]]</f>
        <v>44810.791666666664</v>
      </c>
      <c r="M5" s="62">
        <f>IF(ISERROR(TblImps[[#This Row],[algorithm]]),0,TblImps[[#This Row],[algorithm]]*1)</f>
        <v>0</v>
      </c>
      <c r="N5" s="97">
        <f ca="1">TblImps[[#This Row],[Land]]</f>
        <v>250</v>
      </c>
      <c r="O5" s="313" t="s">
        <v>4</v>
      </c>
      <c r="P5" s="314"/>
      <c r="Q5" s="313" t="s">
        <v>216</v>
      </c>
      <c r="R5" s="313" t="s">
        <v>7</v>
      </c>
      <c r="S5" s="314"/>
      <c r="T5" s="313" t="s">
        <v>216</v>
      </c>
      <c r="U5" s="313" t="s">
        <v>3</v>
      </c>
      <c r="V5" s="314"/>
      <c r="W5" s="313" t="s">
        <v>216</v>
      </c>
      <c r="X5" s="150"/>
      <c r="Y5" s="315">
        <f ca="1">science_cap*(1-EXP(-TblImps[[#This Row],[Σ Science]]/(science_param*(OFFSET(TblImps[[#This Row],[Land]],1,0)-OFFSET(TblExplore[[#This Row],[Land Bonus]],1,0)*20)+15000)))*(1+(mason_bonus*TblConstr[[#This Row],[Tot Mas]]/TblConstr[[#This Row],[Land (2)]]))</f>
        <v>0</v>
      </c>
      <c r="Z5" s="315">
        <f ca="1">keep_cap*(1-EXP(-TblImps[[#This Row],[Σ Keep]]/(keep_param*(OFFSET(TblImps[[#This Row],[Land]],1,0)-OFFSET(TblExplore[[#This Row],[Land Bonus]],1,0)*20)+15000)))*(1+(mason_bonus*TblConstr[[#This Row],[Tot Mas]]/TblConstr[[#This Row],[Land (2)]]))</f>
        <v>0</v>
      </c>
      <c r="AA5" s="315">
        <f ca="1">harbor_towers_cap*(1-EXP(-TblImps[[#This Row],[Σ Towers]]/(towers_param*(OFFSET(TblImps[[#This Row],[Land]],1,0)-OFFSET(TblExplore[[#This Row],[Land Bonus]],1,0)*20)+15000)))*(1+(mason_bonus*TblConstr[[#This Row],[Tot Mas]]/TblConstr[[#This Row],[Land (2)]]))</f>
        <v>0</v>
      </c>
      <c r="AB5" s="315">
        <f ca="1">walls_forges_cap*(1-EXP(-TblImps[[#This Row],[Σ Forges]]/(walls_forges_param*(OFFSET(TblImps[[#This Row],[Land]],1,0)-OFFSET(TblExplore[[#This Row],[Land Bonus]],1,0)*20)+15000)))*(1+(mason_bonus*TblConstr[[#This Row],[Tot Mas]]/TblConstr[[#This Row],[Land (2)]]))</f>
        <v>0</v>
      </c>
      <c r="AC5" s="315">
        <f ca="1">walls_forges_cap*(1-EXP(-TblImps[[#This Row],[Σ Walls]]/(walls_forges_param*(OFFSET(TblImps[[#This Row],[Land]],1,0)-OFFSET(TblExplore[[#This Row],[Land Bonus]],1,0)*20)+15000)))*(1+(mason_bonus*TblConstr[[#This Row],[Tot Mas]]/TblConstr[[#This Row],[Land (2)]]))</f>
        <v>0</v>
      </c>
      <c r="AD5" s="315">
        <f ca="1">harbor_towers_cap*(1-EXP(-TblImps[[#This Row],[Σ Irrigation]]/(harbor_towers_param*(OFFSET(TblImps[[#This Row],[Land]],1,0)-OFFSET(TblExplore[[#This Row],[Land Bonus]],1,0)*20)+15000)))*(1+(mason_bonus*TblConstr[[#This Row],[Tot Mas]]/TblConstr[[#This Row],[Land (2)]]))</f>
        <v>0</v>
      </c>
      <c r="AE5" s="150"/>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50"/>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50"/>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50"/>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50"/>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50"/>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50"/>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50"/>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50"/>
      <c r="BV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62">
        <f>TblImps[[#This Row],[Login]]</f>
        <v>0</v>
      </c>
      <c r="BX5" s="145"/>
      <c r="BY5" s="321">
        <f ca="1">OFFSET(TblImps[[#This Row],[Real time]],-1,0)+1/24</f>
        <v>44810.791666666664</v>
      </c>
      <c r="BZ5" s="322">
        <f ca="1">OFFSET(TblImps[[#This Row],[Servertime]],-1,0)+1/24</f>
        <v>44811.041666666664</v>
      </c>
      <c r="CA5" s="57"/>
      <c r="CB5" s="320"/>
      <c r="CC5" s="320"/>
    </row>
    <row r="6" spans="1:84" x14ac:dyDescent="0.2">
      <c r="A6" s="230">
        <f ca="1">TblConstr[[#This Row],[Land]]</f>
        <v>250</v>
      </c>
      <c r="B6" s="150"/>
      <c r="C6" s="97">
        <f ca="1">TblProd[[#This Row],[Platinum]]</f>
        <v>109790</v>
      </c>
      <c r="D6" s="97">
        <f ca="1">TblProd[[#This Row],[Lumber]]</f>
        <v>16692</v>
      </c>
      <c r="E6" s="97">
        <f ca="1">TblProd[[#This Row],[Ore]]</f>
        <v>0</v>
      </c>
      <c r="F6" s="97">
        <f ca="1">TblProd[[#This Row],[Gems]]</f>
        <v>10000</v>
      </c>
      <c r="G6" s="162"/>
      <c r="H6" s="97">
        <f ca="1">TblMili[[#This Row],[Draftees]]</f>
        <v>126</v>
      </c>
      <c r="I6" s="188">
        <f ca="1">TblPop[[#This Row],[Employment]]</f>
        <v>1</v>
      </c>
      <c r="J6" s="188">
        <f ca="1">TblPop[[#This Row],[Total]]/TblPop[[#This Row],[Net max]]</f>
        <v>0.71162001696352839</v>
      </c>
      <c r="K6" s="311">
        <f>TblRezone[[#This Row],[Hour]]</f>
        <v>3</v>
      </c>
      <c r="L6" s="312">
        <f ca="1">TblImps[[#This Row],[Real time]]</f>
        <v>44810.833333333328</v>
      </c>
      <c r="M6" s="62">
        <f>IF(ISERROR(TblImps[[#This Row],[algorithm]]),0,TblImps[[#This Row],[algorithm]]*1)</f>
        <v>0</v>
      </c>
      <c r="N6" s="97">
        <f ca="1">TblImps[[#This Row],[Land]]</f>
        <v>250</v>
      </c>
      <c r="O6" s="313" t="s">
        <v>4</v>
      </c>
      <c r="P6" s="314"/>
      <c r="Q6" s="313" t="s">
        <v>216</v>
      </c>
      <c r="R6" s="313" t="s">
        <v>7</v>
      </c>
      <c r="S6" s="314"/>
      <c r="T6" s="313" t="s">
        <v>216</v>
      </c>
      <c r="U6" s="313" t="s">
        <v>3</v>
      </c>
      <c r="V6" s="314"/>
      <c r="W6" s="313" t="s">
        <v>216</v>
      </c>
      <c r="X6" s="150"/>
      <c r="Y6" s="315">
        <f ca="1">science_cap*(1-EXP(-TblImps[[#This Row],[Σ Science]]/(science_param*(OFFSET(TblImps[[#This Row],[Land]],1,0)-OFFSET(TblExplore[[#This Row],[Land Bonus]],1,0)*20)+15000)))*(1+(mason_bonus*TblConstr[[#This Row],[Tot Mas]]/TblConstr[[#This Row],[Land (2)]]))</f>
        <v>0</v>
      </c>
      <c r="Z6" s="315">
        <f ca="1">keep_cap*(1-EXP(-TblImps[[#This Row],[Σ Keep]]/(keep_param*(OFFSET(TblImps[[#This Row],[Land]],1,0)-OFFSET(TblExplore[[#This Row],[Land Bonus]],1,0)*20)+15000)))*(1+(mason_bonus*TblConstr[[#This Row],[Tot Mas]]/TblConstr[[#This Row],[Land (2)]]))</f>
        <v>0</v>
      </c>
      <c r="AA6" s="315">
        <f ca="1">harbor_towers_cap*(1-EXP(-TblImps[[#This Row],[Σ Towers]]/(towers_param*(OFFSET(TblImps[[#This Row],[Land]],1,0)-OFFSET(TblExplore[[#This Row],[Land Bonus]],1,0)*20)+15000)))*(1+(mason_bonus*TblConstr[[#This Row],[Tot Mas]]/TblConstr[[#This Row],[Land (2)]]))</f>
        <v>0</v>
      </c>
      <c r="AB6" s="315">
        <f ca="1">walls_forges_cap*(1-EXP(-TblImps[[#This Row],[Σ Forges]]/(walls_forges_param*(OFFSET(TblImps[[#This Row],[Land]],1,0)-OFFSET(TblExplore[[#This Row],[Land Bonus]],1,0)*20)+15000)))*(1+(mason_bonus*TblConstr[[#This Row],[Tot Mas]]/TblConstr[[#This Row],[Land (2)]]))</f>
        <v>0</v>
      </c>
      <c r="AC6" s="315">
        <f ca="1">walls_forges_cap*(1-EXP(-TblImps[[#This Row],[Σ Walls]]/(walls_forges_param*(OFFSET(TblImps[[#This Row],[Land]],1,0)-OFFSET(TblExplore[[#This Row],[Land Bonus]],1,0)*20)+15000)))*(1+(mason_bonus*TblConstr[[#This Row],[Tot Mas]]/TblConstr[[#This Row],[Land (2)]]))</f>
        <v>0</v>
      </c>
      <c r="AD6" s="315">
        <f ca="1">harbor_towers_cap*(1-EXP(-TblImps[[#This Row],[Σ Irrigation]]/(harbor_towers_param*(OFFSET(TblImps[[#This Row],[Land]],1,0)-OFFSET(TblExplore[[#This Row],[Land Bonus]],1,0)*20)+15000)))*(1+(mason_bonus*TblConstr[[#This Row],[Tot Mas]]/TblConstr[[#This Row],[Land (2)]]))</f>
        <v>0</v>
      </c>
      <c r="AE6" s="150"/>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50"/>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50"/>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50"/>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50"/>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50"/>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50"/>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50"/>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50"/>
      <c r="BV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62">
        <f>TblImps[[#This Row],[Login]]</f>
        <v>0</v>
      </c>
      <c r="BX6" s="145"/>
      <c r="BY6" s="321">
        <f ca="1">OFFSET(TblImps[[#This Row],[Real time]],-1,0)+1/24</f>
        <v>44810.833333333328</v>
      </c>
      <c r="BZ6" s="322">
        <f ca="1">OFFSET(TblImps[[#This Row],[Servertime]],-1,0)+1/24</f>
        <v>44811.083333333328</v>
      </c>
      <c r="CA6" s="57"/>
      <c r="CB6" s="320"/>
      <c r="CC6" s="320"/>
      <c r="CF6" s="323"/>
    </row>
    <row r="7" spans="1:84" x14ac:dyDescent="0.2">
      <c r="A7" s="230">
        <f ca="1">TblConstr[[#This Row],[Land]]</f>
        <v>250</v>
      </c>
      <c r="B7" s="150"/>
      <c r="C7" s="97">
        <f ca="1">TblProd[[#This Row],[Platinum]]</f>
        <v>114790</v>
      </c>
      <c r="D7" s="97">
        <f ca="1">TblProd[[#This Row],[Lumber]]</f>
        <v>17525</v>
      </c>
      <c r="E7" s="97">
        <f ca="1">TblProd[[#This Row],[Ore]]</f>
        <v>0</v>
      </c>
      <c r="F7" s="97">
        <f ca="1">TblProd[[#This Row],[Gems]]</f>
        <v>10000</v>
      </c>
      <c r="G7" s="162"/>
      <c r="H7" s="97">
        <f ca="1">TblMili[[#This Row],[Draftees]]</f>
        <v>140</v>
      </c>
      <c r="I7" s="188">
        <f ca="1">TblPop[[#This Row],[Employment]]</f>
        <v>1</v>
      </c>
      <c r="J7" s="188">
        <f ca="1">TblPop[[#This Row],[Total]]/TblPop[[#This Row],[Net max]]</f>
        <v>0.72858354537743852</v>
      </c>
      <c r="K7" s="311">
        <f>TblRezone[[#This Row],[Hour]]</f>
        <v>4</v>
      </c>
      <c r="L7" s="312">
        <f ca="1">TblImps[[#This Row],[Real time]]</f>
        <v>44810.874999999993</v>
      </c>
      <c r="M7" s="62">
        <f>IF(ISERROR(TblImps[[#This Row],[algorithm]]),0,TblImps[[#This Row],[algorithm]]*1)</f>
        <v>0</v>
      </c>
      <c r="N7" s="97">
        <f ca="1">TblImps[[#This Row],[Land]]</f>
        <v>250</v>
      </c>
      <c r="O7" s="313" t="s">
        <v>4</v>
      </c>
      <c r="P7" s="314"/>
      <c r="Q7" s="313" t="s">
        <v>216</v>
      </c>
      <c r="R7" s="313" t="s">
        <v>7</v>
      </c>
      <c r="S7" s="314"/>
      <c r="T7" s="313" t="s">
        <v>216</v>
      </c>
      <c r="U7" s="313" t="s">
        <v>3</v>
      </c>
      <c r="V7" s="314"/>
      <c r="W7" s="313" t="s">
        <v>216</v>
      </c>
      <c r="X7" s="150"/>
      <c r="Y7" s="315">
        <f ca="1">science_cap*(1-EXP(-TblImps[[#This Row],[Σ Science]]/(science_param*(OFFSET(TblImps[[#This Row],[Land]],1,0)-OFFSET(TblExplore[[#This Row],[Land Bonus]],1,0)*20)+15000)))*(1+(mason_bonus*TblConstr[[#This Row],[Tot Mas]]/TblConstr[[#This Row],[Land (2)]]))</f>
        <v>0</v>
      </c>
      <c r="Z7" s="315">
        <f ca="1">keep_cap*(1-EXP(-TblImps[[#This Row],[Σ Keep]]/(keep_param*(OFFSET(TblImps[[#This Row],[Land]],1,0)-OFFSET(TblExplore[[#This Row],[Land Bonus]],1,0)*20)+15000)))*(1+(mason_bonus*TblConstr[[#This Row],[Tot Mas]]/TblConstr[[#This Row],[Land (2)]]))</f>
        <v>0</v>
      </c>
      <c r="AA7" s="315">
        <f ca="1">harbor_towers_cap*(1-EXP(-TblImps[[#This Row],[Σ Towers]]/(towers_param*(OFFSET(TblImps[[#This Row],[Land]],1,0)-OFFSET(TblExplore[[#This Row],[Land Bonus]],1,0)*20)+15000)))*(1+(mason_bonus*TblConstr[[#This Row],[Tot Mas]]/TblConstr[[#This Row],[Land (2)]]))</f>
        <v>0</v>
      </c>
      <c r="AB7" s="315">
        <f ca="1">walls_forges_cap*(1-EXP(-TblImps[[#This Row],[Σ Forges]]/(walls_forges_param*(OFFSET(TblImps[[#This Row],[Land]],1,0)-OFFSET(TblExplore[[#This Row],[Land Bonus]],1,0)*20)+15000)))*(1+(mason_bonus*TblConstr[[#This Row],[Tot Mas]]/TblConstr[[#This Row],[Land (2)]]))</f>
        <v>0</v>
      </c>
      <c r="AC7" s="315">
        <f ca="1">walls_forges_cap*(1-EXP(-TblImps[[#This Row],[Σ Walls]]/(walls_forges_param*(OFFSET(TblImps[[#This Row],[Land]],1,0)-OFFSET(TblExplore[[#This Row],[Land Bonus]],1,0)*20)+15000)))*(1+(mason_bonus*TblConstr[[#This Row],[Tot Mas]]/TblConstr[[#This Row],[Land (2)]]))</f>
        <v>0</v>
      </c>
      <c r="AD7" s="315">
        <f ca="1">harbor_towers_cap*(1-EXP(-TblImps[[#This Row],[Σ Irrigation]]/(harbor_towers_param*(OFFSET(TblImps[[#This Row],[Land]],1,0)-OFFSET(TblExplore[[#This Row],[Land Bonus]],1,0)*20)+15000)))*(1+(mason_bonus*TblConstr[[#This Row],[Tot Mas]]/TblConstr[[#This Row],[Land (2)]]))</f>
        <v>0</v>
      </c>
      <c r="AE7" s="150"/>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50"/>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50"/>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50"/>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50"/>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50"/>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50"/>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50"/>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50"/>
      <c r="BV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62">
        <f>TblImps[[#This Row],[Login]]</f>
        <v>0</v>
      </c>
      <c r="BX7" s="145"/>
      <c r="BY7" s="321">
        <f ca="1">OFFSET(TblImps[[#This Row],[Real time]],-1,0)+1/24</f>
        <v>44810.874999999993</v>
      </c>
      <c r="BZ7" s="322">
        <f ca="1">OFFSET(TblImps[[#This Row],[Servertime]],-1,0)+1/24</f>
        <v>44811.124999999993</v>
      </c>
      <c r="CA7" s="57"/>
      <c r="CB7" s="320"/>
      <c r="CC7" s="320"/>
      <c r="CF7" s="324"/>
    </row>
    <row r="8" spans="1:84" x14ac:dyDescent="0.2">
      <c r="A8" s="230">
        <f ca="1">TblConstr[[#This Row],[Land]]</f>
        <v>250</v>
      </c>
      <c r="B8" s="150"/>
      <c r="C8" s="97">
        <f ca="1">TblProd[[#This Row],[Platinum]]</f>
        <v>119860</v>
      </c>
      <c r="D8" s="97">
        <f ca="1">TblProd[[#This Row],[Lumber]]</f>
        <v>18350</v>
      </c>
      <c r="E8" s="97">
        <f ca="1">TblProd[[#This Row],[Ore]]</f>
        <v>0</v>
      </c>
      <c r="F8" s="97">
        <f ca="1">TblProd[[#This Row],[Gems]]</f>
        <v>10000</v>
      </c>
      <c r="G8" s="162"/>
      <c r="H8" s="97">
        <f ca="1">TblMili[[#This Row],[Draftees]]</f>
        <v>154</v>
      </c>
      <c r="I8" s="188">
        <f ca="1">TblPop[[#This Row],[Employment]]</f>
        <v>1</v>
      </c>
      <c r="J8" s="188">
        <f ca="1">TblPop[[#This Row],[Total]]/TblPop[[#This Row],[Net max]]</f>
        <v>0.74597116200169633</v>
      </c>
      <c r="K8" s="311">
        <f>TblRezone[[#This Row],[Hour]]</f>
        <v>5</v>
      </c>
      <c r="L8" s="312">
        <f ca="1">TblImps[[#This Row],[Real time]]</f>
        <v>44810.916666666657</v>
      </c>
      <c r="M8" s="62">
        <f>IF(ISERROR(TblImps[[#This Row],[algorithm]]),0,TblImps[[#This Row],[algorithm]]*1)</f>
        <v>0</v>
      </c>
      <c r="N8" s="97">
        <f ca="1">TblImps[[#This Row],[Land]]</f>
        <v>250</v>
      </c>
      <c r="O8" s="313" t="s">
        <v>4</v>
      </c>
      <c r="P8" s="314"/>
      <c r="Q8" s="313" t="s">
        <v>216</v>
      </c>
      <c r="R8" s="313" t="s">
        <v>7</v>
      </c>
      <c r="S8" s="314"/>
      <c r="T8" s="313" t="s">
        <v>216</v>
      </c>
      <c r="U8" s="313" t="s">
        <v>3</v>
      </c>
      <c r="V8" s="314"/>
      <c r="W8" s="313" t="s">
        <v>216</v>
      </c>
      <c r="X8" s="150"/>
      <c r="Y8" s="315">
        <f ca="1">science_cap*(1-EXP(-TblImps[[#This Row],[Σ Science]]/(science_param*(OFFSET(TblImps[[#This Row],[Land]],1,0)-OFFSET(TblExplore[[#This Row],[Land Bonus]],1,0)*20)+15000)))*(1+(mason_bonus*TblConstr[[#This Row],[Tot Mas]]/TblConstr[[#This Row],[Land (2)]]))</f>
        <v>0</v>
      </c>
      <c r="Z8" s="315">
        <f ca="1">keep_cap*(1-EXP(-TblImps[[#This Row],[Σ Keep]]/(keep_param*(OFFSET(TblImps[[#This Row],[Land]],1,0)-OFFSET(TblExplore[[#This Row],[Land Bonus]],1,0)*20)+15000)))*(1+(mason_bonus*TblConstr[[#This Row],[Tot Mas]]/TblConstr[[#This Row],[Land (2)]]))</f>
        <v>0</v>
      </c>
      <c r="AA8" s="315">
        <f ca="1">harbor_towers_cap*(1-EXP(-TblImps[[#This Row],[Σ Towers]]/(towers_param*(OFFSET(TblImps[[#This Row],[Land]],1,0)-OFFSET(TblExplore[[#This Row],[Land Bonus]],1,0)*20)+15000)))*(1+(mason_bonus*TblConstr[[#This Row],[Tot Mas]]/TblConstr[[#This Row],[Land (2)]]))</f>
        <v>0</v>
      </c>
      <c r="AB8" s="315">
        <f ca="1">walls_forges_cap*(1-EXP(-TblImps[[#This Row],[Σ Forges]]/(walls_forges_param*(OFFSET(TblImps[[#This Row],[Land]],1,0)-OFFSET(TblExplore[[#This Row],[Land Bonus]],1,0)*20)+15000)))*(1+(mason_bonus*TblConstr[[#This Row],[Tot Mas]]/TblConstr[[#This Row],[Land (2)]]))</f>
        <v>0</v>
      </c>
      <c r="AC8" s="315">
        <f ca="1">walls_forges_cap*(1-EXP(-TblImps[[#This Row],[Σ Walls]]/(walls_forges_param*(OFFSET(TblImps[[#This Row],[Land]],1,0)-OFFSET(TblExplore[[#This Row],[Land Bonus]],1,0)*20)+15000)))*(1+(mason_bonus*TblConstr[[#This Row],[Tot Mas]]/TblConstr[[#This Row],[Land (2)]]))</f>
        <v>0</v>
      </c>
      <c r="AD8" s="315">
        <f ca="1">harbor_towers_cap*(1-EXP(-TblImps[[#This Row],[Σ Irrigation]]/(harbor_towers_param*(OFFSET(TblImps[[#This Row],[Land]],1,0)-OFFSET(TblExplore[[#This Row],[Land Bonus]],1,0)*20)+15000)))*(1+(mason_bonus*TblConstr[[#This Row],[Tot Mas]]/TblConstr[[#This Row],[Land (2)]]))</f>
        <v>0</v>
      </c>
      <c r="AE8" s="150"/>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50"/>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50"/>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50"/>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50"/>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50"/>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50"/>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50"/>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50"/>
      <c r="BV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62">
        <f>TblImps[[#This Row],[Login]]</f>
        <v>0</v>
      </c>
      <c r="BX8" s="145"/>
      <c r="BY8" s="321">
        <f ca="1">OFFSET(TblImps[[#This Row],[Real time]],-1,0)+1/24</f>
        <v>44810.916666666657</v>
      </c>
      <c r="BZ8" s="322">
        <f ca="1">OFFSET(TblImps[[#This Row],[Servertime]],-1,0)+1/24</f>
        <v>44811.166666666657</v>
      </c>
      <c r="CA8" s="57"/>
      <c r="CB8" s="320"/>
      <c r="CC8" s="320"/>
      <c r="CF8" s="323"/>
    </row>
    <row r="9" spans="1:84" x14ac:dyDescent="0.2">
      <c r="A9" s="230">
        <f ca="1">TblConstr[[#This Row],[Land]]</f>
        <v>250</v>
      </c>
      <c r="B9" s="150"/>
      <c r="C9" s="97">
        <f ca="1">TblProd[[#This Row],[Platinum]]</f>
        <v>125003</v>
      </c>
      <c r="D9" s="97">
        <f ca="1">TblProd[[#This Row],[Lumber]]</f>
        <v>19167</v>
      </c>
      <c r="E9" s="97">
        <f ca="1">TblProd[[#This Row],[Ore]]</f>
        <v>0</v>
      </c>
      <c r="F9" s="97">
        <f ca="1">TblProd[[#This Row],[Gems]]</f>
        <v>10000</v>
      </c>
      <c r="G9" s="162"/>
      <c r="H9" s="97">
        <f ca="1">TblMili[[#This Row],[Draftees]]</f>
        <v>168</v>
      </c>
      <c r="I9" s="188">
        <f ca="1">TblPop[[#This Row],[Employment]]</f>
        <v>1</v>
      </c>
      <c r="J9" s="188">
        <f ca="1">TblPop[[#This Row],[Total]]/TblPop[[#This Row],[Net max]]</f>
        <v>0.76378286683630192</v>
      </c>
      <c r="K9" s="311">
        <f>TblRezone[[#This Row],[Hour]]</f>
        <v>6</v>
      </c>
      <c r="L9" s="312">
        <f ca="1">TblImps[[#This Row],[Real time]]</f>
        <v>44810.958333333321</v>
      </c>
      <c r="M9" s="62">
        <f>IF(ISERROR(TblImps[[#This Row],[algorithm]]),0,TblImps[[#This Row],[algorithm]]*1)</f>
        <v>0</v>
      </c>
      <c r="N9" s="97">
        <f ca="1">TblImps[[#This Row],[Land]]</f>
        <v>250</v>
      </c>
      <c r="O9" s="313" t="s">
        <v>4</v>
      </c>
      <c r="P9" s="314"/>
      <c r="Q9" s="313" t="s">
        <v>216</v>
      </c>
      <c r="R9" s="313" t="s">
        <v>7</v>
      </c>
      <c r="S9" s="314"/>
      <c r="T9" s="313" t="s">
        <v>216</v>
      </c>
      <c r="U9" s="313" t="s">
        <v>3</v>
      </c>
      <c r="V9" s="314"/>
      <c r="W9" s="313" t="s">
        <v>216</v>
      </c>
      <c r="X9" s="150"/>
      <c r="Y9" s="315">
        <f ca="1">science_cap*(1-EXP(-TblImps[[#This Row],[Σ Science]]/(science_param*(OFFSET(TblImps[[#This Row],[Land]],1,0)-OFFSET(TblExplore[[#This Row],[Land Bonus]],1,0)*20)+15000)))*(1+(mason_bonus*TblConstr[[#This Row],[Tot Mas]]/TblConstr[[#This Row],[Land (2)]]))</f>
        <v>0</v>
      </c>
      <c r="Z9" s="315">
        <f ca="1">keep_cap*(1-EXP(-TblImps[[#This Row],[Σ Keep]]/(keep_param*(OFFSET(TblImps[[#This Row],[Land]],1,0)-OFFSET(TblExplore[[#This Row],[Land Bonus]],1,0)*20)+15000)))*(1+(mason_bonus*TblConstr[[#This Row],[Tot Mas]]/TblConstr[[#This Row],[Land (2)]]))</f>
        <v>0</v>
      </c>
      <c r="AA9" s="315">
        <f ca="1">harbor_towers_cap*(1-EXP(-TblImps[[#This Row],[Σ Towers]]/(towers_param*(OFFSET(TblImps[[#This Row],[Land]],1,0)-OFFSET(TblExplore[[#This Row],[Land Bonus]],1,0)*20)+15000)))*(1+(mason_bonus*TblConstr[[#This Row],[Tot Mas]]/TblConstr[[#This Row],[Land (2)]]))</f>
        <v>0</v>
      </c>
      <c r="AB9" s="315">
        <f ca="1">walls_forges_cap*(1-EXP(-TblImps[[#This Row],[Σ Forges]]/(walls_forges_param*(OFFSET(TblImps[[#This Row],[Land]],1,0)-OFFSET(TblExplore[[#This Row],[Land Bonus]],1,0)*20)+15000)))*(1+(mason_bonus*TblConstr[[#This Row],[Tot Mas]]/TblConstr[[#This Row],[Land (2)]]))</f>
        <v>0</v>
      </c>
      <c r="AC9" s="315">
        <f ca="1">walls_forges_cap*(1-EXP(-TblImps[[#This Row],[Σ Walls]]/(walls_forges_param*(OFFSET(TblImps[[#This Row],[Land]],1,0)-OFFSET(TblExplore[[#This Row],[Land Bonus]],1,0)*20)+15000)))*(1+(mason_bonus*TblConstr[[#This Row],[Tot Mas]]/TblConstr[[#This Row],[Land (2)]]))</f>
        <v>0</v>
      </c>
      <c r="AD9" s="315">
        <f ca="1">harbor_towers_cap*(1-EXP(-TblImps[[#This Row],[Σ Irrigation]]/(harbor_towers_param*(OFFSET(TblImps[[#This Row],[Land]],1,0)-OFFSET(TblExplore[[#This Row],[Land Bonus]],1,0)*20)+15000)))*(1+(mason_bonus*TblConstr[[#This Row],[Tot Mas]]/TblConstr[[#This Row],[Land (2)]]))</f>
        <v>0</v>
      </c>
      <c r="AE9" s="150"/>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50"/>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50"/>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50"/>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50"/>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50"/>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50"/>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50"/>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50"/>
      <c r="BV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62">
        <f>TblImps[[#This Row],[Login]]</f>
        <v>0</v>
      </c>
      <c r="BX9" s="145"/>
      <c r="BY9" s="321">
        <f ca="1">OFFSET(TblImps[[#This Row],[Real time]],-1,0)+1/24</f>
        <v>44810.958333333321</v>
      </c>
      <c r="BZ9" s="322">
        <f ca="1">OFFSET(TblImps[[#This Row],[Servertime]],-1,0)+1/24</f>
        <v>44811.208333333321</v>
      </c>
      <c r="CA9" s="57"/>
      <c r="CB9" s="320"/>
      <c r="CC9" s="320"/>
      <c r="CF9" s="323"/>
    </row>
    <row r="10" spans="1:84" x14ac:dyDescent="0.2">
      <c r="A10" s="230">
        <f ca="1">TblConstr[[#This Row],[Land]]</f>
        <v>250</v>
      </c>
      <c r="B10" s="150"/>
      <c r="C10" s="97">
        <f ca="1">TblProd[[#This Row],[Platinum]]</f>
        <v>130222</v>
      </c>
      <c r="D10" s="97">
        <f ca="1">TblProd[[#This Row],[Lumber]]</f>
        <v>19975</v>
      </c>
      <c r="E10" s="97">
        <f ca="1">TblProd[[#This Row],[Ore]]</f>
        <v>0</v>
      </c>
      <c r="F10" s="97">
        <f ca="1">TblProd[[#This Row],[Gems]]</f>
        <v>10000</v>
      </c>
      <c r="G10" s="162"/>
      <c r="H10" s="97">
        <f ca="1">TblMili[[#This Row],[Draftees]]</f>
        <v>182</v>
      </c>
      <c r="I10" s="188">
        <f ca="1">TblPop[[#This Row],[Employment]]</f>
        <v>1</v>
      </c>
      <c r="J10" s="188">
        <f ca="1">TblPop[[#This Row],[Total]]/TblPop[[#This Row],[Net max]]</f>
        <v>0.7820186598812553</v>
      </c>
      <c r="K10" s="311">
        <f>TblRezone[[#This Row],[Hour]]</f>
        <v>7</v>
      </c>
      <c r="L10" s="312">
        <f ca="1">TblImps[[#This Row],[Real time]]</f>
        <v>44810.999999999985</v>
      </c>
      <c r="M10" s="62">
        <f>IF(ISERROR(TblImps[[#This Row],[algorithm]]),0,TblImps[[#This Row],[algorithm]]*1)</f>
        <v>0</v>
      </c>
      <c r="N10" s="97">
        <f ca="1">TblImps[[#This Row],[Land]]</f>
        <v>250</v>
      </c>
      <c r="O10" s="313" t="s">
        <v>4</v>
      </c>
      <c r="P10" s="314"/>
      <c r="Q10" s="313" t="s">
        <v>216</v>
      </c>
      <c r="R10" s="313" t="s">
        <v>7</v>
      </c>
      <c r="S10" s="314"/>
      <c r="T10" s="313" t="s">
        <v>216</v>
      </c>
      <c r="U10" s="313" t="s">
        <v>3</v>
      </c>
      <c r="V10" s="314"/>
      <c r="W10" s="313" t="s">
        <v>216</v>
      </c>
      <c r="X10" s="150"/>
      <c r="Y10" s="315">
        <f ca="1">science_cap*(1-EXP(-TblImps[[#This Row],[Σ Science]]/(science_param*(OFFSET(TblImps[[#This Row],[Land]],1,0)-OFFSET(TblExplore[[#This Row],[Land Bonus]],1,0)*20)+15000)))*(1+(mason_bonus*TblConstr[[#This Row],[Tot Mas]]/TblConstr[[#This Row],[Land (2)]]))</f>
        <v>0</v>
      </c>
      <c r="Z10" s="315">
        <f ca="1">keep_cap*(1-EXP(-TblImps[[#This Row],[Σ Keep]]/(keep_param*(OFFSET(TblImps[[#This Row],[Land]],1,0)-OFFSET(TblExplore[[#This Row],[Land Bonus]],1,0)*20)+15000)))*(1+(mason_bonus*TblConstr[[#This Row],[Tot Mas]]/TblConstr[[#This Row],[Land (2)]]))</f>
        <v>0</v>
      </c>
      <c r="AA10" s="315">
        <f ca="1">harbor_towers_cap*(1-EXP(-TblImps[[#This Row],[Σ Towers]]/(towers_param*(OFFSET(TblImps[[#This Row],[Land]],1,0)-OFFSET(TblExplore[[#This Row],[Land Bonus]],1,0)*20)+15000)))*(1+(mason_bonus*TblConstr[[#This Row],[Tot Mas]]/TblConstr[[#This Row],[Land (2)]]))</f>
        <v>0</v>
      </c>
      <c r="AB10" s="315">
        <f ca="1">walls_forges_cap*(1-EXP(-TblImps[[#This Row],[Σ Forges]]/(walls_forges_param*(OFFSET(TblImps[[#This Row],[Land]],1,0)-OFFSET(TblExplore[[#This Row],[Land Bonus]],1,0)*20)+15000)))*(1+(mason_bonus*TblConstr[[#This Row],[Tot Mas]]/TblConstr[[#This Row],[Land (2)]]))</f>
        <v>0</v>
      </c>
      <c r="AC10" s="315">
        <f ca="1">walls_forges_cap*(1-EXP(-TblImps[[#This Row],[Σ Walls]]/(walls_forges_param*(OFFSET(TblImps[[#This Row],[Land]],1,0)-OFFSET(TblExplore[[#This Row],[Land Bonus]],1,0)*20)+15000)))*(1+(mason_bonus*TblConstr[[#This Row],[Tot Mas]]/TblConstr[[#This Row],[Land (2)]]))</f>
        <v>0</v>
      </c>
      <c r="AD10" s="315">
        <f ca="1">harbor_towers_cap*(1-EXP(-TblImps[[#This Row],[Σ Irrigation]]/(harbor_towers_param*(OFFSET(TblImps[[#This Row],[Land]],1,0)-OFFSET(TblExplore[[#This Row],[Land Bonus]],1,0)*20)+15000)))*(1+(mason_bonus*TblConstr[[#This Row],[Tot Mas]]/TblConstr[[#This Row],[Land (2)]]))</f>
        <v>0</v>
      </c>
      <c r="AE10" s="150"/>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50"/>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50"/>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50"/>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50"/>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50"/>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50"/>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50"/>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50"/>
      <c r="BV1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62">
        <f>TblImps[[#This Row],[Login]]</f>
        <v>0</v>
      </c>
      <c r="BX10" s="145"/>
      <c r="BY10" s="321">
        <f ca="1">OFFSET(TblImps[[#This Row],[Real time]],-1,0)+1/24</f>
        <v>44810.999999999985</v>
      </c>
      <c r="BZ10" s="322">
        <f ca="1">OFFSET(TblImps[[#This Row],[Servertime]],-1,0)+1/24</f>
        <v>44811.249999999985</v>
      </c>
      <c r="CA10" s="57"/>
      <c r="CB10" s="320"/>
      <c r="CC10" s="320"/>
    </row>
    <row r="11" spans="1:84" x14ac:dyDescent="0.2">
      <c r="A11" s="230">
        <f ca="1">TblConstr[[#This Row],[Land]]</f>
        <v>250</v>
      </c>
      <c r="B11" s="150"/>
      <c r="C11" s="97">
        <f ca="1">TblProd[[#This Row],[Platinum]]</f>
        <v>135519</v>
      </c>
      <c r="D11" s="97">
        <f ca="1">TblProd[[#This Row],[Lumber]]</f>
        <v>20775</v>
      </c>
      <c r="E11" s="97">
        <f ca="1">TblProd[[#This Row],[Ore]]</f>
        <v>0</v>
      </c>
      <c r="F11" s="97">
        <f ca="1">TblProd[[#This Row],[Gems]]</f>
        <v>10000</v>
      </c>
      <c r="G11" s="162"/>
      <c r="H11" s="97">
        <f ca="1">TblMili[[#This Row],[Draftees]]</f>
        <v>197</v>
      </c>
      <c r="I11" s="188">
        <f ca="1">TblPop[[#This Row],[Employment]]</f>
        <v>1</v>
      </c>
      <c r="J11" s="188">
        <f ca="1">TblPop[[#This Row],[Total]]/TblPop[[#This Row],[Net max]]</f>
        <v>0.80025445292620867</v>
      </c>
      <c r="K11" s="311">
        <f>TblRezone[[#This Row],[Hour]]</f>
        <v>8</v>
      </c>
      <c r="L11" s="312">
        <f ca="1">TblImps[[#This Row],[Real time]]</f>
        <v>44811.04166666665</v>
      </c>
      <c r="M11" s="62">
        <f>IF(ISERROR(TblImps[[#This Row],[algorithm]]),0,TblImps[[#This Row],[algorithm]]*1)</f>
        <v>0</v>
      </c>
      <c r="N11" s="97">
        <f ca="1">TblImps[[#This Row],[Land]]</f>
        <v>250</v>
      </c>
      <c r="O11" s="313" t="s">
        <v>4</v>
      </c>
      <c r="P11" s="314"/>
      <c r="Q11" s="313" t="s">
        <v>216</v>
      </c>
      <c r="R11" s="313" t="s">
        <v>7</v>
      </c>
      <c r="S11" s="314"/>
      <c r="T11" s="313" t="s">
        <v>216</v>
      </c>
      <c r="U11" s="313" t="s">
        <v>3</v>
      </c>
      <c r="V11" s="314"/>
      <c r="W11" s="313" t="s">
        <v>216</v>
      </c>
      <c r="X11" s="150"/>
      <c r="Y11" s="315">
        <f ca="1">science_cap*(1-EXP(-TblImps[[#This Row],[Σ Science]]/(science_param*(OFFSET(TblImps[[#This Row],[Land]],1,0)-OFFSET(TblExplore[[#This Row],[Land Bonus]],1,0)*20)+15000)))*(1+(mason_bonus*TblConstr[[#This Row],[Tot Mas]]/TblConstr[[#This Row],[Land (2)]]))</f>
        <v>0</v>
      </c>
      <c r="Z11" s="315">
        <f ca="1">keep_cap*(1-EXP(-TblImps[[#This Row],[Σ Keep]]/(keep_param*(OFFSET(TblImps[[#This Row],[Land]],1,0)-OFFSET(TblExplore[[#This Row],[Land Bonus]],1,0)*20)+15000)))*(1+(mason_bonus*TblConstr[[#This Row],[Tot Mas]]/TblConstr[[#This Row],[Land (2)]]))</f>
        <v>0</v>
      </c>
      <c r="AA11" s="315">
        <f ca="1">harbor_towers_cap*(1-EXP(-TblImps[[#This Row],[Σ Towers]]/(towers_param*(OFFSET(TblImps[[#This Row],[Land]],1,0)-OFFSET(TblExplore[[#This Row],[Land Bonus]],1,0)*20)+15000)))*(1+(mason_bonus*TblConstr[[#This Row],[Tot Mas]]/TblConstr[[#This Row],[Land (2)]]))</f>
        <v>0</v>
      </c>
      <c r="AB11" s="315">
        <f ca="1">walls_forges_cap*(1-EXP(-TblImps[[#This Row],[Σ Forges]]/(walls_forges_param*(OFFSET(TblImps[[#This Row],[Land]],1,0)-OFFSET(TblExplore[[#This Row],[Land Bonus]],1,0)*20)+15000)))*(1+(mason_bonus*TblConstr[[#This Row],[Tot Mas]]/TblConstr[[#This Row],[Land (2)]]))</f>
        <v>0</v>
      </c>
      <c r="AC11" s="315">
        <f ca="1">walls_forges_cap*(1-EXP(-TblImps[[#This Row],[Σ Walls]]/(walls_forges_param*(OFFSET(TblImps[[#This Row],[Land]],1,0)-OFFSET(TblExplore[[#This Row],[Land Bonus]],1,0)*20)+15000)))*(1+(mason_bonus*TblConstr[[#This Row],[Tot Mas]]/TblConstr[[#This Row],[Land (2)]]))</f>
        <v>0</v>
      </c>
      <c r="AD11" s="315">
        <f ca="1">harbor_towers_cap*(1-EXP(-TblImps[[#This Row],[Σ Irrigation]]/(harbor_towers_param*(OFFSET(TblImps[[#This Row],[Land]],1,0)-OFFSET(TblExplore[[#This Row],[Land Bonus]],1,0)*20)+15000)))*(1+(mason_bonus*TblConstr[[#This Row],[Tot Mas]]/TblConstr[[#This Row],[Land (2)]]))</f>
        <v>0</v>
      </c>
      <c r="AE11" s="150"/>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50"/>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50"/>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50"/>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50"/>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50"/>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50"/>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50"/>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50"/>
      <c r="BV1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62">
        <f>TblImps[[#This Row],[Login]]</f>
        <v>0</v>
      </c>
      <c r="BX11" s="145"/>
      <c r="BY11" s="321">
        <f ca="1">OFFSET(TblImps[[#This Row],[Real time]],-1,0)+1/24</f>
        <v>44811.04166666665</v>
      </c>
      <c r="BZ11" s="322">
        <f ca="1">OFFSET(TblImps[[#This Row],[Servertime]],-1,0)+1/24</f>
        <v>44811.29166666665</v>
      </c>
      <c r="CA11" s="57"/>
      <c r="CB11" s="320"/>
      <c r="CC11" s="320"/>
    </row>
    <row r="12" spans="1:84" x14ac:dyDescent="0.2">
      <c r="A12" s="230">
        <f ca="1">TblConstr[[#This Row],[Land]]</f>
        <v>250</v>
      </c>
      <c r="B12" s="150"/>
      <c r="C12" s="97">
        <f ca="1">TblProd[[#This Row],[Platinum]]</f>
        <v>140892</v>
      </c>
      <c r="D12" s="97">
        <f ca="1">TblProd[[#This Row],[Lumber]]</f>
        <v>21567</v>
      </c>
      <c r="E12" s="97">
        <f ca="1">TblProd[[#This Row],[Ore]]</f>
        <v>0</v>
      </c>
      <c r="F12" s="97">
        <f ca="1">TblProd[[#This Row],[Gems]]</f>
        <v>10000</v>
      </c>
      <c r="G12" s="162"/>
      <c r="H12" s="97">
        <f ca="1">TblMili[[#This Row],[Draftees]]</f>
        <v>212</v>
      </c>
      <c r="I12" s="188">
        <f ca="1">TblPop[[#This Row],[Employment]]</f>
        <v>1</v>
      </c>
      <c r="J12" s="188">
        <f ca="1">TblPop[[#This Row],[Total]]/TblPop[[#This Row],[Net max]]</f>
        <v>0.81891433418150972</v>
      </c>
      <c r="K12" s="311">
        <f>TblRezone[[#This Row],[Hour]]</f>
        <v>9</v>
      </c>
      <c r="L12" s="312">
        <f ca="1">TblImps[[#This Row],[Real time]]</f>
        <v>44811.083333333314</v>
      </c>
      <c r="M12" s="62">
        <f>IF(ISERROR(TblImps[[#This Row],[algorithm]]),0,TblImps[[#This Row],[algorithm]]*1)</f>
        <v>0</v>
      </c>
      <c r="N12" s="97">
        <f ca="1">TblImps[[#This Row],[Land]]</f>
        <v>250</v>
      </c>
      <c r="O12" s="313" t="s">
        <v>4</v>
      </c>
      <c r="P12" s="314"/>
      <c r="Q12" s="313" t="s">
        <v>216</v>
      </c>
      <c r="R12" s="313" t="s">
        <v>7</v>
      </c>
      <c r="S12" s="314"/>
      <c r="T12" s="313" t="s">
        <v>216</v>
      </c>
      <c r="U12" s="313" t="s">
        <v>3</v>
      </c>
      <c r="V12" s="314"/>
      <c r="W12" s="313" t="s">
        <v>216</v>
      </c>
      <c r="X12" s="150"/>
      <c r="Y12" s="315">
        <f ca="1">science_cap*(1-EXP(-TblImps[[#This Row],[Σ Science]]/(science_param*(OFFSET(TblImps[[#This Row],[Land]],1,0)-OFFSET(TblExplore[[#This Row],[Land Bonus]],1,0)*20)+15000)))*(1+(mason_bonus*TblConstr[[#This Row],[Tot Mas]]/TblConstr[[#This Row],[Land (2)]]))</f>
        <v>0</v>
      </c>
      <c r="Z12" s="315">
        <f ca="1">keep_cap*(1-EXP(-TblImps[[#This Row],[Σ Keep]]/(keep_param*(OFFSET(TblImps[[#This Row],[Land]],1,0)-OFFSET(TblExplore[[#This Row],[Land Bonus]],1,0)*20)+15000)))*(1+(mason_bonus*TblConstr[[#This Row],[Tot Mas]]/TblConstr[[#This Row],[Land (2)]]))</f>
        <v>0</v>
      </c>
      <c r="AA12" s="315">
        <f ca="1">harbor_towers_cap*(1-EXP(-TblImps[[#This Row],[Σ Towers]]/(towers_param*(OFFSET(TblImps[[#This Row],[Land]],1,0)-OFFSET(TblExplore[[#This Row],[Land Bonus]],1,0)*20)+15000)))*(1+(mason_bonus*TblConstr[[#This Row],[Tot Mas]]/TblConstr[[#This Row],[Land (2)]]))</f>
        <v>0</v>
      </c>
      <c r="AB12" s="315">
        <f ca="1">walls_forges_cap*(1-EXP(-TblImps[[#This Row],[Σ Forges]]/(walls_forges_param*(OFFSET(TblImps[[#This Row],[Land]],1,0)-OFFSET(TblExplore[[#This Row],[Land Bonus]],1,0)*20)+15000)))*(1+(mason_bonus*TblConstr[[#This Row],[Tot Mas]]/TblConstr[[#This Row],[Land (2)]]))</f>
        <v>0</v>
      </c>
      <c r="AC12" s="315">
        <f ca="1">walls_forges_cap*(1-EXP(-TblImps[[#This Row],[Σ Walls]]/(walls_forges_param*(OFFSET(TblImps[[#This Row],[Land]],1,0)-OFFSET(TblExplore[[#This Row],[Land Bonus]],1,0)*20)+15000)))*(1+(mason_bonus*TblConstr[[#This Row],[Tot Mas]]/TblConstr[[#This Row],[Land (2)]]))</f>
        <v>0</v>
      </c>
      <c r="AD12" s="315">
        <f ca="1">harbor_towers_cap*(1-EXP(-TblImps[[#This Row],[Σ Irrigation]]/(harbor_towers_param*(OFFSET(TblImps[[#This Row],[Land]],1,0)-OFFSET(TblExplore[[#This Row],[Land Bonus]],1,0)*20)+15000)))*(1+(mason_bonus*TblConstr[[#This Row],[Tot Mas]]/TblConstr[[#This Row],[Land (2)]]))</f>
        <v>0</v>
      </c>
      <c r="AE12" s="150"/>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50"/>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50"/>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50"/>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50"/>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50"/>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50"/>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50"/>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50"/>
      <c r="BV1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62">
        <f>TblImps[[#This Row],[Login]]</f>
        <v>0</v>
      </c>
      <c r="BX12" s="145"/>
      <c r="BY12" s="321">
        <f ca="1">OFFSET(TblImps[[#This Row],[Real time]],-1,0)+1/24</f>
        <v>44811.083333333314</v>
      </c>
      <c r="BZ12" s="322">
        <f ca="1">OFFSET(TblImps[[#This Row],[Servertime]],-1,0)+1/24</f>
        <v>44811.333333333314</v>
      </c>
      <c r="CA12" s="57"/>
      <c r="CB12" s="320"/>
      <c r="CC12" s="320"/>
    </row>
    <row r="13" spans="1:84" x14ac:dyDescent="0.2">
      <c r="A13" s="230">
        <f ca="1">TblConstr[[#This Row],[Land]]</f>
        <v>250</v>
      </c>
      <c r="B13" s="150"/>
      <c r="C13" s="97">
        <f ca="1">TblProd[[#This Row],[Platinum]]</f>
        <v>146343</v>
      </c>
      <c r="D13" s="97">
        <f ca="1">TblProd[[#This Row],[Lumber]]</f>
        <v>22351</v>
      </c>
      <c r="E13" s="97">
        <f ca="1">TblProd[[#This Row],[Ore]]</f>
        <v>0</v>
      </c>
      <c r="F13" s="97">
        <f ca="1">TblProd[[#This Row],[Gems]]</f>
        <v>10000</v>
      </c>
      <c r="G13" s="162"/>
      <c r="H13" s="97">
        <f ca="1">TblMili[[#This Row],[Draftees]]</f>
        <v>227</v>
      </c>
      <c r="I13" s="188">
        <f ca="1">TblPop[[#This Row],[Employment]]</f>
        <v>1</v>
      </c>
      <c r="J13" s="188">
        <f ca="1">TblPop[[#This Row],[Total]]/TblPop[[#This Row],[Net max]]</f>
        <v>0.83799830364715866</v>
      </c>
      <c r="K13" s="311">
        <f>TblRezone[[#This Row],[Hour]]</f>
        <v>10</v>
      </c>
      <c r="L13" s="312">
        <f ca="1">TblImps[[#This Row],[Real time]]</f>
        <v>44811.124999999978</v>
      </c>
      <c r="M13" s="62">
        <f>IF(ISERROR(TblImps[[#This Row],[algorithm]]),0,TblImps[[#This Row],[algorithm]]*1)</f>
        <v>0</v>
      </c>
      <c r="N13" s="97">
        <f ca="1">TblImps[[#This Row],[Land]]</f>
        <v>250</v>
      </c>
      <c r="O13" s="313" t="s">
        <v>4</v>
      </c>
      <c r="P13" s="314"/>
      <c r="Q13" s="313" t="s">
        <v>216</v>
      </c>
      <c r="R13" s="313" t="s">
        <v>7</v>
      </c>
      <c r="S13" s="314"/>
      <c r="T13" s="313" t="s">
        <v>216</v>
      </c>
      <c r="U13" s="313" t="s">
        <v>3</v>
      </c>
      <c r="V13" s="314"/>
      <c r="W13" s="313" t="s">
        <v>216</v>
      </c>
      <c r="X13" s="150"/>
      <c r="Y13" s="315">
        <f ca="1">science_cap*(1-EXP(-TblImps[[#This Row],[Σ Science]]/(science_param*(OFFSET(TblImps[[#This Row],[Land]],1,0)-OFFSET(TblExplore[[#This Row],[Land Bonus]],1,0)*20)+15000)))*(1+(mason_bonus*TblConstr[[#This Row],[Tot Mas]]/TblConstr[[#This Row],[Land (2)]]))</f>
        <v>0</v>
      </c>
      <c r="Z13" s="315">
        <f ca="1">keep_cap*(1-EXP(-TblImps[[#This Row],[Σ Keep]]/(keep_param*(OFFSET(TblImps[[#This Row],[Land]],1,0)-OFFSET(TblExplore[[#This Row],[Land Bonus]],1,0)*20)+15000)))*(1+(mason_bonus*TblConstr[[#This Row],[Tot Mas]]/TblConstr[[#This Row],[Land (2)]]))</f>
        <v>0</v>
      </c>
      <c r="AA13" s="315">
        <f ca="1">harbor_towers_cap*(1-EXP(-TblImps[[#This Row],[Σ Towers]]/(towers_param*(OFFSET(TblImps[[#This Row],[Land]],1,0)-OFFSET(TblExplore[[#This Row],[Land Bonus]],1,0)*20)+15000)))*(1+(mason_bonus*TblConstr[[#This Row],[Tot Mas]]/TblConstr[[#This Row],[Land (2)]]))</f>
        <v>0</v>
      </c>
      <c r="AB13" s="315">
        <f ca="1">walls_forges_cap*(1-EXP(-TblImps[[#This Row],[Σ Forges]]/(walls_forges_param*(OFFSET(TblImps[[#This Row],[Land]],1,0)-OFFSET(TblExplore[[#This Row],[Land Bonus]],1,0)*20)+15000)))*(1+(mason_bonus*TblConstr[[#This Row],[Tot Mas]]/TblConstr[[#This Row],[Land (2)]]))</f>
        <v>0</v>
      </c>
      <c r="AC13" s="315">
        <f ca="1">walls_forges_cap*(1-EXP(-TblImps[[#This Row],[Σ Walls]]/(walls_forges_param*(OFFSET(TblImps[[#This Row],[Land]],1,0)-OFFSET(TblExplore[[#This Row],[Land Bonus]],1,0)*20)+15000)))*(1+(mason_bonus*TblConstr[[#This Row],[Tot Mas]]/TblConstr[[#This Row],[Land (2)]]))</f>
        <v>0</v>
      </c>
      <c r="AD13" s="315">
        <f ca="1">harbor_towers_cap*(1-EXP(-TblImps[[#This Row],[Σ Irrigation]]/(harbor_towers_param*(OFFSET(TblImps[[#This Row],[Land]],1,0)-OFFSET(TblExplore[[#This Row],[Land Bonus]],1,0)*20)+15000)))*(1+(mason_bonus*TblConstr[[#This Row],[Tot Mas]]/TblConstr[[#This Row],[Land (2)]]))</f>
        <v>0</v>
      </c>
      <c r="AE13" s="150"/>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50"/>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50"/>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50"/>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50"/>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50"/>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50"/>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50"/>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50"/>
      <c r="BV1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62">
        <f>TblImps[[#This Row],[Login]]</f>
        <v>0</v>
      </c>
      <c r="BX13" s="145"/>
      <c r="BY13" s="321">
        <f ca="1">OFFSET(TblImps[[#This Row],[Real time]],-1,0)+1/24</f>
        <v>44811.124999999978</v>
      </c>
      <c r="BZ13" s="322">
        <f ca="1">OFFSET(TblImps[[#This Row],[Servertime]],-1,0)+1/24</f>
        <v>44811.374999999978</v>
      </c>
      <c r="CA13" s="57"/>
      <c r="CB13" s="320"/>
      <c r="CC13" s="320"/>
    </row>
    <row r="14" spans="1:84" x14ac:dyDescent="0.2">
      <c r="A14" s="230">
        <f ca="1">TblConstr[[#This Row],[Land]]</f>
        <v>250</v>
      </c>
      <c r="B14" s="150"/>
      <c r="C14" s="97">
        <f ca="1">TblProd[[#This Row],[Platinum]]</f>
        <v>151875</v>
      </c>
      <c r="D14" s="97">
        <f ca="1">TblProd[[#This Row],[Lumber]]</f>
        <v>23127</v>
      </c>
      <c r="E14" s="97">
        <f ca="1">TblProd[[#This Row],[Ore]]</f>
        <v>0</v>
      </c>
      <c r="F14" s="97">
        <f ca="1">TblProd[[#This Row],[Gems]]</f>
        <v>10000</v>
      </c>
      <c r="G14" s="162"/>
      <c r="H14" s="97">
        <f ca="1">TblMili[[#This Row],[Draftees]]</f>
        <v>242</v>
      </c>
      <c r="I14" s="188">
        <f ca="1">TblPop[[#This Row],[Employment]]</f>
        <v>1</v>
      </c>
      <c r="J14" s="188">
        <f ca="1">TblPop[[#This Row],[Total]]/TblPop[[#This Row],[Net max]]</f>
        <v>0.85750636132315516</v>
      </c>
      <c r="K14" s="311">
        <f>TblRezone[[#This Row],[Hour]]</f>
        <v>11</v>
      </c>
      <c r="L14" s="312">
        <f ca="1">TblImps[[#This Row],[Real time]]</f>
        <v>44811.166666666642</v>
      </c>
      <c r="M14" s="62">
        <f>IF(ISERROR(TblImps[[#This Row],[algorithm]]),0,TblImps[[#This Row],[algorithm]]*1)</f>
        <v>0</v>
      </c>
      <c r="N14" s="97">
        <f ca="1">TblImps[[#This Row],[Land]]</f>
        <v>250</v>
      </c>
      <c r="O14" s="313" t="s">
        <v>4</v>
      </c>
      <c r="P14" s="314"/>
      <c r="Q14" s="313" t="s">
        <v>216</v>
      </c>
      <c r="R14" s="313" t="s">
        <v>7</v>
      </c>
      <c r="S14" s="314"/>
      <c r="T14" s="313" t="s">
        <v>216</v>
      </c>
      <c r="U14" s="313" t="s">
        <v>3</v>
      </c>
      <c r="V14" s="314"/>
      <c r="W14" s="313" t="s">
        <v>216</v>
      </c>
      <c r="X14" s="150"/>
      <c r="Y14" s="315">
        <f ca="1">science_cap*(1-EXP(-TblImps[[#This Row],[Σ Science]]/(science_param*(OFFSET(TblImps[[#This Row],[Land]],1,0)-OFFSET(TblExplore[[#This Row],[Land Bonus]],1,0)*20)+15000)))*(1+(mason_bonus*TblConstr[[#This Row],[Tot Mas]]/TblConstr[[#This Row],[Land (2)]]))</f>
        <v>0</v>
      </c>
      <c r="Z14" s="315">
        <f ca="1">keep_cap*(1-EXP(-TblImps[[#This Row],[Σ Keep]]/(keep_param*(OFFSET(TblImps[[#This Row],[Land]],1,0)-OFFSET(TblExplore[[#This Row],[Land Bonus]],1,0)*20)+15000)))*(1+(mason_bonus*TblConstr[[#This Row],[Tot Mas]]/TblConstr[[#This Row],[Land (2)]]))</f>
        <v>0</v>
      </c>
      <c r="AA14" s="315">
        <f ca="1">harbor_towers_cap*(1-EXP(-TblImps[[#This Row],[Σ Towers]]/(towers_param*(OFFSET(TblImps[[#This Row],[Land]],1,0)-OFFSET(TblExplore[[#This Row],[Land Bonus]],1,0)*20)+15000)))*(1+(mason_bonus*TblConstr[[#This Row],[Tot Mas]]/TblConstr[[#This Row],[Land (2)]]))</f>
        <v>0</v>
      </c>
      <c r="AB14" s="315">
        <f ca="1">walls_forges_cap*(1-EXP(-TblImps[[#This Row],[Σ Forges]]/(walls_forges_param*(OFFSET(TblImps[[#This Row],[Land]],1,0)-OFFSET(TblExplore[[#This Row],[Land Bonus]],1,0)*20)+15000)))*(1+(mason_bonus*TblConstr[[#This Row],[Tot Mas]]/TblConstr[[#This Row],[Land (2)]]))</f>
        <v>0</v>
      </c>
      <c r="AC14" s="315">
        <f ca="1">walls_forges_cap*(1-EXP(-TblImps[[#This Row],[Σ Walls]]/(walls_forges_param*(OFFSET(TblImps[[#This Row],[Land]],1,0)-OFFSET(TblExplore[[#This Row],[Land Bonus]],1,0)*20)+15000)))*(1+(mason_bonus*TblConstr[[#This Row],[Tot Mas]]/TblConstr[[#This Row],[Land (2)]]))</f>
        <v>0</v>
      </c>
      <c r="AD14" s="315">
        <f ca="1">harbor_towers_cap*(1-EXP(-TblImps[[#This Row],[Σ Irrigation]]/(harbor_towers_param*(OFFSET(TblImps[[#This Row],[Land]],1,0)-OFFSET(TblExplore[[#This Row],[Land Bonus]],1,0)*20)+15000)))*(1+(mason_bonus*TblConstr[[#This Row],[Tot Mas]]/TblConstr[[#This Row],[Land (2)]]))</f>
        <v>0</v>
      </c>
      <c r="AE14" s="150"/>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50"/>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50"/>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50"/>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50"/>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50"/>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50"/>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50"/>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50"/>
      <c r="BV1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62">
        <f>TblImps[[#This Row],[Login]]</f>
        <v>0</v>
      </c>
      <c r="BX14" s="145"/>
      <c r="BY14" s="321">
        <f ca="1">OFFSET(TblImps[[#This Row],[Real time]],-1,0)+1/24</f>
        <v>44811.166666666642</v>
      </c>
      <c r="BZ14" s="322">
        <f ca="1">OFFSET(TblImps[[#This Row],[Servertime]],-1,0)+1/24</f>
        <v>44811.416666666642</v>
      </c>
      <c r="CA14" s="57"/>
      <c r="CB14" s="320"/>
      <c r="CC14" s="320"/>
    </row>
    <row r="15" spans="1:84" x14ac:dyDescent="0.2">
      <c r="A15" s="230">
        <f ca="1">TblConstr[[#This Row],[Land]]</f>
        <v>250</v>
      </c>
      <c r="B15" s="150"/>
      <c r="C15" s="97">
        <f ca="1">TblProd[[#This Row],[Platinum]]</f>
        <v>157491</v>
      </c>
      <c r="D15" s="97">
        <f ca="1">TblProd[[#This Row],[Lumber]]</f>
        <v>23896</v>
      </c>
      <c r="E15" s="97">
        <f ca="1">TblProd[[#This Row],[Ore]]</f>
        <v>0</v>
      </c>
      <c r="F15" s="97">
        <f ca="1">TblProd[[#This Row],[Gems]]</f>
        <v>10000</v>
      </c>
      <c r="G15" s="162"/>
      <c r="H15" s="97">
        <f ca="1">TblMili[[#This Row],[Draftees]]</f>
        <v>258</v>
      </c>
      <c r="I15" s="188">
        <f ca="1">TblPop[[#This Row],[Employment]]</f>
        <v>0.99317194289261324</v>
      </c>
      <c r="J15" s="188">
        <f ca="1">TblPop[[#This Row],[Total]]/TblPop[[#This Row],[Net max]]</f>
        <v>0.87743850720949956</v>
      </c>
      <c r="K15" s="311">
        <f>TblRezone[[#This Row],[Hour]]</f>
        <v>12</v>
      </c>
      <c r="L15" s="312">
        <f ca="1">TblImps[[#This Row],[Real time]]</f>
        <v>44811.208333333307</v>
      </c>
      <c r="M15" s="62">
        <f>IF(ISERROR(TblImps[[#This Row],[algorithm]]),0,TblImps[[#This Row],[algorithm]]*1)</f>
        <v>0</v>
      </c>
      <c r="N15" s="97">
        <f ca="1">TblImps[[#This Row],[Land]]</f>
        <v>250</v>
      </c>
      <c r="O15" s="313" t="s">
        <v>4</v>
      </c>
      <c r="P15" s="314"/>
      <c r="Q15" s="313" t="s">
        <v>216</v>
      </c>
      <c r="R15" s="313" t="s">
        <v>7</v>
      </c>
      <c r="S15" s="314"/>
      <c r="T15" s="313" t="s">
        <v>216</v>
      </c>
      <c r="U15" s="313" t="s">
        <v>3</v>
      </c>
      <c r="V15" s="314"/>
      <c r="W15" s="313" t="s">
        <v>216</v>
      </c>
      <c r="X15" s="150"/>
      <c r="Y15" s="315">
        <f ca="1">science_cap*(1-EXP(-TblImps[[#This Row],[Σ Science]]/(science_param*(OFFSET(TblImps[[#This Row],[Land]],1,0)-OFFSET(TblExplore[[#This Row],[Land Bonus]],1,0)*20)+15000)))*(1+(mason_bonus*TblConstr[[#This Row],[Tot Mas]]/TblConstr[[#This Row],[Land (2)]]))</f>
        <v>0</v>
      </c>
      <c r="Z15" s="315">
        <f ca="1">keep_cap*(1-EXP(-TblImps[[#This Row],[Σ Keep]]/(keep_param*(OFFSET(TblImps[[#This Row],[Land]],1,0)-OFFSET(TblExplore[[#This Row],[Land Bonus]],1,0)*20)+15000)))*(1+(mason_bonus*TblConstr[[#This Row],[Tot Mas]]/TblConstr[[#This Row],[Land (2)]]))</f>
        <v>0</v>
      </c>
      <c r="AA15" s="315">
        <f ca="1">harbor_towers_cap*(1-EXP(-TblImps[[#This Row],[Σ Towers]]/(towers_param*(OFFSET(TblImps[[#This Row],[Land]],1,0)-OFFSET(TblExplore[[#This Row],[Land Bonus]],1,0)*20)+15000)))*(1+(mason_bonus*TblConstr[[#This Row],[Tot Mas]]/TblConstr[[#This Row],[Land (2)]]))</f>
        <v>0</v>
      </c>
      <c r="AB15" s="315">
        <f ca="1">walls_forges_cap*(1-EXP(-TblImps[[#This Row],[Σ Forges]]/(walls_forges_param*(OFFSET(TblImps[[#This Row],[Land]],1,0)-OFFSET(TblExplore[[#This Row],[Land Bonus]],1,0)*20)+15000)))*(1+(mason_bonus*TblConstr[[#This Row],[Tot Mas]]/TblConstr[[#This Row],[Land (2)]]))</f>
        <v>0</v>
      </c>
      <c r="AC15" s="315">
        <f ca="1">walls_forges_cap*(1-EXP(-TblImps[[#This Row],[Σ Walls]]/(walls_forges_param*(OFFSET(TblImps[[#This Row],[Land]],1,0)-OFFSET(TblExplore[[#This Row],[Land Bonus]],1,0)*20)+15000)))*(1+(mason_bonus*TblConstr[[#This Row],[Tot Mas]]/TblConstr[[#This Row],[Land (2)]]))</f>
        <v>0</v>
      </c>
      <c r="AD15" s="315">
        <f ca="1">harbor_towers_cap*(1-EXP(-TblImps[[#This Row],[Σ Irrigation]]/(harbor_towers_param*(OFFSET(TblImps[[#This Row],[Land]],1,0)-OFFSET(TblExplore[[#This Row],[Land Bonus]],1,0)*20)+15000)))*(1+(mason_bonus*TblConstr[[#This Row],[Tot Mas]]/TblConstr[[#This Row],[Land (2)]]))</f>
        <v>0</v>
      </c>
      <c r="AE15" s="150"/>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50"/>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50"/>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50"/>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50"/>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50"/>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50"/>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50"/>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50"/>
      <c r="BV1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62">
        <f>TblImps[[#This Row],[Login]]</f>
        <v>0</v>
      </c>
      <c r="BX15" s="145"/>
      <c r="BY15" s="321">
        <f ca="1">OFFSET(TblImps[[#This Row],[Real time]],-1,0)+1/24</f>
        <v>44811.208333333307</v>
      </c>
      <c r="BZ15" s="322">
        <f ca="1">OFFSET(TblImps[[#This Row],[Servertime]],-1,0)+1/24</f>
        <v>44811.458333333307</v>
      </c>
      <c r="CA15" s="57"/>
      <c r="CB15" s="320"/>
      <c r="CC15" s="320"/>
    </row>
    <row r="16" spans="1:84" x14ac:dyDescent="0.2">
      <c r="A16" s="230">
        <f ca="1">TblConstr[[#This Row],[Land]]</f>
        <v>250</v>
      </c>
      <c r="B16" s="150"/>
      <c r="C16" s="97">
        <f ca="1">TblProd[[#This Row],[Platinum]]</f>
        <v>163161</v>
      </c>
      <c r="D16" s="97">
        <f ca="1">TblProd[[#This Row],[Lumber]]</f>
        <v>24657</v>
      </c>
      <c r="E16" s="97">
        <f ca="1">TblProd[[#This Row],[Ore]]</f>
        <v>0</v>
      </c>
      <c r="F16" s="97">
        <f ca="1">TblProd[[#This Row],[Gems]]</f>
        <v>10000</v>
      </c>
      <c r="G16" s="162"/>
      <c r="H16" s="97">
        <f ca="1">TblMili[[#This Row],[Draftees]]</f>
        <v>274</v>
      </c>
      <c r="I16" s="188">
        <f ca="1">TblPop[[#This Row],[Employment]]</f>
        <v>0.9738283627510651</v>
      </c>
      <c r="J16" s="188">
        <f ca="1">TblPop[[#This Row],[Total]]/TblPop[[#This Row],[Net max]]</f>
        <v>0.89779474130619163</v>
      </c>
      <c r="K16" s="311">
        <f>TblRezone[[#This Row],[Hour]]</f>
        <v>13</v>
      </c>
      <c r="L16" s="312">
        <f ca="1">TblImps[[#This Row],[Real time]]</f>
        <v>44811.249999999971</v>
      </c>
      <c r="M16" s="62">
        <f>IF(ISERROR(TblImps[[#This Row],[algorithm]]),0,TblImps[[#This Row],[algorithm]]*1)</f>
        <v>0</v>
      </c>
      <c r="N16" s="97">
        <f ca="1">TblImps[[#This Row],[Land]]</f>
        <v>250</v>
      </c>
      <c r="O16" s="313" t="s">
        <v>4</v>
      </c>
      <c r="P16" s="314"/>
      <c r="Q16" s="313" t="s">
        <v>216</v>
      </c>
      <c r="R16" s="313" t="s">
        <v>7</v>
      </c>
      <c r="S16" s="314"/>
      <c r="T16" s="313" t="s">
        <v>216</v>
      </c>
      <c r="U16" s="313" t="s">
        <v>3</v>
      </c>
      <c r="V16" s="314"/>
      <c r="W16" s="313" t="s">
        <v>216</v>
      </c>
      <c r="X16" s="150"/>
      <c r="Y16" s="315">
        <f ca="1">science_cap*(1-EXP(-TblImps[[#This Row],[Σ Science]]/(science_param*(OFFSET(TblImps[[#This Row],[Land]],1,0)-OFFSET(TblExplore[[#This Row],[Land Bonus]],1,0)*20)+15000)))*(1+(mason_bonus*TblConstr[[#This Row],[Tot Mas]]/TblConstr[[#This Row],[Land (2)]]))</f>
        <v>0</v>
      </c>
      <c r="Z16" s="315">
        <f ca="1">keep_cap*(1-EXP(-TblImps[[#This Row],[Σ Keep]]/(keep_param*(OFFSET(TblImps[[#This Row],[Land]],1,0)-OFFSET(TblExplore[[#This Row],[Land Bonus]],1,0)*20)+15000)))*(1+(mason_bonus*TblConstr[[#This Row],[Tot Mas]]/TblConstr[[#This Row],[Land (2)]]))</f>
        <v>0</v>
      </c>
      <c r="AA16" s="315">
        <f ca="1">harbor_towers_cap*(1-EXP(-TblImps[[#This Row],[Σ Towers]]/(towers_param*(OFFSET(TblImps[[#This Row],[Land]],1,0)-OFFSET(TblExplore[[#This Row],[Land Bonus]],1,0)*20)+15000)))*(1+(mason_bonus*TblConstr[[#This Row],[Tot Mas]]/TblConstr[[#This Row],[Land (2)]]))</f>
        <v>0</v>
      </c>
      <c r="AB16" s="315">
        <f ca="1">walls_forges_cap*(1-EXP(-TblImps[[#This Row],[Σ Forges]]/(walls_forges_param*(OFFSET(TblImps[[#This Row],[Land]],1,0)-OFFSET(TblExplore[[#This Row],[Land Bonus]],1,0)*20)+15000)))*(1+(mason_bonus*TblConstr[[#This Row],[Tot Mas]]/TblConstr[[#This Row],[Land (2)]]))</f>
        <v>0</v>
      </c>
      <c r="AC16" s="315">
        <f ca="1">walls_forges_cap*(1-EXP(-TblImps[[#This Row],[Σ Walls]]/(walls_forges_param*(OFFSET(TblImps[[#This Row],[Land]],1,0)-OFFSET(TblExplore[[#This Row],[Land Bonus]],1,0)*20)+15000)))*(1+(mason_bonus*TblConstr[[#This Row],[Tot Mas]]/TblConstr[[#This Row],[Land (2)]]))</f>
        <v>0</v>
      </c>
      <c r="AD16" s="315">
        <f ca="1">harbor_towers_cap*(1-EXP(-TblImps[[#This Row],[Σ Irrigation]]/(harbor_towers_param*(OFFSET(TblImps[[#This Row],[Land]],1,0)-OFFSET(TblExplore[[#This Row],[Land Bonus]],1,0)*20)+15000)))*(1+(mason_bonus*TblConstr[[#This Row],[Tot Mas]]/TblConstr[[#This Row],[Land (2)]]))</f>
        <v>0</v>
      </c>
      <c r="AE16" s="150"/>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50"/>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50"/>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50"/>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50"/>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50"/>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50"/>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50"/>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50"/>
      <c r="BV1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62">
        <f>TblImps[[#This Row],[Login]]</f>
        <v>0</v>
      </c>
      <c r="BX16" s="145"/>
      <c r="BY16" s="321">
        <f ca="1">OFFSET(TblImps[[#This Row],[Real time]],-1,0)+1/24</f>
        <v>44811.249999999971</v>
      </c>
      <c r="BZ16" s="322">
        <f ca="1">OFFSET(TblImps[[#This Row],[Servertime]],-1,0)+1/24</f>
        <v>44811.499999999971</v>
      </c>
      <c r="CA16" s="57"/>
      <c r="CB16" s="320"/>
      <c r="CC16" s="320"/>
    </row>
    <row r="17" spans="1:84" x14ac:dyDescent="0.2">
      <c r="A17" s="230">
        <f ca="1">TblConstr[[#This Row],[Land]]</f>
        <v>250</v>
      </c>
      <c r="B17" s="150"/>
      <c r="C17" s="97">
        <f ca="1">TblProd[[#This Row],[Platinum]]</f>
        <v>168831</v>
      </c>
      <c r="D17" s="97">
        <f ca="1">TblProd[[#This Row],[Lumber]]</f>
        <v>25410</v>
      </c>
      <c r="E17" s="97">
        <f ca="1">TblProd[[#This Row],[Ore]]</f>
        <v>0</v>
      </c>
      <c r="F17" s="97">
        <f ca="1">TblProd[[#This Row],[Gems]]</f>
        <v>10000</v>
      </c>
      <c r="G17" s="162"/>
      <c r="H17" s="97">
        <f ca="1">TblMili[[#This Row],[Draftees]]</f>
        <v>290</v>
      </c>
      <c r="I17" s="188">
        <f ca="1">TblPop[[#This Row],[Employment]]</f>
        <v>0.95465393794749398</v>
      </c>
      <c r="J17" s="188">
        <f ca="1">TblPop[[#This Row],[Total]]/TblPop[[#This Row],[Net max]]</f>
        <v>0.9185750636132316</v>
      </c>
      <c r="K17" s="311">
        <f>TblRezone[[#This Row],[Hour]]</f>
        <v>14</v>
      </c>
      <c r="L17" s="312">
        <f ca="1">TblImps[[#This Row],[Real time]]</f>
        <v>44811.291666666635</v>
      </c>
      <c r="M17" s="62">
        <f>IF(ISERROR(TblImps[[#This Row],[algorithm]]),0,TblImps[[#This Row],[algorithm]]*1)</f>
        <v>0</v>
      </c>
      <c r="N17" s="97">
        <f ca="1">TblImps[[#This Row],[Land]]</f>
        <v>250</v>
      </c>
      <c r="O17" s="313" t="s">
        <v>4</v>
      </c>
      <c r="P17" s="314"/>
      <c r="Q17" s="313" t="s">
        <v>216</v>
      </c>
      <c r="R17" s="313" t="s">
        <v>7</v>
      </c>
      <c r="S17" s="314"/>
      <c r="T17" s="313" t="s">
        <v>216</v>
      </c>
      <c r="U17" s="313" t="s">
        <v>3</v>
      </c>
      <c r="V17" s="314"/>
      <c r="W17" s="313" t="s">
        <v>216</v>
      </c>
      <c r="X17" s="150"/>
      <c r="Y17" s="315">
        <f ca="1">science_cap*(1-EXP(-TblImps[[#This Row],[Σ Science]]/(science_param*(OFFSET(TblImps[[#This Row],[Land]],1,0)-OFFSET(TblExplore[[#This Row],[Land Bonus]],1,0)*20)+15000)))*(1+(mason_bonus*TblConstr[[#This Row],[Tot Mas]]/TblConstr[[#This Row],[Land (2)]]))</f>
        <v>0</v>
      </c>
      <c r="Z17" s="315">
        <f ca="1">keep_cap*(1-EXP(-TblImps[[#This Row],[Σ Keep]]/(keep_param*(OFFSET(TblImps[[#This Row],[Land]],1,0)-OFFSET(TblExplore[[#This Row],[Land Bonus]],1,0)*20)+15000)))*(1+(mason_bonus*TblConstr[[#This Row],[Tot Mas]]/TblConstr[[#This Row],[Land (2)]]))</f>
        <v>0</v>
      </c>
      <c r="AA17" s="315">
        <f ca="1">harbor_towers_cap*(1-EXP(-TblImps[[#This Row],[Σ Towers]]/(towers_param*(OFFSET(TblImps[[#This Row],[Land]],1,0)-OFFSET(TblExplore[[#This Row],[Land Bonus]],1,0)*20)+15000)))*(1+(mason_bonus*TblConstr[[#This Row],[Tot Mas]]/TblConstr[[#This Row],[Land (2)]]))</f>
        <v>0</v>
      </c>
      <c r="AB17" s="315">
        <f ca="1">walls_forges_cap*(1-EXP(-TblImps[[#This Row],[Σ Forges]]/(walls_forges_param*(OFFSET(TblImps[[#This Row],[Land]],1,0)-OFFSET(TblExplore[[#This Row],[Land Bonus]],1,0)*20)+15000)))*(1+(mason_bonus*TblConstr[[#This Row],[Tot Mas]]/TblConstr[[#This Row],[Land (2)]]))</f>
        <v>0</v>
      </c>
      <c r="AC17" s="315">
        <f ca="1">walls_forges_cap*(1-EXP(-TblImps[[#This Row],[Σ Walls]]/(walls_forges_param*(OFFSET(TblImps[[#This Row],[Land]],1,0)-OFFSET(TblExplore[[#This Row],[Land Bonus]],1,0)*20)+15000)))*(1+(mason_bonus*TblConstr[[#This Row],[Tot Mas]]/TblConstr[[#This Row],[Land (2)]]))</f>
        <v>0</v>
      </c>
      <c r="AD17" s="315">
        <f ca="1">harbor_towers_cap*(1-EXP(-TblImps[[#This Row],[Σ Irrigation]]/(harbor_towers_param*(OFFSET(TblImps[[#This Row],[Land]],1,0)-OFFSET(TblExplore[[#This Row],[Land Bonus]],1,0)*20)+15000)))*(1+(mason_bonus*TblConstr[[#This Row],[Tot Mas]]/TblConstr[[#This Row],[Land (2)]]))</f>
        <v>0</v>
      </c>
      <c r="AE17" s="150"/>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50"/>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50"/>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50"/>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50"/>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50"/>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50"/>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50"/>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50"/>
      <c r="BV1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62">
        <f>TblImps[[#This Row],[Login]]</f>
        <v>0</v>
      </c>
      <c r="BX17" s="145"/>
      <c r="BY17" s="321">
        <f ca="1">OFFSET(TblImps[[#This Row],[Real time]],-1,0)+1/24</f>
        <v>44811.291666666635</v>
      </c>
      <c r="BZ17" s="322">
        <f ca="1">OFFSET(TblImps[[#This Row],[Servertime]],-1,0)+1/24</f>
        <v>44811.541666666635</v>
      </c>
      <c r="CA17" s="57"/>
      <c r="CB17" s="320"/>
      <c r="CC17" s="320"/>
      <c r="CD17" s="167"/>
    </row>
    <row r="18" spans="1:84" x14ac:dyDescent="0.2">
      <c r="A18" s="230">
        <f ca="1">TblConstr[[#This Row],[Land]]</f>
        <v>250</v>
      </c>
      <c r="B18" s="150"/>
      <c r="C18" s="97">
        <f ca="1">TblProd[[#This Row],[Platinum]]</f>
        <v>174501</v>
      </c>
      <c r="D18" s="97">
        <f ca="1">TblProd[[#This Row],[Lumber]]</f>
        <v>26156</v>
      </c>
      <c r="E18" s="97">
        <f ca="1">TblProd[[#This Row],[Ore]]</f>
        <v>0</v>
      </c>
      <c r="F18" s="97">
        <f ca="1">TblProd[[#This Row],[Gems]]</f>
        <v>10000</v>
      </c>
      <c r="G18" s="162"/>
      <c r="H18" s="97">
        <f ca="1">TblMili[[#This Row],[Draftees]]</f>
        <v>307</v>
      </c>
      <c r="I18" s="188">
        <f ca="1">TblPop[[#This Row],[Employment]]</f>
        <v>0.93622001170275015</v>
      </c>
      <c r="J18" s="188">
        <f ca="1">TblPop[[#This Row],[Total]]/TblPop[[#This Row],[Net max]]</f>
        <v>0.93977947413061913</v>
      </c>
      <c r="K18" s="311">
        <f>TblRezone[[#This Row],[Hour]]</f>
        <v>15</v>
      </c>
      <c r="L18" s="312">
        <f ca="1">TblImps[[#This Row],[Real time]]</f>
        <v>44811.333333333299</v>
      </c>
      <c r="M18" s="62">
        <f>IF(ISERROR(TblImps[[#This Row],[algorithm]]),0,TblImps[[#This Row],[algorithm]]*1)</f>
        <v>0</v>
      </c>
      <c r="N18" s="97">
        <f ca="1">TblImps[[#This Row],[Land]]</f>
        <v>250</v>
      </c>
      <c r="O18" s="313" t="s">
        <v>4</v>
      </c>
      <c r="P18" s="314"/>
      <c r="Q18" s="313" t="s">
        <v>216</v>
      </c>
      <c r="R18" s="313" t="s">
        <v>7</v>
      </c>
      <c r="S18" s="314"/>
      <c r="T18" s="313" t="s">
        <v>216</v>
      </c>
      <c r="U18" s="313" t="s">
        <v>3</v>
      </c>
      <c r="V18" s="314"/>
      <c r="W18" s="313" t="s">
        <v>216</v>
      </c>
      <c r="X18" s="150"/>
      <c r="Y18" s="315">
        <f ca="1">science_cap*(1-EXP(-TblImps[[#This Row],[Σ Science]]/(science_param*(OFFSET(TblImps[[#This Row],[Land]],1,0)-OFFSET(TblExplore[[#This Row],[Land Bonus]],1,0)*20)+15000)))*(1+(mason_bonus*TblConstr[[#This Row],[Tot Mas]]/TblConstr[[#This Row],[Land (2)]]))</f>
        <v>0</v>
      </c>
      <c r="Z18" s="315">
        <f ca="1">keep_cap*(1-EXP(-TblImps[[#This Row],[Σ Keep]]/(keep_param*(OFFSET(TblImps[[#This Row],[Land]],1,0)-OFFSET(TblExplore[[#This Row],[Land Bonus]],1,0)*20)+15000)))*(1+(mason_bonus*TblConstr[[#This Row],[Tot Mas]]/TblConstr[[#This Row],[Land (2)]]))</f>
        <v>0</v>
      </c>
      <c r="AA18" s="315">
        <f ca="1">harbor_towers_cap*(1-EXP(-TblImps[[#This Row],[Σ Towers]]/(towers_param*(OFFSET(TblImps[[#This Row],[Land]],1,0)-OFFSET(TblExplore[[#This Row],[Land Bonus]],1,0)*20)+15000)))*(1+(mason_bonus*TblConstr[[#This Row],[Tot Mas]]/TblConstr[[#This Row],[Land (2)]]))</f>
        <v>0</v>
      </c>
      <c r="AB18" s="315">
        <f ca="1">walls_forges_cap*(1-EXP(-TblImps[[#This Row],[Σ Forges]]/(walls_forges_param*(OFFSET(TblImps[[#This Row],[Land]],1,0)-OFFSET(TblExplore[[#This Row],[Land Bonus]],1,0)*20)+15000)))*(1+(mason_bonus*TblConstr[[#This Row],[Tot Mas]]/TblConstr[[#This Row],[Land (2)]]))</f>
        <v>0</v>
      </c>
      <c r="AC18" s="315">
        <f ca="1">walls_forges_cap*(1-EXP(-TblImps[[#This Row],[Σ Walls]]/(walls_forges_param*(OFFSET(TblImps[[#This Row],[Land]],1,0)-OFFSET(TblExplore[[#This Row],[Land Bonus]],1,0)*20)+15000)))*(1+(mason_bonus*TblConstr[[#This Row],[Tot Mas]]/TblConstr[[#This Row],[Land (2)]]))</f>
        <v>0</v>
      </c>
      <c r="AD18" s="315">
        <f ca="1">harbor_towers_cap*(1-EXP(-TblImps[[#This Row],[Σ Irrigation]]/(harbor_towers_param*(OFFSET(TblImps[[#This Row],[Land]],1,0)-OFFSET(TblExplore[[#This Row],[Land Bonus]],1,0)*20)+15000)))*(1+(mason_bonus*TblConstr[[#This Row],[Tot Mas]]/TblConstr[[#This Row],[Land (2)]]))</f>
        <v>0</v>
      </c>
      <c r="AE18" s="150"/>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50"/>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50"/>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50"/>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50"/>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50"/>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50"/>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50"/>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50"/>
      <c r="BV1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62">
        <f>TblImps[[#This Row],[Login]]</f>
        <v>0</v>
      </c>
      <c r="BX18" s="145"/>
      <c r="BY18" s="321">
        <f ca="1">OFFSET(TblImps[[#This Row],[Real time]],-1,0)+1/24</f>
        <v>44811.333333333299</v>
      </c>
      <c r="BZ18" s="322">
        <f ca="1">OFFSET(TblImps[[#This Row],[Servertime]],-1,0)+1/24</f>
        <v>44811.583333333299</v>
      </c>
      <c r="CA18" s="325"/>
      <c r="CB18" s="320"/>
      <c r="CC18" s="320"/>
      <c r="CF18" s="323"/>
    </row>
    <row r="19" spans="1:84" x14ac:dyDescent="0.2">
      <c r="A19" s="230">
        <f ca="1">TblConstr[[#This Row],[Land]]</f>
        <v>250</v>
      </c>
      <c r="B19" s="150"/>
      <c r="C19" s="97">
        <f ca="1">TblProd[[#This Row],[Platinum]]</f>
        <v>180171</v>
      </c>
      <c r="D19" s="97">
        <f ca="1">TblProd[[#This Row],[Lumber]]</f>
        <v>26894</v>
      </c>
      <c r="E19" s="97">
        <f ca="1">TblProd[[#This Row],[Ore]]</f>
        <v>0</v>
      </c>
      <c r="F19" s="97">
        <f ca="1">TblProd[[#This Row],[Gems]]</f>
        <v>10000</v>
      </c>
      <c r="G19" s="162"/>
      <c r="H19" s="97">
        <f ca="1">TblMili[[#This Row],[Draftees]]</f>
        <v>324</v>
      </c>
      <c r="I19" s="188">
        <f ca="1">TblPop[[#This Row],[Employment]]</f>
        <v>0.91795754446356859</v>
      </c>
      <c r="J19" s="188">
        <f ca="1">TblPop[[#This Row],[Total]]/TblPop[[#This Row],[Net max]]</f>
        <v>0.96140797285835455</v>
      </c>
      <c r="K19" s="311">
        <f>TblRezone[[#This Row],[Hour]]</f>
        <v>16</v>
      </c>
      <c r="L19" s="312">
        <f ca="1">TblImps[[#This Row],[Real time]]</f>
        <v>44811.374999999964</v>
      </c>
      <c r="M19" s="62">
        <f>IF(ISERROR(TblImps[[#This Row],[algorithm]]),0,TblImps[[#This Row],[algorithm]]*1)</f>
        <v>0</v>
      </c>
      <c r="N19" s="97">
        <f ca="1">TblImps[[#This Row],[Land]]</f>
        <v>250</v>
      </c>
      <c r="O19" s="313" t="s">
        <v>4</v>
      </c>
      <c r="P19" s="314"/>
      <c r="Q19" s="313" t="s">
        <v>216</v>
      </c>
      <c r="R19" s="313" t="s">
        <v>7</v>
      </c>
      <c r="S19" s="314"/>
      <c r="T19" s="313" t="s">
        <v>216</v>
      </c>
      <c r="U19" s="313" t="s">
        <v>3</v>
      </c>
      <c r="V19" s="314"/>
      <c r="W19" s="313" t="s">
        <v>216</v>
      </c>
      <c r="X19" s="150"/>
      <c r="Y19" s="315">
        <f ca="1">science_cap*(1-EXP(-TblImps[[#This Row],[Σ Science]]/(science_param*(OFFSET(TblImps[[#This Row],[Land]],1,0)-OFFSET(TblExplore[[#This Row],[Land Bonus]],1,0)*20)+15000)))*(1+(mason_bonus*TblConstr[[#This Row],[Tot Mas]]/TblConstr[[#This Row],[Land (2)]]))</f>
        <v>0</v>
      </c>
      <c r="Z19" s="315">
        <f ca="1">keep_cap*(1-EXP(-TblImps[[#This Row],[Σ Keep]]/(keep_param*(OFFSET(TblImps[[#This Row],[Land]],1,0)-OFFSET(TblExplore[[#This Row],[Land Bonus]],1,0)*20)+15000)))*(1+(mason_bonus*TblConstr[[#This Row],[Tot Mas]]/TblConstr[[#This Row],[Land (2)]]))</f>
        <v>0</v>
      </c>
      <c r="AA19" s="315">
        <f ca="1">harbor_towers_cap*(1-EXP(-TblImps[[#This Row],[Σ Towers]]/(towers_param*(OFFSET(TblImps[[#This Row],[Land]],1,0)-OFFSET(TblExplore[[#This Row],[Land Bonus]],1,0)*20)+15000)))*(1+(mason_bonus*TblConstr[[#This Row],[Tot Mas]]/TblConstr[[#This Row],[Land (2)]]))</f>
        <v>0</v>
      </c>
      <c r="AB19" s="315">
        <f ca="1">walls_forges_cap*(1-EXP(-TblImps[[#This Row],[Σ Forges]]/(walls_forges_param*(OFFSET(TblImps[[#This Row],[Land]],1,0)-OFFSET(TblExplore[[#This Row],[Land Bonus]],1,0)*20)+15000)))*(1+(mason_bonus*TblConstr[[#This Row],[Tot Mas]]/TblConstr[[#This Row],[Land (2)]]))</f>
        <v>0</v>
      </c>
      <c r="AC19" s="315">
        <f ca="1">walls_forges_cap*(1-EXP(-TblImps[[#This Row],[Σ Walls]]/(walls_forges_param*(OFFSET(TblImps[[#This Row],[Land]],1,0)-OFFSET(TblExplore[[#This Row],[Land Bonus]],1,0)*20)+15000)))*(1+(mason_bonus*TblConstr[[#This Row],[Tot Mas]]/TblConstr[[#This Row],[Land (2)]]))</f>
        <v>0</v>
      </c>
      <c r="AD19" s="315">
        <f ca="1">harbor_towers_cap*(1-EXP(-TblImps[[#This Row],[Σ Irrigation]]/(harbor_towers_param*(OFFSET(TblImps[[#This Row],[Land]],1,0)-OFFSET(TblExplore[[#This Row],[Land Bonus]],1,0)*20)+15000)))*(1+(mason_bonus*TblConstr[[#This Row],[Tot Mas]]/TblConstr[[#This Row],[Land (2)]]))</f>
        <v>0</v>
      </c>
      <c r="AE19" s="150"/>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50"/>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50"/>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50"/>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50"/>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50"/>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50"/>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50"/>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50"/>
      <c r="BV1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62">
        <f>TblImps[[#This Row],[Login]]</f>
        <v>0</v>
      </c>
      <c r="BX19" s="145"/>
      <c r="BY19" s="321">
        <f ca="1">OFFSET(TblImps[[#This Row],[Real time]],-1,0)+1/24</f>
        <v>44811.374999999964</v>
      </c>
      <c r="BZ19" s="322">
        <f ca="1">OFFSET(TblImps[[#This Row],[Servertime]],-1,0)+1/24</f>
        <v>44811.624999999964</v>
      </c>
      <c r="CA19" s="57"/>
      <c r="CB19" s="320"/>
      <c r="CC19" s="320"/>
      <c r="CF19" s="324"/>
    </row>
    <row r="20" spans="1:84" x14ac:dyDescent="0.2">
      <c r="A20" s="230">
        <f ca="1">TblConstr[[#This Row],[Land]]</f>
        <v>250</v>
      </c>
      <c r="B20" s="150"/>
      <c r="C20" s="97">
        <f ca="1">TblProd[[#This Row],[Platinum]]</f>
        <v>185841</v>
      </c>
      <c r="D20" s="97">
        <f ca="1">TblProd[[#This Row],[Lumber]]</f>
        <v>27625</v>
      </c>
      <c r="E20" s="97">
        <f ca="1">TblProd[[#This Row],[Ore]]</f>
        <v>0</v>
      </c>
      <c r="F20" s="97">
        <f ca="1">TblProd[[#This Row],[Gems]]</f>
        <v>10000</v>
      </c>
      <c r="G20" s="162"/>
      <c r="H20" s="97">
        <f ca="1">TblMili[[#This Row],[Draftees]]</f>
        <v>341</v>
      </c>
      <c r="I20" s="188">
        <f ca="1">TblPop[[#This Row],[Employment]]</f>
        <v>0.89988751406074241</v>
      </c>
      <c r="J20" s="188">
        <f ca="1">TblPop[[#This Row],[Total]]/TblPop[[#This Row],[Net max]]</f>
        <v>0.98346055979643765</v>
      </c>
      <c r="K20" s="311">
        <f>TblRezone[[#This Row],[Hour]]</f>
        <v>17</v>
      </c>
      <c r="L20" s="312">
        <f ca="1">TblImps[[#This Row],[Real time]]</f>
        <v>44811.416666666628</v>
      </c>
      <c r="M20" s="62">
        <f>IF(ISERROR(TblImps[[#This Row],[algorithm]]),0,TblImps[[#This Row],[algorithm]]*1)</f>
        <v>0</v>
      </c>
      <c r="N20" s="97">
        <f ca="1">TblImps[[#This Row],[Land]]</f>
        <v>250</v>
      </c>
      <c r="O20" s="313" t="s">
        <v>4</v>
      </c>
      <c r="P20" s="314"/>
      <c r="Q20" s="313" t="s">
        <v>216</v>
      </c>
      <c r="R20" s="313" t="s">
        <v>7</v>
      </c>
      <c r="S20" s="314"/>
      <c r="T20" s="313" t="s">
        <v>216</v>
      </c>
      <c r="U20" s="313" t="s">
        <v>3</v>
      </c>
      <c r="V20" s="314"/>
      <c r="W20" s="313" t="s">
        <v>216</v>
      </c>
      <c r="X20" s="150"/>
      <c r="Y20" s="315">
        <f ca="1">science_cap*(1-EXP(-TblImps[[#This Row],[Σ Science]]/(science_param*(OFFSET(TblImps[[#This Row],[Land]],1,0)-OFFSET(TblExplore[[#This Row],[Land Bonus]],1,0)*20)+15000)))*(1+(mason_bonus*TblConstr[[#This Row],[Tot Mas]]/TblConstr[[#This Row],[Land (2)]]))</f>
        <v>0</v>
      </c>
      <c r="Z20" s="315">
        <f ca="1">keep_cap*(1-EXP(-TblImps[[#This Row],[Σ Keep]]/(keep_param*(OFFSET(TblImps[[#This Row],[Land]],1,0)-OFFSET(TblExplore[[#This Row],[Land Bonus]],1,0)*20)+15000)))*(1+(mason_bonus*TblConstr[[#This Row],[Tot Mas]]/TblConstr[[#This Row],[Land (2)]]))</f>
        <v>0</v>
      </c>
      <c r="AA20" s="315">
        <f ca="1">harbor_towers_cap*(1-EXP(-TblImps[[#This Row],[Σ Towers]]/(towers_param*(OFFSET(TblImps[[#This Row],[Land]],1,0)-OFFSET(TblExplore[[#This Row],[Land Bonus]],1,0)*20)+15000)))*(1+(mason_bonus*TblConstr[[#This Row],[Tot Mas]]/TblConstr[[#This Row],[Land (2)]]))</f>
        <v>0</v>
      </c>
      <c r="AB20" s="315">
        <f ca="1">walls_forges_cap*(1-EXP(-TblImps[[#This Row],[Σ Forges]]/(walls_forges_param*(OFFSET(TblImps[[#This Row],[Land]],1,0)-OFFSET(TblExplore[[#This Row],[Land Bonus]],1,0)*20)+15000)))*(1+(mason_bonus*TblConstr[[#This Row],[Tot Mas]]/TblConstr[[#This Row],[Land (2)]]))</f>
        <v>0</v>
      </c>
      <c r="AC20" s="315">
        <f ca="1">walls_forges_cap*(1-EXP(-TblImps[[#This Row],[Σ Walls]]/(walls_forges_param*(OFFSET(TblImps[[#This Row],[Land]],1,0)-OFFSET(TblExplore[[#This Row],[Land Bonus]],1,0)*20)+15000)))*(1+(mason_bonus*TblConstr[[#This Row],[Tot Mas]]/TblConstr[[#This Row],[Land (2)]]))</f>
        <v>0</v>
      </c>
      <c r="AD20" s="315">
        <f ca="1">harbor_towers_cap*(1-EXP(-TblImps[[#This Row],[Σ Irrigation]]/(harbor_towers_param*(OFFSET(TblImps[[#This Row],[Land]],1,0)-OFFSET(TblExplore[[#This Row],[Land Bonus]],1,0)*20)+15000)))*(1+(mason_bonus*TblConstr[[#This Row],[Tot Mas]]/TblConstr[[#This Row],[Land (2)]]))</f>
        <v>0</v>
      </c>
      <c r="AE20" s="150"/>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50"/>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50"/>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50"/>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50"/>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50"/>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50"/>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50"/>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50"/>
      <c r="BV2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62">
        <f>TblImps[[#This Row],[Login]]</f>
        <v>0</v>
      </c>
      <c r="BX20" s="145"/>
      <c r="BY20" s="321">
        <f ca="1">OFFSET(TblImps[[#This Row],[Real time]],-1,0)+1/24</f>
        <v>44811.416666666628</v>
      </c>
      <c r="BZ20" s="322">
        <f ca="1">OFFSET(TblImps[[#This Row],[Servertime]],-1,0)+1/24</f>
        <v>44811.666666666628</v>
      </c>
      <c r="CA20" s="57"/>
      <c r="CB20" s="320"/>
      <c r="CC20" s="320"/>
      <c r="CF20" s="323"/>
    </row>
    <row r="21" spans="1:84" x14ac:dyDescent="0.2">
      <c r="A21" s="230">
        <f ca="1">TblConstr[[#This Row],[Land]]</f>
        <v>250</v>
      </c>
      <c r="B21" s="150"/>
      <c r="C21" s="97">
        <f ca="1">TblProd[[#This Row],[Platinum]]</f>
        <v>191511</v>
      </c>
      <c r="D21" s="97">
        <f ca="1">TblProd[[#This Row],[Lumber]]</f>
        <v>28349</v>
      </c>
      <c r="E21" s="97">
        <f ca="1">TblProd[[#This Row],[Ore]]</f>
        <v>0</v>
      </c>
      <c r="F21" s="97">
        <f ca="1">TblProd[[#This Row],[Gems]]</f>
        <v>10000</v>
      </c>
      <c r="G21" s="162"/>
      <c r="H21" s="97">
        <f ca="1">TblMili[[#This Row],[Draftees]]</f>
        <v>359</v>
      </c>
      <c r="I21" s="188">
        <f ca="1">TblPop[[#This Row],[Employment]]</f>
        <v>0.88938299055030567</v>
      </c>
      <c r="J21" s="188">
        <f ca="1">TblPop[[#This Row],[Total]]/TblPop[[#This Row],[Net max]]</f>
        <v>1</v>
      </c>
      <c r="K21" s="311">
        <f>TblRezone[[#This Row],[Hour]]</f>
        <v>18</v>
      </c>
      <c r="L21" s="312">
        <f ca="1">TblImps[[#This Row],[Real time]]</f>
        <v>44811.458333333292</v>
      </c>
      <c r="M21" s="62">
        <f>IF(ISERROR(TblImps[[#This Row],[algorithm]]),0,TblImps[[#This Row],[algorithm]]*1)</f>
        <v>0</v>
      </c>
      <c r="N21" s="97">
        <f ca="1">TblImps[[#This Row],[Land]]</f>
        <v>250</v>
      </c>
      <c r="O21" s="313" t="s">
        <v>4</v>
      </c>
      <c r="P21" s="314"/>
      <c r="Q21" s="313" t="s">
        <v>216</v>
      </c>
      <c r="R21" s="313" t="s">
        <v>7</v>
      </c>
      <c r="S21" s="314"/>
      <c r="T21" s="313" t="s">
        <v>216</v>
      </c>
      <c r="U21" s="313" t="s">
        <v>3</v>
      </c>
      <c r="V21" s="314"/>
      <c r="W21" s="313" t="s">
        <v>216</v>
      </c>
      <c r="X21" s="150"/>
      <c r="Y21" s="315">
        <f ca="1">science_cap*(1-EXP(-TblImps[[#This Row],[Σ Science]]/(science_param*(OFFSET(TblImps[[#This Row],[Land]],1,0)-OFFSET(TblExplore[[#This Row],[Land Bonus]],1,0)*20)+15000)))*(1+(mason_bonus*TblConstr[[#This Row],[Tot Mas]]/TblConstr[[#This Row],[Land (2)]]))</f>
        <v>0</v>
      </c>
      <c r="Z21" s="315">
        <f ca="1">keep_cap*(1-EXP(-TblImps[[#This Row],[Σ Keep]]/(keep_param*(OFFSET(TblImps[[#This Row],[Land]],1,0)-OFFSET(TblExplore[[#This Row],[Land Bonus]],1,0)*20)+15000)))*(1+(mason_bonus*TblConstr[[#This Row],[Tot Mas]]/TblConstr[[#This Row],[Land (2)]]))</f>
        <v>0</v>
      </c>
      <c r="AA21" s="315">
        <f ca="1">harbor_towers_cap*(1-EXP(-TblImps[[#This Row],[Σ Towers]]/(towers_param*(OFFSET(TblImps[[#This Row],[Land]],1,0)-OFFSET(TblExplore[[#This Row],[Land Bonus]],1,0)*20)+15000)))*(1+(mason_bonus*TblConstr[[#This Row],[Tot Mas]]/TblConstr[[#This Row],[Land (2)]]))</f>
        <v>0</v>
      </c>
      <c r="AB21" s="315">
        <f ca="1">walls_forges_cap*(1-EXP(-TblImps[[#This Row],[Σ Forges]]/(walls_forges_param*(OFFSET(TblImps[[#This Row],[Land]],1,0)-OFFSET(TblExplore[[#This Row],[Land Bonus]],1,0)*20)+15000)))*(1+(mason_bonus*TblConstr[[#This Row],[Tot Mas]]/TblConstr[[#This Row],[Land (2)]]))</f>
        <v>0</v>
      </c>
      <c r="AC21" s="315">
        <f ca="1">walls_forges_cap*(1-EXP(-TblImps[[#This Row],[Σ Walls]]/(walls_forges_param*(OFFSET(TblImps[[#This Row],[Land]],1,0)-OFFSET(TblExplore[[#This Row],[Land Bonus]],1,0)*20)+15000)))*(1+(mason_bonus*TblConstr[[#This Row],[Tot Mas]]/TblConstr[[#This Row],[Land (2)]]))</f>
        <v>0</v>
      </c>
      <c r="AD21" s="315">
        <f ca="1">harbor_towers_cap*(1-EXP(-TblImps[[#This Row],[Σ Irrigation]]/(harbor_towers_param*(OFFSET(TblImps[[#This Row],[Land]],1,0)-OFFSET(TblExplore[[#This Row],[Land Bonus]],1,0)*20)+15000)))*(1+(mason_bonus*TblConstr[[#This Row],[Tot Mas]]/TblConstr[[#This Row],[Land (2)]]))</f>
        <v>0</v>
      </c>
      <c r="AE21" s="150"/>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50"/>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50"/>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50"/>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50"/>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50"/>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50"/>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50"/>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50"/>
      <c r="BV2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62">
        <f>TblImps[[#This Row],[Login]]</f>
        <v>0</v>
      </c>
      <c r="BX21" s="145"/>
      <c r="BY21" s="321">
        <f ca="1">OFFSET(TblImps[[#This Row],[Real time]],-1,0)+1/24</f>
        <v>44811.458333333292</v>
      </c>
      <c r="BZ21" s="322">
        <f ca="1">OFFSET(TblImps[[#This Row],[Servertime]],-1,0)+1/24</f>
        <v>44811.708333333292</v>
      </c>
      <c r="CA21" s="57"/>
      <c r="CB21" s="320"/>
      <c r="CC21" s="320"/>
      <c r="CF21" s="323"/>
    </row>
    <row r="22" spans="1:84" x14ac:dyDescent="0.2">
      <c r="A22" s="230">
        <f ca="1">TblConstr[[#This Row],[Land]]</f>
        <v>250</v>
      </c>
      <c r="B22" s="150"/>
      <c r="C22" s="97">
        <f ca="1">TblProd[[#This Row],[Platinum]]</f>
        <v>197181</v>
      </c>
      <c r="D22" s="97">
        <f ca="1">TblProd[[#This Row],[Lumber]]</f>
        <v>29066</v>
      </c>
      <c r="E22" s="97">
        <f ca="1">TblProd[[#This Row],[Ore]]</f>
        <v>0</v>
      </c>
      <c r="F22" s="97">
        <f ca="1">TblProd[[#This Row],[Gems]]</f>
        <v>10000</v>
      </c>
      <c r="G22" s="162"/>
      <c r="H22" s="97">
        <f ca="1">TblMili[[#This Row],[Draftees]]</f>
        <v>377</v>
      </c>
      <c r="I22" s="188">
        <f ca="1">TblPop[[#This Row],[Employment]]</f>
        <v>0.89837170129140931</v>
      </c>
      <c r="J22" s="188">
        <f ca="1">TblPop[[#This Row],[Total]]/TblPop[[#This Row],[Net max]]</f>
        <v>1</v>
      </c>
      <c r="K22" s="311">
        <f>TblRezone[[#This Row],[Hour]]</f>
        <v>19</v>
      </c>
      <c r="L22" s="312">
        <f ca="1">TblImps[[#This Row],[Real time]]</f>
        <v>44811.499999999956</v>
      </c>
      <c r="M22" s="62">
        <f>IF(ISERROR(TblImps[[#This Row],[algorithm]]),0,TblImps[[#This Row],[algorithm]]*1)</f>
        <v>0</v>
      </c>
      <c r="N22" s="97">
        <f ca="1">TblImps[[#This Row],[Land]]</f>
        <v>250</v>
      </c>
      <c r="O22" s="313" t="s">
        <v>4</v>
      </c>
      <c r="P22" s="314"/>
      <c r="Q22" s="313" t="s">
        <v>216</v>
      </c>
      <c r="R22" s="313" t="s">
        <v>7</v>
      </c>
      <c r="S22" s="314"/>
      <c r="T22" s="313" t="s">
        <v>216</v>
      </c>
      <c r="U22" s="313" t="s">
        <v>3</v>
      </c>
      <c r="V22" s="314"/>
      <c r="W22" s="313" t="s">
        <v>216</v>
      </c>
      <c r="X22" s="150"/>
      <c r="Y22" s="315">
        <f ca="1">science_cap*(1-EXP(-TblImps[[#This Row],[Σ Science]]/(science_param*(OFFSET(TblImps[[#This Row],[Land]],1,0)-OFFSET(TblExplore[[#This Row],[Land Bonus]],1,0)*20)+15000)))*(1+(mason_bonus*TblConstr[[#This Row],[Tot Mas]]/TblConstr[[#This Row],[Land (2)]]))</f>
        <v>0</v>
      </c>
      <c r="Z22" s="315">
        <f ca="1">keep_cap*(1-EXP(-TblImps[[#This Row],[Σ Keep]]/(keep_param*(OFFSET(TblImps[[#This Row],[Land]],1,0)-OFFSET(TblExplore[[#This Row],[Land Bonus]],1,0)*20)+15000)))*(1+(mason_bonus*TblConstr[[#This Row],[Tot Mas]]/TblConstr[[#This Row],[Land (2)]]))</f>
        <v>0</v>
      </c>
      <c r="AA22" s="315">
        <f ca="1">harbor_towers_cap*(1-EXP(-TblImps[[#This Row],[Σ Towers]]/(towers_param*(OFFSET(TblImps[[#This Row],[Land]],1,0)-OFFSET(TblExplore[[#This Row],[Land Bonus]],1,0)*20)+15000)))*(1+(mason_bonus*TblConstr[[#This Row],[Tot Mas]]/TblConstr[[#This Row],[Land (2)]]))</f>
        <v>0</v>
      </c>
      <c r="AB22" s="315">
        <f ca="1">walls_forges_cap*(1-EXP(-TblImps[[#This Row],[Σ Forges]]/(walls_forges_param*(OFFSET(TblImps[[#This Row],[Land]],1,0)-OFFSET(TblExplore[[#This Row],[Land Bonus]],1,0)*20)+15000)))*(1+(mason_bonus*TblConstr[[#This Row],[Tot Mas]]/TblConstr[[#This Row],[Land (2)]]))</f>
        <v>0</v>
      </c>
      <c r="AC22" s="315">
        <f ca="1">walls_forges_cap*(1-EXP(-TblImps[[#This Row],[Σ Walls]]/(walls_forges_param*(OFFSET(TblImps[[#This Row],[Land]],1,0)-OFFSET(TblExplore[[#This Row],[Land Bonus]],1,0)*20)+15000)))*(1+(mason_bonus*TblConstr[[#This Row],[Tot Mas]]/TblConstr[[#This Row],[Land (2)]]))</f>
        <v>0</v>
      </c>
      <c r="AD22" s="315">
        <f ca="1">harbor_towers_cap*(1-EXP(-TblImps[[#This Row],[Σ Irrigation]]/(harbor_towers_param*(OFFSET(TblImps[[#This Row],[Land]],1,0)-OFFSET(TblExplore[[#This Row],[Land Bonus]],1,0)*20)+15000)))*(1+(mason_bonus*TblConstr[[#This Row],[Tot Mas]]/TblConstr[[#This Row],[Land (2)]]))</f>
        <v>0</v>
      </c>
      <c r="AE22" s="150"/>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50"/>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50"/>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50"/>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50"/>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50"/>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50"/>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50"/>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50"/>
      <c r="BV2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62">
        <f>TblImps[[#This Row],[Login]]</f>
        <v>0</v>
      </c>
      <c r="BX22" s="145"/>
      <c r="BY22" s="321">
        <f ca="1">OFFSET(TblImps[[#This Row],[Real time]],-1,0)+1/24</f>
        <v>44811.499999999956</v>
      </c>
      <c r="BZ22" s="322">
        <f ca="1">OFFSET(TblImps[[#This Row],[Servertime]],-1,0)+1/24</f>
        <v>44811.749999999956</v>
      </c>
      <c r="CA22" s="57"/>
      <c r="CB22" s="320"/>
      <c r="CC22" s="320"/>
    </row>
    <row r="23" spans="1:84" x14ac:dyDescent="0.2">
      <c r="A23" s="230">
        <f ca="1">TblConstr[[#This Row],[Land]]</f>
        <v>250</v>
      </c>
      <c r="B23" s="150"/>
      <c r="C23" s="97">
        <f ca="1">TblProd[[#This Row],[Platinum]]</f>
        <v>202851</v>
      </c>
      <c r="D23" s="97">
        <f ca="1">TblProd[[#This Row],[Lumber]]</f>
        <v>29775</v>
      </c>
      <c r="E23" s="97">
        <f ca="1">TblProd[[#This Row],[Ore]]</f>
        <v>0</v>
      </c>
      <c r="F23" s="97">
        <f ca="1">TblProd[[#This Row],[Gems]]</f>
        <v>10000</v>
      </c>
      <c r="G23" s="162"/>
      <c r="H23" s="97">
        <f ca="1">TblMili[[#This Row],[Draftees]]</f>
        <v>395</v>
      </c>
      <c r="I23" s="188">
        <f ca="1">TblPop[[#This Row],[Employment]]</f>
        <v>0.90754395916052188</v>
      </c>
      <c r="J23" s="188">
        <f ca="1">TblPop[[#This Row],[Total]]/TblPop[[#This Row],[Net max]]</f>
        <v>1</v>
      </c>
      <c r="K23" s="311">
        <f>TblRezone[[#This Row],[Hour]]</f>
        <v>20</v>
      </c>
      <c r="L23" s="312">
        <f ca="1">TblImps[[#This Row],[Real time]]</f>
        <v>44811.541666666621</v>
      </c>
      <c r="M23" s="62">
        <f>IF(ISERROR(TblImps[[#This Row],[algorithm]]),0,TblImps[[#This Row],[algorithm]]*1)</f>
        <v>0</v>
      </c>
      <c r="N23" s="97">
        <f ca="1">TblImps[[#This Row],[Land]]</f>
        <v>250</v>
      </c>
      <c r="O23" s="313" t="s">
        <v>4</v>
      </c>
      <c r="P23" s="314"/>
      <c r="Q23" s="313" t="s">
        <v>216</v>
      </c>
      <c r="R23" s="313" t="s">
        <v>7</v>
      </c>
      <c r="S23" s="314"/>
      <c r="T23" s="313" t="s">
        <v>216</v>
      </c>
      <c r="U23" s="313" t="s">
        <v>3</v>
      </c>
      <c r="V23" s="314"/>
      <c r="W23" s="313" t="s">
        <v>216</v>
      </c>
      <c r="X23" s="150"/>
      <c r="Y23" s="315">
        <f ca="1">science_cap*(1-EXP(-TblImps[[#This Row],[Σ Science]]/(science_param*(OFFSET(TblImps[[#This Row],[Land]],1,0)-OFFSET(TblExplore[[#This Row],[Land Bonus]],1,0)*20)+15000)))*(1+(mason_bonus*TblConstr[[#This Row],[Tot Mas]]/TblConstr[[#This Row],[Land (2)]]))</f>
        <v>0</v>
      </c>
      <c r="Z23" s="315">
        <f ca="1">keep_cap*(1-EXP(-TblImps[[#This Row],[Σ Keep]]/(keep_param*(OFFSET(TblImps[[#This Row],[Land]],1,0)-OFFSET(TblExplore[[#This Row],[Land Bonus]],1,0)*20)+15000)))*(1+(mason_bonus*TblConstr[[#This Row],[Tot Mas]]/TblConstr[[#This Row],[Land (2)]]))</f>
        <v>0</v>
      </c>
      <c r="AA23" s="315">
        <f ca="1">harbor_towers_cap*(1-EXP(-TblImps[[#This Row],[Σ Towers]]/(towers_param*(OFFSET(TblImps[[#This Row],[Land]],1,0)-OFFSET(TblExplore[[#This Row],[Land Bonus]],1,0)*20)+15000)))*(1+(mason_bonus*TblConstr[[#This Row],[Tot Mas]]/TblConstr[[#This Row],[Land (2)]]))</f>
        <v>0</v>
      </c>
      <c r="AB23" s="315">
        <f ca="1">walls_forges_cap*(1-EXP(-TblImps[[#This Row],[Σ Forges]]/(walls_forges_param*(OFFSET(TblImps[[#This Row],[Land]],1,0)-OFFSET(TblExplore[[#This Row],[Land Bonus]],1,0)*20)+15000)))*(1+(mason_bonus*TblConstr[[#This Row],[Tot Mas]]/TblConstr[[#This Row],[Land (2)]]))</f>
        <v>0</v>
      </c>
      <c r="AC23" s="315">
        <f ca="1">walls_forges_cap*(1-EXP(-TblImps[[#This Row],[Σ Walls]]/(walls_forges_param*(OFFSET(TblImps[[#This Row],[Land]],1,0)-OFFSET(TblExplore[[#This Row],[Land Bonus]],1,0)*20)+15000)))*(1+(mason_bonus*TblConstr[[#This Row],[Tot Mas]]/TblConstr[[#This Row],[Land (2)]]))</f>
        <v>0</v>
      </c>
      <c r="AD23" s="315">
        <f ca="1">harbor_towers_cap*(1-EXP(-TblImps[[#This Row],[Σ Irrigation]]/(harbor_towers_param*(OFFSET(TblImps[[#This Row],[Land]],1,0)-OFFSET(TblExplore[[#This Row],[Land Bonus]],1,0)*20)+15000)))*(1+(mason_bonus*TblConstr[[#This Row],[Tot Mas]]/TblConstr[[#This Row],[Land (2)]]))</f>
        <v>0</v>
      </c>
      <c r="AE23" s="150"/>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50"/>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50"/>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50"/>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50"/>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50"/>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50"/>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50"/>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50"/>
      <c r="BV2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62">
        <f>TblImps[[#This Row],[Login]]</f>
        <v>0</v>
      </c>
      <c r="BX23" s="145"/>
      <c r="BY23" s="321">
        <f ca="1">OFFSET(TblImps[[#This Row],[Real time]],-1,0)+1/24</f>
        <v>44811.541666666621</v>
      </c>
      <c r="BZ23" s="322">
        <f ca="1">OFFSET(TblImps[[#This Row],[Servertime]],-1,0)+1/24</f>
        <v>44811.791666666621</v>
      </c>
      <c r="CA23" s="57"/>
      <c r="CB23" s="320"/>
      <c r="CC23" s="320"/>
    </row>
    <row r="24" spans="1:84" x14ac:dyDescent="0.2">
      <c r="A24" s="230">
        <f ca="1">TblConstr[[#This Row],[Land]]</f>
        <v>250</v>
      </c>
      <c r="B24" s="150"/>
      <c r="C24" s="97">
        <f ca="1">TblProd[[#This Row],[Platinum]]</f>
        <v>208521</v>
      </c>
      <c r="D24" s="97">
        <f ca="1">TblProd[[#This Row],[Lumber]]</f>
        <v>30477</v>
      </c>
      <c r="E24" s="97">
        <f ca="1">TblProd[[#This Row],[Ore]]</f>
        <v>0</v>
      </c>
      <c r="F24" s="97">
        <f ca="1">TblProd[[#This Row],[Gems]]</f>
        <v>10000</v>
      </c>
      <c r="G24" s="162"/>
      <c r="H24" s="97">
        <f ca="1">TblMili[[#This Row],[Draftees]]</f>
        <v>413</v>
      </c>
      <c r="I24" s="188">
        <f ca="1">TblPop[[#This Row],[Employment]]</f>
        <v>0.91690544412607455</v>
      </c>
      <c r="J24" s="188">
        <f ca="1">TblPop[[#This Row],[Total]]/TblPop[[#This Row],[Net max]]</f>
        <v>1</v>
      </c>
      <c r="K24" s="311">
        <f>TblRezone[[#This Row],[Hour]]</f>
        <v>21</v>
      </c>
      <c r="L24" s="312">
        <f ca="1">TblImps[[#This Row],[Real time]]</f>
        <v>44811.583333333285</v>
      </c>
      <c r="M24" s="62">
        <f>IF(ISERROR(TblImps[[#This Row],[algorithm]]),0,TblImps[[#This Row],[algorithm]]*1)</f>
        <v>0</v>
      </c>
      <c r="N24" s="97">
        <f ca="1">TblImps[[#This Row],[Land]]</f>
        <v>250</v>
      </c>
      <c r="O24" s="313" t="s">
        <v>4</v>
      </c>
      <c r="P24" s="314"/>
      <c r="Q24" s="313" t="s">
        <v>216</v>
      </c>
      <c r="R24" s="313" t="s">
        <v>7</v>
      </c>
      <c r="S24" s="314"/>
      <c r="T24" s="313" t="s">
        <v>216</v>
      </c>
      <c r="U24" s="313" t="s">
        <v>3</v>
      </c>
      <c r="V24" s="314"/>
      <c r="W24" s="313" t="s">
        <v>216</v>
      </c>
      <c r="X24" s="150"/>
      <c r="Y24" s="315">
        <f ca="1">science_cap*(1-EXP(-TblImps[[#This Row],[Σ Science]]/(science_param*(OFFSET(TblImps[[#This Row],[Land]],1,0)-OFFSET(TblExplore[[#This Row],[Land Bonus]],1,0)*20)+15000)))*(1+(mason_bonus*TblConstr[[#This Row],[Tot Mas]]/TblConstr[[#This Row],[Land (2)]]))</f>
        <v>0</v>
      </c>
      <c r="Z24" s="315">
        <f ca="1">keep_cap*(1-EXP(-TblImps[[#This Row],[Σ Keep]]/(keep_param*(OFFSET(TblImps[[#This Row],[Land]],1,0)-OFFSET(TblExplore[[#This Row],[Land Bonus]],1,0)*20)+15000)))*(1+(mason_bonus*TblConstr[[#This Row],[Tot Mas]]/TblConstr[[#This Row],[Land (2)]]))</f>
        <v>0</v>
      </c>
      <c r="AA24" s="315">
        <f ca="1">harbor_towers_cap*(1-EXP(-TblImps[[#This Row],[Σ Towers]]/(towers_param*(OFFSET(TblImps[[#This Row],[Land]],1,0)-OFFSET(TblExplore[[#This Row],[Land Bonus]],1,0)*20)+15000)))*(1+(mason_bonus*TblConstr[[#This Row],[Tot Mas]]/TblConstr[[#This Row],[Land (2)]]))</f>
        <v>0</v>
      </c>
      <c r="AB24" s="315">
        <f ca="1">walls_forges_cap*(1-EXP(-TblImps[[#This Row],[Σ Forges]]/(walls_forges_param*(OFFSET(TblImps[[#This Row],[Land]],1,0)-OFFSET(TblExplore[[#This Row],[Land Bonus]],1,0)*20)+15000)))*(1+(mason_bonus*TblConstr[[#This Row],[Tot Mas]]/TblConstr[[#This Row],[Land (2)]]))</f>
        <v>0</v>
      </c>
      <c r="AC24" s="315">
        <f ca="1">walls_forges_cap*(1-EXP(-TblImps[[#This Row],[Σ Walls]]/(walls_forges_param*(OFFSET(TblImps[[#This Row],[Land]],1,0)-OFFSET(TblExplore[[#This Row],[Land Bonus]],1,0)*20)+15000)))*(1+(mason_bonus*TblConstr[[#This Row],[Tot Mas]]/TblConstr[[#This Row],[Land (2)]]))</f>
        <v>0</v>
      </c>
      <c r="AD24" s="315">
        <f ca="1">harbor_towers_cap*(1-EXP(-TblImps[[#This Row],[Σ Irrigation]]/(harbor_towers_param*(OFFSET(TblImps[[#This Row],[Land]],1,0)-OFFSET(TblExplore[[#This Row],[Land Bonus]],1,0)*20)+15000)))*(1+(mason_bonus*TblConstr[[#This Row],[Tot Mas]]/TblConstr[[#This Row],[Land (2)]]))</f>
        <v>0</v>
      </c>
      <c r="AE24" s="150"/>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50"/>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50"/>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50"/>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50"/>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50"/>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50"/>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50"/>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50"/>
      <c r="BV2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62">
        <f>TblImps[[#This Row],[Login]]</f>
        <v>0</v>
      </c>
      <c r="BX24" s="145"/>
      <c r="BY24" s="321">
        <f ca="1">OFFSET(TblImps[[#This Row],[Real time]],-1,0)+1/24</f>
        <v>44811.583333333285</v>
      </c>
      <c r="BZ24" s="322">
        <f ca="1">OFFSET(TblImps[[#This Row],[Servertime]],-1,0)+1/24</f>
        <v>44811.833333333285</v>
      </c>
      <c r="CA24" s="57"/>
      <c r="CB24" s="320"/>
      <c r="CC24" s="320"/>
    </row>
    <row r="25" spans="1:84" x14ac:dyDescent="0.2">
      <c r="A25" s="230">
        <f ca="1">TblConstr[[#This Row],[Land]]</f>
        <v>250</v>
      </c>
      <c r="B25" s="150"/>
      <c r="C25" s="97">
        <f ca="1">TblProd[[#This Row],[Platinum]]</f>
        <v>214191</v>
      </c>
      <c r="D25" s="97">
        <f ca="1">TblProd[[#This Row],[Lumber]]</f>
        <v>31172</v>
      </c>
      <c r="E25" s="97">
        <f ca="1">TblProd[[#This Row],[Ore]]</f>
        <v>0</v>
      </c>
      <c r="F25" s="97">
        <f ca="1">TblProd[[#This Row],[Gems]]</f>
        <v>10000</v>
      </c>
      <c r="G25" s="162"/>
      <c r="H25" s="97">
        <f ca="1">TblMili[[#This Row],[Draftees]]</f>
        <v>430</v>
      </c>
      <c r="I25" s="188">
        <f ca="1">TblPop[[#This Row],[Employment]]</f>
        <v>0.92592592592592593</v>
      </c>
      <c r="J25" s="188">
        <f ca="1">TblPop[[#This Row],[Total]]/TblPop[[#This Row],[Net max]]</f>
        <v>1</v>
      </c>
      <c r="K25" s="311">
        <f>TblRezone[[#This Row],[Hour]]</f>
        <v>22</v>
      </c>
      <c r="L25" s="312">
        <f ca="1">TblImps[[#This Row],[Real time]]</f>
        <v>44811.624999999949</v>
      </c>
      <c r="M25" s="62">
        <f>IF(ISERROR(TblImps[[#This Row],[algorithm]]),0,TblImps[[#This Row],[algorithm]]*1)</f>
        <v>0</v>
      </c>
      <c r="N25" s="97">
        <f ca="1">TblImps[[#This Row],[Land]]</f>
        <v>250</v>
      </c>
      <c r="O25" s="313" t="s">
        <v>4</v>
      </c>
      <c r="P25" s="314"/>
      <c r="Q25" s="313" t="s">
        <v>216</v>
      </c>
      <c r="R25" s="313" t="s">
        <v>7</v>
      </c>
      <c r="S25" s="314"/>
      <c r="T25" s="313" t="s">
        <v>216</v>
      </c>
      <c r="U25" s="313" t="s">
        <v>3</v>
      </c>
      <c r="V25" s="314"/>
      <c r="W25" s="313" t="s">
        <v>216</v>
      </c>
      <c r="X25" s="150"/>
      <c r="Y25" s="315">
        <f ca="1">science_cap*(1-EXP(-TblImps[[#This Row],[Σ Science]]/(science_param*(OFFSET(TblImps[[#This Row],[Land]],1,0)-OFFSET(TblExplore[[#This Row],[Land Bonus]],1,0)*20)+15000)))*(1+(mason_bonus*TblConstr[[#This Row],[Tot Mas]]/TblConstr[[#This Row],[Land (2)]]))</f>
        <v>0</v>
      </c>
      <c r="Z25" s="315">
        <f ca="1">keep_cap*(1-EXP(-TblImps[[#This Row],[Σ Keep]]/(keep_param*(OFFSET(TblImps[[#This Row],[Land]],1,0)-OFFSET(TblExplore[[#This Row],[Land Bonus]],1,0)*20)+15000)))*(1+(mason_bonus*TblConstr[[#This Row],[Tot Mas]]/TblConstr[[#This Row],[Land (2)]]))</f>
        <v>0</v>
      </c>
      <c r="AA25" s="315">
        <f ca="1">harbor_towers_cap*(1-EXP(-TblImps[[#This Row],[Σ Towers]]/(towers_param*(OFFSET(TblImps[[#This Row],[Land]],1,0)-OFFSET(TblExplore[[#This Row],[Land Bonus]],1,0)*20)+15000)))*(1+(mason_bonus*TblConstr[[#This Row],[Tot Mas]]/TblConstr[[#This Row],[Land (2)]]))</f>
        <v>0</v>
      </c>
      <c r="AB25" s="315">
        <f ca="1">walls_forges_cap*(1-EXP(-TblImps[[#This Row],[Σ Forges]]/(walls_forges_param*(OFFSET(TblImps[[#This Row],[Land]],1,0)-OFFSET(TblExplore[[#This Row],[Land Bonus]],1,0)*20)+15000)))*(1+(mason_bonus*TblConstr[[#This Row],[Tot Mas]]/TblConstr[[#This Row],[Land (2)]]))</f>
        <v>0</v>
      </c>
      <c r="AC25" s="315">
        <f ca="1">walls_forges_cap*(1-EXP(-TblImps[[#This Row],[Σ Walls]]/(walls_forges_param*(OFFSET(TblImps[[#This Row],[Land]],1,0)-OFFSET(TblExplore[[#This Row],[Land Bonus]],1,0)*20)+15000)))*(1+(mason_bonus*TblConstr[[#This Row],[Tot Mas]]/TblConstr[[#This Row],[Land (2)]]))</f>
        <v>0</v>
      </c>
      <c r="AD25" s="315">
        <f ca="1">harbor_towers_cap*(1-EXP(-TblImps[[#This Row],[Σ Irrigation]]/(harbor_towers_param*(OFFSET(TblImps[[#This Row],[Land]],1,0)-OFFSET(TblExplore[[#This Row],[Land Bonus]],1,0)*20)+15000)))*(1+(mason_bonus*TblConstr[[#This Row],[Tot Mas]]/TblConstr[[#This Row],[Land (2)]]))</f>
        <v>0</v>
      </c>
      <c r="AE25" s="150"/>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50"/>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50"/>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50"/>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50"/>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50"/>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50"/>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50"/>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50"/>
      <c r="BV2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62">
        <f>TblImps[[#This Row],[Login]]</f>
        <v>0</v>
      </c>
      <c r="BX25" s="145"/>
      <c r="BY25" s="321">
        <f ca="1">OFFSET(TblImps[[#This Row],[Real time]],-1,0)+1/24</f>
        <v>44811.624999999949</v>
      </c>
      <c r="BZ25" s="322">
        <f ca="1">OFFSET(TblImps[[#This Row],[Servertime]],-1,0)+1/24</f>
        <v>44811.874999999949</v>
      </c>
      <c r="CA25" s="57"/>
      <c r="CB25" s="320"/>
      <c r="CC25" s="320"/>
    </row>
    <row r="26" spans="1:84" x14ac:dyDescent="0.2">
      <c r="A26" s="230">
        <f ca="1">TblConstr[[#This Row],[Land]]</f>
        <v>250</v>
      </c>
      <c r="B26" s="150"/>
      <c r="C26" s="97">
        <f ca="1">TblProd[[#This Row],[Platinum]]</f>
        <v>219861</v>
      </c>
      <c r="D26" s="97">
        <f ca="1">TblProd[[#This Row],[Lumber]]</f>
        <v>31860</v>
      </c>
      <c r="E26" s="97">
        <f ca="1">TblProd[[#This Row],[Ore]]</f>
        <v>0</v>
      </c>
      <c r="F26" s="97">
        <f ca="1">TblProd[[#This Row],[Gems]]</f>
        <v>10000</v>
      </c>
      <c r="G26" s="162"/>
      <c r="H26" s="97">
        <f ca="1">TblMili[[#This Row],[Draftees]]</f>
        <v>447</v>
      </c>
      <c r="I26" s="188">
        <f ca="1">TblPop[[#This Row],[Employment]]</f>
        <v>0.93512565751022791</v>
      </c>
      <c r="J26" s="188">
        <f ca="1">TblPop[[#This Row],[Total]]/TblPop[[#This Row],[Net max]]</f>
        <v>1</v>
      </c>
      <c r="K26" s="311">
        <f>TblRezone[[#This Row],[Hour]]</f>
        <v>23</v>
      </c>
      <c r="L26" s="312">
        <f ca="1">TblImps[[#This Row],[Real time]]</f>
        <v>44811.666666666613</v>
      </c>
      <c r="M26" s="62">
        <f>IF(ISERROR(TblImps[[#This Row],[algorithm]]),0,TblImps[[#This Row],[algorithm]]*1)</f>
        <v>0</v>
      </c>
      <c r="N26" s="97">
        <f ca="1">TblImps[[#This Row],[Land]]</f>
        <v>250</v>
      </c>
      <c r="O26" s="313" t="s">
        <v>4</v>
      </c>
      <c r="P26" s="314"/>
      <c r="Q26" s="313" t="s">
        <v>216</v>
      </c>
      <c r="R26" s="313" t="s">
        <v>7</v>
      </c>
      <c r="S26" s="314"/>
      <c r="T26" s="313" t="s">
        <v>216</v>
      </c>
      <c r="U26" s="313" t="s">
        <v>3</v>
      </c>
      <c r="V26" s="314"/>
      <c r="W26" s="313" t="s">
        <v>216</v>
      </c>
      <c r="X26" s="150"/>
      <c r="Y26" s="315">
        <f ca="1">science_cap*(1-EXP(-TblImps[[#This Row],[Σ Science]]/(science_param*(OFFSET(TblImps[[#This Row],[Land]],1,0)-OFFSET(TblExplore[[#This Row],[Land Bonus]],1,0)*20)+15000)))*(1+(mason_bonus*TblConstr[[#This Row],[Tot Mas]]/TblConstr[[#This Row],[Land (2)]]))</f>
        <v>0</v>
      </c>
      <c r="Z26" s="315">
        <f ca="1">keep_cap*(1-EXP(-TblImps[[#This Row],[Σ Keep]]/(keep_param*(OFFSET(TblImps[[#This Row],[Land]],1,0)-OFFSET(TblExplore[[#This Row],[Land Bonus]],1,0)*20)+15000)))*(1+(mason_bonus*TblConstr[[#This Row],[Tot Mas]]/TblConstr[[#This Row],[Land (2)]]))</f>
        <v>0</v>
      </c>
      <c r="AA26" s="315">
        <f ca="1">harbor_towers_cap*(1-EXP(-TblImps[[#This Row],[Σ Towers]]/(towers_param*(OFFSET(TblImps[[#This Row],[Land]],1,0)-OFFSET(TblExplore[[#This Row],[Land Bonus]],1,0)*20)+15000)))*(1+(mason_bonus*TblConstr[[#This Row],[Tot Mas]]/TblConstr[[#This Row],[Land (2)]]))</f>
        <v>0</v>
      </c>
      <c r="AB26" s="315">
        <f ca="1">walls_forges_cap*(1-EXP(-TblImps[[#This Row],[Σ Forges]]/(walls_forges_param*(OFFSET(TblImps[[#This Row],[Land]],1,0)-OFFSET(TblExplore[[#This Row],[Land Bonus]],1,0)*20)+15000)))*(1+(mason_bonus*TblConstr[[#This Row],[Tot Mas]]/TblConstr[[#This Row],[Land (2)]]))</f>
        <v>0</v>
      </c>
      <c r="AC26" s="315">
        <f ca="1">walls_forges_cap*(1-EXP(-TblImps[[#This Row],[Σ Walls]]/(walls_forges_param*(OFFSET(TblImps[[#This Row],[Land]],1,0)-OFFSET(TblExplore[[#This Row],[Land Bonus]],1,0)*20)+15000)))*(1+(mason_bonus*TblConstr[[#This Row],[Tot Mas]]/TblConstr[[#This Row],[Land (2)]]))</f>
        <v>0</v>
      </c>
      <c r="AD26" s="315">
        <f ca="1">harbor_towers_cap*(1-EXP(-TblImps[[#This Row],[Σ Irrigation]]/(harbor_towers_param*(OFFSET(TblImps[[#This Row],[Land]],1,0)-OFFSET(TblExplore[[#This Row],[Land Bonus]],1,0)*20)+15000)))*(1+(mason_bonus*TblConstr[[#This Row],[Tot Mas]]/TblConstr[[#This Row],[Land (2)]]))</f>
        <v>0</v>
      </c>
      <c r="AE26" s="150"/>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50"/>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50"/>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50"/>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50"/>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50"/>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50"/>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50"/>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50"/>
      <c r="BV2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62">
        <f>TblImps[[#This Row],[Login]]</f>
        <v>0</v>
      </c>
      <c r="BX26" s="145"/>
      <c r="BY26" s="321">
        <f ca="1">OFFSET(TblImps[[#This Row],[Real time]],-1,0)+1/24</f>
        <v>44811.666666666613</v>
      </c>
      <c r="BZ26" s="322">
        <f ca="1">OFFSET(TblImps[[#This Row],[Servertime]],-1,0)+1/24</f>
        <v>44811.916666666613</v>
      </c>
      <c r="CA26" s="57"/>
      <c r="CB26" s="320"/>
      <c r="CC26" s="320"/>
    </row>
    <row r="27" spans="1:84" x14ac:dyDescent="0.2">
      <c r="A27" s="230">
        <f ca="1">TblConstr[[#This Row],[Land]]</f>
        <v>250</v>
      </c>
      <c r="B27" s="150"/>
      <c r="C27" s="97">
        <f ca="1">TblProd[[#This Row],[Platinum]]</f>
        <v>225531</v>
      </c>
      <c r="D27" s="97">
        <f ca="1">TblProd[[#This Row],[Lumber]]</f>
        <v>32541</v>
      </c>
      <c r="E27" s="97">
        <f ca="1">TblProd[[#This Row],[Ore]]</f>
        <v>0</v>
      </c>
      <c r="F27" s="97">
        <f ca="1">TblProd[[#This Row],[Gems]]</f>
        <v>10000</v>
      </c>
      <c r="G27" s="162"/>
      <c r="H27" s="97">
        <f ca="1">TblMili[[#This Row],[Draftees]]</f>
        <v>464</v>
      </c>
      <c r="I27" s="188">
        <f ca="1">TblPop[[#This Row],[Employment]]</f>
        <v>0.94451003541912637</v>
      </c>
      <c r="J27" s="188">
        <f ca="1">TblPop[[#This Row],[Total]]/TblPop[[#This Row],[Net max]]</f>
        <v>1</v>
      </c>
      <c r="K27" s="311">
        <f>TblRezone[[#This Row],[Hour]]</f>
        <v>24</v>
      </c>
      <c r="L27" s="312">
        <f ca="1">TblImps[[#This Row],[Real time]]</f>
        <v>44811.708333333278</v>
      </c>
      <c r="M27" s="62">
        <f>IF(ISERROR(TblImps[[#This Row],[algorithm]]),0,TblImps[[#This Row],[algorithm]]*1)</f>
        <v>0</v>
      </c>
      <c r="N27" s="97">
        <f ca="1">TblImps[[#This Row],[Land]]</f>
        <v>250</v>
      </c>
      <c r="O27" s="313" t="s">
        <v>4</v>
      </c>
      <c r="P27" s="314"/>
      <c r="Q27" s="313" t="s">
        <v>216</v>
      </c>
      <c r="R27" s="313" t="s">
        <v>7</v>
      </c>
      <c r="S27" s="314"/>
      <c r="T27" s="313" t="s">
        <v>216</v>
      </c>
      <c r="U27" s="313" t="s">
        <v>3</v>
      </c>
      <c r="V27" s="314"/>
      <c r="W27" s="313" t="s">
        <v>216</v>
      </c>
      <c r="X27" s="150"/>
      <c r="Y27" s="315">
        <f ca="1">science_cap*(1-EXP(-TblImps[[#This Row],[Σ Science]]/(science_param*(OFFSET(TblImps[[#This Row],[Land]],1,0)-OFFSET(TblExplore[[#This Row],[Land Bonus]],1,0)*20)+15000)))*(1+(mason_bonus*TblConstr[[#This Row],[Tot Mas]]/TblConstr[[#This Row],[Land (2)]]))</f>
        <v>0</v>
      </c>
      <c r="Z27" s="315">
        <f ca="1">keep_cap*(1-EXP(-TblImps[[#This Row],[Σ Keep]]/(keep_param*(OFFSET(TblImps[[#This Row],[Land]],1,0)-OFFSET(TblExplore[[#This Row],[Land Bonus]],1,0)*20)+15000)))*(1+(mason_bonus*TblConstr[[#This Row],[Tot Mas]]/TblConstr[[#This Row],[Land (2)]]))</f>
        <v>0</v>
      </c>
      <c r="AA27" s="315">
        <f ca="1">harbor_towers_cap*(1-EXP(-TblImps[[#This Row],[Σ Towers]]/(towers_param*(OFFSET(TblImps[[#This Row],[Land]],1,0)-OFFSET(TblExplore[[#This Row],[Land Bonus]],1,0)*20)+15000)))*(1+(mason_bonus*TblConstr[[#This Row],[Tot Mas]]/TblConstr[[#This Row],[Land (2)]]))</f>
        <v>0</v>
      </c>
      <c r="AB27" s="315">
        <f ca="1">walls_forges_cap*(1-EXP(-TblImps[[#This Row],[Σ Forges]]/(walls_forges_param*(OFFSET(TblImps[[#This Row],[Land]],1,0)-OFFSET(TblExplore[[#This Row],[Land Bonus]],1,0)*20)+15000)))*(1+(mason_bonus*TblConstr[[#This Row],[Tot Mas]]/TblConstr[[#This Row],[Land (2)]]))</f>
        <v>0</v>
      </c>
      <c r="AC27" s="315">
        <f ca="1">walls_forges_cap*(1-EXP(-TblImps[[#This Row],[Σ Walls]]/(walls_forges_param*(OFFSET(TblImps[[#This Row],[Land]],1,0)-OFFSET(TblExplore[[#This Row],[Land Bonus]],1,0)*20)+15000)))*(1+(mason_bonus*TblConstr[[#This Row],[Tot Mas]]/TblConstr[[#This Row],[Land (2)]]))</f>
        <v>0</v>
      </c>
      <c r="AD27" s="315">
        <f ca="1">harbor_towers_cap*(1-EXP(-TblImps[[#This Row],[Σ Irrigation]]/(harbor_towers_param*(OFFSET(TblImps[[#This Row],[Land]],1,0)-OFFSET(TblExplore[[#This Row],[Land Bonus]],1,0)*20)+15000)))*(1+(mason_bonus*TblConstr[[#This Row],[Tot Mas]]/TblConstr[[#This Row],[Land (2)]]))</f>
        <v>0</v>
      </c>
      <c r="AE27" s="150"/>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50"/>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50"/>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50"/>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50"/>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50"/>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50"/>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50"/>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50"/>
      <c r="BV2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62">
        <f>TblImps[[#This Row],[Login]]</f>
        <v>0</v>
      </c>
      <c r="BX27" s="145"/>
      <c r="BY27" s="321">
        <f ca="1">OFFSET(TblImps[[#This Row],[Real time]],-1,0)+1/24</f>
        <v>44811.708333333278</v>
      </c>
      <c r="BZ27" s="322">
        <f ca="1">OFFSET(TblImps[[#This Row],[Servertime]],-1,0)+1/24</f>
        <v>44811.958333333278</v>
      </c>
      <c r="CA27" s="57"/>
      <c r="CB27" s="320"/>
      <c r="CC27" s="320"/>
    </row>
    <row r="28" spans="1:84" x14ac:dyDescent="0.2">
      <c r="A28" s="230">
        <f ca="1">TblConstr[[#This Row],[Land]]</f>
        <v>250</v>
      </c>
      <c r="B28" s="150"/>
      <c r="C28" s="97">
        <f ca="1">TblProd[[#This Row],[Platinum]]</f>
        <v>231201</v>
      </c>
      <c r="D28" s="97">
        <f ca="1">TblProd[[#This Row],[Lumber]]</f>
        <v>33216</v>
      </c>
      <c r="E28" s="97">
        <f ca="1">TblProd[[#This Row],[Ore]]</f>
        <v>0</v>
      </c>
      <c r="F28" s="97">
        <f ca="1">TblProd[[#This Row],[Gems]]</f>
        <v>10000</v>
      </c>
      <c r="G28" s="162"/>
      <c r="H28" s="97">
        <f ca="1">TblMili[[#This Row],[Draftees]]</f>
        <v>481</v>
      </c>
      <c r="I28" s="188">
        <f ca="1">TblPop[[#This Row],[Employment]]</f>
        <v>0.95408467501490757</v>
      </c>
      <c r="J28" s="188">
        <f ca="1">TblPop[[#This Row],[Total]]/TblPop[[#This Row],[Net max]]</f>
        <v>1</v>
      </c>
      <c r="K28" s="311">
        <f>TblRezone[[#This Row],[Hour]]</f>
        <v>25</v>
      </c>
      <c r="L28" s="312">
        <f ca="1">TblImps[[#This Row],[Real time]]</f>
        <v>44811.749999999942</v>
      </c>
      <c r="M28" s="62">
        <f>IF(ISERROR(TblImps[[#This Row],[algorithm]]),0,TblImps[[#This Row],[algorithm]]*1)</f>
        <v>0</v>
      </c>
      <c r="N28" s="97">
        <f ca="1">TblImps[[#This Row],[Land]]</f>
        <v>250</v>
      </c>
      <c r="O28" s="313" t="s">
        <v>4</v>
      </c>
      <c r="P28" s="314"/>
      <c r="Q28" s="313" t="s">
        <v>216</v>
      </c>
      <c r="R28" s="313" t="s">
        <v>7</v>
      </c>
      <c r="S28" s="314"/>
      <c r="T28" s="313" t="s">
        <v>216</v>
      </c>
      <c r="U28" s="313" t="s">
        <v>3</v>
      </c>
      <c r="V28" s="314"/>
      <c r="W28" s="313" t="s">
        <v>216</v>
      </c>
      <c r="X28" s="150"/>
      <c r="Y28" s="315">
        <f ca="1">science_cap*(1-EXP(-TblImps[[#This Row],[Σ Science]]/(science_param*(OFFSET(TblImps[[#This Row],[Land]],1,0)-OFFSET(TblExplore[[#This Row],[Land Bonus]],1,0)*20)+15000)))*(1+(mason_bonus*TblConstr[[#This Row],[Tot Mas]]/TblConstr[[#This Row],[Land (2)]]))</f>
        <v>0</v>
      </c>
      <c r="Z28" s="315">
        <f ca="1">keep_cap*(1-EXP(-TblImps[[#This Row],[Σ Keep]]/(keep_param*(OFFSET(TblImps[[#This Row],[Land]],1,0)-OFFSET(TblExplore[[#This Row],[Land Bonus]],1,0)*20)+15000)))*(1+(mason_bonus*TblConstr[[#This Row],[Tot Mas]]/TblConstr[[#This Row],[Land (2)]]))</f>
        <v>0</v>
      </c>
      <c r="AA28" s="315">
        <f ca="1">harbor_towers_cap*(1-EXP(-TblImps[[#This Row],[Σ Towers]]/(towers_param*(OFFSET(TblImps[[#This Row],[Land]],1,0)-OFFSET(TblExplore[[#This Row],[Land Bonus]],1,0)*20)+15000)))*(1+(mason_bonus*TblConstr[[#This Row],[Tot Mas]]/TblConstr[[#This Row],[Land (2)]]))</f>
        <v>0</v>
      </c>
      <c r="AB28" s="315">
        <f ca="1">walls_forges_cap*(1-EXP(-TblImps[[#This Row],[Σ Forges]]/(walls_forges_param*(OFFSET(TblImps[[#This Row],[Land]],1,0)-OFFSET(TblExplore[[#This Row],[Land Bonus]],1,0)*20)+15000)))*(1+(mason_bonus*TblConstr[[#This Row],[Tot Mas]]/TblConstr[[#This Row],[Land (2)]]))</f>
        <v>0</v>
      </c>
      <c r="AC28" s="315">
        <f ca="1">walls_forges_cap*(1-EXP(-TblImps[[#This Row],[Σ Walls]]/(walls_forges_param*(OFFSET(TblImps[[#This Row],[Land]],1,0)-OFFSET(TblExplore[[#This Row],[Land Bonus]],1,0)*20)+15000)))*(1+(mason_bonus*TblConstr[[#This Row],[Tot Mas]]/TblConstr[[#This Row],[Land (2)]]))</f>
        <v>0</v>
      </c>
      <c r="AD28" s="315">
        <f ca="1">harbor_towers_cap*(1-EXP(-TblImps[[#This Row],[Σ Irrigation]]/(harbor_towers_param*(OFFSET(TblImps[[#This Row],[Land]],1,0)-OFFSET(TblExplore[[#This Row],[Land Bonus]],1,0)*20)+15000)))*(1+(mason_bonus*TblConstr[[#This Row],[Tot Mas]]/TblConstr[[#This Row],[Land (2)]]))</f>
        <v>0</v>
      </c>
      <c r="AE28" s="150"/>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50"/>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50"/>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50"/>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50"/>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50"/>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50"/>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50"/>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50"/>
      <c r="BV2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62">
        <f>TblImps[[#This Row],[Login]]</f>
        <v>0</v>
      </c>
      <c r="BX28" s="145"/>
      <c r="BY28" s="321">
        <f ca="1">OFFSET(TblImps[[#This Row],[Real time]],-1,0)+1/24</f>
        <v>44811.749999999942</v>
      </c>
      <c r="BZ28" s="322">
        <f ca="1">OFFSET(TblImps[[#This Row],[Servertime]],-1,0)+1/24</f>
        <v>44811.999999999942</v>
      </c>
      <c r="CA28" s="57"/>
      <c r="CB28" s="320"/>
      <c r="CC28" s="320"/>
    </row>
    <row r="29" spans="1:84" x14ac:dyDescent="0.2">
      <c r="A29" s="230">
        <f ca="1">TblConstr[[#This Row],[Land]]</f>
        <v>250</v>
      </c>
      <c r="B29" s="150"/>
      <c r="C29" s="97">
        <f ca="1">TblProd[[#This Row],[Platinum]]</f>
        <v>236871</v>
      </c>
      <c r="D29" s="97">
        <f ca="1">TblProd[[#This Row],[Lumber]]</f>
        <v>33884</v>
      </c>
      <c r="E29" s="97">
        <f ca="1">TblProd[[#This Row],[Ore]]</f>
        <v>0</v>
      </c>
      <c r="F29" s="97">
        <f ca="1">TblProd[[#This Row],[Gems]]</f>
        <v>10000</v>
      </c>
      <c r="G29" s="162"/>
      <c r="H29" s="97">
        <f ca="1">TblMili[[#This Row],[Draftees]]</f>
        <v>498</v>
      </c>
      <c r="I29" s="188">
        <f ca="1">TblPop[[#This Row],[Employment]]</f>
        <v>0.96385542168674698</v>
      </c>
      <c r="J29" s="188">
        <f ca="1">TblPop[[#This Row],[Total]]/TblPop[[#This Row],[Net max]]</f>
        <v>1</v>
      </c>
      <c r="K29" s="311">
        <f>TblRezone[[#This Row],[Hour]]</f>
        <v>26</v>
      </c>
      <c r="L29" s="312">
        <f ca="1">TblImps[[#This Row],[Real time]]</f>
        <v>44811.791666666606</v>
      </c>
      <c r="M29" s="62">
        <f>IF(ISERROR(TblImps[[#This Row],[algorithm]]),0,TblImps[[#This Row],[algorithm]]*1)</f>
        <v>0</v>
      </c>
      <c r="N29" s="97">
        <f ca="1">TblImps[[#This Row],[Land]]</f>
        <v>250</v>
      </c>
      <c r="O29" s="313" t="s">
        <v>4</v>
      </c>
      <c r="P29" s="314"/>
      <c r="Q29" s="313" t="s">
        <v>216</v>
      </c>
      <c r="R29" s="313" t="s">
        <v>7</v>
      </c>
      <c r="S29" s="314"/>
      <c r="T29" s="313" t="s">
        <v>216</v>
      </c>
      <c r="U29" s="313" t="s">
        <v>3</v>
      </c>
      <c r="V29" s="314"/>
      <c r="W29" s="313" t="s">
        <v>216</v>
      </c>
      <c r="X29" s="150"/>
      <c r="Y29" s="315">
        <f ca="1">science_cap*(1-EXP(-TblImps[[#This Row],[Σ Science]]/(science_param*(OFFSET(TblImps[[#This Row],[Land]],1,0)-OFFSET(TblExplore[[#This Row],[Land Bonus]],1,0)*20)+15000)))*(1+(mason_bonus*TblConstr[[#This Row],[Tot Mas]]/TblConstr[[#This Row],[Land (2)]]))</f>
        <v>0</v>
      </c>
      <c r="Z29" s="315">
        <f ca="1">keep_cap*(1-EXP(-TblImps[[#This Row],[Σ Keep]]/(keep_param*(OFFSET(TblImps[[#This Row],[Land]],1,0)-OFFSET(TblExplore[[#This Row],[Land Bonus]],1,0)*20)+15000)))*(1+(mason_bonus*TblConstr[[#This Row],[Tot Mas]]/TblConstr[[#This Row],[Land (2)]]))</f>
        <v>0</v>
      </c>
      <c r="AA29" s="315">
        <f ca="1">harbor_towers_cap*(1-EXP(-TblImps[[#This Row],[Σ Towers]]/(towers_param*(OFFSET(TblImps[[#This Row],[Land]],1,0)-OFFSET(TblExplore[[#This Row],[Land Bonus]],1,0)*20)+15000)))*(1+(mason_bonus*TblConstr[[#This Row],[Tot Mas]]/TblConstr[[#This Row],[Land (2)]]))</f>
        <v>0</v>
      </c>
      <c r="AB29" s="315">
        <f ca="1">walls_forges_cap*(1-EXP(-TblImps[[#This Row],[Σ Forges]]/(walls_forges_param*(OFFSET(TblImps[[#This Row],[Land]],1,0)-OFFSET(TblExplore[[#This Row],[Land Bonus]],1,0)*20)+15000)))*(1+(mason_bonus*TblConstr[[#This Row],[Tot Mas]]/TblConstr[[#This Row],[Land (2)]]))</f>
        <v>0</v>
      </c>
      <c r="AC29" s="315">
        <f ca="1">walls_forges_cap*(1-EXP(-TblImps[[#This Row],[Σ Walls]]/(walls_forges_param*(OFFSET(TblImps[[#This Row],[Land]],1,0)-OFFSET(TblExplore[[#This Row],[Land Bonus]],1,0)*20)+15000)))*(1+(mason_bonus*TblConstr[[#This Row],[Tot Mas]]/TblConstr[[#This Row],[Land (2)]]))</f>
        <v>0</v>
      </c>
      <c r="AD29" s="315">
        <f ca="1">harbor_towers_cap*(1-EXP(-TblImps[[#This Row],[Σ Irrigation]]/(harbor_towers_param*(OFFSET(TblImps[[#This Row],[Land]],1,0)-OFFSET(TblExplore[[#This Row],[Land Bonus]],1,0)*20)+15000)))*(1+(mason_bonus*TblConstr[[#This Row],[Tot Mas]]/TblConstr[[#This Row],[Land (2)]]))</f>
        <v>0</v>
      </c>
      <c r="AE29" s="150"/>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50"/>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50"/>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50"/>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50"/>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50"/>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50"/>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50"/>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50"/>
      <c r="BV2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62">
        <f>TblImps[[#This Row],[Login]]</f>
        <v>0</v>
      </c>
      <c r="BX29" s="145"/>
      <c r="BY29" s="321">
        <f ca="1">OFFSET(TblImps[[#This Row],[Real time]],-1,0)+1/24</f>
        <v>44811.791666666606</v>
      </c>
      <c r="BZ29" s="322">
        <f ca="1">OFFSET(TblImps[[#This Row],[Servertime]],-1,0)+1/24</f>
        <v>44812.041666666606</v>
      </c>
      <c r="CA29" s="57"/>
      <c r="CB29" s="320"/>
      <c r="CC29" s="320"/>
    </row>
    <row r="30" spans="1:84" x14ac:dyDescent="0.2">
      <c r="A30" s="230">
        <f ca="1">TblConstr[[#This Row],[Land]]</f>
        <v>250</v>
      </c>
      <c r="B30" s="150"/>
      <c r="C30" s="97">
        <f ca="1">TblProd[[#This Row],[Platinum]]</f>
        <v>242541</v>
      </c>
      <c r="D30" s="97">
        <f ca="1">TblProd[[#This Row],[Lumber]]</f>
        <v>34545</v>
      </c>
      <c r="E30" s="97">
        <f ca="1">TblProd[[#This Row],[Ore]]</f>
        <v>0</v>
      </c>
      <c r="F30" s="97">
        <f ca="1">TblProd[[#This Row],[Gems]]</f>
        <v>10000</v>
      </c>
      <c r="G30" s="162"/>
      <c r="H30" s="97">
        <f ca="1">TblMili[[#This Row],[Draftees]]</f>
        <v>515</v>
      </c>
      <c r="I30" s="188">
        <f ca="1">TblPop[[#This Row],[Employment]]</f>
        <v>0.9738283627510651</v>
      </c>
      <c r="J30" s="188">
        <f ca="1">TblPop[[#This Row],[Total]]/TblPop[[#This Row],[Net max]]</f>
        <v>1</v>
      </c>
      <c r="K30" s="311">
        <f>TblRezone[[#This Row],[Hour]]</f>
        <v>27</v>
      </c>
      <c r="L30" s="312">
        <f ca="1">TblImps[[#This Row],[Real time]]</f>
        <v>44811.83333333327</v>
      </c>
      <c r="M30" s="62">
        <f>IF(ISERROR(TblImps[[#This Row],[algorithm]]),0,TblImps[[#This Row],[algorithm]]*1)</f>
        <v>0</v>
      </c>
      <c r="N30" s="97">
        <f ca="1">TblImps[[#This Row],[Land]]</f>
        <v>250</v>
      </c>
      <c r="O30" s="313" t="s">
        <v>4</v>
      </c>
      <c r="P30" s="314"/>
      <c r="Q30" s="313" t="s">
        <v>216</v>
      </c>
      <c r="R30" s="313" t="s">
        <v>7</v>
      </c>
      <c r="S30" s="314"/>
      <c r="T30" s="313" t="s">
        <v>216</v>
      </c>
      <c r="U30" s="313" t="s">
        <v>3</v>
      </c>
      <c r="V30" s="314"/>
      <c r="W30" s="313" t="s">
        <v>216</v>
      </c>
      <c r="X30" s="150"/>
      <c r="Y30" s="315">
        <f ca="1">science_cap*(1-EXP(-TblImps[[#This Row],[Σ Science]]/(science_param*(OFFSET(TblImps[[#This Row],[Land]],1,0)-OFFSET(TblExplore[[#This Row],[Land Bonus]],1,0)*20)+15000)))*(1+(mason_bonus*TblConstr[[#This Row],[Tot Mas]]/TblConstr[[#This Row],[Land (2)]]))</f>
        <v>0</v>
      </c>
      <c r="Z30" s="315">
        <f ca="1">keep_cap*(1-EXP(-TblImps[[#This Row],[Σ Keep]]/(keep_param*(OFFSET(TblImps[[#This Row],[Land]],1,0)-OFFSET(TblExplore[[#This Row],[Land Bonus]],1,0)*20)+15000)))*(1+(mason_bonus*TblConstr[[#This Row],[Tot Mas]]/TblConstr[[#This Row],[Land (2)]]))</f>
        <v>0</v>
      </c>
      <c r="AA30" s="315">
        <f ca="1">harbor_towers_cap*(1-EXP(-TblImps[[#This Row],[Σ Towers]]/(towers_param*(OFFSET(TblImps[[#This Row],[Land]],1,0)-OFFSET(TblExplore[[#This Row],[Land Bonus]],1,0)*20)+15000)))*(1+(mason_bonus*TblConstr[[#This Row],[Tot Mas]]/TblConstr[[#This Row],[Land (2)]]))</f>
        <v>0</v>
      </c>
      <c r="AB30" s="315">
        <f ca="1">walls_forges_cap*(1-EXP(-TblImps[[#This Row],[Σ Forges]]/(walls_forges_param*(OFFSET(TblImps[[#This Row],[Land]],1,0)-OFFSET(TblExplore[[#This Row],[Land Bonus]],1,0)*20)+15000)))*(1+(mason_bonus*TblConstr[[#This Row],[Tot Mas]]/TblConstr[[#This Row],[Land (2)]]))</f>
        <v>0</v>
      </c>
      <c r="AC30" s="315">
        <f ca="1">walls_forges_cap*(1-EXP(-TblImps[[#This Row],[Σ Walls]]/(walls_forges_param*(OFFSET(TblImps[[#This Row],[Land]],1,0)-OFFSET(TblExplore[[#This Row],[Land Bonus]],1,0)*20)+15000)))*(1+(mason_bonus*TblConstr[[#This Row],[Tot Mas]]/TblConstr[[#This Row],[Land (2)]]))</f>
        <v>0</v>
      </c>
      <c r="AD30" s="315">
        <f ca="1">harbor_towers_cap*(1-EXP(-TblImps[[#This Row],[Σ Irrigation]]/(harbor_towers_param*(OFFSET(TblImps[[#This Row],[Land]],1,0)-OFFSET(TblExplore[[#This Row],[Land Bonus]],1,0)*20)+15000)))*(1+(mason_bonus*TblConstr[[#This Row],[Tot Mas]]/TblConstr[[#This Row],[Land (2)]]))</f>
        <v>0</v>
      </c>
      <c r="AE30" s="150"/>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50"/>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50"/>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50"/>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50"/>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50"/>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50"/>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50"/>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50"/>
      <c r="BV3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62">
        <f>TblImps[[#This Row],[Login]]</f>
        <v>0</v>
      </c>
      <c r="BX30" s="145"/>
      <c r="BY30" s="321">
        <f ca="1">OFFSET(TblImps[[#This Row],[Real time]],-1,0)+1/24</f>
        <v>44811.83333333327</v>
      </c>
      <c r="BZ30" s="322">
        <f ca="1">OFFSET(TblImps[[#This Row],[Servertime]],-1,0)+1/24</f>
        <v>44812.08333333327</v>
      </c>
      <c r="CA30" s="57"/>
      <c r="CB30" s="320"/>
      <c r="CC30" s="320"/>
      <c r="CD30" s="45" t="s">
        <v>4</v>
      </c>
    </row>
    <row r="31" spans="1:84" x14ac:dyDescent="0.2">
      <c r="A31" s="230">
        <f ca="1">TblConstr[[#This Row],[Land]]</f>
        <v>250</v>
      </c>
      <c r="B31" s="150"/>
      <c r="C31" s="97">
        <f ca="1">TblProd[[#This Row],[Platinum]]</f>
        <v>248211</v>
      </c>
      <c r="D31" s="97">
        <f ca="1">TblProd[[#This Row],[Lumber]]</f>
        <v>35200</v>
      </c>
      <c r="E31" s="97">
        <f ca="1">TblProd[[#This Row],[Ore]]</f>
        <v>0</v>
      </c>
      <c r="F31" s="97">
        <f ca="1">TblProd[[#This Row],[Gems]]</f>
        <v>10000</v>
      </c>
      <c r="G31" s="162"/>
      <c r="H31" s="97">
        <f ca="1">TblMili[[#This Row],[Draftees]]</f>
        <v>531</v>
      </c>
      <c r="I31" s="188">
        <f ca="1">TblPop[[#This Row],[Employment]]</f>
        <v>0.98340503995082973</v>
      </c>
      <c r="J31" s="188">
        <f ca="1">TblPop[[#This Row],[Total]]/TblPop[[#This Row],[Net max]]</f>
        <v>1</v>
      </c>
      <c r="K31" s="311">
        <f>TblRezone[[#This Row],[Hour]]</f>
        <v>28</v>
      </c>
      <c r="L31" s="312">
        <f ca="1">TblImps[[#This Row],[Real time]]</f>
        <v>44811.874999999935</v>
      </c>
      <c r="M31" s="62">
        <f>IF(ISERROR(TblImps[[#This Row],[algorithm]]),0,TblImps[[#This Row],[algorithm]]*1)</f>
        <v>0</v>
      </c>
      <c r="N31" s="97">
        <f ca="1">TblImps[[#This Row],[Land]]</f>
        <v>250</v>
      </c>
      <c r="O31" s="313" t="s">
        <v>4</v>
      </c>
      <c r="P31" s="314"/>
      <c r="Q31" s="313" t="s">
        <v>216</v>
      </c>
      <c r="R31" s="313" t="s">
        <v>7</v>
      </c>
      <c r="S31" s="314"/>
      <c r="T31" s="313" t="s">
        <v>216</v>
      </c>
      <c r="U31" s="313" t="s">
        <v>3</v>
      </c>
      <c r="V31" s="314"/>
      <c r="W31" s="313" t="s">
        <v>216</v>
      </c>
      <c r="X31" s="150"/>
      <c r="Y31" s="315">
        <f ca="1">science_cap*(1-EXP(-TblImps[[#This Row],[Σ Science]]/(science_param*(OFFSET(TblImps[[#This Row],[Land]],1,0)-OFFSET(TblExplore[[#This Row],[Land Bonus]],1,0)*20)+15000)))*(1+(mason_bonus*TblConstr[[#This Row],[Tot Mas]]/TblConstr[[#This Row],[Land (2)]]))</f>
        <v>0</v>
      </c>
      <c r="Z31" s="315">
        <f ca="1">keep_cap*(1-EXP(-TblImps[[#This Row],[Σ Keep]]/(keep_param*(OFFSET(TblImps[[#This Row],[Land]],1,0)-OFFSET(TblExplore[[#This Row],[Land Bonus]],1,0)*20)+15000)))*(1+(mason_bonus*TblConstr[[#This Row],[Tot Mas]]/TblConstr[[#This Row],[Land (2)]]))</f>
        <v>0</v>
      </c>
      <c r="AA31" s="315">
        <f ca="1">harbor_towers_cap*(1-EXP(-TblImps[[#This Row],[Σ Towers]]/(towers_param*(OFFSET(TblImps[[#This Row],[Land]],1,0)-OFFSET(TblExplore[[#This Row],[Land Bonus]],1,0)*20)+15000)))*(1+(mason_bonus*TblConstr[[#This Row],[Tot Mas]]/TblConstr[[#This Row],[Land (2)]]))</f>
        <v>0</v>
      </c>
      <c r="AB31" s="315">
        <f ca="1">walls_forges_cap*(1-EXP(-TblImps[[#This Row],[Σ Forges]]/(walls_forges_param*(OFFSET(TblImps[[#This Row],[Land]],1,0)-OFFSET(TblExplore[[#This Row],[Land Bonus]],1,0)*20)+15000)))*(1+(mason_bonus*TblConstr[[#This Row],[Tot Mas]]/TblConstr[[#This Row],[Land (2)]]))</f>
        <v>0</v>
      </c>
      <c r="AC31" s="315">
        <f ca="1">walls_forges_cap*(1-EXP(-TblImps[[#This Row],[Σ Walls]]/(walls_forges_param*(OFFSET(TblImps[[#This Row],[Land]],1,0)-OFFSET(TblExplore[[#This Row],[Land Bonus]],1,0)*20)+15000)))*(1+(mason_bonus*TblConstr[[#This Row],[Tot Mas]]/TblConstr[[#This Row],[Land (2)]]))</f>
        <v>0</v>
      </c>
      <c r="AD31" s="315">
        <f ca="1">harbor_towers_cap*(1-EXP(-TblImps[[#This Row],[Σ Irrigation]]/(harbor_towers_param*(OFFSET(TblImps[[#This Row],[Land]],1,0)-OFFSET(TblExplore[[#This Row],[Land Bonus]],1,0)*20)+15000)))*(1+(mason_bonus*TblConstr[[#This Row],[Tot Mas]]/TblConstr[[#This Row],[Land (2)]]))</f>
        <v>0</v>
      </c>
      <c r="AE31" s="150"/>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50"/>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50"/>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50"/>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50"/>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50"/>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50"/>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50"/>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50"/>
      <c r="BV3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62">
        <f>TblImps[[#This Row],[Login]]</f>
        <v>0</v>
      </c>
      <c r="BX31" s="145"/>
      <c r="BY31" s="321">
        <f ca="1">OFFSET(TblImps[[#This Row],[Real time]],-1,0)+1/24</f>
        <v>44811.874999999935</v>
      </c>
      <c r="BZ31" s="322">
        <f ca="1">OFFSET(TblImps[[#This Row],[Servertime]],-1,0)+1/24</f>
        <v>44812.124999999935</v>
      </c>
      <c r="CA31" s="57"/>
      <c r="CB31" s="320"/>
      <c r="CC31" s="320"/>
      <c r="CD31" s="45" t="s">
        <v>7</v>
      </c>
    </row>
    <row r="32" spans="1:84" x14ac:dyDescent="0.2">
      <c r="A32" s="230">
        <f ca="1">TblConstr[[#This Row],[Land]]</f>
        <v>250</v>
      </c>
      <c r="B32" s="150"/>
      <c r="C32" s="97">
        <f ca="1">TblProd[[#This Row],[Platinum]]</f>
        <v>253881</v>
      </c>
      <c r="D32" s="97">
        <f ca="1">TblProd[[#This Row],[Lumber]]</f>
        <v>35848</v>
      </c>
      <c r="E32" s="97">
        <f ca="1">TblProd[[#This Row],[Ore]]</f>
        <v>0</v>
      </c>
      <c r="F32" s="97">
        <f ca="1">TblProd[[#This Row],[Gems]]</f>
        <v>10000</v>
      </c>
      <c r="G32" s="162"/>
      <c r="H32" s="97">
        <f ca="1">TblMili[[#This Row],[Draftees]]</f>
        <v>547</v>
      </c>
      <c r="I32" s="188">
        <f ca="1">TblPop[[#This Row],[Employment]]</f>
        <v>0.99317194289261324</v>
      </c>
      <c r="J32" s="188">
        <f ca="1">TblPop[[#This Row],[Total]]/TblPop[[#This Row],[Net max]]</f>
        <v>1</v>
      </c>
      <c r="K32" s="311">
        <f>TblRezone[[#This Row],[Hour]]</f>
        <v>29</v>
      </c>
      <c r="L32" s="312">
        <f ca="1">TblImps[[#This Row],[Real time]]</f>
        <v>44811.916666666599</v>
      </c>
      <c r="M32" s="62">
        <f>IF(ISERROR(TblImps[[#This Row],[algorithm]]),0,TblImps[[#This Row],[algorithm]]*1)</f>
        <v>0</v>
      </c>
      <c r="N32" s="97">
        <f ca="1">TblImps[[#This Row],[Land]]</f>
        <v>250</v>
      </c>
      <c r="O32" s="313" t="s">
        <v>4</v>
      </c>
      <c r="P32" s="314"/>
      <c r="Q32" s="313" t="s">
        <v>216</v>
      </c>
      <c r="R32" s="313" t="s">
        <v>7</v>
      </c>
      <c r="S32" s="314"/>
      <c r="T32" s="313" t="s">
        <v>216</v>
      </c>
      <c r="U32" s="313" t="s">
        <v>3</v>
      </c>
      <c r="V32" s="314"/>
      <c r="W32" s="313" t="s">
        <v>216</v>
      </c>
      <c r="X32" s="150"/>
      <c r="Y32" s="315">
        <f ca="1">science_cap*(1-EXP(-TblImps[[#This Row],[Σ Science]]/(science_param*(OFFSET(TblImps[[#This Row],[Land]],1,0)-OFFSET(TblExplore[[#This Row],[Land Bonus]],1,0)*20)+15000)))*(1+(mason_bonus*TblConstr[[#This Row],[Tot Mas]]/TblConstr[[#This Row],[Land (2)]]))</f>
        <v>0</v>
      </c>
      <c r="Z32" s="315">
        <f ca="1">keep_cap*(1-EXP(-TblImps[[#This Row],[Σ Keep]]/(keep_param*(OFFSET(TblImps[[#This Row],[Land]],1,0)-OFFSET(TblExplore[[#This Row],[Land Bonus]],1,0)*20)+15000)))*(1+(mason_bonus*TblConstr[[#This Row],[Tot Mas]]/TblConstr[[#This Row],[Land (2)]]))</f>
        <v>0</v>
      </c>
      <c r="AA32" s="315">
        <f ca="1">harbor_towers_cap*(1-EXP(-TblImps[[#This Row],[Σ Towers]]/(towers_param*(OFFSET(TblImps[[#This Row],[Land]],1,0)-OFFSET(TblExplore[[#This Row],[Land Bonus]],1,0)*20)+15000)))*(1+(mason_bonus*TblConstr[[#This Row],[Tot Mas]]/TblConstr[[#This Row],[Land (2)]]))</f>
        <v>0</v>
      </c>
      <c r="AB32" s="315">
        <f ca="1">walls_forges_cap*(1-EXP(-TblImps[[#This Row],[Σ Forges]]/(walls_forges_param*(OFFSET(TblImps[[#This Row],[Land]],1,0)-OFFSET(TblExplore[[#This Row],[Land Bonus]],1,0)*20)+15000)))*(1+(mason_bonus*TblConstr[[#This Row],[Tot Mas]]/TblConstr[[#This Row],[Land (2)]]))</f>
        <v>0</v>
      </c>
      <c r="AC32" s="315">
        <f ca="1">walls_forges_cap*(1-EXP(-TblImps[[#This Row],[Σ Walls]]/(walls_forges_param*(OFFSET(TblImps[[#This Row],[Land]],1,0)-OFFSET(TblExplore[[#This Row],[Land Bonus]],1,0)*20)+15000)))*(1+(mason_bonus*TblConstr[[#This Row],[Tot Mas]]/TblConstr[[#This Row],[Land (2)]]))</f>
        <v>0</v>
      </c>
      <c r="AD32" s="315">
        <f ca="1">harbor_towers_cap*(1-EXP(-TblImps[[#This Row],[Σ Irrigation]]/(harbor_towers_param*(OFFSET(TblImps[[#This Row],[Land]],1,0)-OFFSET(TblExplore[[#This Row],[Land Bonus]],1,0)*20)+15000)))*(1+(mason_bonus*TblConstr[[#This Row],[Tot Mas]]/TblConstr[[#This Row],[Land (2)]]))</f>
        <v>0</v>
      </c>
      <c r="AE32" s="150"/>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50"/>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50"/>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50"/>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50"/>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50"/>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50"/>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50"/>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50"/>
      <c r="BV3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62">
        <f>TblImps[[#This Row],[Login]]</f>
        <v>0</v>
      </c>
      <c r="BX32" s="145"/>
      <c r="BY32" s="321">
        <f ca="1">OFFSET(TblImps[[#This Row],[Real time]],-1,0)+1/24</f>
        <v>44811.916666666599</v>
      </c>
      <c r="BZ32" s="322">
        <f ca="1">OFFSET(TblImps[[#This Row],[Servertime]],-1,0)+1/24</f>
        <v>44812.166666666599</v>
      </c>
      <c r="CA32" s="57"/>
      <c r="CB32" s="320"/>
      <c r="CC32" s="320"/>
      <c r="CD32" s="45" t="s">
        <v>3</v>
      </c>
    </row>
    <row r="33" spans="1:82" x14ac:dyDescent="0.2">
      <c r="A33" s="230">
        <f ca="1">TblConstr[[#This Row],[Land]]</f>
        <v>250</v>
      </c>
      <c r="B33" s="150"/>
      <c r="C33" s="97">
        <f ca="1">TblProd[[#This Row],[Platinum]]</f>
        <v>259551</v>
      </c>
      <c r="D33" s="97">
        <f ca="1">TblProd[[#This Row],[Lumber]]</f>
        <v>36490</v>
      </c>
      <c r="E33" s="97">
        <f ca="1">TblProd[[#This Row],[Ore]]</f>
        <v>0</v>
      </c>
      <c r="F33" s="97">
        <f ca="1">TblProd[[#This Row],[Gems]]</f>
        <v>10000</v>
      </c>
      <c r="G33" s="162"/>
      <c r="H33" s="97">
        <f ca="1">TblMili[[#This Row],[Draftees]]</f>
        <v>563</v>
      </c>
      <c r="I33" s="188">
        <f ca="1">TblPop[[#This Row],[Employment]]</f>
        <v>1</v>
      </c>
      <c r="J33" s="188">
        <f ca="1">TblPop[[#This Row],[Total]]/TblPop[[#This Row],[Net max]]</f>
        <v>1</v>
      </c>
      <c r="K33" s="311">
        <f>TblRezone[[#This Row],[Hour]]</f>
        <v>30</v>
      </c>
      <c r="L33" s="312">
        <f ca="1">TblImps[[#This Row],[Real time]]</f>
        <v>44811.958333333263</v>
      </c>
      <c r="M33" s="62">
        <f>IF(ISERROR(TblImps[[#This Row],[algorithm]]),0,TblImps[[#This Row],[algorithm]]*1)</f>
        <v>0</v>
      </c>
      <c r="N33" s="97">
        <f ca="1">TblImps[[#This Row],[Land]]</f>
        <v>250</v>
      </c>
      <c r="O33" s="313" t="s">
        <v>4</v>
      </c>
      <c r="P33" s="314"/>
      <c r="Q33" s="313" t="s">
        <v>216</v>
      </c>
      <c r="R33" s="313" t="s">
        <v>7</v>
      </c>
      <c r="S33" s="314"/>
      <c r="T33" s="313" t="s">
        <v>216</v>
      </c>
      <c r="U33" s="313" t="s">
        <v>3</v>
      </c>
      <c r="V33" s="314"/>
      <c r="W33" s="313" t="s">
        <v>216</v>
      </c>
      <c r="X33" s="150"/>
      <c r="Y33" s="315">
        <f ca="1">science_cap*(1-EXP(-TblImps[[#This Row],[Σ Science]]/(science_param*(OFFSET(TblImps[[#This Row],[Land]],1,0)-OFFSET(TblExplore[[#This Row],[Land Bonus]],1,0)*20)+15000)))*(1+(mason_bonus*TblConstr[[#This Row],[Tot Mas]]/TblConstr[[#This Row],[Land (2)]]))</f>
        <v>0</v>
      </c>
      <c r="Z33" s="315">
        <f ca="1">keep_cap*(1-EXP(-TblImps[[#This Row],[Σ Keep]]/(keep_param*(OFFSET(TblImps[[#This Row],[Land]],1,0)-OFFSET(TblExplore[[#This Row],[Land Bonus]],1,0)*20)+15000)))*(1+(mason_bonus*TblConstr[[#This Row],[Tot Mas]]/TblConstr[[#This Row],[Land (2)]]))</f>
        <v>0</v>
      </c>
      <c r="AA33" s="315">
        <f ca="1">harbor_towers_cap*(1-EXP(-TblImps[[#This Row],[Σ Towers]]/(towers_param*(OFFSET(TblImps[[#This Row],[Land]],1,0)-OFFSET(TblExplore[[#This Row],[Land Bonus]],1,0)*20)+15000)))*(1+(mason_bonus*TblConstr[[#This Row],[Tot Mas]]/TblConstr[[#This Row],[Land (2)]]))</f>
        <v>0</v>
      </c>
      <c r="AB33" s="315">
        <f ca="1">walls_forges_cap*(1-EXP(-TblImps[[#This Row],[Σ Forges]]/(walls_forges_param*(OFFSET(TblImps[[#This Row],[Land]],1,0)-OFFSET(TblExplore[[#This Row],[Land Bonus]],1,0)*20)+15000)))*(1+(mason_bonus*TblConstr[[#This Row],[Tot Mas]]/TblConstr[[#This Row],[Land (2)]]))</f>
        <v>0</v>
      </c>
      <c r="AC33" s="315">
        <f ca="1">walls_forges_cap*(1-EXP(-TblImps[[#This Row],[Σ Walls]]/(walls_forges_param*(OFFSET(TblImps[[#This Row],[Land]],1,0)-OFFSET(TblExplore[[#This Row],[Land Bonus]],1,0)*20)+15000)))*(1+(mason_bonus*TblConstr[[#This Row],[Tot Mas]]/TblConstr[[#This Row],[Land (2)]]))</f>
        <v>0</v>
      </c>
      <c r="AD33" s="315">
        <f ca="1">harbor_towers_cap*(1-EXP(-TblImps[[#This Row],[Σ Irrigation]]/(harbor_towers_param*(OFFSET(TblImps[[#This Row],[Land]],1,0)-OFFSET(TblExplore[[#This Row],[Land Bonus]],1,0)*20)+15000)))*(1+(mason_bonus*TblConstr[[#This Row],[Tot Mas]]/TblConstr[[#This Row],[Land (2)]]))</f>
        <v>0</v>
      </c>
      <c r="AE33" s="150"/>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50"/>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50"/>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50"/>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50"/>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50"/>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50"/>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50"/>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50"/>
      <c r="BV3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62">
        <f>TblImps[[#This Row],[Login]]</f>
        <v>0</v>
      </c>
      <c r="BX33" s="145"/>
      <c r="BY33" s="321">
        <f ca="1">OFFSET(TblImps[[#This Row],[Real time]],-1,0)+1/24</f>
        <v>44811.958333333263</v>
      </c>
      <c r="BZ33" s="322">
        <f ca="1">OFFSET(TblImps[[#This Row],[Servertime]],-1,0)+1/24</f>
        <v>44812.208333333263</v>
      </c>
      <c r="CA33" s="57"/>
      <c r="CB33" s="320"/>
      <c r="CC33" s="320"/>
      <c r="CD33" s="45" t="s">
        <v>2</v>
      </c>
    </row>
    <row r="34" spans="1:82" x14ac:dyDescent="0.2">
      <c r="A34" s="230">
        <f ca="1">TblConstr[[#This Row],[Land]]</f>
        <v>250</v>
      </c>
      <c r="B34" s="150"/>
      <c r="C34" s="97">
        <f ca="1">TblProd[[#This Row],[Platinum]]</f>
        <v>265207</v>
      </c>
      <c r="D34" s="97">
        <f ca="1">TblProd[[#This Row],[Lumber]]</f>
        <v>37125</v>
      </c>
      <c r="E34" s="97">
        <f ca="1">TblProd[[#This Row],[Ore]]</f>
        <v>0</v>
      </c>
      <c r="F34" s="97">
        <f ca="1">TblProd[[#This Row],[Gems]]</f>
        <v>10000</v>
      </c>
      <c r="G34" s="162"/>
      <c r="H34" s="97">
        <f ca="1">TblMili[[#This Row],[Draftees]]</f>
        <v>579</v>
      </c>
      <c r="I34" s="188">
        <f ca="1">TblPop[[#This Row],[Employment]]</f>
        <v>1</v>
      </c>
      <c r="J34" s="188">
        <f ca="1">TblPop[[#This Row],[Total]]/TblPop[[#This Row],[Net max]]</f>
        <v>1</v>
      </c>
      <c r="K34" s="311">
        <f>TblRezone[[#This Row],[Hour]]</f>
        <v>31</v>
      </c>
      <c r="L34" s="312">
        <f ca="1">TblImps[[#This Row],[Real time]]</f>
        <v>44811.999999999927</v>
      </c>
      <c r="M34" s="62">
        <f>IF(ISERROR(TblImps[[#This Row],[algorithm]]),0,TblImps[[#This Row],[algorithm]]*1)</f>
        <v>0</v>
      </c>
      <c r="N34" s="97">
        <f ca="1">TblImps[[#This Row],[Land]]</f>
        <v>250</v>
      </c>
      <c r="O34" s="313" t="s">
        <v>4</v>
      </c>
      <c r="P34" s="314"/>
      <c r="Q34" s="313" t="s">
        <v>216</v>
      </c>
      <c r="R34" s="313" t="s">
        <v>7</v>
      </c>
      <c r="S34" s="314"/>
      <c r="T34" s="313" t="s">
        <v>216</v>
      </c>
      <c r="U34" s="313" t="s">
        <v>3</v>
      </c>
      <c r="V34" s="314"/>
      <c r="W34" s="313" t="s">
        <v>216</v>
      </c>
      <c r="X34" s="150"/>
      <c r="Y34" s="315">
        <f ca="1">science_cap*(1-EXP(-TblImps[[#This Row],[Σ Science]]/(science_param*(OFFSET(TblImps[[#This Row],[Land]],1,0)-OFFSET(TblExplore[[#This Row],[Land Bonus]],1,0)*20)+15000)))*(1+(mason_bonus*TblConstr[[#This Row],[Tot Mas]]/TblConstr[[#This Row],[Land (2)]]))</f>
        <v>0</v>
      </c>
      <c r="Z34" s="315">
        <f ca="1">keep_cap*(1-EXP(-TblImps[[#This Row],[Σ Keep]]/(keep_param*(OFFSET(TblImps[[#This Row],[Land]],1,0)-OFFSET(TblExplore[[#This Row],[Land Bonus]],1,0)*20)+15000)))*(1+(mason_bonus*TblConstr[[#This Row],[Tot Mas]]/TblConstr[[#This Row],[Land (2)]]))</f>
        <v>0</v>
      </c>
      <c r="AA34" s="315">
        <f ca="1">harbor_towers_cap*(1-EXP(-TblImps[[#This Row],[Σ Towers]]/(towers_param*(OFFSET(TblImps[[#This Row],[Land]],1,0)-OFFSET(TblExplore[[#This Row],[Land Bonus]],1,0)*20)+15000)))*(1+(mason_bonus*TblConstr[[#This Row],[Tot Mas]]/TblConstr[[#This Row],[Land (2)]]))</f>
        <v>0</v>
      </c>
      <c r="AB34" s="315">
        <f ca="1">walls_forges_cap*(1-EXP(-TblImps[[#This Row],[Σ Forges]]/(walls_forges_param*(OFFSET(TblImps[[#This Row],[Land]],1,0)-OFFSET(TblExplore[[#This Row],[Land Bonus]],1,0)*20)+15000)))*(1+(mason_bonus*TblConstr[[#This Row],[Tot Mas]]/TblConstr[[#This Row],[Land (2)]]))</f>
        <v>0</v>
      </c>
      <c r="AC34" s="315">
        <f ca="1">walls_forges_cap*(1-EXP(-TblImps[[#This Row],[Σ Walls]]/(walls_forges_param*(OFFSET(TblImps[[#This Row],[Land]],1,0)-OFFSET(TblExplore[[#This Row],[Land Bonus]],1,0)*20)+15000)))*(1+(mason_bonus*TblConstr[[#This Row],[Tot Mas]]/TblConstr[[#This Row],[Land (2)]]))</f>
        <v>0</v>
      </c>
      <c r="AD34" s="315">
        <f ca="1">harbor_towers_cap*(1-EXP(-TblImps[[#This Row],[Σ Irrigation]]/(harbor_towers_param*(OFFSET(TblImps[[#This Row],[Land]],1,0)-OFFSET(TblExplore[[#This Row],[Land Bonus]],1,0)*20)+15000)))*(1+(mason_bonus*TblConstr[[#This Row],[Tot Mas]]/TblConstr[[#This Row],[Land (2)]]))</f>
        <v>0</v>
      </c>
      <c r="AE34" s="150"/>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50"/>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50"/>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50"/>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50"/>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50"/>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50"/>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50"/>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50"/>
      <c r="BV3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62">
        <f>TblImps[[#This Row],[Login]]</f>
        <v>0</v>
      </c>
      <c r="BX34" s="145"/>
      <c r="BY34" s="321">
        <f ca="1">OFFSET(TblImps[[#This Row],[Real time]],-1,0)+1/24</f>
        <v>44811.999999999927</v>
      </c>
      <c r="BZ34" s="322">
        <f ca="1">OFFSET(TblImps[[#This Row],[Servertime]],-1,0)+1/24</f>
        <v>44812.249999999927</v>
      </c>
      <c r="CA34" s="57"/>
      <c r="CB34" s="320"/>
      <c r="CC34" s="320"/>
    </row>
    <row r="35" spans="1:82" x14ac:dyDescent="0.2">
      <c r="A35" s="230">
        <f ca="1">TblConstr[[#This Row],[Land]]</f>
        <v>250</v>
      </c>
      <c r="B35" s="150"/>
      <c r="C35" s="97">
        <f ca="1">TblProd[[#This Row],[Platinum]]</f>
        <v>270820</v>
      </c>
      <c r="D35" s="97">
        <f ca="1">TblProd[[#This Row],[Lumber]]</f>
        <v>37754</v>
      </c>
      <c r="E35" s="97">
        <f ca="1">TblProd[[#This Row],[Ore]]</f>
        <v>0</v>
      </c>
      <c r="F35" s="97">
        <f ca="1">TblProd[[#This Row],[Gems]]</f>
        <v>10000</v>
      </c>
      <c r="G35" s="162"/>
      <c r="H35" s="97">
        <f ca="1">TblMili[[#This Row],[Draftees]]</f>
        <v>595</v>
      </c>
      <c r="I35" s="188">
        <f ca="1">TblPop[[#This Row],[Employment]]</f>
        <v>1</v>
      </c>
      <c r="J35" s="188">
        <f ca="1">TblPop[[#This Row],[Total]]/TblPop[[#This Row],[Net max]]</f>
        <v>1</v>
      </c>
      <c r="K35" s="311">
        <f>TblRezone[[#This Row],[Hour]]</f>
        <v>32</v>
      </c>
      <c r="L35" s="312">
        <f ca="1">TblImps[[#This Row],[Real time]]</f>
        <v>44812.041666666591</v>
      </c>
      <c r="M35" s="62">
        <f>IF(ISERROR(TblImps[[#This Row],[algorithm]]),0,TblImps[[#This Row],[algorithm]]*1)</f>
        <v>0</v>
      </c>
      <c r="N35" s="97">
        <f ca="1">TblImps[[#This Row],[Land]]</f>
        <v>250</v>
      </c>
      <c r="O35" s="313" t="s">
        <v>4</v>
      </c>
      <c r="P35" s="314"/>
      <c r="Q35" s="313" t="s">
        <v>216</v>
      </c>
      <c r="R35" s="313" t="s">
        <v>7</v>
      </c>
      <c r="S35" s="314"/>
      <c r="T35" s="313" t="s">
        <v>216</v>
      </c>
      <c r="U35" s="313" t="s">
        <v>3</v>
      </c>
      <c r="V35" s="314"/>
      <c r="W35" s="313" t="s">
        <v>216</v>
      </c>
      <c r="X35" s="150"/>
      <c r="Y35" s="315">
        <f ca="1">science_cap*(1-EXP(-TblImps[[#This Row],[Σ Science]]/(science_param*(OFFSET(TblImps[[#This Row],[Land]],1,0)-OFFSET(TblExplore[[#This Row],[Land Bonus]],1,0)*20)+15000)))*(1+(mason_bonus*TblConstr[[#This Row],[Tot Mas]]/TblConstr[[#This Row],[Land (2)]]))</f>
        <v>0</v>
      </c>
      <c r="Z35" s="315">
        <f ca="1">keep_cap*(1-EXP(-TblImps[[#This Row],[Σ Keep]]/(keep_param*(OFFSET(TblImps[[#This Row],[Land]],1,0)-OFFSET(TblExplore[[#This Row],[Land Bonus]],1,0)*20)+15000)))*(1+(mason_bonus*TblConstr[[#This Row],[Tot Mas]]/TblConstr[[#This Row],[Land (2)]]))</f>
        <v>0</v>
      </c>
      <c r="AA35" s="315">
        <f ca="1">harbor_towers_cap*(1-EXP(-TblImps[[#This Row],[Σ Towers]]/(towers_param*(OFFSET(TblImps[[#This Row],[Land]],1,0)-OFFSET(TblExplore[[#This Row],[Land Bonus]],1,0)*20)+15000)))*(1+(mason_bonus*TblConstr[[#This Row],[Tot Mas]]/TblConstr[[#This Row],[Land (2)]]))</f>
        <v>0</v>
      </c>
      <c r="AB35" s="315">
        <f ca="1">walls_forges_cap*(1-EXP(-TblImps[[#This Row],[Σ Forges]]/(walls_forges_param*(OFFSET(TblImps[[#This Row],[Land]],1,0)-OFFSET(TblExplore[[#This Row],[Land Bonus]],1,0)*20)+15000)))*(1+(mason_bonus*TblConstr[[#This Row],[Tot Mas]]/TblConstr[[#This Row],[Land (2)]]))</f>
        <v>0</v>
      </c>
      <c r="AC35" s="315">
        <f ca="1">walls_forges_cap*(1-EXP(-TblImps[[#This Row],[Σ Walls]]/(walls_forges_param*(OFFSET(TblImps[[#This Row],[Land]],1,0)-OFFSET(TblExplore[[#This Row],[Land Bonus]],1,0)*20)+15000)))*(1+(mason_bonus*TblConstr[[#This Row],[Tot Mas]]/TblConstr[[#This Row],[Land (2)]]))</f>
        <v>0</v>
      </c>
      <c r="AD35" s="315">
        <f ca="1">harbor_towers_cap*(1-EXP(-TblImps[[#This Row],[Σ Irrigation]]/(harbor_towers_param*(OFFSET(TblImps[[#This Row],[Land]],1,0)-OFFSET(TblExplore[[#This Row],[Land Bonus]],1,0)*20)+15000)))*(1+(mason_bonus*TblConstr[[#This Row],[Tot Mas]]/TblConstr[[#This Row],[Land (2)]]))</f>
        <v>0</v>
      </c>
      <c r="AE35" s="150"/>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50"/>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50"/>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50"/>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50"/>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50"/>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50"/>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50"/>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50"/>
      <c r="BV3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62">
        <f>TblImps[[#This Row],[Login]]</f>
        <v>0</v>
      </c>
      <c r="BX35" s="145"/>
      <c r="BY35" s="321">
        <f ca="1">OFFSET(TblImps[[#This Row],[Real time]],-1,0)+1/24</f>
        <v>44812.041666666591</v>
      </c>
      <c r="BZ35" s="322">
        <f ca="1">OFFSET(TblImps[[#This Row],[Servertime]],-1,0)+1/24</f>
        <v>44812.291666666591</v>
      </c>
      <c r="CA35" s="57"/>
      <c r="CB35" s="320"/>
      <c r="CC35" s="320"/>
      <c r="CD35" s="45" t="s">
        <v>214</v>
      </c>
    </row>
    <row r="36" spans="1:82" x14ac:dyDescent="0.2">
      <c r="A36" s="230">
        <f ca="1">TblConstr[[#This Row],[Land]]</f>
        <v>250</v>
      </c>
      <c r="B36" s="150"/>
      <c r="C36" s="97">
        <f ca="1">TblProd[[#This Row],[Platinum]]</f>
        <v>276390</v>
      </c>
      <c r="D36" s="97">
        <f ca="1">TblProd[[#This Row],[Lumber]]</f>
        <v>38376</v>
      </c>
      <c r="E36" s="97">
        <f ca="1">TblProd[[#This Row],[Ore]]</f>
        <v>0</v>
      </c>
      <c r="F36" s="97">
        <f ca="1">TblProd[[#This Row],[Gems]]</f>
        <v>10000</v>
      </c>
      <c r="G36" s="162"/>
      <c r="H36" s="97">
        <f ca="1">TblMili[[#This Row],[Draftees]]</f>
        <v>611</v>
      </c>
      <c r="I36" s="188">
        <f ca="1">TblPop[[#This Row],[Employment]]</f>
        <v>1</v>
      </c>
      <c r="J36" s="188">
        <f ca="1">TblPop[[#This Row],[Total]]/TblPop[[#This Row],[Net max]]</f>
        <v>1</v>
      </c>
      <c r="K36" s="311">
        <f>TblRezone[[#This Row],[Hour]]</f>
        <v>33</v>
      </c>
      <c r="L36" s="312">
        <f ca="1">TblImps[[#This Row],[Real time]]</f>
        <v>44812.083333333256</v>
      </c>
      <c r="M36" s="62">
        <f>IF(ISERROR(TblImps[[#This Row],[algorithm]]),0,TblImps[[#This Row],[algorithm]]*1)</f>
        <v>0</v>
      </c>
      <c r="N36" s="97">
        <f ca="1">TblImps[[#This Row],[Land]]</f>
        <v>250</v>
      </c>
      <c r="O36" s="313" t="s">
        <v>4</v>
      </c>
      <c r="P36" s="314"/>
      <c r="Q36" s="313" t="s">
        <v>216</v>
      </c>
      <c r="R36" s="313" t="s">
        <v>7</v>
      </c>
      <c r="S36" s="314"/>
      <c r="T36" s="313" t="s">
        <v>216</v>
      </c>
      <c r="U36" s="313" t="s">
        <v>3</v>
      </c>
      <c r="V36" s="314"/>
      <c r="W36" s="313" t="s">
        <v>216</v>
      </c>
      <c r="X36" s="150"/>
      <c r="Y36" s="315">
        <f ca="1">science_cap*(1-EXP(-TblImps[[#This Row],[Σ Science]]/(science_param*(OFFSET(TblImps[[#This Row],[Land]],1,0)-OFFSET(TblExplore[[#This Row],[Land Bonus]],1,0)*20)+15000)))*(1+(mason_bonus*TblConstr[[#This Row],[Tot Mas]]/TblConstr[[#This Row],[Land (2)]]))</f>
        <v>0</v>
      </c>
      <c r="Z36" s="315">
        <f ca="1">keep_cap*(1-EXP(-TblImps[[#This Row],[Σ Keep]]/(keep_param*(OFFSET(TblImps[[#This Row],[Land]],1,0)-OFFSET(TblExplore[[#This Row],[Land Bonus]],1,0)*20)+15000)))*(1+(mason_bonus*TblConstr[[#This Row],[Tot Mas]]/TblConstr[[#This Row],[Land (2)]]))</f>
        <v>0</v>
      </c>
      <c r="AA36" s="315">
        <f ca="1">harbor_towers_cap*(1-EXP(-TblImps[[#This Row],[Σ Towers]]/(towers_param*(OFFSET(TblImps[[#This Row],[Land]],1,0)-OFFSET(TblExplore[[#This Row],[Land Bonus]],1,0)*20)+15000)))*(1+(mason_bonus*TblConstr[[#This Row],[Tot Mas]]/TblConstr[[#This Row],[Land (2)]]))</f>
        <v>0</v>
      </c>
      <c r="AB36" s="315">
        <f ca="1">walls_forges_cap*(1-EXP(-TblImps[[#This Row],[Σ Forges]]/(walls_forges_param*(OFFSET(TblImps[[#This Row],[Land]],1,0)-OFFSET(TblExplore[[#This Row],[Land Bonus]],1,0)*20)+15000)))*(1+(mason_bonus*TblConstr[[#This Row],[Tot Mas]]/TblConstr[[#This Row],[Land (2)]]))</f>
        <v>0</v>
      </c>
      <c r="AC36" s="315">
        <f ca="1">walls_forges_cap*(1-EXP(-TblImps[[#This Row],[Σ Walls]]/(walls_forges_param*(OFFSET(TblImps[[#This Row],[Land]],1,0)-OFFSET(TblExplore[[#This Row],[Land Bonus]],1,0)*20)+15000)))*(1+(mason_bonus*TblConstr[[#This Row],[Tot Mas]]/TblConstr[[#This Row],[Land (2)]]))</f>
        <v>0</v>
      </c>
      <c r="AD36" s="315">
        <f ca="1">harbor_towers_cap*(1-EXP(-TblImps[[#This Row],[Σ Irrigation]]/(harbor_towers_param*(OFFSET(TblImps[[#This Row],[Land]],1,0)-OFFSET(TblExplore[[#This Row],[Land Bonus]],1,0)*20)+15000)))*(1+(mason_bonus*TblConstr[[#This Row],[Tot Mas]]/TblConstr[[#This Row],[Land (2)]]))</f>
        <v>0</v>
      </c>
      <c r="AE36" s="150"/>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50"/>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50"/>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50"/>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50"/>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50"/>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50"/>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50"/>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50"/>
      <c r="BV3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62">
        <f>TblImps[[#This Row],[Login]]</f>
        <v>0</v>
      </c>
      <c r="BX36" s="145"/>
      <c r="BY36" s="321">
        <f ca="1">OFFSET(TblImps[[#This Row],[Real time]],-1,0)+1/24</f>
        <v>44812.083333333256</v>
      </c>
      <c r="BZ36" s="322">
        <f ca="1">OFFSET(TblImps[[#This Row],[Servertime]],-1,0)+1/24</f>
        <v>44812.333333333256</v>
      </c>
      <c r="CA36" s="57"/>
      <c r="CB36" s="320"/>
      <c r="CC36" s="320"/>
      <c r="CD36" s="45" t="s">
        <v>216</v>
      </c>
    </row>
    <row r="37" spans="1:82" x14ac:dyDescent="0.2">
      <c r="A37" s="230">
        <f ca="1">TblConstr[[#This Row],[Land]]</f>
        <v>250</v>
      </c>
      <c r="B37" s="150"/>
      <c r="C37" s="97">
        <f ca="1">TblProd[[#This Row],[Platinum]]</f>
        <v>281916</v>
      </c>
      <c r="D37" s="97">
        <f ca="1">TblProd[[#This Row],[Lumber]]</f>
        <v>38992</v>
      </c>
      <c r="E37" s="97">
        <f ca="1">TblProd[[#This Row],[Ore]]</f>
        <v>0</v>
      </c>
      <c r="F37" s="97">
        <f ca="1">TblProd[[#This Row],[Gems]]</f>
        <v>10000</v>
      </c>
      <c r="G37" s="162"/>
      <c r="H37" s="97">
        <f ca="1">TblMili[[#This Row],[Draftees]]</f>
        <v>626</v>
      </c>
      <c r="I37" s="188">
        <f ca="1">TblPop[[#This Row],[Employment]]</f>
        <v>1</v>
      </c>
      <c r="J37" s="188">
        <f ca="1">TblPop[[#This Row],[Total]]/TblPop[[#This Row],[Net max]]</f>
        <v>1</v>
      </c>
      <c r="K37" s="311">
        <f>TblRezone[[#This Row],[Hour]]</f>
        <v>34</v>
      </c>
      <c r="L37" s="312">
        <f ca="1">TblImps[[#This Row],[Real time]]</f>
        <v>44812.12499999992</v>
      </c>
      <c r="M37" s="62">
        <f>IF(ISERROR(TblImps[[#This Row],[algorithm]]),0,TblImps[[#This Row],[algorithm]]*1)</f>
        <v>0</v>
      </c>
      <c r="N37" s="97">
        <f ca="1">TblImps[[#This Row],[Land]]</f>
        <v>250</v>
      </c>
      <c r="O37" s="313" t="s">
        <v>4</v>
      </c>
      <c r="P37" s="314"/>
      <c r="Q37" s="313" t="s">
        <v>216</v>
      </c>
      <c r="R37" s="313" t="s">
        <v>7</v>
      </c>
      <c r="S37" s="314"/>
      <c r="T37" s="313" t="s">
        <v>216</v>
      </c>
      <c r="U37" s="313" t="s">
        <v>3</v>
      </c>
      <c r="V37" s="314"/>
      <c r="W37" s="313" t="s">
        <v>216</v>
      </c>
      <c r="X37" s="150"/>
      <c r="Y37" s="315">
        <f ca="1">science_cap*(1-EXP(-TblImps[[#This Row],[Σ Science]]/(science_param*(OFFSET(TblImps[[#This Row],[Land]],1,0)-OFFSET(TblExplore[[#This Row],[Land Bonus]],1,0)*20)+15000)))*(1+(mason_bonus*TblConstr[[#This Row],[Tot Mas]]/TblConstr[[#This Row],[Land (2)]]))</f>
        <v>0</v>
      </c>
      <c r="Z37" s="315">
        <f ca="1">keep_cap*(1-EXP(-TblImps[[#This Row],[Σ Keep]]/(keep_param*(OFFSET(TblImps[[#This Row],[Land]],1,0)-OFFSET(TblExplore[[#This Row],[Land Bonus]],1,0)*20)+15000)))*(1+(mason_bonus*TblConstr[[#This Row],[Tot Mas]]/TblConstr[[#This Row],[Land (2)]]))</f>
        <v>0</v>
      </c>
      <c r="AA37" s="315">
        <f ca="1">harbor_towers_cap*(1-EXP(-TblImps[[#This Row],[Σ Towers]]/(towers_param*(OFFSET(TblImps[[#This Row],[Land]],1,0)-OFFSET(TblExplore[[#This Row],[Land Bonus]],1,0)*20)+15000)))*(1+(mason_bonus*TblConstr[[#This Row],[Tot Mas]]/TblConstr[[#This Row],[Land (2)]]))</f>
        <v>0</v>
      </c>
      <c r="AB37" s="315">
        <f ca="1">walls_forges_cap*(1-EXP(-TblImps[[#This Row],[Σ Forges]]/(walls_forges_param*(OFFSET(TblImps[[#This Row],[Land]],1,0)-OFFSET(TblExplore[[#This Row],[Land Bonus]],1,0)*20)+15000)))*(1+(mason_bonus*TblConstr[[#This Row],[Tot Mas]]/TblConstr[[#This Row],[Land (2)]]))</f>
        <v>0</v>
      </c>
      <c r="AC37" s="315">
        <f ca="1">walls_forges_cap*(1-EXP(-TblImps[[#This Row],[Σ Walls]]/(walls_forges_param*(OFFSET(TblImps[[#This Row],[Land]],1,0)-OFFSET(TblExplore[[#This Row],[Land Bonus]],1,0)*20)+15000)))*(1+(mason_bonus*TblConstr[[#This Row],[Tot Mas]]/TblConstr[[#This Row],[Land (2)]]))</f>
        <v>0</v>
      </c>
      <c r="AD37" s="315">
        <f ca="1">harbor_towers_cap*(1-EXP(-TblImps[[#This Row],[Σ Irrigation]]/(harbor_towers_param*(OFFSET(TblImps[[#This Row],[Land]],1,0)-OFFSET(TblExplore[[#This Row],[Land Bonus]],1,0)*20)+15000)))*(1+(mason_bonus*TblConstr[[#This Row],[Tot Mas]]/TblConstr[[#This Row],[Land (2)]]))</f>
        <v>0</v>
      </c>
      <c r="AE37" s="150"/>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50"/>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50"/>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50"/>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50"/>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50"/>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50"/>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50"/>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50"/>
      <c r="BV3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62">
        <f>TblImps[[#This Row],[Login]]</f>
        <v>0</v>
      </c>
      <c r="BX37" s="145"/>
      <c r="BY37" s="321">
        <f ca="1">OFFSET(TblImps[[#This Row],[Real time]],-1,0)+1/24</f>
        <v>44812.12499999992</v>
      </c>
      <c r="BZ37" s="322">
        <f ca="1">OFFSET(TblImps[[#This Row],[Servertime]],-1,0)+1/24</f>
        <v>44812.37499999992</v>
      </c>
      <c r="CA37" s="57"/>
      <c r="CB37" s="320"/>
      <c r="CC37" s="320"/>
      <c r="CD37" s="45" t="s">
        <v>217</v>
      </c>
    </row>
    <row r="38" spans="1:82" x14ac:dyDescent="0.2">
      <c r="A38" s="230">
        <f ca="1">TblConstr[[#This Row],[Land]]</f>
        <v>250</v>
      </c>
      <c r="B38" s="150"/>
      <c r="C38" s="97">
        <f ca="1">TblProd[[#This Row],[Platinum]]</f>
        <v>287402</v>
      </c>
      <c r="D38" s="97">
        <f ca="1">TblProd[[#This Row],[Lumber]]</f>
        <v>39602</v>
      </c>
      <c r="E38" s="97">
        <f ca="1">TblProd[[#This Row],[Ore]]</f>
        <v>0</v>
      </c>
      <c r="F38" s="97">
        <f ca="1">TblProd[[#This Row],[Gems]]</f>
        <v>10000</v>
      </c>
      <c r="G38" s="162"/>
      <c r="H38" s="97">
        <f ca="1">TblMili[[#This Row],[Draftees]]</f>
        <v>626</v>
      </c>
      <c r="I38" s="188">
        <f ca="1">TblPop[[#This Row],[Employment]]</f>
        <v>1</v>
      </c>
      <c r="J38" s="188">
        <f ca="1">TblPop[[#This Row],[Total]]/TblPop[[#This Row],[Net max]]</f>
        <v>1</v>
      </c>
      <c r="K38" s="311">
        <f>TblRezone[[#This Row],[Hour]]</f>
        <v>35</v>
      </c>
      <c r="L38" s="312">
        <f ca="1">TblImps[[#This Row],[Real time]]</f>
        <v>44812.166666666584</v>
      </c>
      <c r="M38" s="62">
        <f>IF(ISERROR(TblImps[[#This Row],[algorithm]]),0,TblImps[[#This Row],[algorithm]]*1)</f>
        <v>0</v>
      </c>
      <c r="N38" s="97">
        <f ca="1">TblImps[[#This Row],[Land]]</f>
        <v>250</v>
      </c>
      <c r="O38" s="313" t="s">
        <v>4</v>
      </c>
      <c r="P38" s="314"/>
      <c r="Q38" s="313" t="s">
        <v>216</v>
      </c>
      <c r="R38" s="313" t="s">
        <v>7</v>
      </c>
      <c r="S38" s="314"/>
      <c r="T38" s="313" t="s">
        <v>216</v>
      </c>
      <c r="U38" s="313" t="s">
        <v>3</v>
      </c>
      <c r="V38" s="314"/>
      <c r="W38" s="313" t="s">
        <v>216</v>
      </c>
      <c r="X38" s="150"/>
      <c r="Y38" s="315">
        <f ca="1">science_cap*(1-EXP(-TblImps[[#This Row],[Σ Science]]/(science_param*(OFFSET(TblImps[[#This Row],[Land]],1,0)-OFFSET(TblExplore[[#This Row],[Land Bonus]],1,0)*20)+15000)))*(1+(mason_bonus*TblConstr[[#This Row],[Tot Mas]]/TblConstr[[#This Row],[Land (2)]]))</f>
        <v>0</v>
      </c>
      <c r="Z38" s="315">
        <f ca="1">keep_cap*(1-EXP(-TblImps[[#This Row],[Σ Keep]]/(keep_param*(OFFSET(TblImps[[#This Row],[Land]],1,0)-OFFSET(TblExplore[[#This Row],[Land Bonus]],1,0)*20)+15000)))*(1+(mason_bonus*TblConstr[[#This Row],[Tot Mas]]/TblConstr[[#This Row],[Land (2)]]))</f>
        <v>0</v>
      </c>
      <c r="AA38" s="315">
        <f ca="1">harbor_towers_cap*(1-EXP(-TblImps[[#This Row],[Σ Towers]]/(towers_param*(OFFSET(TblImps[[#This Row],[Land]],1,0)-OFFSET(TblExplore[[#This Row],[Land Bonus]],1,0)*20)+15000)))*(1+(mason_bonus*TblConstr[[#This Row],[Tot Mas]]/TblConstr[[#This Row],[Land (2)]]))</f>
        <v>0</v>
      </c>
      <c r="AB38" s="315">
        <f ca="1">walls_forges_cap*(1-EXP(-TblImps[[#This Row],[Σ Forges]]/(walls_forges_param*(OFFSET(TblImps[[#This Row],[Land]],1,0)-OFFSET(TblExplore[[#This Row],[Land Bonus]],1,0)*20)+15000)))*(1+(mason_bonus*TblConstr[[#This Row],[Tot Mas]]/TblConstr[[#This Row],[Land (2)]]))</f>
        <v>0</v>
      </c>
      <c r="AC38" s="315">
        <f ca="1">walls_forges_cap*(1-EXP(-TblImps[[#This Row],[Σ Walls]]/(walls_forges_param*(OFFSET(TblImps[[#This Row],[Land]],1,0)-OFFSET(TblExplore[[#This Row],[Land Bonus]],1,0)*20)+15000)))*(1+(mason_bonus*TblConstr[[#This Row],[Tot Mas]]/TblConstr[[#This Row],[Land (2)]]))</f>
        <v>0</v>
      </c>
      <c r="AD38" s="315">
        <f ca="1">harbor_towers_cap*(1-EXP(-TblImps[[#This Row],[Σ Irrigation]]/(harbor_towers_param*(OFFSET(TblImps[[#This Row],[Land]],1,0)-OFFSET(TblExplore[[#This Row],[Land Bonus]],1,0)*20)+15000)))*(1+(mason_bonus*TblConstr[[#This Row],[Tot Mas]]/TblConstr[[#This Row],[Land (2)]]))</f>
        <v>0</v>
      </c>
      <c r="AE38" s="150"/>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50"/>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50"/>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50"/>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50"/>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50"/>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50"/>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50"/>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50"/>
      <c r="BV3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62">
        <f>TblImps[[#This Row],[Login]]</f>
        <v>0</v>
      </c>
      <c r="BX38" s="145"/>
      <c r="BY38" s="321">
        <f ca="1">OFFSET(TblImps[[#This Row],[Real time]],-1,0)+1/24</f>
        <v>44812.166666666584</v>
      </c>
      <c r="BZ38" s="322">
        <f ca="1">OFFSET(TblImps[[#This Row],[Servertime]],-1,0)+1/24</f>
        <v>44812.416666666584</v>
      </c>
      <c r="CA38" s="57"/>
      <c r="CB38" s="320"/>
      <c r="CC38" s="320"/>
      <c r="CD38" s="45" t="s">
        <v>218</v>
      </c>
    </row>
    <row r="39" spans="1:82" x14ac:dyDescent="0.2">
      <c r="A39" s="230">
        <f ca="1">TblConstr[[#This Row],[Land]]</f>
        <v>250</v>
      </c>
      <c r="B39" s="150"/>
      <c r="C39" s="97">
        <f ca="1">TblProd[[#This Row],[Platinum]]</f>
        <v>292888</v>
      </c>
      <c r="D39" s="97">
        <f ca="1">TblProd[[#This Row],[Lumber]]</f>
        <v>40206</v>
      </c>
      <c r="E39" s="97">
        <f ca="1">TblProd[[#This Row],[Ore]]</f>
        <v>0</v>
      </c>
      <c r="F39" s="97">
        <f ca="1">TblProd[[#This Row],[Gems]]</f>
        <v>10000</v>
      </c>
      <c r="G39" s="162"/>
      <c r="H39" s="97">
        <f ca="1">TblMili[[#This Row],[Draftees]]</f>
        <v>626</v>
      </c>
      <c r="I39" s="188">
        <f ca="1">TblPop[[#This Row],[Employment]]</f>
        <v>1</v>
      </c>
      <c r="J39" s="188">
        <f ca="1">TblPop[[#This Row],[Total]]/TblPop[[#This Row],[Net max]]</f>
        <v>1</v>
      </c>
      <c r="K39" s="311">
        <f>TblRezone[[#This Row],[Hour]]</f>
        <v>36</v>
      </c>
      <c r="L39" s="312">
        <f ca="1">TblImps[[#This Row],[Real time]]</f>
        <v>44812.208333333248</v>
      </c>
      <c r="M39" s="62">
        <f>IF(ISERROR(TblImps[[#This Row],[algorithm]]),0,TblImps[[#This Row],[algorithm]]*1)</f>
        <v>0</v>
      </c>
      <c r="N39" s="97">
        <f ca="1">TblImps[[#This Row],[Land]]</f>
        <v>250</v>
      </c>
      <c r="O39" s="313" t="s">
        <v>4</v>
      </c>
      <c r="P39" s="314"/>
      <c r="Q39" s="313" t="s">
        <v>216</v>
      </c>
      <c r="R39" s="313" t="s">
        <v>7</v>
      </c>
      <c r="S39" s="314"/>
      <c r="T39" s="313" t="s">
        <v>216</v>
      </c>
      <c r="U39" s="313" t="s">
        <v>3</v>
      </c>
      <c r="V39" s="314"/>
      <c r="W39" s="313" t="s">
        <v>216</v>
      </c>
      <c r="X39" s="150"/>
      <c r="Y39" s="315">
        <f ca="1">science_cap*(1-EXP(-TblImps[[#This Row],[Σ Science]]/(science_param*(OFFSET(TblImps[[#This Row],[Land]],1,0)-OFFSET(TblExplore[[#This Row],[Land Bonus]],1,0)*20)+15000)))*(1+(mason_bonus*TblConstr[[#This Row],[Tot Mas]]/TblConstr[[#This Row],[Land (2)]]))</f>
        <v>0</v>
      </c>
      <c r="Z39" s="315">
        <f ca="1">keep_cap*(1-EXP(-TblImps[[#This Row],[Σ Keep]]/(keep_param*(OFFSET(TblImps[[#This Row],[Land]],1,0)-OFFSET(TblExplore[[#This Row],[Land Bonus]],1,0)*20)+15000)))*(1+(mason_bonus*TblConstr[[#This Row],[Tot Mas]]/TblConstr[[#This Row],[Land (2)]]))</f>
        <v>0</v>
      </c>
      <c r="AA39" s="315">
        <f ca="1">harbor_towers_cap*(1-EXP(-TblImps[[#This Row],[Σ Towers]]/(towers_param*(OFFSET(TblImps[[#This Row],[Land]],1,0)-OFFSET(TblExplore[[#This Row],[Land Bonus]],1,0)*20)+15000)))*(1+(mason_bonus*TblConstr[[#This Row],[Tot Mas]]/TblConstr[[#This Row],[Land (2)]]))</f>
        <v>0</v>
      </c>
      <c r="AB39" s="315">
        <f ca="1">walls_forges_cap*(1-EXP(-TblImps[[#This Row],[Σ Forges]]/(walls_forges_param*(OFFSET(TblImps[[#This Row],[Land]],1,0)-OFFSET(TblExplore[[#This Row],[Land Bonus]],1,0)*20)+15000)))*(1+(mason_bonus*TblConstr[[#This Row],[Tot Mas]]/TblConstr[[#This Row],[Land (2)]]))</f>
        <v>0</v>
      </c>
      <c r="AC39" s="315">
        <f ca="1">walls_forges_cap*(1-EXP(-TblImps[[#This Row],[Σ Walls]]/(walls_forges_param*(OFFSET(TblImps[[#This Row],[Land]],1,0)-OFFSET(TblExplore[[#This Row],[Land Bonus]],1,0)*20)+15000)))*(1+(mason_bonus*TblConstr[[#This Row],[Tot Mas]]/TblConstr[[#This Row],[Land (2)]]))</f>
        <v>0</v>
      </c>
      <c r="AD39" s="315">
        <f ca="1">harbor_towers_cap*(1-EXP(-TblImps[[#This Row],[Σ Irrigation]]/(harbor_towers_param*(OFFSET(TblImps[[#This Row],[Land]],1,0)-OFFSET(TblExplore[[#This Row],[Land Bonus]],1,0)*20)+15000)))*(1+(mason_bonus*TblConstr[[#This Row],[Tot Mas]]/TblConstr[[#This Row],[Land (2)]]))</f>
        <v>0</v>
      </c>
      <c r="AE39" s="150"/>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50"/>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50"/>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50"/>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50"/>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50"/>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50"/>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50"/>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50"/>
      <c r="BV3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62">
        <f>TblImps[[#This Row],[Login]]</f>
        <v>0</v>
      </c>
      <c r="BX39" s="145"/>
      <c r="BY39" s="321">
        <f ca="1">OFFSET(TblImps[[#This Row],[Real time]],-1,0)+1/24</f>
        <v>44812.208333333248</v>
      </c>
      <c r="BZ39" s="322">
        <f ca="1">OFFSET(TblImps[[#This Row],[Servertime]],-1,0)+1/24</f>
        <v>44812.458333333248</v>
      </c>
      <c r="CA39" s="57"/>
      <c r="CB39" s="320"/>
      <c r="CC39" s="320"/>
      <c r="CD39" s="45" t="s">
        <v>219</v>
      </c>
    </row>
    <row r="40" spans="1:82" x14ac:dyDescent="0.2">
      <c r="A40" s="230">
        <f ca="1">TblConstr[[#This Row],[Land]]</f>
        <v>250</v>
      </c>
      <c r="B40" s="150"/>
      <c r="C40" s="97">
        <f ca="1">TblProd[[#This Row],[Platinum]]</f>
        <v>298374</v>
      </c>
      <c r="D40" s="97">
        <f ca="1">TblProd[[#This Row],[Lumber]]</f>
        <v>40804</v>
      </c>
      <c r="E40" s="97">
        <f ca="1">TblProd[[#This Row],[Ore]]</f>
        <v>0</v>
      </c>
      <c r="F40" s="97">
        <f ca="1">TblProd[[#This Row],[Gems]]</f>
        <v>10000</v>
      </c>
      <c r="G40" s="162"/>
      <c r="H40" s="97">
        <f ca="1">TblMili[[#This Row],[Draftees]]</f>
        <v>626</v>
      </c>
      <c r="I40" s="188">
        <f ca="1">TblPop[[#This Row],[Employment]]</f>
        <v>1</v>
      </c>
      <c r="J40" s="188">
        <f ca="1">TblPop[[#This Row],[Total]]/TblPop[[#This Row],[Net max]]</f>
        <v>1</v>
      </c>
      <c r="K40" s="311">
        <f>TblRezone[[#This Row],[Hour]]</f>
        <v>37</v>
      </c>
      <c r="L40" s="312">
        <f ca="1">TblImps[[#This Row],[Real time]]</f>
        <v>44812.249999999913</v>
      </c>
      <c r="M40" s="62">
        <f>IF(ISERROR(TblImps[[#This Row],[algorithm]]),0,TblImps[[#This Row],[algorithm]]*1)</f>
        <v>0</v>
      </c>
      <c r="N40" s="97">
        <f ca="1">TblImps[[#This Row],[Land]]</f>
        <v>250</v>
      </c>
      <c r="O40" s="313" t="s">
        <v>4</v>
      </c>
      <c r="P40" s="314"/>
      <c r="Q40" s="313" t="s">
        <v>216</v>
      </c>
      <c r="R40" s="313" t="s">
        <v>7</v>
      </c>
      <c r="S40" s="314"/>
      <c r="T40" s="313" t="s">
        <v>216</v>
      </c>
      <c r="U40" s="313" t="s">
        <v>3</v>
      </c>
      <c r="V40" s="314"/>
      <c r="W40" s="313" t="s">
        <v>216</v>
      </c>
      <c r="X40" s="150"/>
      <c r="Y40" s="315">
        <f ca="1">science_cap*(1-EXP(-TblImps[[#This Row],[Σ Science]]/(science_param*(OFFSET(TblImps[[#This Row],[Land]],1,0)-OFFSET(TblExplore[[#This Row],[Land Bonus]],1,0)*20)+15000)))*(1+(mason_bonus*TblConstr[[#This Row],[Tot Mas]]/TblConstr[[#This Row],[Land (2)]]))</f>
        <v>0</v>
      </c>
      <c r="Z40" s="315">
        <f ca="1">keep_cap*(1-EXP(-TblImps[[#This Row],[Σ Keep]]/(keep_param*(OFFSET(TblImps[[#This Row],[Land]],1,0)-OFFSET(TblExplore[[#This Row],[Land Bonus]],1,0)*20)+15000)))*(1+(mason_bonus*TblConstr[[#This Row],[Tot Mas]]/TblConstr[[#This Row],[Land (2)]]))</f>
        <v>0</v>
      </c>
      <c r="AA40" s="315">
        <f ca="1">harbor_towers_cap*(1-EXP(-TblImps[[#This Row],[Σ Towers]]/(towers_param*(OFFSET(TblImps[[#This Row],[Land]],1,0)-OFFSET(TblExplore[[#This Row],[Land Bonus]],1,0)*20)+15000)))*(1+(mason_bonus*TblConstr[[#This Row],[Tot Mas]]/TblConstr[[#This Row],[Land (2)]]))</f>
        <v>0</v>
      </c>
      <c r="AB40" s="315">
        <f ca="1">walls_forges_cap*(1-EXP(-TblImps[[#This Row],[Σ Forges]]/(walls_forges_param*(OFFSET(TblImps[[#This Row],[Land]],1,0)-OFFSET(TblExplore[[#This Row],[Land Bonus]],1,0)*20)+15000)))*(1+(mason_bonus*TblConstr[[#This Row],[Tot Mas]]/TblConstr[[#This Row],[Land (2)]]))</f>
        <v>0</v>
      </c>
      <c r="AC40" s="315">
        <f ca="1">walls_forges_cap*(1-EXP(-TblImps[[#This Row],[Σ Walls]]/(walls_forges_param*(OFFSET(TblImps[[#This Row],[Land]],1,0)-OFFSET(TblExplore[[#This Row],[Land Bonus]],1,0)*20)+15000)))*(1+(mason_bonus*TblConstr[[#This Row],[Tot Mas]]/TblConstr[[#This Row],[Land (2)]]))</f>
        <v>0</v>
      </c>
      <c r="AD40" s="315">
        <f ca="1">harbor_towers_cap*(1-EXP(-TblImps[[#This Row],[Σ Irrigation]]/(harbor_towers_param*(OFFSET(TblImps[[#This Row],[Land]],1,0)-OFFSET(TblExplore[[#This Row],[Land Bonus]],1,0)*20)+15000)))*(1+(mason_bonus*TblConstr[[#This Row],[Tot Mas]]/TblConstr[[#This Row],[Land (2)]]))</f>
        <v>0</v>
      </c>
      <c r="AE40" s="150"/>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50"/>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50"/>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50"/>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50"/>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50"/>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50"/>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50"/>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50"/>
      <c r="BV4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62">
        <f>TblImps[[#This Row],[Login]]</f>
        <v>0</v>
      </c>
      <c r="BX40" s="145"/>
      <c r="BY40" s="321">
        <f ca="1">OFFSET(TblImps[[#This Row],[Real time]],-1,0)+1/24</f>
        <v>44812.249999999913</v>
      </c>
      <c r="BZ40" s="322">
        <f ca="1">OFFSET(TblImps[[#This Row],[Servertime]],-1,0)+1/24</f>
        <v>44812.499999999913</v>
      </c>
      <c r="CA40" s="57"/>
      <c r="CB40" s="320"/>
      <c r="CC40" s="320"/>
      <c r="CD40" s="45" t="s">
        <v>220</v>
      </c>
    </row>
    <row r="41" spans="1:82" x14ac:dyDescent="0.2">
      <c r="A41" s="230">
        <f ca="1">TblConstr[[#This Row],[Land]]</f>
        <v>250</v>
      </c>
      <c r="B41" s="150"/>
      <c r="C41" s="97">
        <f ca="1">TblProd[[#This Row],[Platinum]]</f>
        <v>303860</v>
      </c>
      <c r="D41" s="97">
        <f ca="1">TblProd[[#This Row],[Lumber]]</f>
        <v>41396</v>
      </c>
      <c r="E41" s="97">
        <f ca="1">TblProd[[#This Row],[Ore]]</f>
        <v>0</v>
      </c>
      <c r="F41" s="97">
        <f ca="1">TblProd[[#This Row],[Gems]]</f>
        <v>10000</v>
      </c>
      <c r="G41" s="162"/>
      <c r="H41" s="97">
        <f ca="1">TblMili[[#This Row],[Draftees]]</f>
        <v>626</v>
      </c>
      <c r="I41" s="188">
        <f ca="1">TblPop[[#This Row],[Employment]]</f>
        <v>1</v>
      </c>
      <c r="J41" s="188">
        <f ca="1">TblPop[[#This Row],[Total]]/TblPop[[#This Row],[Net max]]</f>
        <v>1</v>
      </c>
      <c r="K41" s="311">
        <f>TblRezone[[#This Row],[Hour]]</f>
        <v>38</v>
      </c>
      <c r="L41" s="312">
        <f ca="1">TblImps[[#This Row],[Real time]]</f>
        <v>44812.291666666577</v>
      </c>
      <c r="M41" s="62">
        <f>IF(ISERROR(TblImps[[#This Row],[algorithm]]),0,TblImps[[#This Row],[algorithm]]*1)</f>
        <v>0</v>
      </c>
      <c r="N41" s="97">
        <f ca="1">TblImps[[#This Row],[Land]]</f>
        <v>250</v>
      </c>
      <c r="O41" s="313" t="s">
        <v>4</v>
      </c>
      <c r="P41" s="314"/>
      <c r="Q41" s="313" t="s">
        <v>216</v>
      </c>
      <c r="R41" s="313" t="s">
        <v>7</v>
      </c>
      <c r="S41" s="314"/>
      <c r="T41" s="313" t="s">
        <v>216</v>
      </c>
      <c r="U41" s="313" t="s">
        <v>3</v>
      </c>
      <c r="V41" s="314"/>
      <c r="W41" s="313" t="s">
        <v>216</v>
      </c>
      <c r="X41" s="150"/>
      <c r="Y41" s="315">
        <f ca="1">science_cap*(1-EXP(-TblImps[[#This Row],[Σ Science]]/(science_param*(OFFSET(TblImps[[#This Row],[Land]],1,0)-OFFSET(TblExplore[[#This Row],[Land Bonus]],1,0)*20)+15000)))*(1+(mason_bonus*TblConstr[[#This Row],[Tot Mas]]/TblConstr[[#This Row],[Land (2)]]))</f>
        <v>0</v>
      </c>
      <c r="Z41" s="315">
        <f ca="1">keep_cap*(1-EXP(-TblImps[[#This Row],[Σ Keep]]/(keep_param*(OFFSET(TblImps[[#This Row],[Land]],1,0)-OFFSET(TblExplore[[#This Row],[Land Bonus]],1,0)*20)+15000)))*(1+(mason_bonus*TblConstr[[#This Row],[Tot Mas]]/TblConstr[[#This Row],[Land (2)]]))</f>
        <v>0</v>
      </c>
      <c r="AA41" s="315">
        <f ca="1">harbor_towers_cap*(1-EXP(-TblImps[[#This Row],[Σ Towers]]/(towers_param*(OFFSET(TblImps[[#This Row],[Land]],1,0)-OFFSET(TblExplore[[#This Row],[Land Bonus]],1,0)*20)+15000)))*(1+(mason_bonus*TblConstr[[#This Row],[Tot Mas]]/TblConstr[[#This Row],[Land (2)]]))</f>
        <v>0</v>
      </c>
      <c r="AB41" s="315">
        <f ca="1">walls_forges_cap*(1-EXP(-TblImps[[#This Row],[Σ Forges]]/(walls_forges_param*(OFFSET(TblImps[[#This Row],[Land]],1,0)-OFFSET(TblExplore[[#This Row],[Land Bonus]],1,0)*20)+15000)))*(1+(mason_bonus*TblConstr[[#This Row],[Tot Mas]]/TblConstr[[#This Row],[Land (2)]]))</f>
        <v>0</v>
      </c>
      <c r="AC41" s="315">
        <f ca="1">walls_forges_cap*(1-EXP(-TblImps[[#This Row],[Σ Walls]]/(walls_forges_param*(OFFSET(TblImps[[#This Row],[Land]],1,0)-OFFSET(TblExplore[[#This Row],[Land Bonus]],1,0)*20)+15000)))*(1+(mason_bonus*TblConstr[[#This Row],[Tot Mas]]/TblConstr[[#This Row],[Land (2)]]))</f>
        <v>0</v>
      </c>
      <c r="AD41" s="315">
        <f ca="1">harbor_towers_cap*(1-EXP(-TblImps[[#This Row],[Σ Irrigation]]/(harbor_towers_param*(OFFSET(TblImps[[#This Row],[Land]],1,0)-OFFSET(TblExplore[[#This Row],[Land Bonus]],1,0)*20)+15000)))*(1+(mason_bonus*TblConstr[[#This Row],[Tot Mas]]/TblConstr[[#This Row],[Land (2)]]))</f>
        <v>0</v>
      </c>
      <c r="AE41" s="150"/>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50"/>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50"/>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50"/>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50"/>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50"/>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50"/>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50"/>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50"/>
      <c r="BV4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62">
        <f>TblImps[[#This Row],[Login]]</f>
        <v>0</v>
      </c>
      <c r="BX41" s="145"/>
      <c r="BY41" s="321">
        <f ca="1">OFFSET(TblImps[[#This Row],[Real time]],-1,0)+1/24</f>
        <v>44812.291666666577</v>
      </c>
      <c r="BZ41" s="322">
        <f ca="1">OFFSET(TblImps[[#This Row],[Servertime]],-1,0)+1/24</f>
        <v>44812.541666666577</v>
      </c>
      <c r="CA41" s="57"/>
      <c r="CB41" s="320"/>
      <c r="CC41" s="320"/>
    </row>
    <row r="42" spans="1:82" x14ac:dyDescent="0.2">
      <c r="A42" s="230">
        <f ca="1">TblConstr[[#This Row],[Land]]</f>
        <v>250</v>
      </c>
      <c r="B42" s="150"/>
      <c r="C42" s="97">
        <f ca="1">TblProd[[#This Row],[Platinum]]</f>
        <v>309346</v>
      </c>
      <c r="D42" s="97">
        <f ca="1">TblProd[[#This Row],[Lumber]]</f>
        <v>41982</v>
      </c>
      <c r="E42" s="97">
        <f ca="1">TblProd[[#This Row],[Ore]]</f>
        <v>0</v>
      </c>
      <c r="F42" s="97">
        <f ca="1">TblProd[[#This Row],[Gems]]</f>
        <v>10000</v>
      </c>
      <c r="G42" s="162"/>
      <c r="H42" s="97">
        <f ca="1">TblMili[[#This Row],[Draftees]]</f>
        <v>626</v>
      </c>
      <c r="I42" s="188">
        <f ca="1">TblPop[[#This Row],[Employment]]</f>
        <v>1</v>
      </c>
      <c r="J42" s="188">
        <f ca="1">TblPop[[#This Row],[Total]]/TblPop[[#This Row],[Net max]]</f>
        <v>1</v>
      </c>
      <c r="K42" s="311">
        <f>TblRezone[[#This Row],[Hour]]</f>
        <v>39</v>
      </c>
      <c r="L42" s="312">
        <f ca="1">TblImps[[#This Row],[Real time]]</f>
        <v>44812.333333333241</v>
      </c>
      <c r="M42" s="62">
        <f>IF(ISERROR(TblImps[[#This Row],[algorithm]]),0,TblImps[[#This Row],[algorithm]]*1)</f>
        <v>0</v>
      </c>
      <c r="N42" s="97">
        <f ca="1">TblImps[[#This Row],[Land]]</f>
        <v>250</v>
      </c>
      <c r="O42" s="313" t="s">
        <v>4</v>
      </c>
      <c r="P42" s="314"/>
      <c r="Q42" s="313" t="s">
        <v>216</v>
      </c>
      <c r="R42" s="313" t="s">
        <v>7</v>
      </c>
      <c r="S42" s="314"/>
      <c r="T42" s="313" t="s">
        <v>216</v>
      </c>
      <c r="U42" s="313" t="s">
        <v>3</v>
      </c>
      <c r="V42" s="314"/>
      <c r="W42" s="313" t="s">
        <v>216</v>
      </c>
      <c r="X42" s="150"/>
      <c r="Y42" s="315">
        <f ca="1">science_cap*(1-EXP(-TblImps[[#This Row],[Σ Science]]/(science_param*(OFFSET(TblImps[[#This Row],[Land]],1,0)-OFFSET(TblExplore[[#This Row],[Land Bonus]],1,0)*20)+15000)))*(1+(mason_bonus*TblConstr[[#This Row],[Tot Mas]]/TblConstr[[#This Row],[Land (2)]]))</f>
        <v>0</v>
      </c>
      <c r="Z42" s="315">
        <f ca="1">keep_cap*(1-EXP(-TblImps[[#This Row],[Σ Keep]]/(keep_param*(OFFSET(TblImps[[#This Row],[Land]],1,0)-OFFSET(TblExplore[[#This Row],[Land Bonus]],1,0)*20)+15000)))*(1+(mason_bonus*TblConstr[[#This Row],[Tot Mas]]/TblConstr[[#This Row],[Land (2)]]))</f>
        <v>0</v>
      </c>
      <c r="AA42" s="315">
        <f ca="1">harbor_towers_cap*(1-EXP(-TblImps[[#This Row],[Σ Towers]]/(towers_param*(OFFSET(TblImps[[#This Row],[Land]],1,0)-OFFSET(TblExplore[[#This Row],[Land Bonus]],1,0)*20)+15000)))*(1+(mason_bonus*TblConstr[[#This Row],[Tot Mas]]/TblConstr[[#This Row],[Land (2)]]))</f>
        <v>0</v>
      </c>
      <c r="AB42" s="315">
        <f ca="1">walls_forges_cap*(1-EXP(-TblImps[[#This Row],[Σ Forges]]/(walls_forges_param*(OFFSET(TblImps[[#This Row],[Land]],1,0)-OFFSET(TblExplore[[#This Row],[Land Bonus]],1,0)*20)+15000)))*(1+(mason_bonus*TblConstr[[#This Row],[Tot Mas]]/TblConstr[[#This Row],[Land (2)]]))</f>
        <v>0</v>
      </c>
      <c r="AC42" s="315">
        <f ca="1">walls_forges_cap*(1-EXP(-TblImps[[#This Row],[Σ Walls]]/(walls_forges_param*(OFFSET(TblImps[[#This Row],[Land]],1,0)-OFFSET(TblExplore[[#This Row],[Land Bonus]],1,0)*20)+15000)))*(1+(mason_bonus*TblConstr[[#This Row],[Tot Mas]]/TblConstr[[#This Row],[Land (2)]]))</f>
        <v>0</v>
      </c>
      <c r="AD42" s="315">
        <f ca="1">harbor_towers_cap*(1-EXP(-TblImps[[#This Row],[Σ Irrigation]]/(harbor_towers_param*(OFFSET(TblImps[[#This Row],[Land]],1,0)-OFFSET(TblExplore[[#This Row],[Land Bonus]],1,0)*20)+15000)))*(1+(mason_bonus*TblConstr[[#This Row],[Tot Mas]]/TblConstr[[#This Row],[Land (2)]]))</f>
        <v>0</v>
      </c>
      <c r="AE42" s="150"/>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50"/>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50"/>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50"/>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50"/>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50"/>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50"/>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50"/>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50"/>
      <c r="BV4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62">
        <f>TblImps[[#This Row],[Login]]</f>
        <v>0</v>
      </c>
      <c r="BX42" s="145"/>
      <c r="BY42" s="321">
        <f ca="1">OFFSET(TblImps[[#This Row],[Real time]],-1,0)+1/24</f>
        <v>44812.333333333241</v>
      </c>
      <c r="BZ42" s="322">
        <f ca="1">OFFSET(TblImps[[#This Row],[Servertime]],-1,0)+1/24</f>
        <v>44812.583333333241</v>
      </c>
      <c r="CA42" s="325"/>
      <c r="CB42" s="320"/>
      <c r="CC42" s="320"/>
    </row>
    <row r="43" spans="1:82" x14ac:dyDescent="0.2">
      <c r="A43" s="230">
        <f ca="1">TblConstr[[#This Row],[Land]]</f>
        <v>250</v>
      </c>
      <c r="B43" s="150"/>
      <c r="C43" s="97">
        <f ca="1">TblProd[[#This Row],[Platinum]]</f>
        <v>314832</v>
      </c>
      <c r="D43" s="97">
        <f ca="1">TblProd[[#This Row],[Lumber]]</f>
        <v>42562</v>
      </c>
      <c r="E43" s="97">
        <f ca="1">TblProd[[#This Row],[Ore]]</f>
        <v>0</v>
      </c>
      <c r="F43" s="97">
        <f ca="1">TblProd[[#This Row],[Gems]]</f>
        <v>10000</v>
      </c>
      <c r="G43" s="162"/>
      <c r="H43" s="97">
        <f ca="1">TblMili[[#This Row],[Draftees]]</f>
        <v>626</v>
      </c>
      <c r="I43" s="188">
        <f ca="1">TblPop[[#This Row],[Employment]]</f>
        <v>1</v>
      </c>
      <c r="J43" s="188">
        <f ca="1">TblPop[[#This Row],[Total]]/TblPop[[#This Row],[Net max]]</f>
        <v>1</v>
      </c>
      <c r="K43" s="311">
        <f>TblRezone[[#This Row],[Hour]]</f>
        <v>40</v>
      </c>
      <c r="L43" s="312">
        <f ca="1">TblImps[[#This Row],[Real time]]</f>
        <v>44812.374999999905</v>
      </c>
      <c r="M43" s="62">
        <f>IF(ISERROR(TblImps[[#This Row],[algorithm]]),0,TblImps[[#This Row],[algorithm]]*1)</f>
        <v>0</v>
      </c>
      <c r="N43" s="97">
        <f ca="1">TblImps[[#This Row],[Land]]</f>
        <v>250</v>
      </c>
      <c r="O43" s="313" t="s">
        <v>4</v>
      </c>
      <c r="P43" s="314"/>
      <c r="Q43" s="313" t="s">
        <v>216</v>
      </c>
      <c r="R43" s="313" t="s">
        <v>7</v>
      </c>
      <c r="S43" s="314"/>
      <c r="T43" s="313" t="s">
        <v>216</v>
      </c>
      <c r="U43" s="313" t="s">
        <v>3</v>
      </c>
      <c r="V43" s="314"/>
      <c r="W43" s="313" t="s">
        <v>216</v>
      </c>
      <c r="X43" s="150"/>
      <c r="Y43" s="315">
        <f ca="1">science_cap*(1-EXP(-TblImps[[#This Row],[Σ Science]]/(science_param*(OFFSET(TblImps[[#This Row],[Land]],1,0)-OFFSET(TblExplore[[#This Row],[Land Bonus]],1,0)*20)+15000)))*(1+(mason_bonus*TblConstr[[#This Row],[Tot Mas]]/TblConstr[[#This Row],[Land (2)]]))</f>
        <v>0</v>
      </c>
      <c r="Z43" s="315">
        <f ca="1">keep_cap*(1-EXP(-TblImps[[#This Row],[Σ Keep]]/(keep_param*(OFFSET(TblImps[[#This Row],[Land]],1,0)-OFFSET(TblExplore[[#This Row],[Land Bonus]],1,0)*20)+15000)))*(1+(mason_bonus*TblConstr[[#This Row],[Tot Mas]]/TblConstr[[#This Row],[Land (2)]]))</f>
        <v>0</v>
      </c>
      <c r="AA43" s="315">
        <f ca="1">harbor_towers_cap*(1-EXP(-TblImps[[#This Row],[Σ Towers]]/(towers_param*(OFFSET(TblImps[[#This Row],[Land]],1,0)-OFFSET(TblExplore[[#This Row],[Land Bonus]],1,0)*20)+15000)))*(1+(mason_bonus*TblConstr[[#This Row],[Tot Mas]]/TblConstr[[#This Row],[Land (2)]]))</f>
        <v>0</v>
      </c>
      <c r="AB43" s="315">
        <f ca="1">walls_forges_cap*(1-EXP(-TblImps[[#This Row],[Σ Forges]]/(walls_forges_param*(OFFSET(TblImps[[#This Row],[Land]],1,0)-OFFSET(TblExplore[[#This Row],[Land Bonus]],1,0)*20)+15000)))*(1+(mason_bonus*TblConstr[[#This Row],[Tot Mas]]/TblConstr[[#This Row],[Land (2)]]))</f>
        <v>0</v>
      </c>
      <c r="AC43" s="315">
        <f ca="1">walls_forges_cap*(1-EXP(-TblImps[[#This Row],[Σ Walls]]/(walls_forges_param*(OFFSET(TblImps[[#This Row],[Land]],1,0)-OFFSET(TblExplore[[#This Row],[Land Bonus]],1,0)*20)+15000)))*(1+(mason_bonus*TblConstr[[#This Row],[Tot Mas]]/TblConstr[[#This Row],[Land (2)]]))</f>
        <v>0</v>
      </c>
      <c r="AD43" s="315">
        <f ca="1">harbor_towers_cap*(1-EXP(-TblImps[[#This Row],[Σ Irrigation]]/(harbor_towers_param*(OFFSET(TblImps[[#This Row],[Land]],1,0)-OFFSET(TblExplore[[#This Row],[Land Bonus]],1,0)*20)+15000)))*(1+(mason_bonus*TblConstr[[#This Row],[Tot Mas]]/TblConstr[[#This Row],[Land (2)]]))</f>
        <v>0</v>
      </c>
      <c r="AE43" s="150"/>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50"/>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50"/>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50"/>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50"/>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50"/>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50"/>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50"/>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50"/>
      <c r="BV4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62">
        <f>TblImps[[#This Row],[Login]]</f>
        <v>0</v>
      </c>
      <c r="BX43" s="145"/>
      <c r="BY43" s="321">
        <f ca="1">OFFSET(TblImps[[#This Row],[Real time]],-1,0)+1/24</f>
        <v>44812.374999999905</v>
      </c>
      <c r="BZ43" s="322">
        <f ca="1">OFFSET(TblImps[[#This Row],[Servertime]],-1,0)+1/24</f>
        <v>44812.624999999905</v>
      </c>
      <c r="CA43" s="57"/>
      <c r="CB43" s="320"/>
      <c r="CC43" s="320"/>
    </row>
    <row r="44" spans="1:82" x14ac:dyDescent="0.2">
      <c r="A44" s="230">
        <f ca="1">TblConstr[[#This Row],[Land]]</f>
        <v>250</v>
      </c>
      <c r="B44" s="150"/>
      <c r="C44" s="97">
        <f ca="1">TblProd[[#This Row],[Platinum]]</f>
        <v>320318</v>
      </c>
      <c r="D44" s="97">
        <f ca="1">TblProd[[#This Row],[Lumber]]</f>
        <v>43136</v>
      </c>
      <c r="E44" s="97">
        <f ca="1">TblProd[[#This Row],[Ore]]</f>
        <v>0</v>
      </c>
      <c r="F44" s="97">
        <f ca="1">TblProd[[#This Row],[Gems]]</f>
        <v>10000</v>
      </c>
      <c r="G44" s="162"/>
      <c r="H44" s="97">
        <f ca="1">TblMili[[#This Row],[Draftees]]</f>
        <v>626</v>
      </c>
      <c r="I44" s="188">
        <f ca="1">TblPop[[#This Row],[Employment]]</f>
        <v>1</v>
      </c>
      <c r="J44" s="188">
        <f ca="1">TblPop[[#This Row],[Total]]/TblPop[[#This Row],[Net max]]</f>
        <v>1</v>
      </c>
      <c r="K44" s="311">
        <f>TblRezone[[#This Row],[Hour]]</f>
        <v>41</v>
      </c>
      <c r="L44" s="312">
        <f ca="1">TblImps[[#This Row],[Real time]]</f>
        <v>44812.41666666657</v>
      </c>
      <c r="M44" s="62">
        <f>IF(ISERROR(TblImps[[#This Row],[algorithm]]),0,TblImps[[#This Row],[algorithm]]*1)</f>
        <v>0</v>
      </c>
      <c r="N44" s="97">
        <f ca="1">TblImps[[#This Row],[Land]]</f>
        <v>250</v>
      </c>
      <c r="O44" s="313" t="s">
        <v>4</v>
      </c>
      <c r="P44" s="314"/>
      <c r="Q44" s="313" t="s">
        <v>216</v>
      </c>
      <c r="R44" s="313" t="s">
        <v>7</v>
      </c>
      <c r="S44" s="314"/>
      <c r="T44" s="313" t="s">
        <v>216</v>
      </c>
      <c r="U44" s="313" t="s">
        <v>3</v>
      </c>
      <c r="V44" s="314"/>
      <c r="W44" s="313" t="s">
        <v>216</v>
      </c>
      <c r="X44" s="150"/>
      <c r="Y44" s="315">
        <f ca="1">science_cap*(1-EXP(-TblImps[[#This Row],[Σ Science]]/(science_param*(OFFSET(TblImps[[#This Row],[Land]],1,0)-OFFSET(TblExplore[[#This Row],[Land Bonus]],1,0)*20)+15000)))*(1+(mason_bonus*TblConstr[[#This Row],[Tot Mas]]/TblConstr[[#This Row],[Land (2)]]))</f>
        <v>0</v>
      </c>
      <c r="Z44" s="315">
        <f ca="1">keep_cap*(1-EXP(-TblImps[[#This Row],[Σ Keep]]/(keep_param*(OFFSET(TblImps[[#This Row],[Land]],1,0)-OFFSET(TblExplore[[#This Row],[Land Bonus]],1,0)*20)+15000)))*(1+(mason_bonus*TblConstr[[#This Row],[Tot Mas]]/TblConstr[[#This Row],[Land (2)]]))</f>
        <v>0</v>
      </c>
      <c r="AA44" s="315">
        <f ca="1">harbor_towers_cap*(1-EXP(-TblImps[[#This Row],[Σ Towers]]/(towers_param*(OFFSET(TblImps[[#This Row],[Land]],1,0)-OFFSET(TblExplore[[#This Row],[Land Bonus]],1,0)*20)+15000)))*(1+(mason_bonus*TblConstr[[#This Row],[Tot Mas]]/TblConstr[[#This Row],[Land (2)]]))</f>
        <v>0</v>
      </c>
      <c r="AB44" s="315">
        <f ca="1">walls_forges_cap*(1-EXP(-TblImps[[#This Row],[Σ Forges]]/(walls_forges_param*(OFFSET(TblImps[[#This Row],[Land]],1,0)-OFFSET(TblExplore[[#This Row],[Land Bonus]],1,0)*20)+15000)))*(1+(mason_bonus*TblConstr[[#This Row],[Tot Mas]]/TblConstr[[#This Row],[Land (2)]]))</f>
        <v>0</v>
      </c>
      <c r="AC44" s="315">
        <f ca="1">walls_forges_cap*(1-EXP(-TblImps[[#This Row],[Σ Walls]]/(walls_forges_param*(OFFSET(TblImps[[#This Row],[Land]],1,0)-OFFSET(TblExplore[[#This Row],[Land Bonus]],1,0)*20)+15000)))*(1+(mason_bonus*TblConstr[[#This Row],[Tot Mas]]/TblConstr[[#This Row],[Land (2)]]))</f>
        <v>0</v>
      </c>
      <c r="AD44" s="315">
        <f ca="1">harbor_towers_cap*(1-EXP(-TblImps[[#This Row],[Σ Irrigation]]/(harbor_towers_param*(OFFSET(TblImps[[#This Row],[Land]],1,0)-OFFSET(TblExplore[[#This Row],[Land Bonus]],1,0)*20)+15000)))*(1+(mason_bonus*TblConstr[[#This Row],[Tot Mas]]/TblConstr[[#This Row],[Land (2)]]))</f>
        <v>0</v>
      </c>
      <c r="AE44" s="150"/>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50"/>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50"/>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50"/>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50"/>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50"/>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50"/>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50"/>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50"/>
      <c r="BV4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62">
        <f>TblImps[[#This Row],[Login]]</f>
        <v>0</v>
      </c>
      <c r="BX44" s="145"/>
      <c r="BY44" s="321">
        <f ca="1">OFFSET(TblImps[[#This Row],[Real time]],-1,0)+1/24</f>
        <v>44812.41666666657</v>
      </c>
      <c r="BZ44" s="322">
        <f ca="1">OFFSET(TblImps[[#This Row],[Servertime]],-1,0)+1/24</f>
        <v>44812.66666666657</v>
      </c>
      <c r="CA44" s="57"/>
      <c r="CB44" s="320"/>
      <c r="CC44" s="320"/>
    </row>
    <row r="45" spans="1:82" x14ac:dyDescent="0.2">
      <c r="A45" s="230">
        <f ca="1">TblConstr[[#This Row],[Land]]</f>
        <v>250</v>
      </c>
      <c r="B45" s="150"/>
      <c r="C45" s="97">
        <f ca="1">TblProd[[#This Row],[Platinum]]</f>
        <v>325804</v>
      </c>
      <c r="D45" s="97">
        <f ca="1">TblProd[[#This Row],[Lumber]]</f>
        <v>43705</v>
      </c>
      <c r="E45" s="97">
        <f ca="1">TblProd[[#This Row],[Ore]]</f>
        <v>0</v>
      </c>
      <c r="F45" s="97">
        <f ca="1">TblProd[[#This Row],[Gems]]</f>
        <v>10000</v>
      </c>
      <c r="G45" s="162"/>
      <c r="H45" s="97">
        <f ca="1">TblMili[[#This Row],[Draftees]]</f>
        <v>626</v>
      </c>
      <c r="I45" s="188">
        <f ca="1">TblPop[[#This Row],[Employment]]</f>
        <v>1</v>
      </c>
      <c r="J45" s="188">
        <f ca="1">TblPop[[#This Row],[Total]]/TblPop[[#This Row],[Net max]]</f>
        <v>1</v>
      </c>
      <c r="K45" s="311">
        <f>TblRezone[[#This Row],[Hour]]</f>
        <v>42</v>
      </c>
      <c r="L45" s="312">
        <f ca="1">TblImps[[#This Row],[Real time]]</f>
        <v>44812.458333333234</v>
      </c>
      <c r="M45" s="62">
        <f>IF(ISERROR(TblImps[[#This Row],[algorithm]]),0,TblImps[[#This Row],[algorithm]]*1)</f>
        <v>0</v>
      </c>
      <c r="N45" s="97">
        <f ca="1">TblImps[[#This Row],[Land]]</f>
        <v>250</v>
      </c>
      <c r="O45" s="313" t="s">
        <v>4</v>
      </c>
      <c r="P45" s="314"/>
      <c r="Q45" s="313" t="s">
        <v>216</v>
      </c>
      <c r="R45" s="313" t="s">
        <v>7</v>
      </c>
      <c r="S45" s="314"/>
      <c r="T45" s="313" t="s">
        <v>216</v>
      </c>
      <c r="U45" s="313" t="s">
        <v>3</v>
      </c>
      <c r="V45" s="314"/>
      <c r="W45" s="313" t="s">
        <v>216</v>
      </c>
      <c r="X45" s="150"/>
      <c r="Y45" s="315">
        <f ca="1">science_cap*(1-EXP(-TblImps[[#This Row],[Σ Science]]/(science_param*(OFFSET(TblImps[[#This Row],[Land]],1,0)-OFFSET(TblExplore[[#This Row],[Land Bonus]],1,0)*20)+15000)))*(1+(mason_bonus*TblConstr[[#This Row],[Tot Mas]]/TblConstr[[#This Row],[Land (2)]]))</f>
        <v>0</v>
      </c>
      <c r="Z45" s="315">
        <f ca="1">keep_cap*(1-EXP(-TblImps[[#This Row],[Σ Keep]]/(keep_param*(OFFSET(TblImps[[#This Row],[Land]],1,0)-OFFSET(TblExplore[[#This Row],[Land Bonus]],1,0)*20)+15000)))*(1+(mason_bonus*TblConstr[[#This Row],[Tot Mas]]/TblConstr[[#This Row],[Land (2)]]))</f>
        <v>0</v>
      </c>
      <c r="AA45" s="315">
        <f ca="1">harbor_towers_cap*(1-EXP(-TblImps[[#This Row],[Σ Towers]]/(towers_param*(OFFSET(TblImps[[#This Row],[Land]],1,0)-OFFSET(TblExplore[[#This Row],[Land Bonus]],1,0)*20)+15000)))*(1+(mason_bonus*TblConstr[[#This Row],[Tot Mas]]/TblConstr[[#This Row],[Land (2)]]))</f>
        <v>0</v>
      </c>
      <c r="AB45" s="315">
        <f ca="1">walls_forges_cap*(1-EXP(-TblImps[[#This Row],[Σ Forges]]/(walls_forges_param*(OFFSET(TblImps[[#This Row],[Land]],1,0)-OFFSET(TblExplore[[#This Row],[Land Bonus]],1,0)*20)+15000)))*(1+(mason_bonus*TblConstr[[#This Row],[Tot Mas]]/TblConstr[[#This Row],[Land (2)]]))</f>
        <v>0</v>
      </c>
      <c r="AC45" s="315">
        <f ca="1">walls_forges_cap*(1-EXP(-TblImps[[#This Row],[Σ Walls]]/(walls_forges_param*(OFFSET(TblImps[[#This Row],[Land]],1,0)-OFFSET(TblExplore[[#This Row],[Land Bonus]],1,0)*20)+15000)))*(1+(mason_bonus*TblConstr[[#This Row],[Tot Mas]]/TblConstr[[#This Row],[Land (2)]]))</f>
        <v>0</v>
      </c>
      <c r="AD45" s="315">
        <f ca="1">harbor_towers_cap*(1-EXP(-TblImps[[#This Row],[Σ Irrigation]]/(harbor_towers_param*(OFFSET(TblImps[[#This Row],[Land]],1,0)-OFFSET(TblExplore[[#This Row],[Land Bonus]],1,0)*20)+15000)))*(1+(mason_bonus*TblConstr[[#This Row],[Tot Mas]]/TblConstr[[#This Row],[Land (2)]]))</f>
        <v>0</v>
      </c>
      <c r="AE45" s="150"/>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50"/>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50"/>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50"/>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50"/>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50"/>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50"/>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50"/>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50"/>
      <c r="BV4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62">
        <f>TblImps[[#This Row],[Login]]</f>
        <v>0</v>
      </c>
      <c r="BX45" s="145"/>
      <c r="BY45" s="321">
        <f ca="1">OFFSET(TblImps[[#This Row],[Real time]],-1,0)+1/24</f>
        <v>44812.458333333234</v>
      </c>
      <c r="BZ45" s="322">
        <f ca="1">OFFSET(TblImps[[#This Row],[Servertime]],-1,0)+1/24</f>
        <v>44812.708333333234</v>
      </c>
      <c r="CA45" s="57"/>
      <c r="CB45" s="320"/>
      <c r="CC45" s="320"/>
    </row>
    <row r="46" spans="1:82" x14ac:dyDescent="0.2">
      <c r="A46" s="230">
        <f ca="1">TblConstr[[#This Row],[Land]]</f>
        <v>250</v>
      </c>
      <c r="B46" s="150"/>
      <c r="C46" s="97">
        <f ca="1">TblProd[[#This Row],[Platinum]]</f>
        <v>331290</v>
      </c>
      <c r="D46" s="97">
        <f ca="1">TblProd[[#This Row],[Lumber]]</f>
        <v>44268</v>
      </c>
      <c r="E46" s="97">
        <f ca="1">TblProd[[#This Row],[Ore]]</f>
        <v>0</v>
      </c>
      <c r="F46" s="97">
        <f ca="1">TblProd[[#This Row],[Gems]]</f>
        <v>10000</v>
      </c>
      <c r="G46" s="162"/>
      <c r="H46" s="97">
        <f ca="1">TblMili[[#This Row],[Draftees]]</f>
        <v>626</v>
      </c>
      <c r="I46" s="188">
        <f ca="1">TblPop[[#This Row],[Employment]]</f>
        <v>1</v>
      </c>
      <c r="J46" s="188">
        <f ca="1">TblPop[[#This Row],[Total]]/TblPop[[#This Row],[Net max]]</f>
        <v>1</v>
      </c>
      <c r="K46" s="311">
        <f>TblRezone[[#This Row],[Hour]]</f>
        <v>43</v>
      </c>
      <c r="L46" s="312">
        <f ca="1">TblImps[[#This Row],[Real time]]</f>
        <v>44812.499999999898</v>
      </c>
      <c r="M46" s="62">
        <f>IF(ISERROR(TblImps[[#This Row],[algorithm]]),0,TblImps[[#This Row],[algorithm]]*1)</f>
        <v>0</v>
      </c>
      <c r="N46" s="97">
        <f ca="1">TblImps[[#This Row],[Land]]</f>
        <v>250</v>
      </c>
      <c r="O46" s="313" t="s">
        <v>4</v>
      </c>
      <c r="P46" s="314"/>
      <c r="Q46" s="313" t="s">
        <v>216</v>
      </c>
      <c r="R46" s="313" t="s">
        <v>7</v>
      </c>
      <c r="S46" s="314"/>
      <c r="T46" s="313" t="s">
        <v>216</v>
      </c>
      <c r="U46" s="313" t="s">
        <v>3</v>
      </c>
      <c r="V46" s="314"/>
      <c r="W46" s="313" t="s">
        <v>216</v>
      </c>
      <c r="X46" s="150"/>
      <c r="Y46" s="315">
        <f ca="1">science_cap*(1-EXP(-TblImps[[#This Row],[Σ Science]]/(science_param*(OFFSET(TblImps[[#This Row],[Land]],1,0)-OFFSET(TblExplore[[#This Row],[Land Bonus]],1,0)*20)+15000)))*(1+(mason_bonus*TblConstr[[#This Row],[Tot Mas]]/TblConstr[[#This Row],[Land (2)]]))</f>
        <v>0</v>
      </c>
      <c r="Z46" s="315">
        <f ca="1">keep_cap*(1-EXP(-TblImps[[#This Row],[Σ Keep]]/(keep_param*(OFFSET(TblImps[[#This Row],[Land]],1,0)-OFFSET(TblExplore[[#This Row],[Land Bonus]],1,0)*20)+15000)))*(1+(mason_bonus*TblConstr[[#This Row],[Tot Mas]]/TblConstr[[#This Row],[Land (2)]]))</f>
        <v>0</v>
      </c>
      <c r="AA46" s="315">
        <f ca="1">harbor_towers_cap*(1-EXP(-TblImps[[#This Row],[Σ Towers]]/(towers_param*(OFFSET(TblImps[[#This Row],[Land]],1,0)-OFFSET(TblExplore[[#This Row],[Land Bonus]],1,0)*20)+15000)))*(1+(mason_bonus*TblConstr[[#This Row],[Tot Mas]]/TblConstr[[#This Row],[Land (2)]]))</f>
        <v>0</v>
      </c>
      <c r="AB46" s="315">
        <f ca="1">walls_forges_cap*(1-EXP(-TblImps[[#This Row],[Σ Forges]]/(walls_forges_param*(OFFSET(TblImps[[#This Row],[Land]],1,0)-OFFSET(TblExplore[[#This Row],[Land Bonus]],1,0)*20)+15000)))*(1+(mason_bonus*TblConstr[[#This Row],[Tot Mas]]/TblConstr[[#This Row],[Land (2)]]))</f>
        <v>0</v>
      </c>
      <c r="AC46" s="315">
        <f ca="1">walls_forges_cap*(1-EXP(-TblImps[[#This Row],[Σ Walls]]/(walls_forges_param*(OFFSET(TblImps[[#This Row],[Land]],1,0)-OFFSET(TblExplore[[#This Row],[Land Bonus]],1,0)*20)+15000)))*(1+(mason_bonus*TblConstr[[#This Row],[Tot Mas]]/TblConstr[[#This Row],[Land (2)]]))</f>
        <v>0</v>
      </c>
      <c r="AD46" s="315">
        <f ca="1">harbor_towers_cap*(1-EXP(-TblImps[[#This Row],[Σ Irrigation]]/(harbor_towers_param*(OFFSET(TblImps[[#This Row],[Land]],1,0)-OFFSET(TblExplore[[#This Row],[Land Bonus]],1,0)*20)+15000)))*(1+(mason_bonus*TblConstr[[#This Row],[Tot Mas]]/TblConstr[[#This Row],[Land (2)]]))</f>
        <v>0</v>
      </c>
      <c r="AE46" s="150"/>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50"/>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50"/>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50"/>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50"/>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50"/>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50"/>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50"/>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50"/>
      <c r="BV4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62">
        <f>TblImps[[#This Row],[Login]]</f>
        <v>0</v>
      </c>
      <c r="BX46" s="145"/>
      <c r="BY46" s="321">
        <f ca="1">OFFSET(TblImps[[#This Row],[Real time]],-1,0)+1/24</f>
        <v>44812.499999999898</v>
      </c>
      <c r="BZ46" s="322">
        <f ca="1">OFFSET(TblImps[[#This Row],[Servertime]],-1,0)+1/24</f>
        <v>44812.749999999898</v>
      </c>
      <c r="CA46" s="57"/>
      <c r="CB46" s="320"/>
      <c r="CC46" s="320"/>
    </row>
    <row r="47" spans="1:82" x14ac:dyDescent="0.2">
      <c r="A47" s="230">
        <f ca="1">TblConstr[[#This Row],[Land]]</f>
        <v>250</v>
      </c>
      <c r="B47" s="150"/>
      <c r="C47" s="97">
        <f ca="1">TblProd[[#This Row],[Platinum]]</f>
        <v>336776</v>
      </c>
      <c r="D47" s="97">
        <f ca="1">TblProd[[#This Row],[Lumber]]</f>
        <v>44825</v>
      </c>
      <c r="E47" s="97">
        <f ca="1">TblProd[[#This Row],[Ore]]</f>
        <v>0</v>
      </c>
      <c r="F47" s="97">
        <f ca="1">TblProd[[#This Row],[Gems]]</f>
        <v>10000</v>
      </c>
      <c r="G47" s="162"/>
      <c r="H47" s="97">
        <f ca="1">TblMili[[#This Row],[Draftees]]</f>
        <v>626</v>
      </c>
      <c r="I47" s="188">
        <f ca="1">TblPop[[#This Row],[Employment]]</f>
        <v>1</v>
      </c>
      <c r="J47" s="188">
        <f ca="1">TblPop[[#This Row],[Total]]/TblPop[[#This Row],[Net max]]</f>
        <v>1</v>
      </c>
      <c r="K47" s="311">
        <f>TblRezone[[#This Row],[Hour]]</f>
        <v>44</v>
      </c>
      <c r="L47" s="312">
        <f ca="1">TblImps[[#This Row],[Real time]]</f>
        <v>44812.541666666562</v>
      </c>
      <c r="M47" s="62">
        <f>IF(ISERROR(TblImps[[#This Row],[algorithm]]),0,TblImps[[#This Row],[algorithm]]*1)</f>
        <v>0</v>
      </c>
      <c r="N47" s="97">
        <f ca="1">TblImps[[#This Row],[Land]]</f>
        <v>250</v>
      </c>
      <c r="O47" s="313" t="s">
        <v>4</v>
      </c>
      <c r="P47" s="314"/>
      <c r="Q47" s="313" t="s">
        <v>216</v>
      </c>
      <c r="R47" s="313" t="s">
        <v>7</v>
      </c>
      <c r="S47" s="314"/>
      <c r="T47" s="313" t="s">
        <v>216</v>
      </c>
      <c r="U47" s="313" t="s">
        <v>3</v>
      </c>
      <c r="V47" s="314"/>
      <c r="W47" s="313" t="s">
        <v>216</v>
      </c>
      <c r="X47" s="150"/>
      <c r="Y47" s="315">
        <f ca="1">science_cap*(1-EXP(-TblImps[[#This Row],[Σ Science]]/(science_param*(OFFSET(TblImps[[#This Row],[Land]],1,0)-OFFSET(TblExplore[[#This Row],[Land Bonus]],1,0)*20)+15000)))*(1+(mason_bonus*TblConstr[[#This Row],[Tot Mas]]/TblConstr[[#This Row],[Land (2)]]))</f>
        <v>0</v>
      </c>
      <c r="Z47" s="315">
        <f ca="1">keep_cap*(1-EXP(-TblImps[[#This Row],[Σ Keep]]/(keep_param*(OFFSET(TblImps[[#This Row],[Land]],1,0)-OFFSET(TblExplore[[#This Row],[Land Bonus]],1,0)*20)+15000)))*(1+(mason_bonus*TblConstr[[#This Row],[Tot Mas]]/TblConstr[[#This Row],[Land (2)]]))</f>
        <v>0</v>
      </c>
      <c r="AA47" s="315">
        <f ca="1">harbor_towers_cap*(1-EXP(-TblImps[[#This Row],[Σ Towers]]/(towers_param*(OFFSET(TblImps[[#This Row],[Land]],1,0)-OFFSET(TblExplore[[#This Row],[Land Bonus]],1,0)*20)+15000)))*(1+(mason_bonus*TblConstr[[#This Row],[Tot Mas]]/TblConstr[[#This Row],[Land (2)]]))</f>
        <v>0</v>
      </c>
      <c r="AB47" s="315">
        <f ca="1">walls_forges_cap*(1-EXP(-TblImps[[#This Row],[Σ Forges]]/(walls_forges_param*(OFFSET(TblImps[[#This Row],[Land]],1,0)-OFFSET(TblExplore[[#This Row],[Land Bonus]],1,0)*20)+15000)))*(1+(mason_bonus*TblConstr[[#This Row],[Tot Mas]]/TblConstr[[#This Row],[Land (2)]]))</f>
        <v>0</v>
      </c>
      <c r="AC47" s="315">
        <f ca="1">walls_forges_cap*(1-EXP(-TblImps[[#This Row],[Σ Walls]]/(walls_forges_param*(OFFSET(TblImps[[#This Row],[Land]],1,0)-OFFSET(TblExplore[[#This Row],[Land Bonus]],1,0)*20)+15000)))*(1+(mason_bonus*TblConstr[[#This Row],[Tot Mas]]/TblConstr[[#This Row],[Land (2)]]))</f>
        <v>0</v>
      </c>
      <c r="AD47" s="315">
        <f ca="1">harbor_towers_cap*(1-EXP(-TblImps[[#This Row],[Σ Irrigation]]/(harbor_towers_param*(OFFSET(TblImps[[#This Row],[Land]],1,0)-OFFSET(TblExplore[[#This Row],[Land Bonus]],1,0)*20)+15000)))*(1+(mason_bonus*TblConstr[[#This Row],[Tot Mas]]/TblConstr[[#This Row],[Land (2)]]))</f>
        <v>0</v>
      </c>
      <c r="AE47" s="150"/>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50"/>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50"/>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50"/>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50"/>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50"/>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50"/>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50"/>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50"/>
      <c r="BV4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62">
        <f>TblImps[[#This Row],[Login]]</f>
        <v>0</v>
      </c>
      <c r="BX47" s="145"/>
      <c r="BY47" s="321">
        <f ca="1">OFFSET(TblImps[[#This Row],[Real time]],-1,0)+1/24</f>
        <v>44812.541666666562</v>
      </c>
      <c r="BZ47" s="322">
        <f ca="1">OFFSET(TblImps[[#This Row],[Servertime]],-1,0)+1/24</f>
        <v>44812.791666666562</v>
      </c>
      <c r="CA47" s="57"/>
      <c r="CB47" s="320"/>
      <c r="CC47" s="320"/>
    </row>
    <row r="48" spans="1:82" x14ac:dyDescent="0.2">
      <c r="A48" s="230">
        <f ca="1">TblConstr[[#This Row],[Land]]</f>
        <v>250</v>
      </c>
      <c r="B48" s="150"/>
      <c r="C48" s="97">
        <f ca="1">TblProd[[#This Row],[Platinum]]</f>
        <v>342262</v>
      </c>
      <c r="D48" s="97">
        <f ca="1">TblProd[[#This Row],[Lumber]]</f>
        <v>45377</v>
      </c>
      <c r="E48" s="97">
        <f ca="1">TblProd[[#This Row],[Ore]]</f>
        <v>0</v>
      </c>
      <c r="F48" s="97">
        <f ca="1">TblProd[[#This Row],[Gems]]</f>
        <v>10000</v>
      </c>
      <c r="G48" s="162"/>
      <c r="H48" s="97">
        <f ca="1">TblMili[[#This Row],[Draftees]]</f>
        <v>626</v>
      </c>
      <c r="I48" s="188">
        <f ca="1">TblPop[[#This Row],[Employment]]</f>
        <v>1</v>
      </c>
      <c r="J48" s="188">
        <f ca="1">TblPop[[#This Row],[Total]]/TblPop[[#This Row],[Net max]]</f>
        <v>1</v>
      </c>
      <c r="K48" s="311">
        <f>TblRezone[[#This Row],[Hour]]</f>
        <v>45</v>
      </c>
      <c r="L48" s="312">
        <f ca="1">TblImps[[#This Row],[Real time]]</f>
        <v>44812.583333333227</v>
      </c>
      <c r="M48" s="62">
        <f>IF(ISERROR(TblImps[[#This Row],[algorithm]]),0,TblImps[[#This Row],[algorithm]]*1)</f>
        <v>0</v>
      </c>
      <c r="N48" s="97">
        <f ca="1">TblImps[[#This Row],[Land]]</f>
        <v>250</v>
      </c>
      <c r="O48" s="313" t="s">
        <v>4</v>
      </c>
      <c r="P48" s="314"/>
      <c r="Q48" s="313" t="s">
        <v>216</v>
      </c>
      <c r="R48" s="313" t="s">
        <v>7</v>
      </c>
      <c r="S48" s="314"/>
      <c r="T48" s="313" t="s">
        <v>216</v>
      </c>
      <c r="U48" s="313" t="s">
        <v>3</v>
      </c>
      <c r="V48" s="314"/>
      <c r="W48" s="313" t="s">
        <v>216</v>
      </c>
      <c r="X48" s="150"/>
      <c r="Y48" s="315">
        <f ca="1">science_cap*(1-EXP(-TblImps[[#This Row],[Σ Science]]/(science_param*(OFFSET(TblImps[[#This Row],[Land]],1,0)-OFFSET(TblExplore[[#This Row],[Land Bonus]],1,0)*20)+15000)))*(1+(mason_bonus*TblConstr[[#This Row],[Tot Mas]]/TblConstr[[#This Row],[Land (2)]]))</f>
        <v>0</v>
      </c>
      <c r="Z48" s="315">
        <f ca="1">keep_cap*(1-EXP(-TblImps[[#This Row],[Σ Keep]]/(keep_param*(OFFSET(TblImps[[#This Row],[Land]],1,0)-OFFSET(TblExplore[[#This Row],[Land Bonus]],1,0)*20)+15000)))*(1+(mason_bonus*TblConstr[[#This Row],[Tot Mas]]/TblConstr[[#This Row],[Land (2)]]))</f>
        <v>0</v>
      </c>
      <c r="AA48" s="315">
        <f ca="1">harbor_towers_cap*(1-EXP(-TblImps[[#This Row],[Σ Towers]]/(towers_param*(OFFSET(TblImps[[#This Row],[Land]],1,0)-OFFSET(TblExplore[[#This Row],[Land Bonus]],1,0)*20)+15000)))*(1+(mason_bonus*TblConstr[[#This Row],[Tot Mas]]/TblConstr[[#This Row],[Land (2)]]))</f>
        <v>0</v>
      </c>
      <c r="AB48" s="315">
        <f ca="1">walls_forges_cap*(1-EXP(-TblImps[[#This Row],[Σ Forges]]/(walls_forges_param*(OFFSET(TblImps[[#This Row],[Land]],1,0)-OFFSET(TblExplore[[#This Row],[Land Bonus]],1,0)*20)+15000)))*(1+(mason_bonus*TblConstr[[#This Row],[Tot Mas]]/TblConstr[[#This Row],[Land (2)]]))</f>
        <v>0</v>
      </c>
      <c r="AC48" s="315">
        <f ca="1">walls_forges_cap*(1-EXP(-TblImps[[#This Row],[Σ Walls]]/(walls_forges_param*(OFFSET(TblImps[[#This Row],[Land]],1,0)-OFFSET(TblExplore[[#This Row],[Land Bonus]],1,0)*20)+15000)))*(1+(mason_bonus*TblConstr[[#This Row],[Tot Mas]]/TblConstr[[#This Row],[Land (2)]]))</f>
        <v>0</v>
      </c>
      <c r="AD48" s="315">
        <f ca="1">harbor_towers_cap*(1-EXP(-TblImps[[#This Row],[Σ Irrigation]]/(harbor_towers_param*(OFFSET(TblImps[[#This Row],[Land]],1,0)-OFFSET(TblExplore[[#This Row],[Land Bonus]],1,0)*20)+15000)))*(1+(mason_bonus*TblConstr[[#This Row],[Tot Mas]]/TblConstr[[#This Row],[Land (2)]]))</f>
        <v>0</v>
      </c>
      <c r="AE48" s="150"/>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50"/>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50"/>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50"/>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50"/>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50"/>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50"/>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50"/>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50"/>
      <c r="BV4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62">
        <f>TblImps[[#This Row],[Login]]</f>
        <v>0</v>
      </c>
      <c r="BX48" s="145"/>
      <c r="BY48" s="321">
        <f ca="1">OFFSET(TblImps[[#This Row],[Real time]],-1,0)+1/24</f>
        <v>44812.583333333227</v>
      </c>
      <c r="BZ48" s="322">
        <f ca="1">OFFSET(TblImps[[#This Row],[Servertime]],-1,0)+1/24</f>
        <v>44812.833333333227</v>
      </c>
      <c r="CA48" s="57"/>
      <c r="CB48" s="320"/>
      <c r="CC48" s="320"/>
    </row>
    <row r="49" spans="1:81" x14ac:dyDescent="0.2">
      <c r="A49" s="230">
        <f ca="1">TblConstr[[#This Row],[Land]]</f>
        <v>250</v>
      </c>
      <c r="B49" s="150"/>
      <c r="C49" s="97">
        <f ca="1">TblProd[[#This Row],[Platinum]]</f>
        <v>347748</v>
      </c>
      <c r="D49" s="97">
        <f ca="1">TblProd[[#This Row],[Lumber]]</f>
        <v>45923</v>
      </c>
      <c r="E49" s="97">
        <f ca="1">TblProd[[#This Row],[Ore]]</f>
        <v>0</v>
      </c>
      <c r="F49" s="97">
        <f ca="1">TblProd[[#This Row],[Gems]]</f>
        <v>10000</v>
      </c>
      <c r="G49" s="162"/>
      <c r="H49" s="97">
        <f ca="1">TblMili[[#This Row],[Draftees]]</f>
        <v>626</v>
      </c>
      <c r="I49" s="188">
        <f ca="1">TblPop[[#This Row],[Employment]]</f>
        <v>1</v>
      </c>
      <c r="J49" s="188">
        <f ca="1">TblPop[[#This Row],[Total]]/TblPop[[#This Row],[Net max]]</f>
        <v>1</v>
      </c>
      <c r="K49" s="311">
        <f>TblRezone[[#This Row],[Hour]]</f>
        <v>46</v>
      </c>
      <c r="L49" s="312">
        <f ca="1">TblImps[[#This Row],[Real time]]</f>
        <v>44812.624999999891</v>
      </c>
      <c r="M49" s="62">
        <f>IF(ISERROR(TblImps[[#This Row],[algorithm]]),0,TblImps[[#This Row],[algorithm]]*1)</f>
        <v>0</v>
      </c>
      <c r="N49" s="97">
        <f ca="1">TblImps[[#This Row],[Land]]</f>
        <v>250</v>
      </c>
      <c r="O49" s="313" t="s">
        <v>4</v>
      </c>
      <c r="P49" s="314"/>
      <c r="Q49" s="313" t="s">
        <v>216</v>
      </c>
      <c r="R49" s="313" t="s">
        <v>7</v>
      </c>
      <c r="S49" s="314"/>
      <c r="T49" s="313" t="s">
        <v>216</v>
      </c>
      <c r="U49" s="313" t="s">
        <v>3</v>
      </c>
      <c r="V49" s="314"/>
      <c r="W49" s="313" t="s">
        <v>216</v>
      </c>
      <c r="X49" s="150"/>
      <c r="Y49" s="315">
        <f ca="1">science_cap*(1-EXP(-TblImps[[#This Row],[Σ Science]]/(science_param*(OFFSET(TblImps[[#This Row],[Land]],1,0)-OFFSET(TblExplore[[#This Row],[Land Bonus]],1,0)*20)+15000)))*(1+(mason_bonus*TblConstr[[#This Row],[Tot Mas]]/TblConstr[[#This Row],[Land (2)]]))</f>
        <v>0</v>
      </c>
      <c r="Z49" s="315">
        <f ca="1">keep_cap*(1-EXP(-TblImps[[#This Row],[Σ Keep]]/(keep_param*(OFFSET(TblImps[[#This Row],[Land]],1,0)-OFFSET(TblExplore[[#This Row],[Land Bonus]],1,0)*20)+15000)))*(1+(mason_bonus*TblConstr[[#This Row],[Tot Mas]]/TblConstr[[#This Row],[Land (2)]]))</f>
        <v>0</v>
      </c>
      <c r="AA49" s="315">
        <f ca="1">harbor_towers_cap*(1-EXP(-TblImps[[#This Row],[Σ Towers]]/(towers_param*(OFFSET(TblImps[[#This Row],[Land]],1,0)-OFFSET(TblExplore[[#This Row],[Land Bonus]],1,0)*20)+15000)))*(1+(mason_bonus*TblConstr[[#This Row],[Tot Mas]]/TblConstr[[#This Row],[Land (2)]]))</f>
        <v>0</v>
      </c>
      <c r="AB49" s="315">
        <f ca="1">walls_forges_cap*(1-EXP(-TblImps[[#This Row],[Σ Forges]]/(walls_forges_param*(OFFSET(TblImps[[#This Row],[Land]],1,0)-OFFSET(TblExplore[[#This Row],[Land Bonus]],1,0)*20)+15000)))*(1+(mason_bonus*TblConstr[[#This Row],[Tot Mas]]/TblConstr[[#This Row],[Land (2)]]))</f>
        <v>0</v>
      </c>
      <c r="AC49" s="315">
        <f ca="1">walls_forges_cap*(1-EXP(-TblImps[[#This Row],[Σ Walls]]/(walls_forges_param*(OFFSET(TblImps[[#This Row],[Land]],1,0)-OFFSET(TblExplore[[#This Row],[Land Bonus]],1,0)*20)+15000)))*(1+(mason_bonus*TblConstr[[#This Row],[Tot Mas]]/TblConstr[[#This Row],[Land (2)]]))</f>
        <v>0</v>
      </c>
      <c r="AD49" s="315">
        <f ca="1">harbor_towers_cap*(1-EXP(-TblImps[[#This Row],[Σ Irrigation]]/(harbor_towers_param*(OFFSET(TblImps[[#This Row],[Land]],1,0)-OFFSET(TblExplore[[#This Row],[Land Bonus]],1,0)*20)+15000)))*(1+(mason_bonus*TblConstr[[#This Row],[Tot Mas]]/TblConstr[[#This Row],[Land (2)]]))</f>
        <v>0</v>
      </c>
      <c r="AE49" s="150"/>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50"/>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50"/>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50"/>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50"/>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50"/>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50"/>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50"/>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50"/>
      <c r="BV4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62">
        <f>TblImps[[#This Row],[Login]]</f>
        <v>0</v>
      </c>
      <c r="BX49" s="145"/>
      <c r="BY49" s="321">
        <f ca="1">OFFSET(TblImps[[#This Row],[Real time]],-1,0)+1/24</f>
        <v>44812.624999999891</v>
      </c>
      <c r="BZ49" s="322">
        <f ca="1">OFFSET(TblImps[[#This Row],[Servertime]],-1,0)+1/24</f>
        <v>44812.874999999891</v>
      </c>
      <c r="CA49" s="57"/>
      <c r="CB49" s="320"/>
      <c r="CC49" s="320"/>
    </row>
    <row r="50" spans="1:81" x14ac:dyDescent="0.2">
      <c r="A50" s="230">
        <f ca="1">TblConstr[[#This Row],[Land]]</f>
        <v>250</v>
      </c>
      <c r="B50" s="150"/>
      <c r="C50" s="97">
        <f ca="1">TblProd[[#This Row],[Platinum]]</f>
        <v>353234</v>
      </c>
      <c r="D50" s="97">
        <f ca="1">TblProd[[#This Row],[Lumber]]</f>
        <v>46464</v>
      </c>
      <c r="E50" s="97">
        <f ca="1">TblProd[[#This Row],[Ore]]</f>
        <v>0</v>
      </c>
      <c r="F50" s="97">
        <f ca="1">TblProd[[#This Row],[Gems]]</f>
        <v>10000</v>
      </c>
      <c r="G50" s="162"/>
      <c r="H50" s="97">
        <f ca="1">TblMili[[#This Row],[Draftees]]</f>
        <v>626</v>
      </c>
      <c r="I50" s="188">
        <f ca="1">TblPop[[#This Row],[Employment]]</f>
        <v>1</v>
      </c>
      <c r="J50" s="188">
        <f ca="1">TblPop[[#This Row],[Total]]/TblPop[[#This Row],[Net max]]</f>
        <v>1</v>
      </c>
      <c r="K50" s="311">
        <f>TblRezone[[#This Row],[Hour]]</f>
        <v>47</v>
      </c>
      <c r="L50" s="312">
        <f ca="1">TblImps[[#This Row],[Real time]]</f>
        <v>44812.666666666555</v>
      </c>
      <c r="M50" s="62">
        <f>IF(ISERROR(TblImps[[#This Row],[algorithm]]),0,TblImps[[#This Row],[algorithm]]*1)</f>
        <v>0</v>
      </c>
      <c r="N50" s="97">
        <f ca="1">TblImps[[#This Row],[Land]]</f>
        <v>250</v>
      </c>
      <c r="O50" s="313" t="s">
        <v>4</v>
      </c>
      <c r="P50" s="314"/>
      <c r="Q50" s="313" t="s">
        <v>216</v>
      </c>
      <c r="R50" s="313" t="s">
        <v>7</v>
      </c>
      <c r="S50" s="314"/>
      <c r="T50" s="313" t="s">
        <v>216</v>
      </c>
      <c r="U50" s="313" t="s">
        <v>3</v>
      </c>
      <c r="V50" s="314"/>
      <c r="W50" s="313" t="s">
        <v>216</v>
      </c>
      <c r="X50" s="150"/>
      <c r="Y50" s="315">
        <f ca="1">science_cap*(1-EXP(-TblImps[[#This Row],[Σ Science]]/(science_param*(OFFSET(TblImps[[#This Row],[Land]],1,0)-OFFSET(TblExplore[[#This Row],[Land Bonus]],1,0)*20)+15000)))*(1+(mason_bonus*TblConstr[[#This Row],[Tot Mas]]/TblConstr[[#This Row],[Land (2)]]))</f>
        <v>0</v>
      </c>
      <c r="Z50" s="315">
        <f ca="1">keep_cap*(1-EXP(-TblImps[[#This Row],[Σ Keep]]/(keep_param*(OFFSET(TblImps[[#This Row],[Land]],1,0)-OFFSET(TblExplore[[#This Row],[Land Bonus]],1,0)*20)+15000)))*(1+(mason_bonus*TblConstr[[#This Row],[Tot Mas]]/TblConstr[[#This Row],[Land (2)]]))</f>
        <v>0</v>
      </c>
      <c r="AA50" s="315">
        <f ca="1">harbor_towers_cap*(1-EXP(-TblImps[[#This Row],[Σ Towers]]/(towers_param*(OFFSET(TblImps[[#This Row],[Land]],1,0)-OFFSET(TblExplore[[#This Row],[Land Bonus]],1,0)*20)+15000)))*(1+(mason_bonus*TblConstr[[#This Row],[Tot Mas]]/TblConstr[[#This Row],[Land (2)]]))</f>
        <v>0</v>
      </c>
      <c r="AB50" s="315">
        <f ca="1">walls_forges_cap*(1-EXP(-TblImps[[#This Row],[Σ Forges]]/(walls_forges_param*(OFFSET(TblImps[[#This Row],[Land]],1,0)-OFFSET(TblExplore[[#This Row],[Land Bonus]],1,0)*20)+15000)))*(1+(mason_bonus*TblConstr[[#This Row],[Tot Mas]]/TblConstr[[#This Row],[Land (2)]]))</f>
        <v>0</v>
      </c>
      <c r="AC50" s="315">
        <f ca="1">walls_forges_cap*(1-EXP(-TblImps[[#This Row],[Σ Walls]]/(walls_forges_param*(OFFSET(TblImps[[#This Row],[Land]],1,0)-OFFSET(TblExplore[[#This Row],[Land Bonus]],1,0)*20)+15000)))*(1+(mason_bonus*TblConstr[[#This Row],[Tot Mas]]/TblConstr[[#This Row],[Land (2)]]))</f>
        <v>0</v>
      </c>
      <c r="AD50" s="315">
        <f ca="1">harbor_towers_cap*(1-EXP(-TblImps[[#This Row],[Σ Irrigation]]/(harbor_towers_param*(OFFSET(TblImps[[#This Row],[Land]],1,0)-OFFSET(TblExplore[[#This Row],[Land Bonus]],1,0)*20)+15000)))*(1+(mason_bonus*TblConstr[[#This Row],[Tot Mas]]/TblConstr[[#This Row],[Land (2)]]))</f>
        <v>0</v>
      </c>
      <c r="AE50" s="150"/>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50"/>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50"/>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50"/>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50"/>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50"/>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50"/>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50"/>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50"/>
      <c r="BV5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62">
        <f>TblImps[[#This Row],[Login]]</f>
        <v>0</v>
      </c>
      <c r="BX50" s="145"/>
      <c r="BY50" s="321">
        <f ca="1">OFFSET(TblImps[[#This Row],[Real time]],-1,0)+1/24</f>
        <v>44812.666666666555</v>
      </c>
      <c r="BZ50" s="322">
        <f ca="1">OFFSET(TblImps[[#This Row],[Servertime]],-1,0)+1/24</f>
        <v>44812.916666666555</v>
      </c>
      <c r="CA50" s="57"/>
      <c r="CB50" s="320"/>
      <c r="CC50" s="320"/>
    </row>
    <row r="51" spans="1:81" x14ac:dyDescent="0.2">
      <c r="A51" s="230">
        <f ca="1">TblConstr[[#This Row],[Land]]</f>
        <v>250</v>
      </c>
      <c r="B51" s="150"/>
      <c r="C51" s="97">
        <f ca="1">TblProd[[#This Row],[Platinum]]</f>
        <v>358720</v>
      </c>
      <c r="D51" s="97">
        <f ca="1">TblProd[[#This Row],[Lumber]]</f>
        <v>46999</v>
      </c>
      <c r="E51" s="97">
        <f ca="1">TblProd[[#This Row],[Ore]]</f>
        <v>0</v>
      </c>
      <c r="F51" s="97">
        <f ca="1">TblProd[[#This Row],[Gems]]</f>
        <v>10000</v>
      </c>
      <c r="G51" s="162"/>
      <c r="H51" s="97">
        <f ca="1">TblMili[[#This Row],[Draftees]]</f>
        <v>626</v>
      </c>
      <c r="I51" s="188">
        <f ca="1">TblPop[[#This Row],[Employment]]</f>
        <v>1</v>
      </c>
      <c r="J51" s="188">
        <f ca="1">TblPop[[#This Row],[Total]]/TblPop[[#This Row],[Net max]]</f>
        <v>1</v>
      </c>
      <c r="K51" s="311">
        <f>TblRezone[[#This Row],[Hour]]</f>
        <v>48</v>
      </c>
      <c r="L51" s="312">
        <f ca="1">TblImps[[#This Row],[Real time]]</f>
        <v>44812.708333333219</v>
      </c>
      <c r="M51" s="62">
        <f>IF(ISERROR(TblImps[[#This Row],[algorithm]]),0,TblImps[[#This Row],[algorithm]]*1)</f>
        <v>0</v>
      </c>
      <c r="N51" s="97">
        <f ca="1">TblImps[[#This Row],[Land]]</f>
        <v>250</v>
      </c>
      <c r="O51" s="313" t="s">
        <v>4</v>
      </c>
      <c r="P51" s="314"/>
      <c r="Q51" s="313" t="s">
        <v>216</v>
      </c>
      <c r="R51" s="313" t="s">
        <v>7</v>
      </c>
      <c r="S51" s="314"/>
      <c r="T51" s="313" t="s">
        <v>216</v>
      </c>
      <c r="U51" s="313" t="s">
        <v>3</v>
      </c>
      <c r="V51" s="314"/>
      <c r="W51" s="313" t="s">
        <v>216</v>
      </c>
      <c r="X51" s="150"/>
      <c r="Y51" s="315">
        <f ca="1">science_cap*(1-EXP(-TblImps[[#This Row],[Σ Science]]/(science_param*(OFFSET(TblImps[[#This Row],[Land]],1,0)-OFFSET(TblExplore[[#This Row],[Land Bonus]],1,0)*20)+15000)))*(1+(mason_bonus*TblConstr[[#This Row],[Tot Mas]]/TblConstr[[#This Row],[Land (2)]]))</f>
        <v>0</v>
      </c>
      <c r="Z51" s="315">
        <f ca="1">keep_cap*(1-EXP(-TblImps[[#This Row],[Σ Keep]]/(keep_param*(OFFSET(TblImps[[#This Row],[Land]],1,0)-OFFSET(TblExplore[[#This Row],[Land Bonus]],1,0)*20)+15000)))*(1+(mason_bonus*TblConstr[[#This Row],[Tot Mas]]/TblConstr[[#This Row],[Land (2)]]))</f>
        <v>0</v>
      </c>
      <c r="AA51" s="315">
        <f ca="1">harbor_towers_cap*(1-EXP(-TblImps[[#This Row],[Σ Towers]]/(towers_param*(OFFSET(TblImps[[#This Row],[Land]],1,0)-OFFSET(TblExplore[[#This Row],[Land Bonus]],1,0)*20)+15000)))*(1+(mason_bonus*TblConstr[[#This Row],[Tot Mas]]/TblConstr[[#This Row],[Land (2)]]))</f>
        <v>0</v>
      </c>
      <c r="AB51" s="315">
        <f ca="1">walls_forges_cap*(1-EXP(-TblImps[[#This Row],[Σ Forges]]/(walls_forges_param*(OFFSET(TblImps[[#This Row],[Land]],1,0)-OFFSET(TblExplore[[#This Row],[Land Bonus]],1,0)*20)+15000)))*(1+(mason_bonus*TblConstr[[#This Row],[Tot Mas]]/TblConstr[[#This Row],[Land (2)]]))</f>
        <v>0</v>
      </c>
      <c r="AC51" s="315">
        <f ca="1">walls_forges_cap*(1-EXP(-TblImps[[#This Row],[Σ Walls]]/(walls_forges_param*(OFFSET(TblImps[[#This Row],[Land]],1,0)-OFFSET(TblExplore[[#This Row],[Land Bonus]],1,0)*20)+15000)))*(1+(mason_bonus*TblConstr[[#This Row],[Tot Mas]]/TblConstr[[#This Row],[Land (2)]]))</f>
        <v>0</v>
      </c>
      <c r="AD51" s="315">
        <f ca="1">harbor_towers_cap*(1-EXP(-TblImps[[#This Row],[Σ Irrigation]]/(harbor_towers_param*(OFFSET(TblImps[[#This Row],[Land]],1,0)-OFFSET(TblExplore[[#This Row],[Land Bonus]],1,0)*20)+15000)))*(1+(mason_bonus*TblConstr[[#This Row],[Tot Mas]]/TblConstr[[#This Row],[Land (2)]]))</f>
        <v>0</v>
      </c>
      <c r="AE51" s="150"/>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50"/>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50"/>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50"/>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50"/>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50"/>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50"/>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50"/>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50"/>
      <c r="BV5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62">
        <f>TblImps[[#This Row],[Login]]</f>
        <v>0</v>
      </c>
      <c r="BX51" s="145"/>
      <c r="BY51" s="321">
        <f ca="1">OFFSET(TblImps[[#This Row],[Real time]],-1,0)+1/24</f>
        <v>44812.708333333219</v>
      </c>
      <c r="BZ51" s="322">
        <f ca="1">OFFSET(TblImps[[#This Row],[Servertime]],-1,0)+1/24</f>
        <v>44812.958333333219</v>
      </c>
      <c r="CA51" s="57"/>
      <c r="CB51" s="320"/>
      <c r="CC51" s="320"/>
    </row>
    <row r="52" spans="1:81" x14ac:dyDescent="0.2">
      <c r="A52" s="230">
        <f ca="1">TblConstr[[#This Row],[Land]]</f>
        <v>250</v>
      </c>
      <c r="B52" s="150"/>
      <c r="C52" s="97">
        <f ca="1">TblProd[[#This Row],[Platinum]]</f>
        <v>364206</v>
      </c>
      <c r="D52" s="97">
        <f ca="1">TblProd[[#This Row],[Lumber]]</f>
        <v>47529</v>
      </c>
      <c r="E52" s="97">
        <f ca="1">TblProd[[#This Row],[Ore]]</f>
        <v>0</v>
      </c>
      <c r="F52" s="97">
        <f ca="1">TblProd[[#This Row],[Gems]]</f>
        <v>10000</v>
      </c>
      <c r="G52" s="162"/>
      <c r="H52" s="97">
        <f ca="1">TblMili[[#This Row],[Draftees]]</f>
        <v>626</v>
      </c>
      <c r="I52" s="188">
        <f ca="1">TblPop[[#This Row],[Employment]]</f>
        <v>1</v>
      </c>
      <c r="J52" s="188">
        <f ca="1">TblPop[[#This Row],[Total]]/TblPop[[#This Row],[Net max]]</f>
        <v>1</v>
      </c>
      <c r="K52" s="311">
        <f>TblRezone[[#This Row],[Hour]]</f>
        <v>49</v>
      </c>
      <c r="L52" s="312">
        <f ca="1">TblImps[[#This Row],[Real time]]</f>
        <v>44812.749999999884</v>
      </c>
      <c r="M52" s="62">
        <f>IF(ISERROR(TblImps[[#This Row],[algorithm]]),0,TblImps[[#This Row],[algorithm]]*1)</f>
        <v>0</v>
      </c>
      <c r="N52" s="97">
        <f ca="1">TblImps[[#This Row],[Land]]</f>
        <v>250</v>
      </c>
      <c r="O52" s="313" t="s">
        <v>4</v>
      </c>
      <c r="P52" s="314"/>
      <c r="Q52" s="313" t="s">
        <v>216</v>
      </c>
      <c r="R52" s="313" t="s">
        <v>7</v>
      </c>
      <c r="S52" s="314"/>
      <c r="T52" s="313" t="s">
        <v>216</v>
      </c>
      <c r="U52" s="313" t="s">
        <v>3</v>
      </c>
      <c r="V52" s="314"/>
      <c r="W52" s="313" t="s">
        <v>216</v>
      </c>
      <c r="X52" s="150"/>
      <c r="Y52" s="315">
        <f ca="1">science_cap*(1-EXP(-TblImps[[#This Row],[Σ Science]]/(science_param*(OFFSET(TblImps[[#This Row],[Land]],1,0)-OFFSET(TblExplore[[#This Row],[Land Bonus]],1,0)*20)+15000)))*(1+(mason_bonus*TblConstr[[#This Row],[Tot Mas]]/TblConstr[[#This Row],[Land (2)]]))</f>
        <v>0</v>
      </c>
      <c r="Z52" s="315">
        <f ca="1">keep_cap*(1-EXP(-TblImps[[#This Row],[Σ Keep]]/(keep_param*(OFFSET(TblImps[[#This Row],[Land]],1,0)-OFFSET(TblExplore[[#This Row],[Land Bonus]],1,0)*20)+15000)))*(1+(mason_bonus*TblConstr[[#This Row],[Tot Mas]]/TblConstr[[#This Row],[Land (2)]]))</f>
        <v>0</v>
      </c>
      <c r="AA52" s="315">
        <f ca="1">harbor_towers_cap*(1-EXP(-TblImps[[#This Row],[Σ Towers]]/(towers_param*(OFFSET(TblImps[[#This Row],[Land]],1,0)-OFFSET(TblExplore[[#This Row],[Land Bonus]],1,0)*20)+15000)))*(1+(mason_bonus*TblConstr[[#This Row],[Tot Mas]]/TblConstr[[#This Row],[Land (2)]]))</f>
        <v>0</v>
      </c>
      <c r="AB52" s="315">
        <f ca="1">walls_forges_cap*(1-EXP(-TblImps[[#This Row],[Σ Forges]]/(walls_forges_param*(OFFSET(TblImps[[#This Row],[Land]],1,0)-OFFSET(TblExplore[[#This Row],[Land Bonus]],1,0)*20)+15000)))*(1+(mason_bonus*TblConstr[[#This Row],[Tot Mas]]/TblConstr[[#This Row],[Land (2)]]))</f>
        <v>0</v>
      </c>
      <c r="AC52" s="315">
        <f ca="1">walls_forges_cap*(1-EXP(-TblImps[[#This Row],[Σ Walls]]/(walls_forges_param*(OFFSET(TblImps[[#This Row],[Land]],1,0)-OFFSET(TblExplore[[#This Row],[Land Bonus]],1,0)*20)+15000)))*(1+(mason_bonus*TblConstr[[#This Row],[Tot Mas]]/TblConstr[[#This Row],[Land (2)]]))</f>
        <v>0</v>
      </c>
      <c r="AD52" s="315">
        <f ca="1">harbor_towers_cap*(1-EXP(-TblImps[[#This Row],[Σ Irrigation]]/(harbor_towers_param*(OFFSET(TblImps[[#This Row],[Land]],1,0)-OFFSET(TblExplore[[#This Row],[Land Bonus]],1,0)*20)+15000)))*(1+(mason_bonus*TblConstr[[#This Row],[Tot Mas]]/TblConstr[[#This Row],[Land (2)]]))</f>
        <v>0</v>
      </c>
      <c r="AE52" s="150"/>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50"/>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50"/>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50"/>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50"/>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50"/>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50"/>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50"/>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50"/>
      <c r="BV5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62">
        <f>TblImps[[#This Row],[Login]]</f>
        <v>0</v>
      </c>
      <c r="BX52" s="145"/>
      <c r="BY52" s="321">
        <f ca="1">OFFSET(TblImps[[#This Row],[Real time]],-1,0)+1/24</f>
        <v>44812.749999999884</v>
      </c>
      <c r="BZ52" s="322">
        <f ca="1">OFFSET(TblImps[[#This Row],[Servertime]],-1,0)+1/24</f>
        <v>44812.999999999884</v>
      </c>
      <c r="CA52" s="57"/>
      <c r="CB52" s="320"/>
      <c r="CC52" s="320"/>
    </row>
    <row r="53" spans="1:81" x14ac:dyDescent="0.2">
      <c r="A53" s="230">
        <f ca="1">TblConstr[[#This Row],[Land]]</f>
        <v>250</v>
      </c>
      <c r="B53" s="150"/>
      <c r="C53" s="97">
        <f ca="1">TblProd[[#This Row],[Platinum]]</f>
        <v>369692</v>
      </c>
      <c r="D53" s="97">
        <f ca="1">TblProd[[#This Row],[Lumber]]</f>
        <v>48054</v>
      </c>
      <c r="E53" s="97">
        <f ca="1">TblProd[[#This Row],[Ore]]</f>
        <v>0</v>
      </c>
      <c r="F53" s="97">
        <f ca="1">TblProd[[#This Row],[Gems]]</f>
        <v>10000</v>
      </c>
      <c r="G53" s="162"/>
      <c r="H53" s="97">
        <f ca="1">TblMili[[#This Row],[Draftees]]</f>
        <v>626</v>
      </c>
      <c r="I53" s="188">
        <f ca="1">TblPop[[#This Row],[Employment]]</f>
        <v>1</v>
      </c>
      <c r="J53" s="188">
        <f ca="1">TblPop[[#This Row],[Total]]/TblPop[[#This Row],[Net max]]</f>
        <v>1</v>
      </c>
      <c r="K53" s="311">
        <f>TblRezone[[#This Row],[Hour]]</f>
        <v>50</v>
      </c>
      <c r="L53" s="312">
        <f ca="1">TblImps[[#This Row],[Real time]]</f>
        <v>44812.791666666548</v>
      </c>
      <c r="M53" s="62">
        <f>IF(ISERROR(TblImps[[#This Row],[algorithm]]),0,TblImps[[#This Row],[algorithm]]*1)</f>
        <v>0</v>
      </c>
      <c r="N53" s="97">
        <f ca="1">TblImps[[#This Row],[Land]]</f>
        <v>250</v>
      </c>
      <c r="O53" s="313" t="s">
        <v>4</v>
      </c>
      <c r="P53" s="314"/>
      <c r="Q53" s="313" t="s">
        <v>216</v>
      </c>
      <c r="R53" s="313" t="s">
        <v>7</v>
      </c>
      <c r="S53" s="314"/>
      <c r="T53" s="313" t="s">
        <v>216</v>
      </c>
      <c r="U53" s="313" t="s">
        <v>3</v>
      </c>
      <c r="V53" s="314"/>
      <c r="W53" s="313" t="s">
        <v>216</v>
      </c>
      <c r="X53" s="150"/>
      <c r="Y53" s="315">
        <f ca="1">science_cap*(1-EXP(-TblImps[[#This Row],[Σ Science]]/(science_param*(OFFSET(TblImps[[#This Row],[Land]],1,0)-OFFSET(TblExplore[[#This Row],[Land Bonus]],1,0)*20)+15000)))*(1+(mason_bonus*TblConstr[[#This Row],[Tot Mas]]/TblConstr[[#This Row],[Land (2)]]))</f>
        <v>0</v>
      </c>
      <c r="Z53" s="315">
        <f ca="1">keep_cap*(1-EXP(-TblImps[[#This Row],[Σ Keep]]/(keep_param*(OFFSET(TblImps[[#This Row],[Land]],1,0)-OFFSET(TblExplore[[#This Row],[Land Bonus]],1,0)*20)+15000)))*(1+(mason_bonus*TblConstr[[#This Row],[Tot Mas]]/TblConstr[[#This Row],[Land (2)]]))</f>
        <v>0</v>
      </c>
      <c r="AA53" s="315">
        <f ca="1">harbor_towers_cap*(1-EXP(-TblImps[[#This Row],[Σ Towers]]/(towers_param*(OFFSET(TblImps[[#This Row],[Land]],1,0)-OFFSET(TblExplore[[#This Row],[Land Bonus]],1,0)*20)+15000)))*(1+(mason_bonus*TblConstr[[#This Row],[Tot Mas]]/TblConstr[[#This Row],[Land (2)]]))</f>
        <v>0</v>
      </c>
      <c r="AB53" s="315">
        <f ca="1">walls_forges_cap*(1-EXP(-TblImps[[#This Row],[Σ Forges]]/(walls_forges_param*(OFFSET(TblImps[[#This Row],[Land]],1,0)-OFFSET(TblExplore[[#This Row],[Land Bonus]],1,0)*20)+15000)))*(1+(mason_bonus*TblConstr[[#This Row],[Tot Mas]]/TblConstr[[#This Row],[Land (2)]]))</f>
        <v>0</v>
      </c>
      <c r="AC53" s="315">
        <f ca="1">walls_forges_cap*(1-EXP(-TblImps[[#This Row],[Σ Walls]]/(walls_forges_param*(OFFSET(TblImps[[#This Row],[Land]],1,0)-OFFSET(TblExplore[[#This Row],[Land Bonus]],1,0)*20)+15000)))*(1+(mason_bonus*TblConstr[[#This Row],[Tot Mas]]/TblConstr[[#This Row],[Land (2)]]))</f>
        <v>0</v>
      </c>
      <c r="AD53" s="315">
        <f ca="1">harbor_towers_cap*(1-EXP(-TblImps[[#This Row],[Σ Irrigation]]/(harbor_towers_param*(OFFSET(TblImps[[#This Row],[Land]],1,0)-OFFSET(TblExplore[[#This Row],[Land Bonus]],1,0)*20)+15000)))*(1+(mason_bonus*TblConstr[[#This Row],[Tot Mas]]/TblConstr[[#This Row],[Land (2)]]))</f>
        <v>0</v>
      </c>
      <c r="AE53" s="150"/>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50"/>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50"/>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50"/>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50"/>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50"/>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50"/>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50"/>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50"/>
      <c r="BV5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62">
        <f>TblImps[[#This Row],[Login]]</f>
        <v>0</v>
      </c>
      <c r="BX53" s="145"/>
      <c r="BY53" s="321">
        <f ca="1">OFFSET(TblImps[[#This Row],[Real time]],-1,0)+1/24</f>
        <v>44812.791666666548</v>
      </c>
      <c r="BZ53" s="322">
        <f ca="1">OFFSET(TblImps[[#This Row],[Servertime]],-1,0)+1/24</f>
        <v>44813.041666666548</v>
      </c>
      <c r="CA53" s="57"/>
      <c r="CB53" s="320"/>
      <c r="CC53" s="320"/>
    </row>
    <row r="54" spans="1:81" x14ac:dyDescent="0.2">
      <c r="A54" s="230">
        <f ca="1">TblConstr[[#This Row],[Land]]</f>
        <v>250</v>
      </c>
      <c r="B54" s="150"/>
      <c r="C54" s="97">
        <f ca="1">TblProd[[#This Row],[Platinum]]</f>
        <v>375178</v>
      </c>
      <c r="D54" s="97">
        <f ca="1">TblProd[[#This Row],[Lumber]]</f>
        <v>48573</v>
      </c>
      <c r="E54" s="97">
        <f ca="1">TblProd[[#This Row],[Ore]]</f>
        <v>0</v>
      </c>
      <c r="F54" s="97">
        <f ca="1">TblProd[[#This Row],[Gems]]</f>
        <v>10000</v>
      </c>
      <c r="G54" s="162"/>
      <c r="H54" s="97">
        <f ca="1">TblMili[[#This Row],[Draftees]]</f>
        <v>626</v>
      </c>
      <c r="I54" s="188">
        <f ca="1">TblPop[[#This Row],[Employment]]</f>
        <v>1</v>
      </c>
      <c r="J54" s="188">
        <f ca="1">TblPop[[#This Row],[Total]]/TblPop[[#This Row],[Net max]]</f>
        <v>1</v>
      </c>
      <c r="K54" s="311">
        <f>TblRezone[[#This Row],[Hour]]</f>
        <v>51</v>
      </c>
      <c r="L54" s="312">
        <f ca="1">TblImps[[#This Row],[Real time]]</f>
        <v>44812.833333333212</v>
      </c>
      <c r="M54" s="62">
        <f>IF(ISERROR(TblImps[[#This Row],[algorithm]]),0,TblImps[[#This Row],[algorithm]]*1)</f>
        <v>0</v>
      </c>
      <c r="N54" s="97">
        <f ca="1">TblImps[[#This Row],[Land]]</f>
        <v>250</v>
      </c>
      <c r="O54" s="313" t="s">
        <v>2</v>
      </c>
      <c r="P54" s="314"/>
      <c r="Q54" s="313" t="s">
        <v>216</v>
      </c>
      <c r="R54" s="313" t="s">
        <v>7</v>
      </c>
      <c r="S54" s="314"/>
      <c r="T54" s="313" t="s">
        <v>216</v>
      </c>
      <c r="U54" s="313" t="s">
        <v>3</v>
      </c>
      <c r="V54" s="314"/>
      <c r="W54" s="313" t="s">
        <v>216</v>
      </c>
      <c r="X54" s="150"/>
      <c r="Y54" s="315">
        <f ca="1">science_cap*(1-EXP(-TblImps[[#This Row],[Σ Science]]/(science_param*(OFFSET(TblImps[[#This Row],[Land]],1,0)-OFFSET(TblExplore[[#This Row],[Land Bonus]],1,0)*20)+15000)))*(1+(mason_bonus*TblConstr[[#This Row],[Tot Mas]]/TblConstr[[#This Row],[Land (2)]]))</f>
        <v>0</v>
      </c>
      <c r="Z54" s="315">
        <f ca="1">keep_cap*(1-EXP(-TblImps[[#This Row],[Σ Keep]]/(keep_param*(OFFSET(TblImps[[#This Row],[Land]],1,0)-OFFSET(TblExplore[[#This Row],[Land Bonus]],1,0)*20)+15000)))*(1+(mason_bonus*TblConstr[[#This Row],[Tot Mas]]/TblConstr[[#This Row],[Land (2)]]))</f>
        <v>0</v>
      </c>
      <c r="AA54" s="315">
        <f ca="1">harbor_towers_cap*(1-EXP(-TblImps[[#This Row],[Σ Towers]]/(towers_param*(OFFSET(TblImps[[#This Row],[Land]],1,0)-OFFSET(TblExplore[[#This Row],[Land Bonus]],1,0)*20)+15000)))*(1+(mason_bonus*TblConstr[[#This Row],[Tot Mas]]/TblConstr[[#This Row],[Land (2)]]))</f>
        <v>0</v>
      </c>
      <c r="AB54" s="315">
        <f ca="1">walls_forges_cap*(1-EXP(-TblImps[[#This Row],[Σ Forges]]/(walls_forges_param*(OFFSET(TblImps[[#This Row],[Land]],1,0)-OFFSET(TblExplore[[#This Row],[Land Bonus]],1,0)*20)+15000)))*(1+(mason_bonus*TblConstr[[#This Row],[Tot Mas]]/TblConstr[[#This Row],[Land (2)]]))</f>
        <v>0</v>
      </c>
      <c r="AC54" s="315">
        <f ca="1">walls_forges_cap*(1-EXP(-TblImps[[#This Row],[Σ Walls]]/(walls_forges_param*(OFFSET(TblImps[[#This Row],[Land]],1,0)-OFFSET(TblExplore[[#This Row],[Land Bonus]],1,0)*20)+15000)))*(1+(mason_bonus*TblConstr[[#This Row],[Tot Mas]]/TblConstr[[#This Row],[Land (2)]]))</f>
        <v>0</v>
      </c>
      <c r="AD54" s="315">
        <f ca="1">harbor_towers_cap*(1-EXP(-TblImps[[#This Row],[Σ Irrigation]]/(harbor_towers_param*(OFFSET(TblImps[[#This Row],[Land]],1,0)-OFFSET(TblExplore[[#This Row],[Land Bonus]],1,0)*20)+15000)))*(1+(mason_bonus*TblConstr[[#This Row],[Tot Mas]]/TblConstr[[#This Row],[Land (2)]]))</f>
        <v>0</v>
      </c>
      <c r="AE54" s="150"/>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50"/>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50"/>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50"/>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50"/>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50"/>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50"/>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50"/>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50"/>
      <c r="BV5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62">
        <f>TblImps[[#This Row],[Login]]</f>
        <v>0</v>
      </c>
      <c r="BX54" s="145"/>
      <c r="BY54" s="321">
        <f ca="1">OFFSET(TblImps[[#This Row],[Real time]],-1,0)+1/24</f>
        <v>44812.833333333212</v>
      </c>
      <c r="BZ54" s="322">
        <f ca="1">OFFSET(TblImps[[#This Row],[Servertime]],-1,0)+1/24</f>
        <v>44813.083333333212</v>
      </c>
      <c r="CA54" s="57"/>
      <c r="CB54" s="320"/>
      <c r="CC54" s="320"/>
    </row>
    <row r="55" spans="1:81" x14ac:dyDescent="0.2">
      <c r="A55" s="230">
        <f ca="1">TblConstr[[#This Row],[Land]]</f>
        <v>250</v>
      </c>
      <c r="B55" s="150"/>
      <c r="C55" s="97">
        <f ca="1">TblProd[[#This Row],[Platinum]]</f>
        <v>380664</v>
      </c>
      <c r="D55" s="97">
        <f ca="1">TblProd[[#This Row],[Lumber]]</f>
        <v>49087</v>
      </c>
      <c r="E55" s="97">
        <f ca="1">TblProd[[#This Row],[Ore]]</f>
        <v>0</v>
      </c>
      <c r="F55" s="97">
        <f ca="1">TblProd[[#This Row],[Gems]]</f>
        <v>10000</v>
      </c>
      <c r="G55" s="162"/>
      <c r="H55" s="97">
        <f ca="1">TblMili[[#This Row],[Draftees]]</f>
        <v>626</v>
      </c>
      <c r="I55" s="188">
        <f ca="1">TblPop[[#This Row],[Employment]]</f>
        <v>1</v>
      </c>
      <c r="J55" s="188">
        <f ca="1">TblPop[[#This Row],[Total]]/TblPop[[#This Row],[Net max]]</f>
        <v>1</v>
      </c>
      <c r="K55" s="311">
        <f>TblRezone[[#This Row],[Hour]]</f>
        <v>52</v>
      </c>
      <c r="L55" s="312">
        <f ca="1">TblImps[[#This Row],[Real time]]</f>
        <v>44812.874999999876</v>
      </c>
      <c r="M55" s="62">
        <f>IF(ISERROR(TblImps[[#This Row],[algorithm]]),0,TblImps[[#This Row],[algorithm]]*1)</f>
        <v>0</v>
      </c>
      <c r="N55" s="97">
        <f ca="1">TblImps[[#This Row],[Land]]</f>
        <v>250</v>
      </c>
      <c r="O55" s="313" t="s">
        <v>4</v>
      </c>
      <c r="P55" s="314"/>
      <c r="Q55" s="313" t="s">
        <v>216</v>
      </c>
      <c r="R55" s="313" t="s">
        <v>7</v>
      </c>
      <c r="S55" s="314"/>
      <c r="T55" s="313" t="s">
        <v>216</v>
      </c>
      <c r="U55" s="313" t="s">
        <v>3</v>
      </c>
      <c r="V55" s="314"/>
      <c r="W55" s="313" t="s">
        <v>216</v>
      </c>
      <c r="X55" s="150"/>
      <c r="Y55" s="315">
        <f ca="1">science_cap*(1-EXP(-TblImps[[#This Row],[Σ Science]]/(science_param*(OFFSET(TblImps[[#This Row],[Land]],1,0)-OFFSET(TblExplore[[#This Row],[Land Bonus]],1,0)*20)+15000)))*(1+(mason_bonus*TblConstr[[#This Row],[Tot Mas]]/TblConstr[[#This Row],[Land (2)]]))</f>
        <v>0</v>
      </c>
      <c r="Z55" s="315">
        <f ca="1">keep_cap*(1-EXP(-TblImps[[#This Row],[Σ Keep]]/(keep_param*(OFFSET(TblImps[[#This Row],[Land]],1,0)-OFFSET(TblExplore[[#This Row],[Land Bonus]],1,0)*20)+15000)))*(1+(mason_bonus*TblConstr[[#This Row],[Tot Mas]]/TblConstr[[#This Row],[Land (2)]]))</f>
        <v>0</v>
      </c>
      <c r="AA55" s="315">
        <f ca="1">harbor_towers_cap*(1-EXP(-TblImps[[#This Row],[Σ Towers]]/(towers_param*(OFFSET(TblImps[[#This Row],[Land]],1,0)-OFFSET(TblExplore[[#This Row],[Land Bonus]],1,0)*20)+15000)))*(1+(mason_bonus*TblConstr[[#This Row],[Tot Mas]]/TblConstr[[#This Row],[Land (2)]]))</f>
        <v>0</v>
      </c>
      <c r="AB55" s="315">
        <f ca="1">walls_forges_cap*(1-EXP(-TblImps[[#This Row],[Σ Forges]]/(walls_forges_param*(OFFSET(TblImps[[#This Row],[Land]],1,0)-OFFSET(TblExplore[[#This Row],[Land Bonus]],1,0)*20)+15000)))*(1+(mason_bonus*TblConstr[[#This Row],[Tot Mas]]/TblConstr[[#This Row],[Land (2)]]))</f>
        <v>0</v>
      </c>
      <c r="AC55" s="315">
        <f ca="1">walls_forges_cap*(1-EXP(-TblImps[[#This Row],[Σ Walls]]/(walls_forges_param*(OFFSET(TblImps[[#This Row],[Land]],1,0)-OFFSET(TblExplore[[#This Row],[Land Bonus]],1,0)*20)+15000)))*(1+(mason_bonus*TblConstr[[#This Row],[Tot Mas]]/TblConstr[[#This Row],[Land (2)]]))</f>
        <v>0</v>
      </c>
      <c r="AD55" s="315">
        <f ca="1">harbor_towers_cap*(1-EXP(-TblImps[[#This Row],[Σ Irrigation]]/(harbor_towers_param*(OFFSET(TblImps[[#This Row],[Land]],1,0)-OFFSET(TblExplore[[#This Row],[Land Bonus]],1,0)*20)+15000)))*(1+(mason_bonus*TblConstr[[#This Row],[Tot Mas]]/TblConstr[[#This Row],[Land (2)]]))</f>
        <v>0</v>
      </c>
      <c r="AE55" s="150"/>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50"/>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50"/>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50"/>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50"/>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50"/>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50"/>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50"/>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50"/>
      <c r="BV5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62">
        <f>TblImps[[#This Row],[Login]]</f>
        <v>0</v>
      </c>
      <c r="BX55" s="145"/>
      <c r="BY55" s="321">
        <f ca="1">OFFSET(TblImps[[#This Row],[Real time]],-1,0)+1/24</f>
        <v>44812.874999999876</v>
      </c>
      <c r="BZ55" s="322">
        <f ca="1">OFFSET(TblImps[[#This Row],[Servertime]],-1,0)+1/24</f>
        <v>44813.124999999876</v>
      </c>
      <c r="CA55" s="57"/>
      <c r="CB55" s="320"/>
      <c r="CC55" s="320"/>
    </row>
    <row r="56" spans="1:81" x14ac:dyDescent="0.2">
      <c r="A56" s="230">
        <f ca="1">TblConstr[[#This Row],[Land]]</f>
        <v>250</v>
      </c>
      <c r="B56" s="150"/>
      <c r="C56" s="97">
        <f ca="1">TblProd[[#This Row],[Platinum]]</f>
        <v>386150</v>
      </c>
      <c r="D56" s="97">
        <f ca="1">TblProd[[#This Row],[Lumber]]</f>
        <v>49596</v>
      </c>
      <c r="E56" s="97">
        <f ca="1">TblProd[[#This Row],[Ore]]</f>
        <v>0</v>
      </c>
      <c r="F56" s="97">
        <f ca="1">TblProd[[#This Row],[Gems]]</f>
        <v>10000</v>
      </c>
      <c r="G56" s="162"/>
      <c r="H56" s="97">
        <f ca="1">TblMili[[#This Row],[Draftees]]</f>
        <v>626</v>
      </c>
      <c r="I56" s="188">
        <f ca="1">TblPop[[#This Row],[Employment]]</f>
        <v>1</v>
      </c>
      <c r="J56" s="188">
        <f ca="1">TblPop[[#This Row],[Total]]/TblPop[[#This Row],[Net max]]</f>
        <v>1</v>
      </c>
      <c r="K56" s="311">
        <f>TblRezone[[#This Row],[Hour]]</f>
        <v>53</v>
      </c>
      <c r="L56" s="312">
        <f ca="1">TblImps[[#This Row],[Real time]]</f>
        <v>44812.916666666541</v>
      </c>
      <c r="M56" s="62">
        <f>IF(ISERROR(TblImps[[#This Row],[algorithm]]),0,TblImps[[#This Row],[algorithm]]*1)</f>
        <v>0</v>
      </c>
      <c r="N56" s="97">
        <f ca="1">TblImps[[#This Row],[Land]]</f>
        <v>250</v>
      </c>
      <c r="O56" s="313" t="s">
        <v>4</v>
      </c>
      <c r="P56" s="314"/>
      <c r="Q56" s="313" t="s">
        <v>216</v>
      </c>
      <c r="R56" s="313" t="s">
        <v>7</v>
      </c>
      <c r="S56" s="314"/>
      <c r="T56" s="313" t="s">
        <v>216</v>
      </c>
      <c r="U56" s="313" t="s">
        <v>3</v>
      </c>
      <c r="V56" s="314"/>
      <c r="W56" s="313" t="s">
        <v>216</v>
      </c>
      <c r="X56" s="150"/>
      <c r="Y56" s="315">
        <f ca="1">science_cap*(1-EXP(-TblImps[[#This Row],[Σ Science]]/(science_param*(OFFSET(TblImps[[#This Row],[Land]],1,0)-OFFSET(TblExplore[[#This Row],[Land Bonus]],1,0)*20)+15000)))*(1+(mason_bonus*TblConstr[[#This Row],[Tot Mas]]/TblConstr[[#This Row],[Land (2)]]))</f>
        <v>0</v>
      </c>
      <c r="Z56" s="315">
        <f ca="1">keep_cap*(1-EXP(-TblImps[[#This Row],[Σ Keep]]/(keep_param*(OFFSET(TblImps[[#This Row],[Land]],1,0)-OFFSET(TblExplore[[#This Row],[Land Bonus]],1,0)*20)+15000)))*(1+(mason_bonus*TblConstr[[#This Row],[Tot Mas]]/TblConstr[[#This Row],[Land (2)]]))</f>
        <v>0</v>
      </c>
      <c r="AA56" s="315">
        <f ca="1">harbor_towers_cap*(1-EXP(-TblImps[[#This Row],[Σ Towers]]/(towers_param*(OFFSET(TblImps[[#This Row],[Land]],1,0)-OFFSET(TblExplore[[#This Row],[Land Bonus]],1,0)*20)+15000)))*(1+(mason_bonus*TblConstr[[#This Row],[Tot Mas]]/TblConstr[[#This Row],[Land (2)]]))</f>
        <v>0</v>
      </c>
      <c r="AB56" s="315">
        <f ca="1">walls_forges_cap*(1-EXP(-TblImps[[#This Row],[Σ Forges]]/(walls_forges_param*(OFFSET(TblImps[[#This Row],[Land]],1,0)-OFFSET(TblExplore[[#This Row],[Land Bonus]],1,0)*20)+15000)))*(1+(mason_bonus*TblConstr[[#This Row],[Tot Mas]]/TblConstr[[#This Row],[Land (2)]]))</f>
        <v>0</v>
      </c>
      <c r="AC56" s="315">
        <f ca="1">walls_forges_cap*(1-EXP(-TblImps[[#This Row],[Σ Walls]]/(walls_forges_param*(OFFSET(TblImps[[#This Row],[Land]],1,0)-OFFSET(TblExplore[[#This Row],[Land Bonus]],1,0)*20)+15000)))*(1+(mason_bonus*TblConstr[[#This Row],[Tot Mas]]/TblConstr[[#This Row],[Land (2)]]))</f>
        <v>0</v>
      </c>
      <c r="AD56" s="315">
        <f ca="1">harbor_towers_cap*(1-EXP(-TblImps[[#This Row],[Σ Irrigation]]/(harbor_towers_param*(OFFSET(TblImps[[#This Row],[Land]],1,0)-OFFSET(TblExplore[[#This Row],[Land Bonus]],1,0)*20)+15000)))*(1+(mason_bonus*TblConstr[[#This Row],[Tot Mas]]/TblConstr[[#This Row],[Land (2)]]))</f>
        <v>0</v>
      </c>
      <c r="AE56" s="150"/>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50"/>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50"/>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50"/>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50"/>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50"/>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50"/>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50"/>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50"/>
      <c r="BV5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62">
        <f>TblImps[[#This Row],[Login]]</f>
        <v>0</v>
      </c>
      <c r="BX56" s="145"/>
      <c r="BY56" s="321">
        <f ca="1">OFFSET(TblImps[[#This Row],[Real time]],-1,0)+1/24</f>
        <v>44812.916666666541</v>
      </c>
      <c r="BZ56" s="322">
        <f ca="1">OFFSET(TblImps[[#This Row],[Servertime]],-1,0)+1/24</f>
        <v>44813.166666666541</v>
      </c>
      <c r="CA56" s="57"/>
      <c r="CB56" s="320"/>
      <c r="CC56" s="320"/>
    </row>
    <row r="57" spans="1:81" x14ac:dyDescent="0.2">
      <c r="A57" s="230">
        <f ca="1">TblConstr[[#This Row],[Land]]</f>
        <v>250</v>
      </c>
      <c r="B57" s="150"/>
      <c r="C57" s="97">
        <f ca="1">TblProd[[#This Row],[Platinum]]</f>
        <v>391636</v>
      </c>
      <c r="D57" s="97">
        <f ca="1">TblProd[[#This Row],[Lumber]]</f>
        <v>50100</v>
      </c>
      <c r="E57" s="97">
        <f ca="1">TblProd[[#This Row],[Ore]]</f>
        <v>0</v>
      </c>
      <c r="F57" s="97">
        <f ca="1">TblProd[[#This Row],[Gems]]</f>
        <v>10000</v>
      </c>
      <c r="G57" s="162"/>
      <c r="H57" s="97">
        <f ca="1">TblMili[[#This Row],[Draftees]]</f>
        <v>626</v>
      </c>
      <c r="I57" s="188">
        <f ca="1">TblPop[[#This Row],[Employment]]</f>
        <v>1</v>
      </c>
      <c r="J57" s="188">
        <f ca="1">TblPop[[#This Row],[Total]]/TblPop[[#This Row],[Net max]]</f>
        <v>1</v>
      </c>
      <c r="K57" s="311">
        <f>TblRezone[[#This Row],[Hour]]</f>
        <v>54</v>
      </c>
      <c r="L57" s="312">
        <f ca="1">TblImps[[#This Row],[Real time]]</f>
        <v>44812.958333333205</v>
      </c>
      <c r="M57" s="62">
        <f>IF(ISERROR(TblImps[[#This Row],[algorithm]]),0,TblImps[[#This Row],[algorithm]]*1)</f>
        <v>0</v>
      </c>
      <c r="N57" s="97">
        <f ca="1">TblImps[[#This Row],[Land]]</f>
        <v>250</v>
      </c>
      <c r="O57" s="313" t="s">
        <v>4</v>
      </c>
      <c r="P57" s="314"/>
      <c r="Q57" s="313" t="s">
        <v>216</v>
      </c>
      <c r="R57" s="313" t="s">
        <v>7</v>
      </c>
      <c r="S57" s="314"/>
      <c r="T57" s="313" t="s">
        <v>216</v>
      </c>
      <c r="U57" s="313" t="s">
        <v>3</v>
      </c>
      <c r="V57" s="314"/>
      <c r="W57" s="313" t="s">
        <v>216</v>
      </c>
      <c r="X57" s="150"/>
      <c r="Y57" s="315">
        <f ca="1">science_cap*(1-EXP(-TblImps[[#This Row],[Σ Science]]/(science_param*(OFFSET(TblImps[[#This Row],[Land]],1,0)-OFFSET(TblExplore[[#This Row],[Land Bonus]],1,0)*20)+15000)))*(1+(mason_bonus*TblConstr[[#This Row],[Tot Mas]]/TblConstr[[#This Row],[Land (2)]]))</f>
        <v>0</v>
      </c>
      <c r="Z57" s="315">
        <f ca="1">keep_cap*(1-EXP(-TblImps[[#This Row],[Σ Keep]]/(keep_param*(OFFSET(TblImps[[#This Row],[Land]],1,0)-OFFSET(TblExplore[[#This Row],[Land Bonus]],1,0)*20)+15000)))*(1+(mason_bonus*TblConstr[[#This Row],[Tot Mas]]/TblConstr[[#This Row],[Land (2)]]))</f>
        <v>0</v>
      </c>
      <c r="AA57" s="315">
        <f ca="1">harbor_towers_cap*(1-EXP(-TblImps[[#This Row],[Σ Towers]]/(towers_param*(OFFSET(TblImps[[#This Row],[Land]],1,0)-OFFSET(TblExplore[[#This Row],[Land Bonus]],1,0)*20)+15000)))*(1+(mason_bonus*TblConstr[[#This Row],[Tot Mas]]/TblConstr[[#This Row],[Land (2)]]))</f>
        <v>0</v>
      </c>
      <c r="AB57" s="315">
        <f ca="1">walls_forges_cap*(1-EXP(-TblImps[[#This Row],[Σ Forges]]/(walls_forges_param*(OFFSET(TblImps[[#This Row],[Land]],1,0)-OFFSET(TblExplore[[#This Row],[Land Bonus]],1,0)*20)+15000)))*(1+(mason_bonus*TblConstr[[#This Row],[Tot Mas]]/TblConstr[[#This Row],[Land (2)]]))</f>
        <v>0</v>
      </c>
      <c r="AC57" s="315">
        <f ca="1">walls_forges_cap*(1-EXP(-TblImps[[#This Row],[Σ Walls]]/(walls_forges_param*(OFFSET(TblImps[[#This Row],[Land]],1,0)-OFFSET(TblExplore[[#This Row],[Land Bonus]],1,0)*20)+15000)))*(1+(mason_bonus*TblConstr[[#This Row],[Tot Mas]]/TblConstr[[#This Row],[Land (2)]]))</f>
        <v>0</v>
      </c>
      <c r="AD57" s="315">
        <f ca="1">harbor_towers_cap*(1-EXP(-TblImps[[#This Row],[Σ Irrigation]]/(harbor_towers_param*(OFFSET(TblImps[[#This Row],[Land]],1,0)-OFFSET(TblExplore[[#This Row],[Land Bonus]],1,0)*20)+15000)))*(1+(mason_bonus*TblConstr[[#This Row],[Tot Mas]]/TblConstr[[#This Row],[Land (2)]]))</f>
        <v>0</v>
      </c>
      <c r="AE57" s="150"/>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50"/>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50"/>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50"/>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50"/>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50"/>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50"/>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50"/>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50"/>
      <c r="BV5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62">
        <f>TblImps[[#This Row],[Login]]</f>
        <v>0</v>
      </c>
      <c r="BX57" s="145"/>
      <c r="BY57" s="321">
        <f ca="1">OFFSET(TblImps[[#This Row],[Real time]],-1,0)+1/24</f>
        <v>44812.958333333205</v>
      </c>
      <c r="BZ57" s="322">
        <f ca="1">OFFSET(TblImps[[#This Row],[Servertime]],-1,0)+1/24</f>
        <v>44813.208333333205</v>
      </c>
      <c r="CA57" s="57"/>
      <c r="CB57" s="320"/>
      <c r="CC57" s="320"/>
    </row>
    <row r="58" spans="1:81" x14ac:dyDescent="0.2">
      <c r="A58" s="230">
        <f ca="1">TblConstr[[#This Row],[Land]]</f>
        <v>250</v>
      </c>
      <c r="B58" s="150"/>
      <c r="C58" s="97">
        <f ca="1">TblProd[[#This Row],[Platinum]]</f>
        <v>397122</v>
      </c>
      <c r="D58" s="97">
        <f ca="1">TblProd[[#This Row],[Lumber]]</f>
        <v>50599</v>
      </c>
      <c r="E58" s="97">
        <f ca="1">TblProd[[#This Row],[Ore]]</f>
        <v>0</v>
      </c>
      <c r="F58" s="97">
        <f ca="1">TblProd[[#This Row],[Gems]]</f>
        <v>10000</v>
      </c>
      <c r="G58" s="162"/>
      <c r="H58" s="97">
        <f ca="1">TblMili[[#This Row],[Draftees]]</f>
        <v>626</v>
      </c>
      <c r="I58" s="188">
        <f ca="1">TblPop[[#This Row],[Employment]]</f>
        <v>1</v>
      </c>
      <c r="J58" s="188">
        <f ca="1">TblPop[[#This Row],[Total]]/TblPop[[#This Row],[Net max]]</f>
        <v>1</v>
      </c>
      <c r="K58" s="311">
        <f>TblRezone[[#This Row],[Hour]]</f>
        <v>55</v>
      </c>
      <c r="L58" s="312">
        <f ca="1">TblImps[[#This Row],[Real time]]</f>
        <v>44812.999999999869</v>
      </c>
      <c r="M58" s="62">
        <f>IF(ISERROR(TblImps[[#This Row],[algorithm]]),0,TblImps[[#This Row],[algorithm]]*1)</f>
        <v>0</v>
      </c>
      <c r="N58" s="97">
        <f ca="1">TblImps[[#This Row],[Land]]</f>
        <v>250</v>
      </c>
      <c r="O58" s="313" t="s">
        <v>4</v>
      </c>
      <c r="P58" s="314"/>
      <c r="Q58" s="313" t="s">
        <v>216</v>
      </c>
      <c r="R58" s="313" t="s">
        <v>7</v>
      </c>
      <c r="S58" s="314"/>
      <c r="T58" s="313" t="s">
        <v>216</v>
      </c>
      <c r="U58" s="313" t="s">
        <v>3</v>
      </c>
      <c r="V58" s="314"/>
      <c r="W58" s="313" t="s">
        <v>216</v>
      </c>
      <c r="X58" s="150"/>
      <c r="Y58" s="315">
        <f ca="1">science_cap*(1-EXP(-TblImps[[#This Row],[Σ Science]]/(science_param*(OFFSET(TblImps[[#This Row],[Land]],1,0)-OFFSET(TblExplore[[#This Row],[Land Bonus]],1,0)*20)+15000)))*(1+(mason_bonus*TblConstr[[#This Row],[Tot Mas]]/TblConstr[[#This Row],[Land (2)]]))</f>
        <v>0</v>
      </c>
      <c r="Z58" s="315">
        <f ca="1">keep_cap*(1-EXP(-TblImps[[#This Row],[Σ Keep]]/(keep_param*(OFFSET(TblImps[[#This Row],[Land]],1,0)-OFFSET(TblExplore[[#This Row],[Land Bonus]],1,0)*20)+15000)))*(1+(mason_bonus*TblConstr[[#This Row],[Tot Mas]]/TblConstr[[#This Row],[Land (2)]]))</f>
        <v>0</v>
      </c>
      <c r="AA58" s="315">
        <f ca="1">harbor_towers_cap*(1-EXP(-TblImps[[#This Row],[Σ Towers]]/(towers_param*(OFFSET(TblImps[[#This Row],[Land]],1,0)-OFFSET(TblExplore[[#This Row],[Land Bonus]],1,0)*20)+15000)))*(1+(mason_bonus*TblConstr[[#This Row],[Tot Mas]]/TblConstr[[#This Row],[Land (2)]]))</f>
        <v>0</v>
      </c>
      <c r="AB58" s="315">
        <f ca="1">walls_forges_cap*(1-EXP(-TblImps[[#This Row],[Σ Forges]]/(walls_forges_param*(OFFSET(TblImps[[#This Row],[Land]],1,0)-OFFSET(TblExplore[[#This Row],[Land Bonus]],1,0)*20)+15000)))*(1+(mason_bonus*TblConstr[[#This Row],[Tot Mas]]/TblConstr[[#This Row],[Land (2)]]))</f>
        <v>0</v>
      </c>
      <c r="AC58" s="315">
        <f ca="1">walls_forges_cap*(1-EXP(-TblImps[[#This Row],[Σ Walls]]/(walls_forges_param*(OFFSET(TblImps[[#This Row],[Land]],1,0)-OFFSET(TblExplore[[#This Row],[Land Bonus]],1,0)*20)+15000)))*(1+(mason_bonus*TblConstr[[#This Row],[Tot Mas]]/TblConstr[[#This Row],[Land (2)]]))</f>
        <v>0</v>
      </c>
      <c r="AD58" s="315">
        <f ca="1">harbor_towers_cap*(1-EXP(-TblImps[[#This Row],[Σ Irrigation]]/(harbor_towers_param*(OFFSET(TblImps[[#This Row],[Land]],1,0)-OFFSET(TblExplore[[#This Row],[Land Bonus]],1,0)*20)+15000)))*(1+(mason_bonus*TblConstr[[#This Row],[Tot Mas]]/TblConstr[[#This Row],[Land (2)]]))</f>
        <v>0</v>
      </c>
      <c r="AE58" s="150"/>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50"/>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50"/>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50"/>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50"/>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50"/>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50"/>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50"/>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50"/>
      <c r="BV5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62">
        <f>TblImps[[#This Row],[Login]]</f>
        <v>0</v>
      </c>
      <c r="BX58" s="145"/>
      <c r="BY58" s="321">
        <f ca="1">OFFSET(TblImps[[#This Row],[Real time]],-1,0)+1/24</f>
        <v>44812.999999999869</v>
      </c>
      <c r="BZ58" s="322">
        <f ca="1">OFFSET(TblImps[[#This Row],[Servertime]],-1,0)+1/24</f>
        <v>44813.249999999869</v>
      </c>
      <c r="CA58" s="57"/>
      <c r="CB58" s="320"/>
      <c r="CC58" s="320"/>
    </row>
    <row r="59" spans="1:81" x14ac:dyDescent="0.2">
      <c r="A59" s="230">
        <f ca="1">TblConstr[[#This Row],[Land]]</f>
        <v>250</v>
      </c>
      <c r="B59" s="150"/>
      <c r="C59" s="97">
        <f ca="1">TblProd[[#This Row],[Platinum]]</f>
        <v>402608</v>
      </c>
      <c r="D59" s="97">
        <f ca="1">TblProd[[#This Row],[Lumber]]</f>
        <v>51093</v>
      </c>
      <c r="E59" s="97">
        <f ca="1">TblProd[[#This Row],[Ore]]</f>
        <v>0</v>
      </c>
      <c r="F59" s="97">
        <f ca="1">TblProd[[#This Row],[Gems]]</f>
        <v>10000</v>
      </c>
      <c r="G59" s="162"/>
      <c r="H59" s="97">
        <f ca="1">TblMili[[#This Row],[Draftees]]</f>
        <v>626</v>
      </c>
      <c r="I59" s="188">
        <f ca="1">TblPop[[#This Row],[Employment]]</f>
        <v>1</v>
      </c>
      <c r="J59" s="188">
        <f ca="1">TblPop[[#This Row],[Total]]/TblPop[[#This Row],[Net max]]</f>
        <v>1</v>
      </c>
      <c r="K59" s="311">
        <f>TblRezone[[#This Row],[Hour]]</f>
        <v>56</v>
      </c>
      <c r="L59" s="312">
        <f ca="1">TblImps[[#This Row],[Real time]]</f>
        <v>44813.041666666533</v>
      </c>
      <c r="M59" s="62">
        <f>IF(ISERROR(TblImps[[#This Row],[algorithm]]),0,TblImps[[#This Row],[algorithm]]*1)</f>
        <v>0</v>
      </c>
      <c r="N59" s="97">
        <f ca="1">TblImps[[#This Row],[Land]]</f>
        <v>250</v>
      </c>
      <c r="O59" s="313" t="s">
        <v>4</v>
      </c>
      <c r="P59" s="314"/>
      <c r="Q59" s="313" t="s">
        <v>216</v>
      </c>
      <c r="R59" s="313" t="s">
        <v>7</v>
      </c>
      <c r="S59" s="314"/>
      <c r="T59" s="313" t="s">
        <v>216</v>
      </c>
      <c r="U59" s="313" t="s">
        <v>3</v>
      </c>
      <c r="V59" s="314"/>
      <c r="W59" s="313" t="s">
        <v>216</v>
      </c>
      <c r="X59" s="150"/>
      <c r="Y59" s="315">
        <f ca="1">science_cap*(1-EXP(-TblImps[[#This Row],[Σ Science]]/(science_param*(OFFSET(TblImps[[#This Row],[Land]],1,0)-OFFSET(TblExplore[[#This Row],[Land Bonus]],1,0)*20)+15000)))*(1+(mason_bonus*TblConstr[[#This Row],[Tot Mas]]/TblConstr[[#This Row],[Land (2)]]))</f>
        <v>0</v>
      </c>
      <c r="Z59" s="315">
        <f ca="1">keep_cap*(1-EXP(-TblImps[[#This Row],[Σ Keep]]/(keep_param*(OFFSET(TblImps[[#This Row],[Land]],1,0)-OFFSET(TblExplore[[#This Row],[Land Bonus]],1,0)*20)+15000)))*(1+(mason_bonus*TblConstr[[#This Row],[Tot Mas]]/TblConstr[[#This Row],[Land (2)]]))</f>
        <v>0</v>
      </c>
      <c r="AA59" s="315">
        <f ca="1">harbor_towers_cap*(1-EXP(-TblImps[[#This Row],[Σ Towers]]/(towers_param*(OFFSET(TblImps[[#This Row],[Land]],1,0)-OFFSET(TblExplore[[#This Row],[Land Bonus]],1,0)*20)+15000)))*(1+(mason_bonus*TblConstr[[#This Row],[Tot Mas]]/TblConstr[[#This Row],[Land (2)]]))</f>
        <v>0</v>
      </c>
      <c r="AB59" s="315">
        <f ca="1">walls_forges_cap*(1-EXP(-TblImps[[#This Row],[Σ Forges]]/(walls_forges_param*(OFFSET(TblImps[[#This Row],[Land]],1,0)-OFFSET(TblExplore[[#This Row],[Land Bonus]],1,0)*20)+15000)))*(1+(mason_bonus*TblConstr[[#This Row],[Tot Mas]]/TblConstr[[#This Row],[Land (2)]]))</f>
        <v>0</v>
      </c>
      <c r="AC59" s="315">
        <f ca="1">walls_forges_cap*(1-EXP(-TblImps[[#This Row],[Σ Walls]]/(walls_forges_param*(OFFSET(TblImps[[#This Row],[Land]],1,0)-OFFSET(TblExplore[[#This Row],[Land Bonus]],1,0)*20)+15000)))*(1+(mason_bonus*TblConstr[[#This Row],[Tot Mas]]/TblConstr[[#This Row],[Land (2)]]))</f>
        <v>0</v>
      </c>
      <c r="AD59" s="315">
        <f ca="1">harbor_towers_cap*(1-EXP(-TblImps[[#This Row],[Σ Irrigation]]/(harbor_towers_param*(OFFSET(TblImps[[#This Row],[Land]],1,0)-OFFSET(TblExplore[[#This Row],[Land Bonus]],1,0)*20)+15000)))*(1+(mason_bonus*TblConstr[[#This Row],[Tot Mas]]/TblConstr[[#This Row],[Land (2)]]))</f>
        <v>0</v>
      </c>
      <c r="AE59" s="150"/>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50"/>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50"/>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50"/>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50"/>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50"/>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50"/>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50"/>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50"/>
      <c r="BV5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62">
        <f>TblImps[[#This Row],[Login]]</f>
        <v>0</v>
      </c>
      <c r="BX59" s="145"/>
      <c r="BY59" s="321">
        <f ca="1">OFFSET(TblImps[[#This Row],[Real time]],-1,0)+1/24</f>
        <v>44813.041666666533</v>
      </c>
      <c r="BZ59" s="322">
        <f ca="1">OFFSET(TblImps[[#This Row],[Servertime]],-1,0)+1/24</f>
        <v>44813.291666666533</v>
      </c>
      <c r="CA59" s="57"/>
      <c r="CB59" s="320"/>
      <c r="CC59" s="320"/>
    </row>
    <row r="60" spans="1:81" x14ac:dyDescent="0.2">
      <c r="A60" s="230">
        <f ca="1">TblConstr[[#This Row],[Land]]</f>
        <v>250</v>
      </c>
      <c r="B60" s="150"/>
      <c r="C60" s="97">
        <f ca="1">TblProd[[#This Row],[Platinum]]</f>
        <v>408094</v>
      </c>
      <c r="D60" s="97">
        <f ca="1">TblProd[[#This Row],[Lumber]]</f>
        <v>51582</v>
      </c>
      <c r="E60" s="97">
        <f ca="1">TblProd[[#This Row],[Ore]]</f>
        <v>0</v>
      </c>
      <c r="F60" s="97">
        <f ca="1">TblProd[[#This Row],[Gems]]</f>
        <v>10000</v>
      </c>
      <c r="G60" s="162"/>
      <c r="H60" s="97">
        <f ca="1">TblMili[[#This Row],[Draftees]]</f>
        <v>626</v>
      </c>
      <c r="I60" s="188">
        <f ca="1">TblPop[[#This Row],[Employment]]</f>
        <v>1</v>
      </c>
      <c r="J60" s="188">
        <f ca="1">TblPop[[#This Row],[Total]]/TblPop[[#This Row],[Net max]]</f>
        <v>1</v>
      </c>
      <c r="K60" s="311">
        <f>TblRezone[[#This Row],[Hour]]</f>
        <v>57</v>
      </c>
      <c r="L60" s="312">
        <f ca="1">TblImps[[#This Row],[Real time]]</f>
        <v>44813.083333333198</v>
      </c>
      <c r="M60" s="62">
        <f>IF(ISERROR(TblImps[[#This Row],[algorithm]]),0,TblImps[[#This Row],[algorithm]]*1)</f>
        <v>0</v>
      </c>
      <c r="N60" s="97">
        <f ca="1">TblImps[[#This Row],[Land]]</f>
        <v>250</v>
      </c>
      <c r="O60" s="313" t="s">
        <v>4</v>
      </c>
      <c r="P60" s="314"/>
      <c r="Q60" s="313" t="s">
        <v>216</v>
      </c>
      <c r="R60" s="313" t="s">
        <v>7</v>
      </c>
      <c r="S60" s="314"/>
      <c r="T60" s="313" t="s">
        <v>216</v>
      </c>
      <c r="U60" s="313" t="s">
        <v>3</v>
      </c>
      <c r="V60" s="314"/>
      <c r="W60" s="313" t="s">
        <v>216</v>
      </c>
      <c r="X60" s="150"/>
      <c r="Y60" s="315">
        <f ca="1">science_cap*(1-EXP(-TblImps[[#This Row],[Σ Science]]/(science_param*(OFFSET(TblImps[[#This Row],[Land]],1,0)-OFFSET(TblExplore[[#This Row],[Land Bonus]],1,0)*20)+15000)))*(1+(mason_bonus*TblConstr[[#This Row],[Tot Mas]]/TblConstr[[#This Row],[Land (2)]]))</f>
        <v>0</v>
      </c>
      <c r="Z60" s="315">
        <f ca="1">keep_cap*(1-EXP(-TblImps[[#This Row],[Σ Keep]]/(keep_param*(OFFSET(TblImps[[#This Row],[Land]],1,0)-OFFSET(TblExplore[[#This Row],[Land Bonus]],1,0)*20)+15000)))*(1+(mason_bonus*TblConstr[[#This Row],[Tot Mas]]/TblConstr[[#This Row],[Land (2)]]))</f>
        <v>0</v>
      </c>
      <c r="AA60" s="315">
        <f ca="1">harbor_towers_cap*(1-EXP(-TblImps[[#This Row],[Σ Towers]]/(towers_param*(OFFSET(TblImps[[#This Row],[Land]],1,0)-OFFSET(TblExplore[[#This Row],[Land Bonus]],1,0)*20)+15000)))*(1+(mason_bonus*TblConstr[[#This Row],[Tot Mas]]/TblConstr[[#This Row],[Land (2)]]))</f>
        <v>0</v>
      </c>
      <c r="AB60" s="315">
        <f ca="1">walls_forges_cap*(1-EXP(-TblImps[[#This Row],[Σ Forges]]/(walls_forges_param*(OFFSET(TblImps[[#This Row],[Land]],1,0)-OFFSET(TblExplore[[#This Row],[Land Bonus]],1,0)*20)+15000)))*(1+(mason_bonus*TblConstr[[#This Row],[Tot Mas]]/TblConstr[[#This Row],[Land (2)]]))</f>
        <v>0</v>
      </c>
      <c r="AC60" s="315">
        <f ca="1">walls_forges_cap*(1-EXP(-TblImps[[#This Row],[Σ Walls]]/(walls_forges_param*(OFFSET(TblImps[[#This Row],[Land]],1,0)-OFFSET(TblExplore[[#This Row],[Land Bonus]],1,0)*20)+15000)))*(1+(mason_bonus*TblConstr[[#This Row],[Tot Mas]]/TblConstr[[#This Row],[Land (2)]]))</f>
        <v>0</v>
      </c>
      <c r="AD60" s="315">
        <f ca="1">harbor_towers_cap*(1-EXP(-TblImps[[#This Row],[Σ Irrigation]]/(harbor_towers_param*(OFFSET(TblImps[[#This Row],[Land]],1,0)-OFFSET(TblExplore[[#This Row],[Land Bonus]],1,0)*20)+15000)))*(1+(mason_bonus*TblConstr[[#This Row],[Tot Mas]]/TblConstr[[#This Row],[Land (2)]]))</f>
        <v>0</v>
      </c>
      <c r="AE60" s="150"/>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50"/>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50"/>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50"/>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50"/>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50"/>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50"/>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50"/>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50"/>
      <c r="BV6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62">
        <f>TblImps[[#This Row],[Login]]</f>
        <v>0</v>
      </c>
      <c r="BX60" s="145"/>
      <c r="BY60" s="321">
        <f ca="1">OFFSET(TblImps[[#This Row],[Real time]],-1,0)+1/24</f>
        <v>44813.083333333198</v>
      </c>
      <c r="BZ60" s="322">
        <f ca="1">OFFSET(TblImps[[#This Row],[Servertime]],-1,0)+1/24</f>
        <v>44813.333333333198</v>
      </c>
      <c r="CA60" s="57"/>
      <c r="CB60" s="320"/>
      <c r="CC60" s="320"/>
    </row>
    <row r="61" spans="1:81" x14ac:dyDescent="0.2">
      <c r="A61" s="230">
        <f ca="1">TblConstr[[#This Row],[Land]]</f>
        <v>250</v>
      </c>
      <c r="B61" s="150"/>
      <c r="C61" s="97">
        <f ca="1">TblProd[[#This Row],[Platinum]]</f>
        <v>413580</v>
      </c>
      <c r="D61" s="97">
        <f ca="1">TblProd[[#This Row],[Lumber]]</f>
        <v>52066</v>
      </c>
      <c r="E61" s="97">
        <f ca="1">TblProd[[#This Row],[Ore]]</f>
        <v>0</v>
      </c>
      <c r="F61" s="97">
        <f ca="1">TblProd[[#This Row],[Gems]]</f>
        <v>10000</v>
      </c>
      <c r="G61" s="162"/>
      <c r="H61" s="97">
        <f ca="1">TblMili[[#This Row],[Draftees]]</f>
        <v>626</v>
      </c>
      <c r="I61" s="188">
        <f ca="1">TblPop[[#This Row],[Employment]]</f>
        <v>1</v>
      </c>
      <c r="J61" s="188">
        <f ca="1">TblPop[[#This Row],[Total]]/TblPop[[#This Row],[Net max]]</f>
        <v>1</v>
      </c>
      <c r="K61" s="311">
        <f>TblRezone[[#This Row],[Hour]]</f>
        <v>58</v>
      </c>
      <c r="L61" s="312">
        <f ca="1">TblImps[[#This Row],[Real time]]</f>
        <v>44813.124999999862</v>
      </c>
      <c r="M61" s="62">
        <f>IF(ISERROR(TblImps[[#This Row],[algorithm]]),0,TblImps[[#This Row],[algorithm]]*1)</f>
        <v>0</v>
      </c>
      <c r="N61" s="97">
        <f ca="1">TblImps[[#This Row],[Land]]</f>
        <v>250</v>
      </c>
      <c r="O61" s="313" t="s">
        <v>4</v>
      </c>
      <c r="P61" s="314"/>
      <c r="Q61" s="313" t="s">
        <v>216</v>
      </c>
      <c r="R61" s="313" t="s">
        <v>7</v>
      </c>
      <c r="S61" s="314"/>
      <c r="T61" s="313" t="s">
        <v>216</v>
      </c>
      <c r="U61" s="313" t="s">
        <v>3</v>
      </c>
      <c r="V61" s="314"/>
      <c r="W61" s="313" t="s">
        <v>216</v>
      </c>
      <c r="X61" s="150"/>
      <c r="Y61" s="315">
        <f ca="1">science_cap*(1-EXP(-TblImps[[#This Row],[Σ Science]]/(science_param*(OFFSET(TblImps[[#This Row],[Land]],1,0)-OFFSET(TblExplore[[#This Row],[Land Bonus]],1,0)*20)+15000)))*(1+(mason_bonus*TblConstr[[#This Row],[Tot Mas]]/TblConstr[[#This Row],[Land (2)]]))</f>
        <v>0</v>
      </c>
      <c r="Z61" s="315">
        <f ca="1">keep_cap*(1-EXP(-TblImps[[#This Row],[Σ Keep]]/(keep_param*(OFFSET(TblImps[[#This Row],[Land]],1,0)-OFFSET(TblExplore[[#This Row],[Land Bonus]],1,0)*20)+15000)))*(1+(mason_bonus*TblConstr[[#This Row],[Tot Mas]]/TblConstr[[#This Row],[Land (2)]]))</f>
        <v>0</v>
      </c>
      <c r="AA61" s="315">
        <f ca="1">harbor_towers_cap*(1-EXP(-TblImps[[#This Row],[Σ Towers]]/(towers_param*(OFFSET(TblImps[[#This Row],[Land]],1,0)-OFFSET(TblExplore[[#This Row],[Land Bonus]],1,0)*20)+15000)))*(1+(mason_bonus*TblConstr[[#This Row],[Tot Mas]]/TblConstr[[#This Row],[Land (2)]]))</f>
        <v>0</v>
      </c>
      <c r="AB61" s="315">
        <f ca="1">walls_forges_cap*(1-EXP(-TblImps[[#This Row],[Σ Forges]]/(walls_forges_param*(OFFSET(TblImps[[#This Row],[Land]],1,0)-OFFSET(TblExplore[[#This Row],[Land Bonus]],1,0)*20)+15000)))*(1+(mason_bonus*TblConstr[[#This Row],[Tot Mas]]/TblConstr[[#This Row],[Land (2)]]))</f>
        <v>0</v>
      </c>
      <c r="AC61" s="315">
        <f ca="1">walls_forges_cap*(1-EXP(-TblImps[[#This Row],[Σ Walls]]/(walls_forges_param*(OFFSET(TblImps[[#This Row],[Land]],1,0)-OFFSET(TblExplore[[#This Row],[Land Bonus]],1,0)*20)+15000)))*(1+(mason_bonus*TblConstr[[#This Row],[Tot Mas]]/TblConstr[[#This Row],[Land (2)]]))</f>
        <v>0</v>
      </c>
      <c r="AD61" s="315">
        <f ca="1">harbor_towers_cap*(1-EXP(-TblImps[[#This Row],[Σ Irrigation]]/(harbor_towers_param*(OFFSET(TblImps[[#This Row],[Land]],1,0)-OFFSET(TblExplore[[#This Row],[Land Bonus]],1,0)*20)+15000)))*(1+(mason_bonus*TblConstr[[#This Row],[Tot Mas]]/TblConstr[[#This Row],[Land (2)]]))</f>
        <v>0</v>
      </c>
      <c r="AE61" s="150"/>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50"/>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50"/>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50"/>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50"/>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50"/>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50"/>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50"/>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50"/>
      <c r="BV6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62">
        <f>TblImps[[#This Row],[Login]]</f>
        <v>0</v>
      </c>
      <c r="BX61" s="145"/>
      <c r="BY61" s="321">
        <f ca="1">OFFSET(TblImps[[#This Row],[Real time]],-1,0)+1/24</f>
        <v>44813.124999999862</v>
      </c>
      <c r="BZ61" s="322">
        <f ca="1">OFFSET(TblImps[[#This Row],[Servertime]],-1,0)+1/24</f>
        <v>44813.374999999862</v>
      </c>
      <c r="CA61" s="57"/>
      <c r="CB61" s="320"/>
      <c r="CC61" s="320"/>
    </row>
    <row r="62" spans="1:81" x14ac:dyDescent="0.2">
      <c r="A62" s="230">
        <f ca="1">TblConstr[[#This Row],[Land]]</f>
        <v>250</v>
      </c>
      <c r="B62" s="150"/>
      <c r="C62" s="97">
        <f ca="1">TblProd[[#This Row],[Platinum]]</f>
        <v>419066</v>
      </c>
      <c r="D62" s="97">
        <f ca="1">TblProd[[#This Row],[Lumber]]</f>
        <v>52545</v>
      </c>
      <c r="E62" s="97">
        <f ca="1">TblProd[[#This Row],[Ore]]</f>
        <v>0</v>
      </c>
      <c r="F62" s="97">
        <f ca="1">TblProd[[#This Row],[Gems]]</f>
        <v>10000</v>
      </c>
      <c r="G62" s="162"/>
      <c r="H62" s="97">
        <f ca="1">TblMili[[#This Row],[Draftees]]</f>
        <v>626</v>
      </c>
      <c r="I62" s="188">
        <f ca="1">TblPop[[#This Row],[Employment]]</f>
        <v>1</v>
      </c>
      <c r="J62" s="188">
        <f ca="1">TblPop[[#This Row],[Total]]/TblPop[[#This Row],[Net max]]</f>
        <v>1</v>
      </c>
      <c r="K62" s="311">
        <f>TblRezone[[#This Row],[Hour]]</f>
        <v>59</v>
      </c>
      <c r="L62" s="312">
        <f ca="1">TblImps[[#This Row],[Real time]]</f>
        <v>44813.166666666526</v>
      </c>
      <c r="M62" s="62">
        <f>IF(ISERROR(TblImps[[#This Row],[algorithm]]),0,TblImps[[#This Row],[algorithm]]*1)</f>
        <v>0</v>
      </c>
      <c r="N62" s="97">
        <f ca="1">TblImps[[#This Row],[Land]]</f>
        <v>250</v>
      </c>
      <c r="O62" s="313" t="s">
        <v>4</v>
      </c>
      <c r="P62" s="314"/>
      <c r="Q62" s="313" t="s">
        <v>216</v>
      </c>
      <c r="R62" s="313" t="s">
        <v>7</v>
      </c>
      <c r="S62" s="314"/>
      <c r="T62" s="313" t="s">
        <v>216</v>
      </c>
      <c r="U62" s="313" t="s">
        <v>3</v>
      </c>
      <c r="V62" s="314"/>
      <c r="W62" s="313" t="s">
        <v>216</v>
      </c>
      <c r="X62" s="150"/>
      <c r="Y62" s="315">
        <f ca="1">science_cap*(1-EXP(-TblImps[[#This Row],[Σ Science]]/(science_param*(OFFSET(TblImps[[#This Row],[Land]],1,0)-OFFSET(TblExplore[[#This Row],[Land Bonus]],1,0)*20)+15000)))*(1+(mason_bonus*TblConstr[[#This Row],[Tot Mas]]/TblConstr[[#This Row],[Land (2)]]))</f>
        <v>0</v>
      </c>
      <c r="Z62" s="315">
        <f ca="1">keep_cap*(1-EXP(-TblImps[[#This Row],[Σ Keep]]/(keep_param*(OFFSET(TblImps[[#This Row],[Land]],1,0)-OFFSET(TblExplore[[#This Row],[Land Bonus]],1,0)*20)+15000)))*(1+(mason_bonus*TblConstr[[#This Row],[Tot Mas]]/TblConstr[[#This Row],[Land (2)]]))</f>
        <v>0</v>
      </c>
      <c r="AA62" s="315">
        <f ca="1">harbor_towers_cap*(1-EXP(-TblImps[[#This Row],[Σ Towers]]/(towers_param*(OFFSET(TblImps[[#This Row],[Land]],1,0)-OFFSET(TblExplore[[#This Row],[Land Bonus]],1,0)*20)+15000)))*(1+(mason_bonus*TblConstr[[#This Row],[Tot Mas]]/TblConstr[[#This Row],[Land (2)]]))</f>
        <v>0</v>
      </c>
      <c r="AB62" s="315">
        <f ca="1">walls_forges_cap*(1-EXP(-TblImps[[#This Row],[Σ Forges]]/(walls_forges_param*(OFFSET(TblImps[[#This Row],[Land]],1,0)-OFFSET(TblExplore[[#This Row],[Land Bonus]],1,0)*20)+15000)))*(1+(mason_bonus*TblConstr[[#This Row],[Tot Mas]]/TblConstr[[#This Row],[Land (2)]]))</f>
        <v>0</v>
      </c>
      <c r="AC62" s="315">
        <f ca="1">walls_forges_cap*(1-EXP(-TblImps[[#This Row],[Σ Walls]]/(walls_forges_param*(OFFSET(TblImps[[#This Row],[Land]],1,0)-OFFSET(TblExplore[[#This Row],[Land Bonus]],1,0)*20)+15000)))*(1+(mason_bonus*TblConstr[[#This Row],[Tot Mas]]/TblConstr[[#This Row],[Land (2)]]))</f>
        <v>0</v>
      </c>
      <c r="AD62" s="315">
        <f ca="1">harbor_towers_cap*(1-EXP(-TblImps[[#This Row],[Σ Irrigation]]/(harbor_towers_param*(OFFSET(TblImps[[#This Row],[Land]],1,0)-OFFSET(TblExplore[[#This Row],[Land Bonus]],1,0)*20)+15000)))*(1+(mason_bonus*TblConstr[[#This Row],[Tot Mas]]/TblConstr[[#This Row],[Land (2)]]))</f>
        <v>0</v>
      </c>
      <c r="AE62" s="150"/>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50"/>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50"/>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50"/>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50"/>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50"/>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50"/>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50"/>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50"/>
      <c r="BV6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62">
        <f>TblImps[[#This Row],[Login]]</f>
        <v>0</v>
      </c>
      <c r="BX62" s="145"/>
      <c r="BY62" s="321">
        <f ca="1">OFFSET(TblImps[[#This Row],[Real time]],-1,0)+1/24</f>
        <v>44813.166666666526</v>
      </c>
      <c r="BZ62" s="322">
        <f ca="1">OFFSET(TblImps[[#This Row],[Servertime]],-1,0)+1/24</f>
        <v>44813.416666666526</v>
      </c>
      <c r="CA62" s="57"/>
      <c r="CB62" s="320"/>
      <c r="CC62" s="320"/>
    </row>
    <row r="63" spans="1:81" x14ac:dyDescent="0.2">
      <c r="A63" s="230">
        <f ca="1">TblConstr[[#This Row],[Land]]</f>
        <v>250</v>
      </c>
      <c r="B63" s="150"/>
      <c r="C63" s="97">
        <f ca="1">TblProd[[#This Row],[Platinum]]</f>
        <v>424552</v>
      </c>
      <c r="D63" s="97">
        <f ca="1">TblProd[[#This Row],[Lumber]]</f>
        <v>53020</v>
      </c>
      <c r="E63" s="97">
        <f ca="1">TblProd[[#This Row],[Ore]]</f>
        <v>0</v>
      </c>
      <c r="F63" s="97">
        <f ca="1">TblProd[[#This Row],[Gems]]</f>
        <v>10000</v>
      </c>
      <c r="G63" s="162"/>
      <c r="H63" s="97">
        <f ca="1">TblMili[[#This Row],[Draftees]]</f>
        <v>626</v>
      </c>
      <c r="I63" s="188">
        <f ca="1">TblPop[[#This Row],[Employment]]</f>
        <v>1</v>
      </c>
      <c r="J63" s="188">
        <f ca="1">TblPop[[#This Row],[Total]]/TblPop[[#This Row],[Net max]]</f>
        <v>1</v>
      </c>
      <c r="K63" s="311">
        <f>TblRezone[[#This Row],[Hour]]</f>
        <v>60</v>
      </c>
      <c r="L63" s="312">
        <f ca="1">TblImps[[#This Row],[Real time]]</f>
        <v>44813.20833333319</v>
      </c>
      <c r="M63" s="62">
        <f>IF(ISERROR(TblImps[[#This Row],[algorithm]]),0,TblImps[[#This Row],[algorithm]]*1)</f>
        <v>0</v>
      </c>
      <c r="N63" s="97">
        <f ca="1">TblImps[[#This Row],[Land]]</f>
        <v>250</v>
      </c>
      <c r="O63" s="313" t="s">
        <v>4</v>
      </c>
      <c r="P63" s="314"/>
      <c r="Q63" s="313" t="s">
        <v>216</v>
      </c>
      <c r="R63" s="313" t="s">
        <v>7</v>
      </c>
      <c r="S63" s="314"/>
      <c r="T63" s="313" t="s">
        <v>216</v>
      </c>
      <c r="U63" s="313" t="s">
        <v>3</v>
      </c>
      <c r="V63" s="314"/>
      <c r="W63" s="313" t="s">
        <v>216</v>
      </c>
      <c r="X63" s="150"/>
      <c r="Y63" s="315">
        <f ca="1">science_cap*(1-EXP(-TblImps[[#This Row],[Σ Science]]/(science_param*(OFFSET(TblImps[[#This Row],[Land]],1,0)-OFFSET(TblExplore[[#This Row],[Land Bonus]],1,0)*20)+15000)))*(1+(mason_bonus*TblConstr[[#This Row],[Tot Mas]]/TblConstr[[#This Row],[Land (2)]]))</f>
        <v>0</v>
      </c>
      <c r="Z63" s="315">
        <f ca="1">keep_cap*(1-EXP(-TblImps[[#This Row],[Σ Keep]]/(keep_param*(OFFSET(TblImps[[#This Row],[Land]],1,0)-OFFSET(TblExplore[[#This Row],[Land Bonus]],1,0)*20)+15000)))*(1+(mason_bonus*TblConstr[[#This Row],[Tot Mas]]/TblConstr[[#This Row],[Land (2)]]))</f>
        <v>0</v>
      </c>
      <c r="AA63" s="315">
        <f ca="1">harbor_towers_cap*(1-EXP(-TblImps[[#This Row],[Σ Towers]]/(towers_param*(OFFSET(TblImps[[#This Row],[Land]],1,0)-OFFSET(TblExplore[[#This Row],[Land Bonus]],1,0)*20)+15000)))*(1+(mason_bonus*TblConstr[[#This Row],[Tot Mas]]/TblConstr[[#This Row],[Land (2)]]))</f>
        <v>0</v>
      </c>
      <c r="AB63" s="315">
        <f ca="1">walls_forges_cap*(1-EXP(-TblImps[[#This Row],[Σ Forges]]/(walls_forges_param*(OFFSET(TblImps[[#This Row],[Land]],1,0)-OFFSET(TblExplore[[#This Row],[Land Bonus]],1,0)*20)+15000)))*(1+(mason_bonus*TblConstr[[#This Row],[Tot Mas]]/TblConstr[[#This Row],[Land (2)]]))</f>
        <v>0</v>
      </c>
      <c r="AC63" s="315">
        <f ca="1">walls_forges_cap*(1-EXP(-TblImps[[#This Row],[Σ Walls]]/(walls_forges_param*(OFFSET(TblImps[[#This Row],[Land]],1,0)-OFFSET(TblExplore[[#This Row],[Land Bonus]],1,0)*20)+15000)))*(1+(mason_bonus*TblConstr[[#This Row],[Tot Mas]]/TblConstr[[#This Row],[Land (2)]]))</f>
        <v>0</v>
      </c>
      <c r="AD63" s="315">
        <f ca="1">harbor_towers_cap*(1-EXP(-TblImps[[#This Row],[Σ Irrigation]]/(harbor_towers_param*(OFFSET(TblImps[[#This Row],[Land]],1,0)-OFFSET(TblExplore[[#This Row],[Land Bonus]],1,0)*20)+15000)))*(1+(mason_bonus*TblConstr[[#This Row],[Tot Mas]]/TblConstr[[#This Row],[Land (2)]]))</f>
        <v>0</v>
      </c>
      <c r="AE63" s="150"/>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50"/>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50"/>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50"/>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50"/>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50"/>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50"/>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50"/>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50"/>
      <c r="BV6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62">
        <f>TblImps[[#This Row],[Login]]</f>
        <v>0</v>
      </c>
      <c r="BX63" s="145"/>
      <c r="BY63" s="321">
        <f ca="1">OFFSET(TblImps[[#This Row],[Real time]],-1,0)+1/24</f>
        <v>44813.20833333319</v>
      </c>
      <c r="BZ63" s="322">
        <f ca="1">OFFSET(TblImps[[#This Row],[Servertime]],-1,0)+1/24</f>
        <v>44813.45833333319</v>
      </c>
      <c r="CA63" s="57"/>
      <c r="CB63" s="320"/>
      <c r="CC63" s="320"/>
    </row>
    <row r="64" spans="1:81" x14ac:dyDescent="0.2">
      <c r="A64" s="230">
        <f ca="1">TblConstr[[#This Row],[Land]]</f>
        <v>250</v>
      </c>
      <c r="B64" s="150"/>
      <c r="C64" s="97">
        <f ca="1">TblProd[[#This Row],[Platinum]]</f>
        <v>430038</v>
      </c>
      <c r="D64" s="97">
        <f ca="1">TblProd[[#This Row],[Lumber]]</f>
        <v>53490</v>
      </c>
      <c r="E64" s="97">
        <f ca="1">TblProd[[#This Row],[Ore]]</f>
        <v>0</v>
      </c>
      <c r="F64" s="97">
        <f ca="1">TblProd[[#This Row],[Gems]]</f>
        <v>10000</v>
      </c>
      <c r="G64" s="162"/>
      <c r="H64" s="97">
        <f ca="1">TblMili[[#This Row],[Draftees]]</f>
        <v>626</v>
      </c>
      <c r="I64" s="188">
        <f ca="1">TblPop[[#This Row],[Employment]]</f>
        <v>1</v>
      </c>
      <c r="J64" s="188">
        <f ca="1">TblPop[[#This Row],[Total]]/TblPop[[#This Row],[Net max]]</f>
        <v>1</v>
      </c>
      <c r="K64" s="311">
        <f>TblRezone[[#This Row],[Hour]]</f>
        <v>61</v>
      </c>
      <c r="L64" s="312">
        <f ca="1">TblImps[[#This Row],[Real time]]</f>
        <v>44813.249999999854</v>
      </c>
      <c r="M64" s="62">
        <f>IF(ISERROR(TblImps[[#This Row],[algorithm]]),0,TblImps[[#This Row],[algorithm]]*1)</f>
        <v>0</v>
      </c>
      <c r="N64" s="97">
        <f ca="1">TblImps[[#This Row],[Land]]</f>
        <v>250</v>
      </c>
      <c r="O64" s="313" t="s">
        <v>4</v>
      </c>
      <c r="P64" s="314"/>
      <c r="Q64" s="313" t="s">
        <v>216</v>
      </c>
      <c r="R64" s="313" t="s">
        <v>7</v>
      </c>
      <c r="S64" s="314"/>
      <c r="T64" s="313" t="s">
        <v>216</v>
      </c>
      <c r="U64" s="313" t="s">
        <v>3</v>
      </c>
      <c r="V64" s="314"/>
      <c r="W64" s="313" t="s">
        <v>216</v>
      </c>
      <c r="X64" s="150"/>
      <c r="Y64" s="315">
        <f ca="1">science_cap*(1-EXP(-TblImps[[#This Row],[Σ Science]]/(science_param*(OFFSET(TblImps[[#This Row],[Land]],1,0)-OFFSET(TblExplore[[#This Row],[Land Bonus]],1,0)*20)+15000)))*(1+(mason_bonus*TblConstr[[#This Row],[Tot Mas]]/TblConstr[[#This Row],[Land (2)]]))</f>
        <v>0</v>
      </c>
      <c r="Z64" s="315">
        <f ca="1">keep_cap*(1-EXP(-TblImps[[#This Row],[Σ Keep]]/(keep_param*(OFFSET(TblImps[[#This Row],[Land]],1,0)-OFFSET(TblExplore[[#This Row],[Land Bonus]],1,0)*20)+15000)))*(1+(mason_bonus*TblConstr[[#This Row],[Tot Mas]]/TblConstr[[#This Row],[Land (2)]]))</f>
        <v>0</v>
      </c>
      <c r="AA64" s="315">
        <f ca="1">harbor_towers_cap*(1-EXP(-TblImps[[#This Row],[Σ Towers]]/(towers_param*(OFFSET(TblImps[[#This Row],[Land]],1,0)-OFFSET(TblExplore[[#This Row],[Land Bonus]],1,0)*20)+15000)))*(1+(mason_bonus*TblConstr[[#This Row],[Tot Mas]]/TblConstr[[#This Row],[Land (2)]]))</f>
        <v>0</v>
      </c>
      <c r="AB64" s="315">
        <f ca="1">walls_forges_cap*(1-EXP(-TblImps[[#This Row],[Σ Forges]]/(walls_forges_param*(OFFSET(TblImps[[#This Row],[Land]],1,0)-OFFSET(TblExplore[[#This Row],[Land Bonus]],1,0)*20)+15000)))*(1+(mason_bonus*TblConstr[[#This Row],[Tot Mas]]/TblConstr[[#This Row],[Land (2)]]))</f>
        <v>0</v>
      </c>
      <c r="AC64" s="315">
        <f ca="1">walls_forges_cap*(1-EXP(-TblImps[[#This Row],[Σ Walls]]/(walls_forges_param*(OFFSET(TblImps[[#This Row],[Land]],1,0)-OFFSET(TblExplore[[#This Row],[Land Bonus]],1,0)*20)+15000)))*(1+(mason_bonus*TblConstr[[#This Row],[Tot Mas]]/TblConstr[[#This Row],[Land (2)]]))</f>
        <v>0</v>
      </c>
      <c r="AD64" s="315">
        <f ca="1">harbor_towers_cap*(1-EXP(-TblImps[[#This Row],[Σ Irrigation]]/(harbor_towers_param*(OFFSET(TblImps[[#This Row],[Land]],1,0)-OFFSET(TblExplore[[#This Row],[Land Bonus]],1,0)*20)+15000)))*(1+(mason_bonus*TblConstr[[#This Row],[Tot Mas]]/TblConstr[[#This Row],[Land (2)]]))</f>
        <v>0</v>
      </c>
      <c r="AE64" s="150"/>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50"/>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50"/>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50"/>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50"/>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50"/>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50"/>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50"/>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50"/>
      <c r="BV6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62">
        <f>TblImps[[#This Row],[Login]]</f>
        <v>0</v>
      </c>
      <c r="BX64" s="145"/>
      <c r="BY64" s="321">
        <f ca="1">OFFSET(TblImps[[#This Row],[Real time]],-1,0)+1/24</f>
        <v>44813.249999999854</v>
      </c>
      <c r="BZ64" s="322">
        <f ca="1">OFFSET(TblImps[[#This Row],[Servertime]],-1,0)+1/24</f>
        <v>44813.499999999854</v>
      </c>
      <c r="CA64" s="57"/>
      <c r="CB64" s="320"/>
      <c r="CC64" s="320"/>
    </row>
    <row r="65" spans="1:84" x14ac:dyDescent="0.2">
      <c r="A65" s="230">
        <f ca="1">TblConstr[[#This Row],[Land]]</f>
        <v>250</v>
      </c>
      <c r="B65" s="150"/>
      <c r="C65" s="97">
        <f ca="1">TblProd[[#This Row],[Platinum]]</f>
        <v>435524</v>
      </c>
      <c r="D65" s="97">
        <f ca="1">TblProd[[#This Row],[Lumber]]</f>
        <v>53955</v>
      </c>
      <c r="E65" s="97">
        <f ca="1">TblProd[[#This Row],[Ore]]</f>
        <v>0</v>
      </c>
      <c r="F65" s="97">
        <f ca="1">TblProd[[#This Row],[Gems]]</f>
        <v>10000</v>
      </c>
      <c r="G65" s="162"/>
      <c r="H65" s="97">
        <f ca="1">TblMili[[#This Row],[Draftees]]</f>
        <v>626</v>
      </c>
      <c r="I65" s="188">
        <f ca="1">TblPop[[#This Row],[Employment]]</f>
        <v>1</v>
      </c>
      <c r="J65" s="188">
        <f ca="1">TblPop[[#This Row],[Total]]/TblPop[[#This Row],[Net max]]</f>
        <v>1</v>
      </c>
      <c r="K65" s="311">
        <f>TblRezone[[#This Row],[Hour]]</f>
        <v>62</v>
      </c>
      <c r="L65" s="312">
        <f ca="1">TblImps[[#This Row],[Real time]]</f>
        <v>44813.291666666519</v>
      </c>
      <c r="M65" s="62">
        <f>IF(ISERROR(TblImps[[#This Row],[algorithm]]),0,TblImps[[#This Row],[algorithm]]*1)</f>
        <v>0</v>
      </c>
      <c r="N65" s="97">
        <f ca="1">TblImps[[#This Row],[Land]]</f>
        <v>250</v>
      </c>
      <c r="O65" s="313" t="s">
        <v>4</v>
      </c>
      <c r="P65" s="314"/>
      <c r="Q65" s="313" t="s">
        <v>216</v>
      </c>
      <c r="R65" s="313" t="s">
        <v>7</v>
      </c>
      <c r="S65" s="314"/>
      <c r="T65" s="313" t="s">
        <v>216</v>
      </c>
      <c r="U65" s="313" t="s">
        <v>3</v>
      </c>
      <c r="V65" s="314"/>
      <c r="W65" s="313" t="s">
        <v>216</v>
      </c>
      <c r="X65" s="150"/>
      <c r="Y65" s="315">
        <f ca="1">science_cap*(1-EXP(-TblImps[[#This Row],[Σ Science]]/(science_param*(OFFSET(TblImps[[#This Row],[Land]],1,0)-OFFSET(TblExplore[[#This Row],[Land Bonus]],1,0)*20)+15000)))*(1+(mason_bonus*TblConstr[[#This Row],[Tot Mas]]/TblConstr[[#This Row],[Land (2)]]))</f>
        <v>0</v>
      </c>
      <c r="Z65" s="315">
        <f ca="1">keep_cap*(1-EXP(-TblImps[[#This Row],[Σ Keep]]/(keep_param*(OFFSET(TblImps[[#This Row],[Land]],1,0)-OFFSET(TblExplore[[#This Row],[Land Bonus]],1,0)*20)+15000)))*(1+(mason_bonus*TblConstr[[#This Row],[Tot Mas]]/TblConstr[[#This Row],[Land (2)]]))</f>
        <v>0</v>
      </c>
      <c r="AA65" s="315">
        <f ca="1">harbor_towers_cap*(1-EXP(-TblImps[[#This Row],[Σ Towers]]/(towers_param*(OFFSET(TblImps[[#This Row],[Land]],1,0)-OFFSET(TblExplore[[#This Row],[Land Bonus]],1,0)*20)+15000)))*(1+(mason_bonus*TblConstr[[#This Row],[Tot Mas]]/TblConstr[[#This Row],[Land (2)]]))</f>
        <v>0</v>
      </c>
      <c r="AB65" s="315">
        <f ca="1">walls_forges_cap*(1-EXP(-TblImps[[#This Row],[Σ Forges]]/(walls_forges_param*(OFFSET(TblImps[[#This Row],[Land]],1,0)-OFFSET(TblExplore[[#This Row],[Land Bonus]],1,0)*20)+15000)))*(1+(mason_bonus*TblConstr[[#This Row],[Tot Mas]]/TblConstr[[#This Row],[Land (2)]]))</f>
        <v>0</v>
      </c>
      <c r="AC65" s="315">
        <f ca="1">walls_forges_cap*(1-EXP(-TblImps[[#This Row],[Σ Walls]]/(walls_forges_param*(OFFSET(TblImps[[#This Row],[Land]],1,0)-OFFSET(TblExplore[[#This Row],[Land Bonus]],1,0)*20)+15000)))*(1+(mason_bonus*TblConstr[[#This Row],[Tot Mas]]/TblConstr[[#This Row],[Land (2)]]))</f>
        <v>0</v>
      </c>
      <c r="AD65" s="315">
        <f ca="1">harbor_towers_cap*(1-EXP(-TblImps[[#This Row],[Σ Irrigation]]/(harbor_towers_param*(OFFSET(TblImps[[#This Row],[Land]],1,0)-OFFSET(TblExplore[[#This Row],[Land Bonus]],1,0)*20)+15000)))*(1+(mason_bonus*TblConstr[[#This Row],[Tot Mas]]/TblConstr[[#This Row],[Land (2)]]))</f>
        <v>0</v>
      </c>
      <c r="AE65" s="150"/>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50"/>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50"/>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50"/>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50"/>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50"/>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50"/>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50"/>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50"/>
      <c r="BV6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62">
        <f>TblImps[[#This Row],[Login]]</f>
        <v>0</v>
      </c>
      <c r="BX65" s="145"/>
      <c r="BY65" s="321">
        <f ca="1">OFFSET(TblImps[[#This Row],[Real time]],-1,0)+1/24</f>
        <v>44813.291666666519</v>
      </c>
      <c r="BZ65" s="322">
        <f ca="1">OFFSET(TblImps[[#This Row],[Servertime]],-1,0)+1/24</f>
        <v>44813.541666666519</v>
      </c>
      <c r="CA65" s="57"/>
      <c r="CB65" s="320"/>
      <c r="CC65" s="320"/>
    </row>
    <row r="66" spans="1:84" x14ac:dyDescent="0.2">
      <c r="A66" s="230">
        <f ca="1">TblConstr[[#This Row],[Land]]</f>
        <v>250</v>
      </c>
      <c r="B66" s="150"/>
      <c r="C66" s="97">
        <f ca="1">TblProd[[#This Row],[Platinum]]</f>
        <v>441010</v>
      </c>
      <c r="D66" s="97">
        <f ca="1">TblProd[[#This Row],[Lumber]]</f>
        <v>54415</v>
      </c>
      <c r="E66" s="97">
        <f ca="1">TblProd[[#This Row],[Ore]]</f>
        <v>0</v>
      </c>
      <c r="F66" s="97">
        <f ca="1">TblProd[[#This Row],[Gems]]</f>
        <v>10000</v>
      </c>
      <c r="G66" s="162"/>
      <c r="H66" s="97">
        <f ca="1">TblMili[[#This Row],[Draftees]]</f>
        <v>626</v>
      </c>
      <c r="I66" s="188">
        <f ca="1">TblPop[[#This Row],[Employment]]</f>
        <v>1</v>
      </c>
      <c r="J66" s="188">
        <f ca="1">TblPop[[#This Row],[Total]]/TblPop[[#This Row],[Net max]]</f>
        <v>1</v>
      </c>
      <c r="K66" s="311">
        <f>TblRezone[[#This Row],[Hour]]</f>
        <v>63</v>
      </c>
      <c r="L66" s="312">
        <f ca="1">TblImps[[#This Row],[Real time]]</f>
        <v>44813.333333333183</v>
      </c>
      <c r="M66" s="62">
        <f>IF(ISERROR(TblImps[[#This Row],[algorithm]]),0,TblImps[[#This Row],[algorithm]]*1)</f>
        <v>0</v>
      </c>
      <c r="N66" s="97">
        <f ca="1">TblImps[[#This Row],[Land]]</f>
        <v>250</v>
      </c>
      <c r="O66" s="313" t="s">
        <v>2</v>
      </c>
      <c r="P66" s="314"/>
      <c r="Q66" s="313" t="s">
        <v>216</v>
      </c>
      <c r="R66" s="313" t="s">
        <v>7</v>
      </c>
      <c r="S66" s="314"/>
      <c r="T66" s="313" t="s">
        <v>216</v>
      </c>
      <c r="U66" s="313" t="s">
        <v>3</v>
      </c>
      <c r="V66" s="314"/>
      <c r="W66" s="313" t="s">
        <v>216</v>
      </c>
      <c r="X66" s="150"/>
      <c r="Y66" s="315">
        <f ca="1">science_cap*(1-EXP(-TblImps[[#This Row],[Σ Science]]/(science_param*(OFFSET(TblImps[[#This Row],[Land]],1,0)-OFFSET(TblExplore[[#This Row],[Land Bonus]],1,0)*20)+15000)))*(1+(mason_bonus*TblConstr[[#This Row],[Tot Mas]]/TblConstr[[#This Row],[Land (2)]]))</f>
        <v>0</v>
      </c>
      <c r="Z66" s="315">
        <f ca="1">keep_cap*(1-EXP(-TblImps[[#This Row],[Σ Keep]]/(keep_param*(OFFSET(TblImps[[#This Row],[Land]],1,0)-OFFSET(TblExplore[[#This Row],[Land Bonus]],1,0)*20)+15000)))*(1+(mason_bonus*TblConstr[[#This Row],[Tot Mas]]/TblConstr[[#This Row],[Land (2)]]))</f>
        <v>0</v>
      </c>
      <c r="AA66" s="315">
        <f ca="1">harbor_towers_cap*(1-EXP(-TblImps[[#This Row],[Σ Towers]]/(towers_param*(OFFSET(TblImps[[#This Row],[Land]],1,0)-OFFSET(TblExplore[[#This Row],[Land Bonus]],1,0)*20)+15000)))*(1+(mason_bonus*TblConstr[[#This Row],[Tot Mas]]/TblConstr[[#This Row],[Land (2)]]))</f>
        <v>0</v>
      </c>
      <c r="AB66" s="315">
        <f ca="1">walls_forges_cap*(1-EXP(-TblImps[[#This Row],[Σ Forges]]/(walls_forges_param*(OFFSET(TblImps[[#This Row],[Land]],1,0)-OFFSET(TblExplore[[#This Row],[Land Bonus]],1,0)*20)+15000)))*(1+(mason_bonus*TblConstr[[#This Row],[Tot Mas]]/TblConstr[[#This Row],[Land (2)]]))</f>
        <v>0</v>
      </c>
      <c r="AC66" s="315">
        <f ca="1">walls_forges_cap*(1-EXP(-TblImps[[#This Row],[Σ Walls]]/(walls_forges_param*(OFFSET(TblImps[[#This Row],[Land]],1,0)-OFFSET(TblExplore[[#This Row],[Land Bonus]],1,0)*20)+15000)))*(1+(mason_bonus*TblConstr[[#This Row],[Tot Mas]]/TblConstr[[#This Row],[Land (2)]]))</f>
        <v>0</v>
      </c>
      <c r="AD66" s="315">
        <f ca="1">harbor_towers_cap*(1-EXP(-TblImps[[#This Row],[Σ Irrigation]]/(harbor_towers_param*(OFFSET(TblImps[[#This Row],[Land]],1,0)-OFFSET(TblExplore[[#This Row],[Land Bonus]],1,0)*20)+15000)))*(1+(mason_bonus*TblConstr[[#This Row],[Tot Mas]]/TblConstr[[#This Row],[Land (2)]]))</f>
        <v>0</v>
      </c>
      <c r="AE66" s="150"/>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50"/>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50"/>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50"/>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50"/>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50"/>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50"/>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50"/>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50"/>
      <c r="BV6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62">
        <f>TblImps[[#This Row],[Login]]</f>
        <v>0</v>
      </c>
      <c r="BX66" s="145"/>
      <c r="BY66" s="321">
        <f ca="1">OFFSET(TblImps[[#This Row],[Real time]],-1,0)+1/24</f>
        <v>44813.333333333183</v>
      </c>
      <c r="BZ66" s="322">
        <f ca="1">OFFSET(TblImps[[#This Row],[Servertime]],-1,0)+1/24</f>
        <v>44813.583333333183</v>
      </c>
      <c r="CA66" s="325"/>
      <c r="CB66" s="320"/>
      <c r="CC66" s="320"/>
    </row>
    <row r="67" spans="1:84" x14ac:dyDescent="0.2">
      <c r="A67" s="230">
        <f ca="1">TblConstr[[#This Row],[Land]]</f>
        <v>250</v>
      </c>
      <c r="B67" s="150"/>
      <c r="C67" s="97">
        <f ca="1">TblProd[[#This Row],[Platinum]]</f>
        <v>446496</v>
      </c>
      <c r="D67" s="97">
        <f ca="1">TblProd[[#This Row],[Lumber]]</f>
        <v>54871</v>
      </c>
      <c r="E67" s="97">
        <f ca="1">TblProd[[#This Row],[Ore]]</f>
        <v>0</v>
      </c>
      <c r="F67" s="97">
        <f ca="1">TblProd[[#This Row],[Gems]]</f>
        <v>10000</v>
      </c>
      <c r="G67" s="162"/>
      <c r="H67" s="97">
        <f ca="1">TblMili[[#This Row],[Draftees]]</f>
        <v>626</v>
      </c>
      <c r="I67" s="188">
        <f ca="1">TblPop[[#This Row],[Employment]]</f>
        <v>1</v>
      </c>
      <c r="J67" s="188">
        <f ca="1">TblPop[[#This Row],[Total]]/TblPop[[#This Row],[Net max]]</f>
        <v>1</v>
      </c>
      <c r="K67" s="311">
        <f>TblRezone[[#This Row],[Hour]]</f>
        <v>64</v>
      </c>
      <c r="L67" s="312">
        <f ca="1">TblImps[[#This Row],[Real time]]</f>
        <v>44813.374999999847</v>
      </c>
      <c r="M67" s="62">
        <f>IF(ISERROR(TblImps[[#This Row],[algorithm]]),0,TblImps[[#This Row],[algorithm]]*1)</f>
        <v>0</v>
      </c>
      <c r="N67" s="97">
        <f ca="1">TblImps[[#This Row],[Land]]</f>
        <v>250</v>
      </c>
      <c r="O67" s="313" t="s">
        <v>4</v>
      </c>
      <c r="P67" s="314"/>
      <c r="Q67" s="313" t="s">
        <v>216</v>
      </c>
      <c r="R67" s="313" t="s">
        <v>7</v>
      </c>
      <c r="S67" s="314"/>
      <c r="T67" s="313" t="s">
        <v>216</v>
      </c>
      <c r="U67" s="313" t="s">
        <v>3</v>
      </c>
      <c r="V67" s="314"/>
      <c r="W67" s="313" t="s">
        <v>216</v>
      </c>
      <c r="X67" s="150"/>
      <c r="Y67" s="315">
        <f ca="1">science_cap*(1-EXP(-TblImps[[#This Row],[Σ Science]]/(science_param*(OFFSET(TblImps[[#This Row],[Land]],1,0)-OFFSET(TblExplore[[#This Row],[Land Bonus]],1,0)*20)+15000)))*(1+(mason_bonus*TblConstr[[#This Row],[Tot Mas]]/TblConstr[[#This Row],[Land (2)]]))</f>
        <v>0</v>
      </c>
      <c r="Z67" s="315">
        <f ca="1">keep_cap*(1-EXP(-TblImps[[#This Row],[Σ Keep]]/(keep_param*(OFFSET(TblImps[[#This Row],[Land]],1,0)-OFFSET(TblExplore[[#This Row],[Land Bonus]],1,0)*20)+15000)))*(1+(mason_bonus*TblConstr[[#This Row],[Tot Mas]]/TblConstr[[#This Row],[Land (2)]]))</f>
        <v>0</v>
      </c>
      <c r="AA67" s="315">
        <f ca="1">harbor_towers_cap*(1-EXP(-TblImps[[#This Row],[Σ Towers]]/(towers_param*(OFFSET(TblImps[[#This Row],[Land]],1,0)-OFFSET(TblExplore[[#This Row],[Land Bonus]],1,0)*20)+15000)))*(1+(mason_bonus*TblConstr[[#This Row],[Tot Mas]]/TblConstr[[#This Row],[Land (2)]]))</f>
        <v>0</v>
      </c>
      <c r="AB67" s="315">
        <f ca="1">walls_forges_cap*(1-EXP(-TblImps[[#This Row],[Σ Forges]]/(walls_forges_param*(OFFSET(TblImps[[#This Row],[Land]],1,0)-OFFSET(TblExplore[[#This Row],[Land Bonus]],1,0)*20)+15000)))*(1+(mason_bonus*TblConstr[[#This Row],[Tot Mas]]/TblConstr[[#This Row],[Land (2)]]))</f>
        <v>0</v>
      </c>
      <c r="AC67" s="315">
        <f ca="1">walls_forges_cap*(1-EXP(-TblImps[[#This Row],[Σ Walls]]/(walls_forges_param*(OFFSET(TblImps[[#This Row],[Land]],1,0)-OFFSET(TblExplore[[#This Row],[Land Bonus]],1,0)*20)+15000)))*(1+(mason_bonus*TblConstr[[#This Row],[Tot Mas]]/TblConstr[[#This Row],[Land (2)]]))</f>
        <v>0</v>
      </c>
      <c r="AD67" s="315">
        <f ca="1">harbor_towers_cap*(1-EXP(-TblImps[[#This Row],[Σ Irrigation]]/(harbor_towers_param*(OFFSET(TblImps[[#This Row],[Land]],1,0)-OFFSET(TblExplore[[#This Row],[Land Bonus]],1,0)*20)+15000)))*(1+(mason_bonus*TblConstr[[#This Row],[Tot Mas]]/TblConstr[[#This Row],[Land (2)]]))</f>
        <v>0</v>
      </c>
      <c r="AE67" s="150"/>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50"/>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50"/>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50"/>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50"/>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50"/>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50"/>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50"/>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50"/>
      <c r="BV6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62">
        <f>TblImps[[#This Row],[Login]]</f>
        <v>0</v>
      </c>
      <c r="BX67" s="145"/>
      <c r="BY67" s="321">
        <f ca="1">OFFSET(TblImps[[#This Row],[Real time]],-1,0)+1/24</f>
        <v>44813.374999999847</v>
      </c>
      <c r="BZ67" s="322">
        <f ca="1">OFFSET(TblImps[[#This Row],[Servertime]],-1,0)+1/24</f>
        <v>44813.624999999847</v>
      </c>
      <c r="CA67" s="57"/>
      <c r="CB67" s="320"/>
      <c r="CC67" s="320"/>
    </row>
    <row r="68" spans="1:84" x14ac:dyDescent="0.2">
      <c r="A68" s="230">
        <f ca="1">TblConstr[[#This Row],[Land]]</f>
        <v>250</v>
      </c>
      <c r="B68" s="150"/>
      <c r="C68" s="97">
        <f ca="1">TblProd[[#This Row],[Platinum]]</f>
        <v>451982</v>
      </c>
      <c r="D68" s="97">
        <f ca="1">TblProd[[#This Row],[Lumber]]</f>
        <v>55322</v>
      </c>
      <c r="E68" s="97">
        <f ca="1">TblProd[[#This Row],[Ore]]</f>
        <v>0</v>
      </c>
      <c r="F68" s="97">
        <f ca="1">TblProd[[#This Row],[Gems]]</f>
        <v>10000</v>
      </c>
      <c r="G68" s="162"/>
      <c r="H68" s="97">
        <f ca="1">TblMili[[#This Row],[Draftees]]</f>
        <v>626</v>
      </c>
      <c r="I68" s="188">
        <f ca="1">TblPop[[#This Row],[Employment]]</f>
        <v>1</v>
      </c>
      <c r="J68" s="188">
        <f ca="1">TblPop[[#This Row],[Total]]/TblPop[[#This Row],[Net max]]</f>
        <v>1</v>
      </c>
      <c r="K68" s="311">
        <f>TblRezone[[#This Row],[Hour]]</f>
        <v>65</v>
      </c>
      <c r="L68" s="312">
        <f ca="1">TblImps[[#This Row],[Real time]]</f>
        <v>44813.416666666511</v>
      </c>
      <c r="M68" s="62">
        <f>IF(ISERROR(TblImps[[#This Row],[algorithm]]),0,TblImps[[#This Row],[algorithm]]*1)</f>
        <v>0</v>
      </c>
      <c r="N68" s="97">
        <f ca="1">TblImps[[#This Row],[Land]]</f>
        <v>250</v>
      </c>
      <c r="O68" s="313" t="s">
        <v>4</v>
      </c>
      <c r="P68" s="314"/>
      <c r="Q68" s="313" t="s">
        <v>216</v>
      </c>
      <c r="R68" s="313" t="s">
        <v>7</v>
      </c>
      <c r="S68" s="314"/>
      <c r="T68" s="313" t="s">
        <v>216</v>
      </c>
      <c r="U68" s="313" t="s">
        <v>3</v>
      </c>
      <c r="V68" s="314"/>
      <c r="W68" s="313" t="s">
        <v>216</v>
      </c>
      <c r="X68" s="150"/>
      <c r="Y68" s="315">
        <f ca="1">science_cap*(1-EXP(-TblImps[[#This Row],[Σ Science]]/(science_param*(OFFSET(TblImps[[#This Row],[Land]],1,0)-OFFSET(TblExplore[[#This Row],[Land Bonus]],1,0)*20)+15000)))*(1+(mason_bonus*TblConstr[[#This Row],[Tot Mas]]/TblConstr[[#This Row],[Land (2)]]))</f>
        <v>0</v>
      </c>
      <c r="Z68" s="315">
        <f ca="1">keep_cap*(1-EXP(-TblImps[[#This Row],[Σ Keep]]/(keep_param*(OFFSET(TblImps[[#This Row],[Land]],1,0)-OFFSET(TblExplore[[#This Row],[Land Bonus]],1,0)*20)+15000)))*(1+(mason_bonus*TblConstr[[#This Row],[Tot Mas]]/TblConstr[[#This Row],[Land (2)]]))</f>
        <v>0</v>
      </c>
      <c r="AA68" s="315">
        <f ca="1">harbor_towers_cap*(1-EXP(-TblImps[[#This Row],[Σ Towers]]/(towers_param*(OFFSET(TblImps[[#This Row],[Land]],1,0)-OFFSET(TblExplore[[#This Row],[Land Bonus]],1,0)*20)+15000)))*(1+(mason_bonus*TblConstr[[#This Row],[Tot Mas]]/TblConstr[[#This Row],[Land (2)]]))</f>
        <v>0</v>
      </c>
      <c r="AB68" s="315">
        <f ca="1">walls_forges_cap*(1-EXP(-TblImps[[#This Row],[Σ Forges]]/(walls_forges_param*(OFFSET(TblImps[[#This Row],[Land]],1,0)-OFFSET(TblExplore[[#This Row],[Land Bonus]],1,0)*20)+15000)))*(1+(mason_bonus*TblConstr[[#This Row],[Tot Mas]]/TblConstr[[#This Row],[Land (2)]]))</f>
        <v>0</v>
      </c>
      <c r="AC68" s="315">
        <f ca="1">walls_forges_cap*(1-EXP(-TblImps[[#This Row],[Σ Walls]]/(walls_forges_param*(OFFSET(TblImps[[#This Row],[Land]],1,0)-OFFSET(TblExplore[[#This Row],[Land Bonus]],1,0)*20)+15000)))*(1+(mason_bonus*TblConstr[[#This Row],[Tot Mas]]/TblConstr[[#This Row],[Land (2)]]))</f>
        <v>0</v>
      </c>
      <c r="AD68" s="315">
        <f ca="1">harbor_towers_cap*(1-EXP(-TblImps[[#This Row],[Σ Irrigation]]/(harbor_towers_param*(OFFSET(TblImps[[#This Row],[Land]],1,0)-OFFSET(TblExplore[[#This Row],[Land Bonus]],1,0)*20)+15000)))*(1+(mason_bonus*TblConstr[[#This Row],[Tot Mas]]/TblConstr[[#This Row],[Land (2)]]))</f>
        <v>0</v>
      </c>
      <c r="AE68" s="150"/>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50"/>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50"/>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50"/>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50"/>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50"/>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50"/>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50"/>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50"/>
      <c r="BV6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62">
        <f>TblImps[[#This Row],[Login]]</f>
        <v>0</v>
      </c>
      <c r="BX68" s="145"/>
      <c r="BY68" s="321">
        <f ca="1">OFFSET(TblImps[[#This Row],[Real time]],-1,0)+1/24</f>
        <v>44813.416666666511</v>
      </c>
      <c r="BZ68" s="322">
        <f ca="1">OFFSET(TblImps[[#This Row],[Servertime]],-1,0)+1/24</f>
        <v>44813.666666666511</v>
      </c>
      <c r="CA68" s="57"/>
      <c r="CB68" s="320"/>
      <c r="CC68" s="320"/>
    </row>
    <row r="69" spans="1:84" x14ac:dyDescent="0.2">
      <c r="A69" s="230">
        <f ca="1">TblConstr[[#This Row],[Land]]</f>
        <v>250</v>
      </c>
      <c r="B69" s="150"/>
      <c r="C69" s="97">
        <f ca="1">TblProd[[#This Row],[Platinum]]</f>
        <v>457468</v>
      </c>
      <c r="D69" s="97">
        <f ca="1">TblProd[[#This Row],[Lumber]]</f>
        <v>55769</v>
      </c>
      <c r="E69" s="97">
        <f ca="1">TblProd[[#This Row],[Ore]]</f>
        <v>0</v>
      </c>
      <c r="F69" s="97">
        <f ca="1">TblProd[[#This Row],[Gems]]</f>
        <v>10000</v>
      </c>
      <c r="G69" s="162"/>
      <c r="H69" s="97">
        <f ca="1">TblMili[[#This Row],[Draftees]]</f>
        <v>626</v>
      </c>
      <c r="I69" s="188">
        <f ca="1">TblPop[[#This Row],[Employment]]</f>
        <v>1</v>
      </c>
      <c r="J69" s="188">
        <f ca="1">TblPop[[#This Row],[Total]]/TblPop[[#This Row],[Net max]]</f>
        <v>1</v>
      </c>
      <c r="K69" s="311">
        <f>TblRezone[[#This Row],[Hour]]</f>
        <v>66</v>
      </c>
      <c r="L69" s="312">
        <f ca="1">TblImps[[#This Row],[Real time]]</f>
        <v>44813.458333333176</v>
      </c>
      <c r="M69" s="62">
        <f>IF(ISERROR(TblImps[[#This Row],[algorithm]]),0,TblImps[[#This Row],[algorithm]]*1)</f>
        <v>0</v>
      </c>
      <c r="N69" s="97">
        <f ca="1">TblImps[[#This Row],[Land]]</f>
        <v>250</v>
      </c>
      <c r="O69" s="313" t="s">
        <v>4</v>
      </c>
      <c r="P69" s="314"/>
      <c r="Q69" s="313" t="s">
        <v>216</v>
      </c>
      <c r="R69" s="313" t="s">
        <v>7</v>
      </c>
      <c r="S69" s="314"/>
      <c r="T69" s="313" t="s">
        <v>216</v>
      </c>
      <c r="U69" s="313" t="s">
        <v>3</v>
      </c>
      <c r="V69" s="314"/>
      <c r="W69" s="313" t="s">
        <v>216</v>
      </c>
      <c r="X69" s="150"/>
      <c r="Y69" s="315">
        <f ca="1">science_cap*(1-EXP(-TblImps[[#This Row],[Σ Science]]/(science_param*(OFFSET(TblImps[[#This Row],[Land]],1,0)-OFFSET(TblExplore[[#This Row],[Land Bonus]],1,0)*20)+15000)))*(1+(mason_bonus*TblConstr[[#This Row],[Tot Mas]]/TblConstr[[#This Row],[Land (2)]]))</f>
        <v>0</v>
      </c>
      <c r="Z69" s="315">
        <f ca="1">keep_cap*(1-EXP(-TblImps[[#This Row],[Σ Keep]]/(keep_param*(OFFSET(TblImps[[#This Row],[Land]],1,0)-OFFSET(TblExplore[[#This Row],[Land Bonus]],1,0)*20)+15000)))*(1+(mason_bonus*TblConstr[[#This Row],[Tot Mas]]/TblConstr[[#This Row],[Land (2)]]))</f>
        <v>0</v>
      </c>
      <c r="AA69" s="315">
        <f ca="1">harbor_towers_cap*(1-EXP(-TblImps[[#This Row],[Σ Towers]]/(towers_param*(OFFSET(TblImps[[#This Row],[Land]],1,0)-OFFSET(TblExplore[[#This Row],[Land Bonus]],1,0)*20)+15000)))*(1+(mason_bonus*TblConstr[[#This Row],[Tot Mas]]/TblConstr[[#This Row],[Land (2)]]))</f>
        <v>0</v>
      </c>
      <c r="AB69" s="315">
        <f ca="1">walls_forges_cap*(1-EXP(-TblImps[[#This Row],[Σ Forges]]/(walls_forges_param*(OFFSET(TblImps[[#This Row],[Land]],1,0)-OFFSET(TblExplore[[#This Row],[Land Bonus]],1,0)*20)+15000)))*(1+(mason_bonus*TblConstr[[#This Row],[Tot Mas]]/TblConstr[[#This Row],[Land (2)]]))</f>
        <v>0</v>
      </c>
      <c r="AC69" s="315">
        <f ca="1">walls_forges_cap*(1-EXP(-TblImps[[#This Row],[Σ Walls]]/(walls_forges_param*(OFFSET(TblImps[[#This Row],[Land]],1,0)-OFFSET(TblExplore[[#This Row],[Land Bonus]],1,0)*20)+15000)))*(1+(mason_bonus*TblConstr[[#This Row],[Tot Mas]]/TblConstr[[#This Row],[Land (2)]]))</f>
        <v>0</v>
      </c>
      <c r="AD69" s="315">
        <f ca="1">harbor_towers_cap*(1-EXP(-TblImps[[#This Row],[Σ Irrigation]]/(harbor_towers_param*(OFFSET(TblImps[[#This Row],[Land]],1,0)-OFFSET(TblExplore[[#This Row],[Land Bonus]],1,0)*20)+15000)))*(1+(mason_bonus*TblConstr[[#This Row],[Tot Mas]]/TblConstr[[#This Row],[Land (2)]]))</f>
        <v>0</v>
      </c>
      <c r="AE69" s="150"/>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50"/>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50"/>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50"/>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50"/>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50"/>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50"/>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50"/>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50"/>
      <c r="BV6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62">
        <f>TblImps[[#This Row],[Login]]</f>
        <v>0</v>
      </c>
      <c r="BX69" s="145"/>
      <c r="BY69" s="321">
        <f ca="1">OFFSET(TblImps[[#This Row],[Real time]],-1,0)+1/24</f>
        <v>44813.458333333176</v>
      </c>
      <c r="BZ69" s="322">
        <f ca="1">OFFSET(TblImps[[#This Row],[Servertime]],-1,0)+1/24</f>
        <v>44813.708333333176</v>
      </c>
      <c r="CA69" s="57"/>
      <c r="CB69" s="320"/>
      <c r="CC69" s="320"/>
    </row>
    <row r="70" spans="1:84" x14ac:dyDescent="0.2">
      <c r="A70" s="230">
        <f ca="1">TblConstr[[#This Row],[Land]]</f>
        <v>250</v>
      </c>
      <c r="B70" s="150"/>
      <c r="C70" s="97">
        <f ca="1">TblProd[[#This Row],[Platinum]]</f>
        <v>462954</v>
      </c>
      <c r="D70" s="97">
        <f ca="1">TblProd[[#This Row],[Lumber]]</f>
        <v>56211</v>
      </c>
      <c r="E70" s="97">
        <f ca="1">TblProd[[#This Row],[Ore]]</f>
        <v>0</v>
      </c>
      <c r="F70" s="97">
        <f ca="1">TblProd[[#This Row],[Gems]]</f>
        <v>10000</v>
      </c>
      <c r="G70" s="162"/>
      <c r="H70" s="97">
        <f ca="1">TblMili[[#This Row],[Draftees]]</f>
        <v>626</v>
      </c>
      <c r="I70" s="188">
        <f ca="1">TblPop[[#This Row],[Employment]]</f>
        <v>1</v>
      </c>
      <c r="J70" s="188">
        <f ca="1">TblPop[[#This Row],[Total]]/TblPop[[#This Row],[Net max]]</f>
        <v>1</v>
      </c>
      <c r="K70" s="311">
        <f>TblRezone[[#This Row],[Hour]]</f>
        <v>67</v>
      </c>
      <c r="L70" s="312">
        <f ca="1">TblImps[[#This Row],[Real time]]</f>
        <v>44813.49999999984</v>
      </c>
      <c r="M70" s="62">
        <f>IF(ISERROR(TblImps[[#This Row],[algorithm]]),0,TblImps[[#This Row],[algorithm]]*1)</f>
        <v>0</v>
      </c>
      <c r="N70" s="97">
        <f ca="1">TblImps[[#This Row],[Land]]</f>
        <v>250</v>
      </c>
      <c r="O70" s="313" t="s">
        <v>4</v>
      </c>
      <c r="P70" s="314"/>
      <c r="Q70" s="313" t="s">
        <v>216</v>
      </c>
      <c r="R70" s="313" t="s">
        <v>7</v>
      </c>
      <c r="S70" s="314"/>
      <c r="T70" s="313" t="s">
        <v>216</v>
      </c>
      <c r="U70" s="313" t="s">
        <v>3</v>
      </c>
      <c r="V70" s="314"/>
      <c r="W70" s="313" t="s">
        <v>216</v>
      </c>
      <c r="X70" s="150"/>
      <c r="Y70" s="315">
        <f ca="1">science_cap*(1-EXP(-TblImps[[#This Row],[Σ Science]]/(science_param*(OFFSET(TblImps[[#This Row],[Land]],1,0)-OFFSET(TblExplore[[#This Row],[Land Bonus]],1,0)*20)+15000)))*(1+(mason_bonus*TblConstr[[#This Row],[Tot Mas]]/TblConstr[[#This Row],[Land (2)]]))</f>
        <v>0</v>
      </c>
      <c r="Z70" s="315">
        <f ca="1">keep_cap*(1-EXP(-TblImps[[#This Row],[Σ Keep]]/(keep_param*(OFFSET(TblImps[[#This Row],[Land]],1,0)-OFFSET(TblExplore[[#This Row],[Land Bonus]],1,0)*20)+15000)))*(1+(mason_bonus*TblConstr[[#This Row],[Tot Mas]]/TblConstr[[#This Row],[Land (2)]]))</f>
        <v>0</v>
      </c>
      <c r="AA70" s="315">
        <f ca="1">harbor_towers_cap*(1-EXP(-TblImps[[#This Row],[Σ Towers]]/(towers_param*(OFFSET(TblImps[[#This Row],[Land]],1,0)-OFFSET(TblExplore[[#This Row],[Land Bonus]],1,0)*20)+15000)))*(1+(mason_bonus*TblConstr[[#This Row],[Tot Mas]]/TblConstr[[#This Row],[Land (2)]]))</f>
        <v>0</v>
      </c>
      <c r="AB70" s="315">
        <f ca="1">walls_forges_cap*(1-EXP(-TblImps[[#This Row],[Σ Forges]]/(walls_forges_param*(OFFSET(TblImps[[#This Row],[Land]],1,0)-OFFSET(TblExplore[[#This Row],[Land Bonus]],1,0)*20)+15000)))*(1+(mason_bonus*TblConstr[[#This Row],[Tot Mas]]/TblConstr[[#This Row],[Land (2)]]))</f>
        <v>0</v>
      </c>
      <c r="AC70" s="315">
        <f ca="1">walls_forges_cap*(1-EXP(-TblImps[[#This Row],[Σ Walls]]/(walls_forges_param*(OFFSET(TblImps[[#This Row],[Land]],1,0)-OFFSET(TblExplore[[#This Row],[Land Bonus]],1,0)*20)+15000)))*(1+(mason_bonus*TblConstr[[#This Row],[Tot Mas]]/TblConstr[[#This Row],[Land (2)]]))</f>
        <v>0</v>
      </c>
      <c r="AD70" s="315">
        <f ca="1">harbor_towers_cap*(1-EXP(-TblImps[[#This Row],[Σ Irrigation]]/(harbor_towers_param*(OFFSET(TblImps[[#This Row],[Land]],1,0)-OFFSET(TblExplore[[#This Row],[Land Bonus]],1,0)*20)+15000)))*(1+(mason_bonus*TblConstr[[#This Row],[Tot Mas]]/TblConstr[[#This Row],[Land (2)]]))</f>
        <v>0</v>
      </c>
      <c r="AE70" s="150"/>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50"/>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50"/>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50"/>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50"/>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50"/>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50"/>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50"/>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50"/>
      <c r="BV7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62">
        <f>TblImps[[#This Row],[Login]]</f>
        <v>0</v>
      </c>
      <c r="BX70" s="145"/>
      <c r="BY70" s="321">
        <f ca="1">OFFSET(TblImps[[#This Row],[Real time]],-1,0)+1/24</f>
        <v>44813.49999999984</v>
      </c>
      <c r="BZ70" s="322">
        <f ca="1">OFFSET(TblImps[[#This Row],[Servertime]],-1,0)+1/24</f>
        <v>44813.74999999984</v>
      </c>
      <c r="CA70" s="57"/>
      <c r="CB70" s="320"/>
      <c r="CC70" s="320"/>
    </row>
    <row r="71" spans="1:84" x14ac:dyDescent="0.2">
      <c r="A71" s="230">
        <f ca="1">TblConstr[[#This Row],[Land]]</f>
        <v>250</v>
      </c>
      <c r="B71" s="150"/>
      <c r="C71" s="97">
        <f ca="1">TblProd[[#This Row],[Platinum]]</f>
        <v>468440</v>
      </c>
      <c r="D71" s="97">
        <f ca="1">TblProd[[#This Row],[Lumber]]</f>
        <v>56649</v>
      </c>
      <c r="E71" s="97">
        <f ca="1">TblProd[[#This Row],[Ore]]</f>
        <v>0</v>
      </c>
      <c r="F71" s="97">
        <f ca="1">TblProd[[#This Row],[Gems]]</f>
        <v>10000</v>
      </c>
      <c r="G71" s="162"/>
      <c r="H71" s="97">
        <f ca="1">TblMili[[#This Row],[Draftees]]</f>
        <v>626</v>
      </c>
      <c r="I71" s="188">
        <f ca="1">TblPop[[#This Row],[Employment]]</f>
        <v>1</v>
      </c>
      <c r="J71" s="188">
        <f ca="1">TblPop[[#This Row],[Total]]/TblPop[[#This Row],[Net max]]</f>
        <v>1</v>
      </c>
      <c r="K71" s="311">
        <f>TblRezone[[#This Row],[Hour]]</f>
        <v>68</v>
      </c>
      <c r="L71" s="312">
        <f ca="1">TblImps[[#This Row],[Real time]]</f>
        <v>44813.541666666504</v>
      </c>
      <c r="M71" s="62">
        <f>IF(ISERROR(TblImps[[#This Row],[algorithm]]),0,TblImps[[#This Row],[algorithm]]*1)</f>
        <v>0</v>
      </c>
      <c r="N71" s="97">
        <f ca="1">TblImps[[#This Row],[Land]]</f>
        <v>250</v>
      </c>
      <c r="O71" s="313" t="s">
        <v>4</v>
      </c>
      <c r="P71" s="314"/>
      <c r="Q71" s="313" t="s">
        <v>216</v>
      </c>
      <c r="R71" s="313" t="s">
        <v>7</v>
      </c>
      <c r="S71" s="314"/>
      <c r="T71" s="313" t="s">
        <v>216</v>
      </c>
      <c r="U71" s="313" t="s">
        <v>3</v>
      </c>
      <c r="V71" s="314"/>
      <c r="W71" s="313" t="s">
        <v>216</v>
      </c>
      <c r="X71" s="150"/>
      <c r="Y71" s="315">
        <f ca="1">science_cap*(1-EXP(-TblImps[[#This Row],[Σ Science]]/(science_param*(OFFSET(TblImps[[#This Row],[Land]],1,0)-OFFSET(TblExplore[[#This Row],[Land Bonus]],1,0)*20)+15000)))*(1+(mason_bonus*TblConstr[[#This Row],[Tot Mas]]/TblConstr[[#This Row],[Land (2)]]))</f>
        <v>0</v>
      </c>
      <c r="Z71" s="315">
        <f ca="1">keep_cap*(1-EXP(-TblImps[[#This Row],[Σ Keep]]/(keep_param*(OFFSET(TblImps[[#This Row],[Land]],1,0)-OFFSET(TblExplore[[#This Row],[Land Bonus]],1,0)*20)+15000)))*(1+(mason_bonus*TblConstr[[#This Row],[Tot Mas]]/TblConstr[[#This Row],[Land (2)]]))</f>
        <v>0</v>
      </c>
      <c r="AA71" s="315">
        <f ca="1">harbor_towers_cap*(1-EXP(-TblImps[[#This Row],[Σ Towers]]/(towers_param*(OFFSET(TblImps[[#This Row],[Land]],1,0)-OFFSET(TblExplore[[#This Row],[Land Bonus]],1,0)*20)+15000)))*(1+(mason_bonus*TblConstr[[#This Row],[Tot Mas]]/TblConstr[[#This Row],[Land (2)]]))</f>
        <v>0</v>
      </c>
      <c r="AB71" s="315">
        <f ca="1">walls_forges_cap*(1-EXP(-TblImps[[#This Row],[Σ Forges]]/(walls_forges_param*(OFFSET(TblImps[[#This Row],[Land]],1,0)-OFFSET(TblExplore[[#This Row],[Land Bonus]],1,0)*20)+15000)))*(1+(mason_bonus*TblConstr[[#This Row],[Tot Mas]]/TblConstr[[#This Row],[Land (2)]]))</f>
        <v>0</v>
      </c>
      <c r="AC71" s="315">
        <f ca="1">walls_forges_cap*(1-EXP(-TblImps[[#This Row],[Σ Walls]]/(walls_forges_param*(OFFSET(TblImps[[#This Row],[Land]],1,0)-OFFSET(TblExplore[[#This Row],[Land Bonus]],1,0)*20)+15000)))*(1+(mason_bonus*TblConstr[[#This Row],[Tot Mas]]/TblConstr[[#This Row],[Land (2)]]))</f>
        <v>0</v>
      </c>
      <c r="AD71" s="315">
        <f ca="1">harbor_towers_cap*(1-EXP(-TblImps[[#This Row],[Σ Irrigation]]/(harbor_towers_param*(OFFSET(TblImps[[#This Row],[Land]],1,0)-OFFSET(TblExplore[[#This Row],[Land Bonus]],1,0)*20)+15000)))*(1+(mason_bonus*TblConstr[[#This Row],[Tot Mas]]/TblConstr[[#This Row],[Land (2)]]))</f>
        <v>0</v>
      </c>
      <c r="AE71" s="150"/>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50"/>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50"/>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50"/>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50"/>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50"/>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50"/>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50"/>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50"/>
      <c r="BV7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62">
        <f>TblImps[[#This Row],[Login]]</f>
        <v>0</v>
      </c>
      <c r="BX71" s="145"/>
      <c r="BY71" s="321">
        <f ca="1">OFFSET(TblImps[[#This Row],[Real time]],-1,0)+1/24</f>
        <v>44813.541666666504</v>
      </c>
      <c r="BZ71" s="322">
        <f ca="1">OFFSET(TblImps[[#This Row],[Servertime]],-1,0)+1/24</f>
        <v>44813.791666666504</v>
      </c>
      <c r="CA71" s="57"/>
      <c r="CB71" s="320"/>
      <c r="CC71" s="320"/>
    </row>
    <row r="72" spans="1:84" x14ac:dyDescent="0.2">
      <c r="A72" s="230">
        <f ca="1">TblConstr[[#This Row],[Land]]</f>
        <v>250</v>
      </c>
      <c r="B72" s="150"/>
      <c r="C72" s="97">
        <f ca="1">TblProd[[#This Row],[Platinum]]</f>
        <v>473926</v>
      </c>
      <c r="D72" s="97">
        <f ca="1">TblProd[[#This Row],[Lumber]]</f>
        <v>57083</v>
      </c>
      <c r="E72" s="97">
        <f ca="1">TblProd[[#This Row],[Ore]]</f>
        <v>0</v>
      </c>
      <c r="F72" s="97">
        <f ca="1">TblProd[[#This Row],[Gems]]</f>
        <v>10000</v>
      </c>
      <c r="G72" s="162"/>
      <c r="H72" s="97">
        <f ca="1">TblMili[[#This Row],[Draftees]]</f>
        <v>626</v>
      </c>
      <c r="I72" s="188">
        <f ca="1">TblPop[[#This Row],[Employment]]</f>
        <v>1</v>
      </c>
      <c r="J72" s="188">
        <f ca="1">TblPop[[#This Row],[Total]]/TblPop[[#This Row],[Net max]]</f>
        <v>1</v>
      </c>
      <c r="K72" s="311">
        <f>TblRezone[[#This Row],[Hour]]</f>
        <v>69</v>
      </c>
      <c r="L72" s="312">
        <f ca="1">TblImps[[#This Row],[Real time]]</f>
        <v>44813.583333333168</v>
      </c>
      <c r="M72" s="62">
        <f>IF(ISERROR(TblImps[[#This Row],[algorithm]]),0,TblImps[[#This Row],[algorithm]]*1)</f>
        <v>0</v>
      </c>
      <c r="N72" s="97">
        <f ca="1">TblImps[[#This Row],[Land]]</f>
        <v>250</v>
      </c>
      <c r="O72" s="313" t="s">
        <v>4</v>
      </c>
      <c r="P72" s="314"/>
      <c r="Q72" s="313" t="s">
        <v>216</v>
      </c>
      <c r="R72" s="313" t="s">
        <v>7</v>
      </c>
      <c r="S72" s="314"/>
      <c r="T72" s="313" t="s">
        <v>216</v>
      </c>
      <c r="U72" s="313" t="s">
        <v>3</v>
      </c>
      <c r="V72" s="314"/>
      <c r="W72" s="313" t="s">
        <v>216</v>
      </c>
      <c r="X72" s="150"/>
      <c r="Y72" s="315">
        <f ca="1">science_cap*(1-EXP(-TblImps[[#This Row],[Σ Science]]/(science_param*(OFFSET(TblImps[[#This Row],[Land]],1,0)-OFFSET(TblExplore[[#This Row],[Land Bonus]],1,0)*20)+15000)))*(1+(mason_bonus*TblConstr[[#This Row],[Tot Mas]]/TblConstr[[#This Row],[Land (2)]]))</f>
        <v>0</v>
      </c>
      <c r="Z72" s="315">
        <f ca="1">keep_cap*(1-EXP(-TblImps[[#This Row],[Σ Keep]]/(keep_param*(OFFSET(TblImps[[#This Row],[Land]],1,0)-OFFSET(TblExplore[[#This Row],[Land Bonus]],1,0)*20)+15000)))*(1+(mason_bonus*TblConstr[[#This Row],[Tot Mas]]/TblConstr[[#This Row],[Land (2)]]))</f>
        <v>0</v>
      </c>
      <c r="AA72" s="315">
        <f ca="1">harbor_towers_cap*(1-EXP(-TblImps[[#This Row],[Σ Towers]]/(towers_param*(OFFSET(TblImps[[#This Row],[Land]],1,0)-OFFSET(TblExplore[[#This Row],[Land Bonus]],1,0)*20)+15000)))*(1+(mason_bonus*TblConstr[[#This Row],[Tot Mas]]/TblConstr[[#This Row],[Land (2)]]))</f>
        <v>0</v>
      </c>
      <c r="AB72" s="315">
        <f ca="1">walls_forges_cap*(1-EXP(-TblImps[[#This Row],[Σ Forges]]/(walls_forges_param*(OFFSET(TblImps[[#This Row],[Land]],1,0)-OFFSET(TblExplore[[#This Row],[Land Bonus]],1,0)*20)+15000)))*(1+(mason_bonus*TblConstr[[#This Row],[Tot Mas]]/TblConstr[[#This Row],[Land (2)]]))</f>
        <v>0</v>
      </c>
      <c r="AC72" s="315">
        <f ca="1">walls_forges_cap*(1-EXP(-TblImps[[#This Row],[Σ Walls]]/(walls_forges_param*(OFFSET(TblImps[[#This Row],[Land]],1,0)-OFFSET(TblExplore[[#This Row],[Land Bonus]],1,0)*20)+15000)))*(1+(mason_bonus*TblConstr[[#This Row],[Tot Mas]]/TblConstr[[#This Row],[Land (2)]]))</f>
        <v>0</v>
      </c>
      <c r="AD72" s="315">
        <f ca="1">harbor_towers_cap*(1-EXP(-TblImps[[#This Row],[Σ Irrigation]]/(harbor_towers_param*(OFFSET(TblImps[[#This Row],[Land]],1,0)-OFFSET(TblExplore[[#This Row],[Land Bonus]],1,0)*20)+15000)))*(1+(mason_bonus*TblConstr[[#This Row],[Tot Mas]]/TblConstr[[#This Row],[Land (2)]]))</f>
        <v>0</v>
      </c>
      <c r="AE72" s="150"/>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50"/>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50"/>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50"/>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50"/>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50"/>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50"/>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50"/>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50"/>
      <c r="BV7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62">
        <f>TblImps[[#This Row],[Login]]</f>
        <v>0</v>
      </c>
      <c r="BX72" s="145"/>
      <c r="BY72" s="321">
        <f ca="1">OFFSET(TblImps[[#This Row],[Real time]],-1,0)+1/24</f>
        <v>44813.583333333168</v>
      </c>
      <c r="BZ72" s="322">
        <f ca="1">OFFSET(TblImps[[#This Row],[Servertime]],-1,0)+1/24</f>
        <v>44813.833333333168</v>
      </c>
      <c r="CA72" s="57"/>
      <c r="CB72" s="320"/>
      <c r="CC72" s="320"/>
    </row>
    <row r="73" spans="1:84" x14ac:dyDescent="0.2">
      <c r="A73" s="230">
        <f ca="1">TblConstr[[#This Row],[Land]]</f>
        <v>250</v>
      </c>
      <c r="B73" s="150"/>
      <c r="C73" s="97">
        <f ca="1">TblProd[[#This Row],[Platinum]]</f>
        <v>479412</v>
      </c>
      <c r="D73" s="97">
        <f ca="1">TblProd[[#This Row],[Lumber]]</f>
        <v>57512</v>
      </c>
      <c r="E73" s="97">
        <f ca="1">TblProd[[#This Row],[Ore]]</f>
        <v>0</v>
      </c>
      <c r="F73" s="97">
        <f ca="1">TblProd[[#This Row],[Gems]]</f>
        <v>10000</v>
      </c>
      <c r="G73" s="162"/>
      <c r="H73" s="97">
        <f ca="1">TblMili[[#This Row],[Draftees]]</f>
        <v>626</v>
      </c>
      <c r="I73" s="188">
        <f ca="1">TblPop[[#This Row],[Employment]]</f>
        <v>1</v>
      </c>
      <c r="J73" s="188">
        <f ca="1">TblPop[[#This Row],[Total]]/TblPop[[#This Row],[Net max]]</f>
        <v>1</v>
      </c>
      <c r="K73" s="311">
        <f>TblRezone[[#This Row],[Hour]]</f>
        <v>70</v>
      </c>
      <c r="L73" s="312">
        <f ca="1">TblImps[[#This Row],[Real time]]</f>
        <v>44813.624999999833</v>
      </c>
      <c r="M73" s="62">
        <f>IF(ISERROR(TblImps[[#This Row],[algorithm]]),0,TblImps[[#This Row],[algorithm]]*1)</f>
        <v>0</v>
      </c>
      <c r="N73" s="97">
        <f ca="1">TblImps[[#This Row],[Land]]</f>
        <v>250</v>
      </c>
      <c r="O73" s="313" t="s">
        <v>4</v>
      </c>
      <c r="P73" s="314"/>
      <c r="Q73" s="313" t="s">
        <v>216</v>
      </c>
      <c r="R73" s="313" t="s">
        <v>7</v>
      </c>
      <c r="S73" s="314"/>
      <c r="T73" s="313" t="s">
        <v>216</v>
      </c>
      <c r="U73" s="313" t="s">
        <v>3</v>
      </c>
      <c r="V73" s="314"/>
      <c r="W73" s="313" t="s">
        <v>216</v>
      </c>
      <c r="X73" s="150"/>
      <c r="Y73" s="315">
        <f ca="1">science_cap*(1-EXP(-TblImps[[#This Row],[Σ Science]]/(science_param*(OFFSET(TblImps[[#This Row],[Land]],1,0)-OFFSET(TblExplore[[#This Row],[Land Bonus]],1,0)*20)+15000)))*(1+(mason_bonus*TblConstr[[#This Row],[Tot Mas]]/TblConstr[[#This Row],[Land (2)]]))</f>
        <v>0</v>
      </c>
      <c r="Z73" s="315">
        <f ca="1">keep_cap*(1-EXP(-TblImps[[#This Row],[Σ Keep]]/(keep_param*(OFFSET(TblImps[[#This Row],[Land]],1,0)-OFFSET(TblExplore[[#This Row],[Land Bonus]],1,0)*20)+15000)))*(1+(mason_bonus*TblConstr[[#This Row],[Tot Mas]]/TblConstr[[#This Row],[Land (2)]]))</f>
        <v>0</v>
      </c>
      <c r="AA73" s="315">
        <f ca="1">harbor_towers_cap*(1-EXP(-TblImps[[#This Row],[Σ Towers]]/(towers_param*(OFFSET(TblImps[[#This Row],[Land]],1,0)-OFFSET(TblExplore[[#This Row],[Land Bonus]],1,0)*20)+15000)))*(1+(mason_bonus*TblConstr[[#This Row],[Tot Mas]]/TblConstr[[#This Row],[Land (2)]]))</f>
        <v>0</v>
      </c>
      <c r="AB73" s="315">
        <f ca="1">walls_forges_cap*(1-EXP(-TblImps[[#This Row],[Σ Forges]]/(walls_forges_param*(OFFSET(TblImps[[#This Row],[Land]],1,0)-OFFSET(TblExplore[[#This Row],[Land Bonus]],1,0)*20)+15000)))*(1+(mason_bonus*TblConstr[[#This Row],[Tot Mas]]/TblConstr[[#This Row],[Land (2)]]))</f>
        <v>0</v>
      </c>
      <c r="AC73" s="315">
        <f ca="1">walls_forges_cap*(1-EXP(-TblImps[[#This Row],[Σ Walls]]/(walls_forges_param*(OFFSET(TblImps[[#This Row],[Land]],1,0)-OFFSET(TblExplore[[#This Row],[Land Bonus]],1,0)*20)+15000)))*(1+(mason_bonus*TblConstr[[#This Row],[Tot Mas]]/TblConstr[[#This Row],[Land (2)]]))</f>
        <v>0</v>
      </c>
      <c r="AD73" s="315">
        <f ca="1">harbor_towers_cap*(1-EXP(-TblImps[[#This Row],[Σ Irrigation]]/(harbor_towers_param*(OFFSET(TblImps[[#This Row],[Land]],1,0)-OFFSET(TblExplore[[#This Row],[Land Bonus]],1,0)*20)+15000)))*(1+(mason_bonus*TblConstr[[#This Row],[Tot Mas]]/TblConstr[[#This Row],[Land (2)]]))</f>
        <v>0</v>
      </c>
      <c r="AE73" s="150"/>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50"/>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50"/>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50"/>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50"/>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50"/>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50"/>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50"/>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50"/>
      <c r="BV7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62">
        <f>TblImps[[#This Row],[Login]]</f>
        <v>0</v>
      </c>
      <c r="BX73" s="145"/>
      <c r="BY73" s="321">
        <f ca="1">OFFSET(TblImps[[#This Row],[Real time]],-1,0)+1/24</f>
        <v>44813.624999999833</v>
      </c>
      <c r="BZ73" s="322">
        <f ca="1">OFFSET(TblImps[[#This Row],[Servertime]],-1,0)+1/24</f>
        <v>44813.874999999833</v>
      </c>
      <c r="CA73" s="57"/>
      <c r="CB73" s="320"/>
      <c r="CC73" s="320"/>
    </row>
    <row r="74" spans="1:84" x14ac:dyDescent="0.2">
      <c r="A74" s="230">
        <f ca="1">TblConstr[[#This Row],[Land]]</f>
        <v>250</v>
      </c>
      <c r="B74" s="150"/>
      <c r="C74" s="97">
        <f ca="1">TblProd[[#This Row],[Platinum]]</f>
        <v>484898</v>
      </c>
      <c r="D74" s="97">
        <f ca="1">TblProd[[#This Row],[Lumber]]</f>
        <v>57937</v>
      </c>
      <c r="E74" s="97">
        <f ca="1">TblProd[[#This Row],[Ore]]</f>
        <v>0</v>
      </c>
      <c r="F74" s="97">
        <f ca="1">TblProd[[#This Row],[Gems]]</f>
        <v>10000</v>
      </c>
      <c r="G74" s="162"/>
      <c r="H74" s="97">
        <f ca="1">TblMili[[#This Row],[Draftees]]</f>
        <v>626</v>
      </c>
      <c r="I74" s="188">
        <f ca="1">TblPop[[#This Row],[Employment]]</f>
        <v>1</v>
      </c>
      <c r="J74" s="188">
        <f ca="1">TblPop[[#This Row],[Total]]/TblPop[[#This Row],[Net max]]</f>
        <v>1</v>
      </c>
      <c r="K74" s="311">
        <f>TblRezone[[#This Row],[Hour]]</f>
        <v>71</v>
      </c>
      <c r="L74" s="312">
        <f ca="1">TblImps[[#This Row],[Real time]]</f>
        <v>44813.666666666497</v>
      </c>
      <c r="M74" s="62">
        <f>IF(ISERROR(TblImps[[#This Row],[algorithm]]),0,TblImps[[#This Row],[algorithm]]*1)</f>
        <v>0</v>
      </c>
      <c r="N74" s="97">
        <f ca="1">TblImps[[#This Row],[Land]]</f>
        <v>250</v>
      </c>
      <c r="O74" s="313" t="s">
        <v>4</v>
      </c>
      <c r="P74" s="314"/>
      <c r="Q74" s="313" t="s">
        <v>216</v>
      </c>
      <c r="R74" s="313" t="s">
        <v>7</v>
      </c>
      <c r="S74" s="314"/>
      <c r="T74" s="313" t="s">
        <v>216</v>
      </c>
      <c r="U74" s="313" t="s">
        <v>3</v>
      </c>
      <c r="V74" s="314"/>
      <c r="W74" s="313" t="s">
        <v>216</v>
      </c>
      <c r="X74" s="150"/>
      <c r="Y74" s="315">
        <f ca="1">science_cap*(1-EXP(-TblImps[[#This Row],[Σ Science]]/(science_param*(OFFSET(TblImps[[#This Row],[Land]],1,0)-OFFSET(TblExplore[[#This Row],[Land Bonus]],1,0)*20)+15000)))*(1+(mason_bonus*TblConstr[[#This Row],[Tot Mas]]/TblConstr[[#This Row],[Land (2)]]))</f>
        <v>0</v>
      </c>
      <c r="Z74" s="315">
        <f ca="1">keep_cap*(1-EXP(-TblImps[[#This Row],[Σ Keep]]/(keep_param*(OFFSET(TblImps[[#This Row],[Land]],1,0)-OFFSET(TblExplore[[#This Row],[Land Bonus]],1,0)*20)+15000)))*(1+(mason_bonus*TblConstr[[#This Row],[Tot Mas]]/TblConstr[[#This Row],[Land (2)]]))</f>
        <v>0</v>
      </c>
      <c r="AA74" s="315">
        <f ca="1">harbor_towers_cap*(1-EXP(-TblImps[[#This Row],[Σ Towers]]/(towers_param*(OFFSET(TblImps[[#This Row],[Land]],1,0)-OFFSET(TblExplore[[#This Row],[Land Bonus]],1,0)*20)+15000)))*(1+(mason_bonus*TblConstr[[#This Row],[Tot Mas]]/TblConstr[[#This Row],[Land (2)]]))</f>
        <v>0</v>
      </c>
      <c r="AB74" s="315">
        <f ca="1">walls_forges_cap*(1-EXP(-TblImps[[#This Row],[Σ Forges]]/(walls_forges_param*(OFFSET(TblImps[[#This Row],[Land]],1,0)-OFFSET(TblExplore[[#This Row],[Land Bonus]],1,0)*20)+15000)))*(1+(mason_bonus*TblConstr[[#This Row],[Tot Mas]]/TblConstr[[#This Row],[Land (2)]]))</f>
        <v>0</v>
      </c>
      <c r="AC74" s="315">
        <f ca="1">walls_forges_cap*(1-EXP(-TblImps[[#This Row],[Σ Walls]]/(walls_forges_param*(OFFSET(TblImps[[#This Row],[Land]],1,0)-OFFSET(TblExplore[[#This Row],[Land Bonus]],1,0)*20)+15000)))*(1+(mason_bonus*TblConstr[[#This Row],[Tot Mas]]/TblConstr[[#This Row],[Land (2)]]))</f>
        <v>0</v>
      </c>
      <c r="AD74" s="315">
        <f ca="1">harbor_towers_cap*(1-EXP(-TblImps[[#This Row],[Σ Irrigation]]/(harbor_towers_param*(OFFSET(TblImps[[#This Row],[Land]],1,0)-OFFSET(TblExplore[[#This Row],[Land Bonus]],1,0)*20)+15000)))*(1+(mason_bonus*TblConstr[[#This Row],[Tot Mas]]/TblConstr[[#This Row],[Land (2)]]))</f>
        <v>0</v>
      </c>
      <c r="AE74" s="150"/>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50"/>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50"/>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50"/>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50"/>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50"/>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50"/>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50"/>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50"/>
      <c r="BV7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62">
        <f>TblImps[[#This Row],[Login]]</f>
        <v>0</v>
      </c>
      <c r="BX74" s="145"/>
      <c r="BY74" s="321">
        <f ca="1">OFFSET(TblImps[[#This Row],[Real time]],-1,0)+1/24</f>
        <v>44813.666666666497</v>
      </c>
      <c r="BZ74" s="322">
        <f ca="1">OFFSET(TblImps[[#This Row],[Servertime]],-1,0)+1/24</f>
        <v>44813.916666666497</v>
      </c>
      <c r="CA74" s="57"/>
      <c r="CB74" s="320"/>
      <c r="CC74" s="320"/>
    </row>
    <row r="75" spans="1:84" x14ac:dyDescent="0.2">
      <c r="A75" s="230">
        <f ca="1">TblConstr[[#This Row],[Land]]</f>
        <v>250</v>
      </c>
      <c r="B75" s="150"/>
      <c r="C75" s="97">
        <f ca="1">TblProd[[#This Row],[Platinum]]</f>
        <v>490384</v>
      </c>
      <c r="D75" s="97">
        <f ca="1">TblProd[[#This Row],[Lumber]]</f>
        <v>58358</v>
      </c>
      <c r="E75" s="97">
        <f ca="1">TblProd[[#This Row],[Ore]]</f>
        <v>0</v>
      </c>
      <c r="F75" s="97">
        <f ca="1">TblProd[[#This Row],[Gems]]</f>
        <v>10000</v>
      </c>
      <c r="G75" s="162"/>
      <c r="H75" s="97">
        <f ca="1">TblMili[[#This Row],[Draftees]]</f>
        <v>626</v>
      </c>
      <c r="I75" s="188">
        <f ca="1">TblPop[[#This Row],[Employment]]</f>
        <v>1</v>
      </c>
      <c r="J75" s="188">
        <f ca="1">TblPop[[#This Row],[Total]]/TblPop[[#This Row],[Net max]]</f>
        <v>1</v>
      </c>
      <c r="K75" s="311">
        <f>TblRezone[[#This Row],[Hour]]</f>
        <v>72</v>
      </c>
      <c r="L75" s="312">
        <f ca="1">TblImps[[#This Row],[Real time]]</f>
        <v>44813.708333333161</v>
      </c>
      <c r="M75" s="62">
        <f>IF(ISERROR(TblImps[[#This Row],[algorithm]]),0,TblImps[[#This Row],[algorithm]]*1)</f>
        <v>0</v>
      </c>
      <c r="N75" s="97">
        <f ca="1">TblImps[[#This Row],[Land]]</f>
        <v>250</v>
      </c>
      <c r="O75" s="313" t="s">
        <v>4</v>
      </c>
      <c r="P75" s="314"/>
      <c r="Q75" s="313" t="s">
        <v>216</v>
      </c>
      <c r="R75" s="313" t="s">
        <v>7</v>
      </c>
      <c r="S75" s="314"/>
      <c r="T75" s="313" t="s">
        <v>216</v>
      </c>
      <c r="U75" s="313" t="s">
        <v>3</v>
      </c>
      <c r="V75" s="314"/>
      <c r="W75" s="313" t="s">
        <v>216</v>
      </c>
      <c r="X75" s="150"/>
      <c r="Y75" s="315">
        <f ca="1">science_cap*(1-EXP(-TblImps[[#This Row],[Σ Science]]/(science_param*(OFFSET(TblImps[[#This Row],[Land]],1,0)-OFFSET(TblExplore[[#This Row],[Land Bonus]],1,0)*20)+15000)))*(1+(mason_bonus*TblConstr[[#This Row],[Tot Mas]]/TblConstr[[#This Row],[Land (2)]]))</f>
        <v>0</v>
      </c>
      <c r="Z75" s="315">
        <f ca="1">keep_cap*(1-EXP(-TblImps[[#This Row],[Σ Keep]]/(keep_param*(OFFSET(TblImps[[#This Row],[Land]],1,0)-OFFSET(TblExplore[[#This Row],[Land Bonus]],1,0)*20)+15000)))*(1+(mason_bonus*TblConstr[[#This Row],[Tot Mas]]/TblConstr[[#This Row],[Land (2)]]))</f>
        <v>0</v>
      </c>
      <c r="AA75" s="315">
        <f ca="1">harbor_towers_cap*(1-EXP(-TblImps[[#This Row],[Σ Towers]]/(towers_param*(OFFSET(TblImps[[#This Row],[Land]],1,0)-OFFSET(TblExplore[[#This Row],[Land Bonus]],1,0)*20)+15000)))*(1+(mason_bonus*TblConstr[[#This Row],[Tot Mas]]/TblConstr[[#This Row],[Land (2)]]))</f>
        <v>0</v>
      </c>
      <c r="AB75" s="315">
        <f ca="1">walls_forges_cap*(1-EXP(-TblImps[[#This Row],[Σ Forges]]/(walls_forges_param*(OFFSET(TblImps[[#This Row],[Land]],1,0)-OFFSET(TblExplore[[#This Row],[Land Bonus]],1,0)*20)+15000)))*(1+(mason_bonus*TblConstr[[#This Row],[Tot Mas]]/TblConstr[[#This Row],[Land (2)]]))</f>
        <v>0</v>
      </c>
      <c r="AC75" s="315">
        <f ca="1">walls_forges_cap*(1-EXP(-TblImps[[#This Row],[Σ Walls]]/(walls_forges_param*(OFFSET(TblImps[[#This Row],[Land]],1,0)-OFFSET(TblExplore[[#This Row],[Land Bonus]],1,0)*20)+15000)))*(1+(mason_bonus*TblConstr[[#This Row],[Tot Mas]]/TblConstr[[#This Row],[Land (2)]]))</f>
        <v>0</v>
      </c>
      <c r="AD75" s="315">
        <f ca="1">harbor_towers_cap*(1-EXP(-TblImps[[#This Row],[Σ Irrigation]]/(harbor_towers_param*(OFFSET(TblImps[[#This Row],[Land]],1,0)-OFFSET(TblExplore[[#This Row],[Land Bonus]],1,0)*20)+15000)))*(1+(mason_bonus*TblConstr[[#This Row],[Tot Mas]]/TblConstr[[#This Row],[Land (2)]]))</f>
        <v>0</v>
      </c>
      <c r="AE75" s="150"/>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50"/>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50"/>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50"/>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50"/>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50"/>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50"/>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50"/>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50"/>
      <c r="BV7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62">
        <f>TblImps[[#This Row],[Login]]</f>
        <v>0</v>
      </c>
      <c r="BX75" s="145"/>
      <c r="BY75" s="321">
        <f ca="1">OFFSET(TblImps[[#This Row],[Real time]],-1,0)+1/24</f>
        <v>44813.708333333161</v>
      </c>
      <c r="BZ75" s="322">
        <f ca="1">OFFSET(TblImps[[#This Row],[Servertime]],-1,0)+1/24</f>
        <v>44813.958333333161</v>
      </c>
      <c r="CA75" s="57"/>
      <c r="CB75" s="320"/>
      <c r="CC75" s="320"/>
    </row>
    <row r="76" spans="1:84" x14ac:dyDescent="0.2">
      <c r="A76" s="247">
        <f ca="1">TblConstr[[#This Row],[Land]]</f>
        <v>250</v>
      </c>
      <c r="B76" s="157"/>
      <c r="C76" s="215">
        <f ca="1">TblProd[[#This Row],[Platinum]]</f>
        <v>495870</v>
      </c>
      <c r="D76" s="215">
        <f ca="1">TblProd[[#This Row],[Lumber]]</f>
        <v>58774</v>
      </c>
      <c r="E76" s="215">
        <f ca="1">TblProd[[#This Row],[Ore]]</f>
        <v>0</v>
      </c>
      <c r="F76" s="215">
        <f ca="1">TblProd[[#This Row],[Gems]]</f>
        <v>10000</v>
      </c>
      <c r="G76" s="170"/>
      <c r="H76" s="215">
        <f ca="1">TblMili[[#This Row],[Draftees]]</f>
        <v>626</v>
      </c>
      <c r="I76" s="214">
        <f ca="1">TblPop[[#This Row],[Employment]]</f>
        <v>1</v>
      </c>
      <c r="J76" s="214">
        <f ca="1">TblPop[[#This Row],[Total]]/TblPop[[#This Row],[Net max]]</f>
        <v>1</v>
      </c>
      <c r="K76" s="326">
        <f>TblRezone[[#This Row],[Hour]]</f>
        <v>73</v>
      </c>
      <c r="L76" s="327">
        <f ca="1">TblImps[[#This Row],[Real time]]</f>
        <v>44813.749999999825</v>
      </c>
      <c r="M76" s="205">
        <f>IF(ISERROR(TblImps[[#This Row],[algorithm]]),0,TblImps[[#This Row],[algorithm]]*1)</f>
        <v>0</v>
      </c>
      <c r="N76" s="215">
        <f ca="1">TblImps[[#This Row],[Land]]</f>
        <v>250</v>
      </c>
      <c r="O76" s="328" t="s">
        <v>4</v>
      </c>
      <c r="P76" s="329"/>
      <c r="Q76" s="328" t="s">
        <v>216</v>
      </c>
      <c r="R76" s="313" t="s">
        <v>7</v>
      </c>
      <c r="S76" s="329"/>
      <c r="T76" s="328" t="s">
        <v>216</v>
      </c>
      <c r="U76" s="328" t="s">
        <v>3</v>
      </c>
      <c r="V76" s="329"/>
      <c r="W76" s="328" t="s">
        <v>216</v>
      </c>
      <c r="X76" s="157"/>
      <c r="Y76" s="330">
        <f ca="1">science_cap*(1-EXP(-TblImps[[#This Row],[Σ Science]]/(science_param*(OFFSET(TblImps[[#This Row],[Land]],1,0)-OFFSET(TblExplore[[#This Row],[Land Bonus]],1,0)*20)+15000)))*(1+(mason_bonus*TblConstr[[#This Row],[Tot Mas]]/TblConstr[[#This Row],[Land (2)]]))</f>
        <v>0</v>
      </c>
      <c r="Z76" s="330">
        <f ca="1">keep_cap*(1-EXP(-TblImps[[#This Row],[Σ Keep]]/(keep_param*(OFFSET(TblImps[[#This Row],[Land]],1,0)-OFFSET(TblExplore[[#This Row],[Land Bonus]],1,0)*20)+15000)))*(1+(mason_bonus*TblConstr[[#This Row],[Tot Mas]]/TblConstr[[#This Row],[Land (2)]]))</f>
        <v>0</v>
      </c>
      <c r="AA76" s="330">
        <f ca="1">harbor_towers_cap*(1-EXP(-TblImps[[#This Row],[Σ Towers]]/(towers_param*(OFFSET(TblImps[[#This Row],[Land]],1,0)-OFFSET(TblExplore[[#This Row],[Land Bonus]],1,0)*20)+15000)))*(1+(mason_bonus*TblConstr[[#This Row],[Tot Mas]]/TblConstr[[#This Row],[Land (2)]]))</f>
        <v>0</v>
      </c>
      <c r="AB76" s="330">
        <f ca="1">walls_forges_cap*(1-EXP(-TblImps[[#This Row],[Σ Forges]]/(walls_forges_param*(OFFSET(TblImps[[#This Row],[Land]],1,0)-OFFSET(TblExplore[[#This Row],[Land Bonus]],1,0)*20)+15000)))*(1+(mason_bonus*TblConstr[[#This Row],[Tot Mas]]/TblConstr[[#This Row],[Land (2)]]))</f>
        <v>0</v>
      </c>
      <c r="AC76" s="330">
        <f ca="1">walls_forges_cap*(1-EXP(-TblImps[[#This Row],[Σ Walls]]/(walls_forges_param*(OFFSET(TblImps[[#This Row],[Land]],1,0)-OFFSET(TblExplore[[#This Row],[Land Bonus]],1,0)*20)+15000)))*(1+(mason_bonus*TblConstr[[#This Row],[Tot Mas]]/TblConstr[[#This Row],[Land (2)]]))</f>
        <v>0</v>
      </c>
      <c r="AD76" s="330">
        <f ca="1">harbor_towers_cap*(1-EXP(-TblImps[[#This Row],[Σ Irrigation]]/(harbor_towers_param*(OFFSET(TblImps[[#This Row],[Land]],1,0)-OFFSET(TblExplore[[#This Row],[Land Bonus]],1,0)*20)+15000)))*(1+(mason_bonus*TblConstr[[#This Row],[Tot Mas]]/TblConstr[[#This Row],[Land (2)]]))</f>
        <v>0</v>
      </c>
      <c r="AE76" s="157"/>
      <c r="AF76" s="205">
        <f ca="1">(1+Overview!$I$28)*SUM(TblImps[[#This Row],[P2]:[G2]])+OFFSET(TblImps[[#This Row],[Σ Science]],-1,0)</f>
        <v>0</v>
      </c>
      <c r="AG76" s="205">
        <f ca="1">(1+Overview!$I$28)*SUM(TblImps[[#This Row],[P3]:[G3]])+OFFSET(TblImps[[#This Row],[Σ Keep]],-1,0)</f>
        <v>0</v>
      </c>
      <c r="AH76" s="205">
        <f ca="1">(1+Overview!$I$28 + tech_7_1*TblTech[[#This Row],[7-1]])*SUM(TblImps[[#This Row],[P4]:[G4]])+OFFSET(TblImps[[#This Row],[Σ Towers]],-1,0)</f>
        <v>0</v>
      </c>
      <c r="AI76" s="205">
        <f ca="1">(1+Overview!$I$28)*SUM(TblImps[[#This Row],[P5]:[G5]])+OFFSET(TblImps[[#This Row],[Σ Forges]],-1,0)</f>
        <v>0</v>
      </c>
      <c r="AJ76" s="205">
        <f ca="1">(1+Overview!$I$28)*SUM(TblImps[[#This Row],[P6]:[G6]])+OFFSET(TblImps[[#This Row],[Σ Walls]],-1,0)</f>
        <v>0</v>
      </c>
      <c r="AK76" s="205">
        <f ca="1">(1+Overview!$I$28 + tech_7_1*TblTech[[#This Row],[7-1]])*SUM(TblImps[[#This Row],[P7]:[G7]])+OFFSET(TblImps[[#This Row],[Σ Irrigation]],-1,0)</f>
        <v>0</v>
      </c>
      <c r="AL76" s="157"/>
      <c r="AM76" s="217">
        <f>IF(AND(TblImps[[#This Row],[Resource]]=AM$2,TblImps[[#This Row],[Part]]&lt;&gt;""),TblImps[[#This Row],[Amount]]) + IF(AND(TblImps[[#This Row],[Resource 2]]=AM$2,TblImps[[#This Row],[Part 2]]&lt;&gt;""),TblImps[[#This Row],[Amount 2]]) + IF(AND(TblImps[[#This Row],[Resource 3]]=AM$2,TblImps[[#This Row],[Part 3]]&lt;&gt;""),TblImps[[#This Row],[Amount 3]])</f>
        <v>0</v>
      </c>
      <c r="AN76" s="217">
        <f>IF(AND(TblImps[[#This Row],[Resource]]=AN$2,TblImps[[#This Row],[Part]]&lt;&gt;""),TblImps[[#This Row],[Amount]]) + IF(AND(TblImps[[#This Row],[Resource 2]]=AN$2,TblImps[[#This Row],[Part 2]]&lt;&gt;""),TblImps[[#This Row],[Amount 2]]) + IF(AND(TblImps[[#This Row],[Resource 3]]=AN$2,TblImps[[#This Row],[Part 3]]&lt;&gt;""),TblImps[[#This Row],[Amount 3]])</f>
        <v>0</v>
      </c>
      <c r="AO76" s="217">
        <f>IF(AND(TblImps[[#This Row],[Resource]]=AO$2,TblImps[[#This Row],[Part]]&lt;&gt;""),TblImps[[#This Row],[Amount]]) + IF(AND(TblImps[[#This Row],[Resource 2]]=AO$2,TblImps[[#This Row],[Part 2]]&lt;&gt;""),TblImps[[#This Row],[Amount 2]]) + IF(AND(TblImps[[#This Row],[Resource 3]]=AO$2,TblImps[[#This Row],[Part 3]]&lt;&gt;""),TblImps[[#This Row],[Amount 3]])</f>
        <v>0</v>
      </c>
      <c r="AP76" s="217">
        <f>IF(AND(TblImps[[#This Row],[Resource]]=AP$2,TblImps[[#This Row],[Part]]&lt;&gt;""),TblImps[[#This Row],[Amount]]) + IF(AND(TblImps[[#This Row],[Resource 2]]=AP$2,TblImps[[#This Row],[Part 2]]&lt;&gt;""),TblImps[[#This Row],[Amount 2]]) + IF(AND(TblImps[[#This Row],[Resource 3]]=AP$2,TblImps[[#This Row],[Part 3]]&lt;&gt;""),TblImps[[#This Row],[Amount 3]])</f>
        <v>0</v>
      </c>
      <c r="AQ76" s="157"/>
      <c r="AR76" s="21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7">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7">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7"/>
      <c r="AW76" s="21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7">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7">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7"/>
      <c r="BB76" s="21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7"/>
      <c r="BG76" s="21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7"/>
      <c r="BL76" s="21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7"/>
      <c r="BQ76" s="21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7"/>
      <c r="BV76" s="216"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05">
        <f>TblImps[[#This Row],[Login]]</f>
        <v>0</v>
      </c>
      <c r="BX76" s="152"/>
      <c r="BY76" s="331">
        <f ca="1">OFFSET(TblImps[[#This Row],[Real time]],-1,0)+1/24</f>
        <v>44813.749999999825</v>
      </c>
      <c r="BZ76" s="332">
        <f ca="1">OFFSET(TblImps[[#This Row],[Servertime]],-1,0)+1/24</f>
        <v>44813.999999999825</v>
      </c>
    </row>
    <row r="77" spans="1:84" x14ac:dyDescent="0.2">
      <c r="A77" s="230">
        <f ca="1">TblConstr[[#This Row],[Land]]</f>
        <v>250</v>
      </c>
      <c r="B77" s="150"/>
      <c r="C77" s="97">
        <f ca="1">TblProd[[#This Row],[Platinum]]</f>
        <v>501356</v>
      </c>
      <c r="D77" s="97">
        <f ca="1">TblProd[[#This Row],[Lumber]]</f>
        <v>59186</v>
      </c>
      <c r="E77" s="97">
        <f ca="1">TblProd[[#This Row],[Ore]]</f>
        <v>0</v>
      </c>
      <c r="F77" s="97">
        <f ca="1">TblProd[[#This Row],[Gems]]</f>
        <v>10000</v>
      </c>
      <c r="G77" s="162"/>
      <c r="H77" s="97">
        <f ca="1">TblMili[[#This Row],[Draftees]]</f>
        <v>626</v>
      </c>
      <c r="I77" s="188">
        <f ca="1">TblPop[[#This Row],[Employment]]</f>
        <v>1</v>
      </c>
      <c r="J77" s="188">
        <f ca="1">TblPop[[#This Row],[Total]]/TblPop[[#This Row],[Net max]]</f>
        <v>1</v>
      </c>
      <c r="K77" s="311">
        <f>TblRezone[[#This Row],[Hour]]</f>
        <v>74</v>
      </c>
      <c r="L77" s="312">
        <f ca="1">TblImps[[#This Row],[Real time]]</f>
        <v>44813.79166666649</v>
      </c>
      <c r="M77" s="62">
        <f>IF(ISERROR(TblImps[[#This Row],[algorithm]]),0,TblImps[[#This Row],[algorithm]]*1)</f>
        <v>0</v>
      </c>
      <c r="N77" s="97">
        <f ca="1">TblImps[[#This Row],[Land]]</f>
        <v>250</v>
      </c>
      <c r="O77" s="313" t="s">
        <v>4</v>
      </c>
      <c r="P77" s="314"/>
      <c r="Q77" s="313" t="s">
        <v>216</v>
      </c>
      <c r="R77" s="313" t="s">
        <v>7</v>
      </c>
      <c r="S77" s="314"/>
      <c r="T77" s="313" t="s">
        <v>216</v>
      </c>
      <c r="U77" s="313" t="s">
        <v>3</v>
      </c>
      <c r="V77" s="314"/>
      <c r="W77" s="313" t="s">
        <v>216</v>
      </c>
      <c r="X77" s="150"/>
      <c r="Y77" s="315">
        <f ca="1">science_cap*(1-EXP(-TblImps[[#This Row],[Σ Science]]/(science_param*(OFFSET(TblImps[[#This Row],[Land]],1,0)-OFFSET(TblExplore[[#This Row],[Land Bonus]],1,0)*20)+15000)))*(1+(mason_bonus*TblConstr[[#This Row],[Tot Mas]]/TblConstr[[#This Row],[Land (2)]]))</f>
        <v>0</v>
      </c>
      <c r="Z77" s="315">
        <f ca="1">keep_cap*(1-EXP(-TblImps[[#This Row],[Σ Keep]]/(keep_param*(OFFSET(TblImps[[#This Row],[Land]],1,0)-OFFSET(TblExplore[[#This Row],[Land Bonus]],1,0)*20)+15000)))*(1+(mason_bonus*TblConstr[[#This Row],[Tot Mas]]/TblConstr[[#This Row],[Land (2)]]))</f>
        <v>0</v>
      </c>
      <c r="AA77" s="315">
        <f ca="1">harbor_towers_cap*(1-EXP(-TblImps[[#This Row],[Σ Towers]]/(towers_param*(OFFSET(TblImps[[#This Row],[Land]],1,0)-OFFSET(TblExplore[[#This Row],[Land Bonus]],1,0)*20)+15000)))*(1+(mason_bonus*TblConstr[[#This Row],[Tot Mas]]/TblConstr[[#This Row],[Land (2)]]))</f>
        <v>0</v>
      </c>
      <c r="AB77" s="315">
        <f ca="1">walls_forges_cap*(1-EXP(-TblImps[[#This Row],[Σ Forges]]/(walls_forges_param*(OFFSET(TblImps[[#This Row],[Land]],1,0)-OFFSET(TblExplore[[#This Row],[Land Bonus]],1,0)*20)+15000)))*(1+(mason_bonus*TblConstr[[#This Row],[Tot Mas]]/TblConstr[[#This Row],[Land (2)]]))</f>
        <v>0</v>
      </c>
      <c r="AC77" s="315">
        <f ca="1">walls_forges_cap*(1-EXP(-TblImps[[#This Row],[Σ Walls]]/(walls_forges_param*(OFFSET(TblImps[[#This Row],[Land]],1,0)-OFFSET(TblExplore[[#This Row],[Land Bonus]],1,0)*20)+15000)))*(1+(mason_bonus*TblConstr[[#This Row],[Tot Mas]]/TblConstr[[#This Row],[Land (2)]]))</f>
        <v>0</v>
      </c>
      <c r="AD77" s="315">
        <f ca="1">harbor_towers_cap*(1-EXP(-TblImps[[#This Row],[Σ Irrigation]]/(harbor_towers_param*(OFFSET(TblImps[[#This Row],[Land]],1,0)-OFFSET(TblExplore[[#This Row],[Land Bonus]],1,0)*20)+15000)))*(1+(mason_bonus*TblConstr[[#This Row],[Tot Mas]]/TblConstr[[#This Row],[Land (2)]]))</f>
        <v>0</v>
      </c>
      <c r="AE77" s="150"/>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50"/>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50"/>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50"/>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50"/>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50"/>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50"/>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50"/>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50"/>
      <c r="BV7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62">
        <f>TblImps[[#This Row],[Login]]</f>
        <v>0</v>
      </c>
      <c r="BX77" s="145"/>
      <c r="BY77" s="321">
        <f ca="1">OFFSET(TblImps[[#This Row],[Real time]],-1,0)+1/24</f>
        <v>44813.79166666649</v>
      </c>
      <c r="BZ77" s="322">
        <f ca="1">OFFSET(TblImps[[#This Row],[Servertime]],-1,0)+1/24</f>
        <v>44814.04166666649</v>
      </c>
      <c r="CA77" s="57"/>
      <c r="CB77" s="320"/>
      <c r="CC77" s="320"/>
    </row>
    <row r="78" spans="1:84" x14ac:dyDescent="0.2">
      <c r="A78" s="230">
        <f ca="1">TblConstr[[#This Row],[Land]]</f>
        <v>250</v>
      </c>
      <c r="B78" s="150"/>
      <c r="C78" s="97">
        <f ca="1">TblProd[[#This Row],[Platinum]]</f>
        <v>506842</v>
      </c>
      <c r="D78" s="97">
        <f ca="1">TblProd[[#This Row],[Lumber]]</f>
        <v>59594</v>
      </c>
      <c r="E78" s="97">
        <f ca="1">TblProd[[#This Row],[Ore]]</f>
        <v>0</v>
      </c>
      <c r="F78" s="97">
        <f ca="1">TblProd[[#This Row],[Gems]]</f>
        <v>10000</v>
      </c>
      <c r="G78" s="162"/>
      <c r="H78" s="97">
        <f ca="1">TblMili[[#This Row],[Draftees]]</f>
        <v>626</v>
      </c>
      <c r="I78" s="188">
        <f ca="1">TblPop[[#This Row],[Employment]]</f>
        <v>1</v>
      </c>
      <c r="J78" s="188">
        <f ca="1">TblPop[[#This Row],[Total]]/TblPop[[#This Row],[Net max]]</f>
        <v>1</v>
      </c>
      <c r="K78" s="311">
        <f>TblRezone[[#This Row],[Hour]]</f>
        <v>75</v>
      </c>
      <c r="L78" s="312">
        <f ca="1">TblImps[[#This Row],[Real time]]</f>
        <v>44813.833333333154</v>
      </c>
      <c r="M78" s="62">
        <f>IF(ISERROR(TblImps[[#This Row],[algorithm]]),0,TblImps[[#This Row],[algorithm]]*1)</f>
        <v>0</v>
      </c>
      <c r="N78" s="97">
        <f ca="1">TblImps[[#This Row],[Land]]</f>
        <v>250</v>
      </c>
      <c r="O78" s="313" t="s">
        <v>4</v>
      </c>
      <c r="P78" s="314"/>
      <c r="Q78" s="313" t="s">
        <v>216</v>
      </c>
      <c r="R78" s="313" t="s">
        <v>7</v>
      </c>
      <c r="S78" s="314"/>
      <c r="T78" s="313" t="s">
        <v>216</v>
      </c>
      <c r="U78" s="313" t="s">
        <v>3</v>
      </c>
      <c r="V78" s="314"/>
      <c r="W78" s="313" t="s">
        <v>216</v>
      </c>
      <c r="X78" s="150"/>
      <c r="Y78" s="315">
        <f ca="1">science_cap*(1-EXP(-TblImps[[#This Row],[Σ Science]]/(science_param*(OFFSET(TblImps[[#This Row],[Land]],1,0)-OFFSET(TblExplore[[#This Row],[Land Bonus]],1,0)*20)+15000)))*(1+(mason_bonus*TblConstr[[#This Row],[Tot Mas]]/TblConstr[[#This Row],[Land (2)]]))</f>
        <v>0</v>
      </c>
      <c r="Z78" s="315">
        <f ca="1">keep_cap*(1-EXP(-TblImps[[#This Row],[Σ Keep]]/(keep_param*(OFFSET(TblImps[[#This Row],[Land]],1,0)-OFFSET(TblExplore[[#This Row],[Land Bonus]],1,0)*20)+15000)))*(1+(mason_bonus*TblConstr[[#This Row],[Tot Mas]]/TblConstr[[#This Row],[Land (2)]]))</f>
        <v>0</v>
      </c>
      <c r="AA78" s="315">
        <f ca="1">harbor_towers_cap*(1-EXP(-TblImps[[#This Row],[Σ Towers]]/(towers_param*(OFFSET(TblImps[[#This Row],[Land]],1,0)-OFFSET(TblExplore[[#This Row],[Land Bonus]],1,0)*20)+15000)))*(1+(mason_bonus*TblConstr[[#This Row],[Tot Mas]]/TblConstr[[#This Row],[Land (2)]]))</f>
        <v>0</v>
      </c>
      <c r="AB78" s="315">
        <f ca="1">walls_forges_cap*(1-EXP(-TblImps[[#This Row],[Σ Forges]]/(walls_forges_param*(OFFSET(TblImps[[#This Row],[Land]],1,0)-OFFSET(TblExplore[[#This Row],[Land Bonus]],1,0)*20)+15000)))*(1+(mason_bonus*TblConstr[[#This Row],[Tot Mas]]/TblConstr[[#This Row],[Land (2)]]))</f>
        <v>0</v>
      </c>
      <c r="AC78" s="315">
        <f ca="1">walls_forges_cap*(1-EXP(-TblImps[[#This Row],[Σ Walls]]/(walls_forges_param*(OFFSET(TblImps[[#This Row],[Land]],1,0)-OFFSET(TblExplore[[#This Row],[Land Bonus]],1,0)*20)+15000)))*(1+(mason_bonus*TblConstr[[#This Row],[Tot Mas]]/TblConstr[[#This Row],[Land (2)]]))</f>
        <v>0</v>
      </c>
      <c r="AD78" s="315">
        <f ca="1">harbor_towers_cap*(1-EXP(-TblImps[[#This Row],[Σ Irrigation]]/(harbor_towers_param*(OFFSET(TblImps[[#This Row],[Land]],1,0)-OFFSET(TblExplore[[#This Row],[Land Bonus]],1,0)*20)+15000)))*(1+(mason_bonus*TblConstr[[#This Row],[Tot Mas]]/TblConstr[[#This Row],[Land (2)]]))</f>
        <v>0</v>
      </c>
      <c r="AE78" s="150"/>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50"/>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50"/>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50"/>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50"/>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50"/>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50"/>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50"/>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50"/>
      <c r="BV7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62">
        <f>TblImps[[#This Row],[Login]]</f>
        <v>0</v>
      </c>
      <c r="BX78" s="145"/>
      <c r="BY78" s="321">
        <f ca="1">OFFSET(TblImps[[#This Row],[Real time]],-1,0)+1/24</f>
        <v>44813.833333333154</v>
      </c>
      <c r="BZ78" s="322">
        <f ca="1">OFFSET(TblImps[[#This Row],[Servertime]],-1,0)+1/24</f>
        <v>44814.083333333154</v>
      </c>
      <c r="CA78" s="57"/>
      <c r="CB78" s="320"/>
      <c r="CC78" s="320"/>
      <c r="CF78" s="323"/>
    </row>
    <row r="79" spans="1:84" x14ac:dyDescent="0.2">
      <c r="A79" s="230">
        <f ca="1">TblConstr[[#This Row],[Land]]</f>
        <v>250</v>
      </c>
      <c r="B79" s="150"/>
      <c r="C79" s="97">
        <f ca="1">TblProd[[#This Row],[Platinum]]</f>
        <v>512328</v>
      </c>
      <c r="D79" s="97">
        <f ca="1">TblProd[[#This Row],[Lumber]]</f>
        <v>59998</v>
      </c>
      <c r="E79" s="97">
        <f ca="1">TblProd[[#This Row],[Ore]]</f>
        <v>0</v>
      </c>
      <c r="F79" s="97">
        <f ca="1">TblProd[[#This Row],[Gems]]</f>
        <v>10000</v>
      </c>
      <c r="G79" s="162"/>
      <c r="H79" s="97">
        <f ca="1">TblMili[[#This Row],[Draftees]]</f>
        <v>626</v>
      </c>
      <c r="I79" s="188">
        <f ca="1">TblPop[[#This Row],[Employment]]</f>
        <v>1</v>
      </c>
      <c r="J79" s="188">
        <f ca="1">TblPop[[#This Row],[Total]]/TblPop[[#This Row],[Net max]]</f>
        <v>1</v>
      </c>
      <c r="K79" s="311">
        <f>TblRezone[[#This Row],[Hour]]</f>
        <v>76</v>
      </c>
      <c r="L79" s="312">
        <f ca="1">TblImps[[#This Row],[Real time]]</f>
        <v>44813.874999999818</v>
      </c>
      <c r="M79" s="62">
        <f>IF(ISERROR(TblImps[[#This Row],[algorithm]]),0,TblImps[[#This Row],[algorithm]]*1)</f>
        <v>0</v>
      </c>
      <c r="N79" s="97">
        <f ca="1">TblImps[[#This Row],[Land]]</f>
        <v>250</v>
      </c>
      <c r="O79" s="313" t="s">
        <v>4</v>
      </c>
      <c r="P79" s="314"/>
      <c r="Q79" s="313" t="s">
        <v>216</v>
      </c>
      <c r="R79" s="313" t="s">
        <v>7</v>
      </c>
      <c r="S79" s="314"/>
      <c r="T79" s="313" t="s">
        <v>216</v>
      </c>
      <c r="U79" s="313" t="s">
        <v>3</v>
      </c>
      <c r="V79" s="314"/>
      <c r="W79" s="313" t="s">
        <v>216</v>
      </c>
      <c r="X79" s="150"/>
      <c r="Y79" s="315">
        <f ca="1">science_cap*(1-EXP(-TblImps[[#This Row],[Σ Science]]/(science_param*(OFFSET(TblImps[[#This Row],[Land]],1,0)-OFFSET(TblExplore[[#This Row],[Land Bonus]],1,0)*20)+15000)))*(1+(mason_bonus*TblConstr[[#This Row],[Tot Mas]]/TblConstr[[#This Row],[Land (2)]]))</f>
        <v>0</v>
      </c>
      <c r="Z79" s="315">
        <f ca="1">keep_cap*(1-EXP(-TblImps[[#This Row],[Σ Keep]]/(keep_param*(OFFSET(TblImps[[#This Row],[Land]],1,0)-OFFSET(TblExplore[[#This Row],[Land Bonus]],1,0)*20)+15000)))*(1+(mason_bonus*TblConstr[[#This Row],[Tot Mas]]/TblConstr[[#This Row],[Land (2)]]))</f>
        <v>0</v>
      </c>
      <c r="AA79" s="315">
        <f ca="1">harbor_towers_cap*(1-EXP(-TblImps[[#This Row],[Σ Towers]]/(towers_param*(OFFSET(TblImps[[#This Row],[Land]],1,0)-OFFSET(TblExplore[[#This Row],[Land Bonus]],1,0)*20)+15000)))*(1+(mason_bonus*TblConstr[[#This Row],[Tot Mas]]/TblConstr[[#This Row],[Land (2)]]))</f>
        <v>0</v>
      </c>
      <c r="AB79" s="315">
        <f ca="1">walls_forges_cap*(1-EXP(-TblImps[[#This Row],[Σ Forges]]/(walls_forges_param*(OFFSET(TblImps[[#This Row],[Land]],1,0)-OFFSET(TblExplore[[#This Row],[Land Bonus]],1,0)*20)+15000)))*(1+(mason_bonus*TblConstr[[#This Row],[Tot Mas]]/TblConstr[[#This Row],[Land (2)]]))</f>
        <v>0</v>
      </c>
      <c r="AC79" s="315">
        <f ca="1">walls_forges_cap*(1-EXP(-TblImps[[#This Row],[Σ Walls]]/(walls_forges_param*(OFFSET(TblImps[[#This Row],[Land]],1,0)-OFFSET(TblExplore[[#This Row],[Land Bonus]],1,0)*20)+15000)))*(1+(mason_bonus*TblConstr[[#This Row],[Tot Mas]]/TblConstr[[#This Row],[Land (2)]]))</f>
        <v>0</v>
      </c>
      <c r="AD79" s="315">
        <f ca="1">harbor_towers_cap*(1-EXP(-TblImps[[#This Row],[Σ Irrigation]]/(harbor_towers_param*(OFFSET(TblImps[[#This Row],[Land]],1,0)-OFFSET(TblExplore[[#This Row],[Land Bonus]],1,0)*20)+15000)))*(1+(mason_bonus*TblConstr[[#This Row],[Tot Mas]]/TblConstr[[#This Row],[Land (2)]]))</f>
        <v>0</v>
      </c>
      <c r="AE79" s="150"/>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50"/>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50"/>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50"/>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50"/>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50"/>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50"/>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50"/>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50"/>
      <c r="BV7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62">
        <f>TblImps[[#This Row],[Login]]</f>
        <v>0</v>
      </c>
      <c r="BX79" s="145"/>
      <c r="BY79" s="321">
        <f ca="1">OFFSET(TblImps[[#This Row],[Real time]],-1,0)+1/24</f>
        <v>44813.874999999818</v>
      </c>
      <c r="BZ79" s="322">
        <f ca="1">OFFSET(TblImps[[#This Row],[Servertime]],-1,0)+1/24</f>
        <v>44814.124999999818</v>
      </c>
      <c r="CA79" s="57"/>
      <c r="CB79" s="320"/>
      <c r="CC79" s="320"/>
      <c r="CF79" s="324"/>
    </row>
    <row r="80" spans="1:84" x14ac:dyDescent="0.2">
      <c r="A80" s="230">
        <f ca="1">TblConstr[[#This Row],[Land]]</f>
        <v>250</v>
      </c>
      <c r="B80" s="150"/>
      <c r="C80" s="97">
        <f ca="1">TblProd[[#This Row],[Platinum]]</f>
        <v>517814</v>
      </c>
      <c r="D80" s="97">
        <f ca="1">TblProd[[#This Row],[Lumber]]</f>
        <v>60398</v>
      </c>
      <c r="E80" s="97">
        <f ca="1">TblProd[[#This Row],[Ore]]</f>
        <v>0</v>
      </c>
      <c r="F80" s="97">
        <f ca="1">TblProd[[#This Row],[Gems]]</f>
        <v>10000</v>
      </c>
      <c r="G80" s="162"/>
      <c r="H80" s="97">
        <f ca="1">TblMili[[#This Row],[Draftees]]</f>
        <v>626</v>
      </c>
      <c r="I80" s="188">
        <f ca="1">TblPop[[#This Row],[Employment]]</f>
        <v>1</v>
      </c>
      <c r="J80" s="188">
        <f ca="1">TblPop[[#This Row],[Total]]/TblPop[[#This Row],[Net max]]</f>
        <v>1</v>
      </c>
      <c r="K80" s="311">
        <f>TblRezone[[#This Row],[Hour]]</f>
        <v>77</v>
      </c>
      <c r="L80" s="312">
        <f ca="1">TblImps[[#This Row],[Real time]]</f>
        <v>44813.916666666482</v>
      </c>
      <c r="M80" s="62">
        <f>IF(ISERROR(TblImps[[#This Row],[algorithm]]),0,TblImps[[#This Row],[algorithm]]*1)</f>
        <v>0</v>
      </c>
      <c r="N80" s="97">
        <f ca="1">TblImps[[#This Row],[Land]]</f>
        <v>250</v>
      </c>
      <c r="O80" s="313" t="s">
        <v>4</v>
      </c>
      <c r="P80" s="314"/>
      <c r="Q80" s="313" t="s">
        <v>216</v>
      </c>
      <c r="R80" s="313" t="s">
        <v>7</v>
      </c>
      <c r="S80" s="314"/>
      <c r="T80" s="313" t="s">
        <v>216</v>
      </c>
      <c r="U80" s="313" t="s">
        <v>3</v>
      </c>
      <c r="V80" s="314"/>
      <c r="W80" s="313" t="s">
        <v>216</v>
      </c>
      <c r="X80" s="150"/>
      <c r="Y80" s="315">
        <f ca="1">science_cap*(1-EXP(-TblImps[[#This Row],[Σ Science]]/(science_param*(OFFSET(TblImps[[#This Row],[Land]],1,0)-OFFSET(TblExplore[[#This Row],[Land Bonus]],1,0)*20)+15000)))*(1+(mason_bonus*TblConstr[[#This Row],[Tot Mas]]/TblConstr[[#This Row],[Land (2)]]))</f>
        <v>0</v>
      </c>
      <c r="Z80" s="315">
        <f ca="1">keep_cap*(1-EXP(-TblImps[[#This Row],[Σ Keep]]/(keep_param*(OFFSET(TblImps[[#This Row],[Land]],1,0)-OFFSET(TblExplore[[#This Row],[Land Bonus]],1,0)*20)+15000)))*(1+(mason_bonus*TblConstr[[#This Row],[Tot Mas]]/TblConstr[[#This Row],[Land (2)]]))</f>
        <v>0</v>
      </c>
      <c r="AA80" s="315">
        <f ca="1">harbor_towers_cap*(1-EXP(-TblImps[[#This Row],[Σ Towers]]/(towers_param*(OFFSET(TblImps[[#This Row],[Land]],1,0)-OFFSET(TblExplore[[#This Row],[Land Bonus]],1,0)*20)+15000)))*(1+(mason_bonus*TblConstr[[#This Row],[Tot Mas]]/TblConstr[[#This Row],[Land (2)]]))</f>
        <v>0</v>
      </c>
      <c r="AB80" s="315">
        <f ca="1">walls_forges_cap*(1-EXP(-TblImps[[#This Row],[Σ Forges]]/(walls_forges_param*(OFFSET(TblImps[[#This Row],[Land]],1,0)-OFFSET(TblExplore[[#This Row],[Land Bonus]],1,0)*20)+15000)))*(1+(mason_bonus*TblConstr[[#This Row],[Tot Mas]]/TblConstr[[#This Row],[Land (2)]]))</f>
        <v>0</v>
      </c>
      <c r="AC80" s="315">
        <f ca="1">walls_forges_cap*(1-EXP(-TblImps[[#This Row],[Σ Walls]]/(walls_forges_param*(OFFSET(TblImps[[#This Row],[Land]],1,0)-OFFSET(TblExplore[[#This Row],[Land Bonus]],1,0)*20)+15000)))*(1+(mason_bonus*TblConstr[[#This Row],[Tot Mas]]/TblConstr[[#This Row],[Land (2)]]))</f>
        <v>0</v>
      </c>
      <c r="AD80" s="315">
        <f ca="1">harbor_towers_cap*(1-EXP(-TblImps[[#This Row],[Σ Irrigation]]/(harbor_towers_param*(OFFSET(TblImps[[#This Row],[Land]],1,0)-OFFSET(TblExplore[[#This Row],[Land Bonus]],1,0)*20)+15000)))*(1+(mason_bonus*TblConstr[[#This Row],[Tot Mas]]/TblConstr[[#This Row],[Land (2)]]))</f>
        <v>0</v>
      </c>
      <c r="AE80" s="150"/>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50"/>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50"/>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50"/>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50"/>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50"/>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50"/>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50"/>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50"/>
      <c r="BV8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62">
        <f>TblImps[[#This Row],[Login]]</f>
        <v>0</v>
      </c>
      <c r="BX80" s="145"/>
      <c r="BY80" s="321">
        <f ca="1">OFFSET(TblImps[[#This Row],[Real time]],-1,0)+1/24</f>
        <v>44813.916666666482</v>
      </c>
      <c r="BZ80" s="322">
        <f ca="1">OFFSET(TblImps[[#This Row],[Servertime]],-1,0)+1/24</f>
        <v>44814.166666666482</v>
      </c>
      <c r="CA80" s="57"/>
      <c r="CB80" s="320"/>
      <c r="CC80" s="320"/>
      <c r="CF80" s="323"/>
    </row>
    <row r="81" spans="1:84" x14ac:dyDescent="0.2">
      <c r="A81" s="230">
        <f ca="1">TblConstr[[#This Row],[Land]]</f>
        <v>250</v>
      </c>
      <c r="B81" s="150"/>
      <c r="C81" s="97">
        <f ca="1">TblProd[[#This Row],[Platinum]]</f>
        <v>523300</v>
      </c>
      <c r="D81" s="97">
        <f ca="1">TblProd[[#This Row],[Lumber]]</f>
        <v>60794</v>
      </c>
      <c r="E81" s="97">
        <f ca="1">TblProd[[#This Row],[Ore]]</f>
        <v>0</v>
      </c>
      <c r="F81" s="97">
        <f ca="1">TblProd[[#This Row],[Gems]]</f>
        <v>10000</v>
      </c>
      <c r="G81" s="162"/>
      <c r="H81" s="97">
        <f ca="1">TblMili[[#This Row],[Draftees]]</f>
        <v>626</v>
      </c>
      <c r="I81" s="188">
        <f ca="1">TblPop[[#This Row],[Employment]]</f>
        <v>1</v>
      </c>
      <c r="J81" s="188">
        <f ca="1">TblPop[[#This Row],[Total]]/TblPop[[#This Row],[Net max]]</f>
        <v>1</v>
      </c>
      <c r="K81" s="311">
        <f>TblRezone[[#This Row],[Hour]]</f>
        <v>78</v>
      </c>
      <c r="L81" s="312">
        <f ca="1">TblImps[[#This Row],[Real time]]</f>
        <v>44813.958333333147</v>
      </c>
      <c r="M81" s="62">
        <f>IF(ISERROR(TblImps[[#This Row],[algorithm]]),0,TblImps[[#This Row],[algorithm]]*1)</f>
        <v>0</v>
      </c>
      <c r="N81" s="97">
        <f ca="1">TblImps[[#This Row],[Land]]</f>
        <v>250</v>
      </c>
      <c r="O81" s="313" t="s">
        <v>4</v>
      </c>
      <c r="P81" s="314"/>
      <c r="Q81" s="313" t="s">
        <v>216</v>
      </c>
      <c r="R81" s="313" t="s">
        <v>7</v>
      </c>
      <c r="S81" s="314"/>
      <c r="T81" s="313" t="s">
        <v>216</v>
      </c>
      <c r="U81" s="313" t="s">
        <v>3</v>
      </c>
      <c r="V81" s="314"/>
      <c r="W81" s="313" t="s">
        <v>216</v>
      </c>
      <c r="X81" s="150"/>
      <c r="Y81" s="315">
        <f ca="1">science_cap*(1-EXP(-TblImps[[#This Row],[Σ Science]]/(science_param*(OFFSET(TblImps[[#This Row],[Land]],1,0)-OFFSET(TblExplore[[#This Row],[Land Bonus]],1,0)*20)+15000)))*(1+(mason_bonus*TblConstr[[#This Row],[Tot Mas]]/TblConstr[[#This Row],[Land (2)]]))</f>
        <v>0</v>
      </c>
      <c r="Z81" s="315">
        <f ca="1">keep_cap*(1-EXP(-TblImps[[#This Row],[Σ Keep]]/(keep_param*(OFFSET(TblImps[[#This Row],[Land]],1,0)-OFFSET(TblExplore[[#This Row],[Land Bonus]],1,0)*20)+15000)))*(1+(mason_bonus*TblConstr[[#This Row],[Tot Mas]]/TblConstr[[#This Row],[Land (2)]]))</f>
        <v>0</v>
      </c>
      <c r="AA81" s="315">
        <f ca="1">harbor_towers_cap*(1-EXP(-TblImps[[#This Row],[Σ Towers]]/(towers_param*(OFFSET(TblImps[[#This Row],[Land]],1,0)-OFFSET(TblExplore[[#This Row],[Land Bonus]],1,0)*20)+15000)))*(1+(mason_bonus*TblConstr[[#This Row],[Tot Mas]]/TblConstr[[#This Row],[Land (2)]]))</f>
        <v>0</v>
      </c>
      <c r="AB81" s="315">
        <f ca="1">walls_forges_cap*(1-EXP(-TblImps[[#This Row],[Σ Forges]]/(walls_forges_param*(OFFSET(TblImps[[#This Row],[Land]],1,0)-OFFSET(TblExplore[[#This Row],[Land Bonus]],1,0)*20)+15000)))*(1+(mason_bonus*TblConstr[[#This Row],[Tot Mas]]/TblConstr[[#This Row],[Land (2)]]))</f>
        <v>0</v>
      </c>
      <c r="AC81" s="315">
        <f ca="1">walls_forges_cap*(1-EXP(-TblImps[[#This Row],[Σ Walls]]/(walls_forges_param*(OFFSET(TblImps[[#This Row],[Land]],1,0)-OFFSET(TblExplore[[#This Row],[Land Bonus]],1,0)*20)+15000)))*(1+(mason_bonus*TblConstr[[#This Row],[Tot Mas]]/TblConstr[[#This Row],[Land (2)]]))</f>
        <v>0</v>
      </c>
      <c r="AD81" s="315">
        <f ca="1">harbor_towers_cap*(1-EXP(-TblImps[[#This Row],[Σ Irrigation]]/(harbor_towers_param*(OFFSET(TblImps[[#This Row],[Land]],1,0)-OFFSET(TblExplore[[#This Row],[Land Bonus]],1,0)*20)+15000)))*(1+(mason_bonus*TblConstr[[#This Row],[Tot Mas]]/TblConstr[[#This Row],[Land (2)]]))</f>
        <v>0</v>
      </c>
      <c r="AE81" s="150"/>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50"/>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50"/>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50"/>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50"/>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50"/>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50"/>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50"/>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50"/>
      <c r="BV8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62">
        <f>TblImps[[#This Row],[Login]]</f>
        <v>0</v>
      </c>
      <c r="BX81" s="145"/>
      <c r="BY81" s="321">
        <f ca="1">OFFSET(TblImps[[#This Row],[Real time]],-1,0)+1/24</f>
        <v>44813.958333333147</v>
      </c>
      <c r="BZ81" s="322">
        <f ca="1">OFFSET(TblImps[[#This Row],[Servertime]],-1,0)+1/24</f>
        <v>44814.208333333147</v>
      </c>
      <c r="CA81" s="57"/>
      <c r="CB81" s="320"/>
      <c r="CC81" s="320"/>
      <c r="CF81" s="323"/>
    </row>
    <row r="82" spans="1:84" x14ac:dyDescent="0.2">
      <c r="A82" s="230">
        <f ca="1">TblConstr[[#This Row],[Land]]</f>
        <v>250</v>
      </c>
      <c r="B82" s="150"/>
      <c r="C82" s="97">
        <f ca="1">TblProd[[#This Row],[Platinum]]</f>
        <v>528786</v>
      </c>
      <c r="D82" s="97">
        <f ca="1">TblProd[[#This Row],[Lumber]]</f>
        <v>61186</v>
      </c>
      <c r="E82" s="97">
        <f ca="1">TblProd[[#This Row],[Ore]]</f>
        <v>0</v>
      </c>
      <c r="F82" s="97">
        <f ca="1">TblProd[[#This Row],[Gems]]</f>
        <v>10000</v>
      </c>
      <c r="G82" s="162"/>
      <c r="H82" s="97">
        <f ca="1">TblMili[[#This Row],[Draftees]]</f>
        <v>626</v>
      </c>
      <c r="I82" s="188">
        <f ca="1">TblPop[[#This Row],[Employment]]</f>
        <v>1</v>
      </c>
      <c r="J82" s="188">
        <f ca="1">TblPop[[#This Row],[Total]]/TblPop[[#This Row],[Net max]]</f>
        <v>1</v>
      </c>
      <c r="K82" s="311">
        <f>TblRezone[[#This Row],[Hour]]</f>
        <v>79</v>
      </c>
      <c r="L82" s="312">
        <f ca="1">TblImps[[#This Row],[Real time]]</f>
        <v>44813.999999999811</v>
      </c>
      <c r="M82" s="62">
        <f>IF(ISERROR(TblImps[[#This Row],[algorithm]]),0,TblImps[[#This Row],[algorithm]]*1)</f>
        <v>0</v>
      </c>
      <c r="N82" s="97">
        <f ca="1">TblImps[[#This Row],[Land]]</f>
        <v>250</v>
      </c>
      <c r="O82" s="313" t="s">
        <v>4</v>
      </c>
      <c r="P82" s="314"/>
      <c r="Q82" s="313" t="s">
        <v>216</v>
      </c>
      <c r="R82" s="313" t="s">
        <v>7</v>
      </c>
      <c r="S82" s="314"/>
      <c r="T82" s="313" t="s">
        <v>216</v>
      </c>
      <c r="U82" s="313" t="s">
        <v>3</v>
      </c>
      <c r="V82" s="314"/>
      <c r="W82" s="313" t="s">
        <v>216</v>
      </c>
      <c r="X82" s="150"/>
      <c r="Y82" s="315">
        <f ca="1">science_cap*(1-EXP(-TblImps[[#This Row],[Σ Science]]/(science_param*(OFFSET(TblImps[[#This Row],[Land]],1,0)-OFFSET(TblExplore[[#This Row],[Land Bonus]],1,0)*20)+15000)))*(1+(mason_bonus*TblConstr[[#This Row],[Tot Mas]]/TblConstr[[#This Row],[Land (2)]]))</f>
        <v>0</v>
      </c>
      <c r="Z82" s="315">
        <f ca="1">keep_cap*(1-EXP(-TblImps[[#This Row],[Σ Keep]]/(keep_param*(OFFSET(TblImps[[#This Row],[Land]],1,0)-OFFSET(TblExplore[[#This Row],[Land Bonus]],1,0)*20)+15000)))*(1+(mason_bonus*TblConstr[[#This Row],[Tot Mas]]/TblConstr[[#This Row],[Land (2)]]))</f>
        <v>0</v>
      </c>
      <c r="AA82" s="315">
        <f ca="1">harbor_towers_cap*(1-EXP(-TblImps[[#This Row],[Σ Towers]]/(towers_param*(OFFSET(TblImps[[#This Row],[Land]],1,0)-OFFSET(TblExplore[[#This Row],[Land Bonus]],1,0)*20)+15000)))*(1+(mason_bonus*TblConstr[[#This Row],[Tot Mas]]/TblConstr[[#This Row],[Land (2)]]))</f>
        <v>0</v>
      </c>
      <c r="AB82" s="315">
        <f ca="1">walls_forges_cap*(1-EXP(-TblImps[[#This Row],[Σ Forges]]/(walls_forges_param*(OFFSET(TblImps[[#This Row],[Land]],1,0)-OFFSET(TblExplore[[#This Row],[Land Bonus]],1,0)*20)+15000)))*(1+(mason_bonus*TblConstr[[#This Row],[Tot Mas]]/TblConstr[[#This Row],[Land (2)]]))</f>
        <v>0</v>
      </c>
      <c r="AC82" s="315">
        <f ca="1">walls_forges_cap*(1-EXP(-TblImps[[#This Row],[Σ Walls]]/(walls_forges_param*(OFFSET(TblImps[[#This Row],[Land]],1,0)-OFFSET(TblExplore[[#This Row],[Land Bonus]],1,0)*20)+15000)))*(1+(mason_bonus*TblConstr[[#This Row],[Tot Mas]]/TblConstr[[#This Row],[Land (2)]]))</f>
        <v>0</v>
      </c>
      <c r="AD82" s="315">
        <f ca="1">harbor_towers_cap*(1-EXP(-TblImps[[#This Row],[Σ Irrigation]]/(harbor_towers_param*(OFFSET(TblImps[[#This Row],[Land]],1,0)-OFFSET(TblExplore[[#This Row],[Land Bonus]],1,0)*20)+15000)))*(1+(mason_bonus*TblConstr[[#This Row],[Tot Mas]]/TblConstr[[#This Row],[Land (2)]]))</f>
        <v>0</v>
      </c>
      <c r="AE82" s="150"/>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50"/>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50"/>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50"/>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50"/>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50"/>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50"/>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50"/>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50"/>
      <c r="BV8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62">
        <f>TblImps[[#This Row],[Login]]</f>
        <v>0</v>
      </c>
      <c r="BX82" s="145"/>
      <c r="BY82" s="321">
        <f ca="1">OFFSET(TblImps[[#This Row],[Real time]],-1,0)+1/24</f>
        <v>44813.999999999811</v>
      </c>
      <c r="BZ82" s="322">
        <f ca="1">OFFSET(TblImps[[#This Row],[Servertime]],-1,0)+1/24</f>
        <v>44814.249999999811</v>
      </c>
      <c r="CA82" s="57"/>
      <c r="CB82" s="320"/>
      <c r="CC82" s="320"/>
    </row>
    <row r="83" spans="1:84" x14ac:dyDescent="0.2">
      <c r="A83" s="230">
        <f ca="1">TblConstr[[#This Row],[Land]]</f>
        <v>250</v>
      </c>
      <c r="B83" s="150"/>
      <c r="C83" s="97">
        <f ca="1">TblProd[[#This Row],[Platinum]]</f>
        <v>534272</v>
      </c>
      <c r="D83" s="97">
        <f ca="1">TblProd[[#This Row],[Lumber]]</f>
        <v>61574</v>
      </c>
      <c r="E83" s="97">
        <f ca="1">TblProd[[#This Row],[Ore]]</f>
        <v>0</v>
      </c>
      <c r="F83" s="97">
        <f ca="1">TblProd[[#This Row],[Gems]]</f>
        <v>10000</v>
      </c>
      <c r="G83" s="162"/>
      <c r="H83" s="97">
        <f ca="1">TblMili[[#This Row],[Draftees]]</f>
        <v>626</v>
      </c>
      <c r="I83" s="188">
        <f ca="1">TblPop[[#This Row],[Employment]]</f>
        <v>1</v>
      </c>
      <c r="J83" s="188">
        <f ca="1">TblPop[[#This Row],[Total]]/TblPop[[#This Row],[Net max]]</f>
        <v>1</v>
      </c>
      <c r="K83" s="311">
        <f>TblRezone[[#This Row],[Hour]]</f>
        <v>80</v>
      </c>
      <c r="L83" s="312">
        <f ca="1">TblImps[[#This Row],[Real time]]</f>
        <v>44814.041666666475</v>
      </c>
      <c r="M83" s="62">
        <f>IF(ISERROR(TblImps[[#This Row],[algorithm]]),0,TblImps[[#This Row],[algorithm]]*1)</f>
        <v>0</v>
      </c>
      <c r="N83" s="97">
        <f ca="1">TblImps[[#This Row],[Land]]</f>
        <v>250</v>
      </c>
      <c r="O83" s="313" t="s">
        <v>4</v>
      </c>
      <c r="P83" s="314"/>
      <c r="Q83" s="313" t="s">
        <v>216</v>
      </c>
      <c r="R83" s="313" t="s">
        <v>7</v>
      </c>
      <c r="S83" s="314"/>
      <c r="T83" s="313" t="s">
        <v>216</v>
      </c>
      <c r="U83" s="313" t="s">
        <v>3</v>
      </c>
      <c r="V83" s="314"/>
      <c r="W83" s="313" t="s">
        <v>216</v>
      </c>
      <c r="X83" s="150"/>
      <c r="Y83" s="315">
        <f ca="1">science_cap*(1-EXP(-TblImps[[#This Row],[Σ Science]]/(science_param*(OFFSET(TblImps[[#This Row],[Land]],1,0)-OFFSET(TblExplore[[#This Row],[Land Bonus]],1,0)*20)+15000)))*(1+(mason_bonus*TblConstr[[#This Row],[Tot Mas]]/TblConstr[[#This Row],[Land (2)]]))</f>
        <v>0</v>
      </c>
      <c r="Z83" s="315">
        <f ca="1">keep_cap*(1-EXP(-TblImps[[#This Row],[Σ Keep]]/(keep_param*(OFFSET(TblImps[[#This Row],[Land]],1,0)-OFFSET(TblExplore[[#This Row],[Land Bonus]],1,0)*20)+15000)))*(1+(mason_bonus*TblConstr[[#This Row],[Tot Mas]]/TblConstr[[#This Row],[Land (2)]]))</f>
        <v>0</v>
      </c>
      <c r="AA83" s="315">
        <f ca="1">harbor_towers_cap*(1-EXP(-TblImps[[#This Row],[Σ Towers]]/(towers_param*(OFFSET(TblImps[[#This Row],[Land]],1,0)-OFFSET(TblExplore[[#This Row],[Land Bonus]],1,0)*20)+15000)))*(1+(mason_bonus*TblConstr[[#This Row],[Tot Mas]]/TblConstr[[#This Row],[Land (2)]]))</f>
        <v>0</v>
      </c>
      <c r="AB83" s="315">
        <f ca="1">walls_forges_cap*(1-EXP(-TblImps[[#This Row],[Σ Forges]]/(walls_forges_param*(OFFSET(TblImps[[#This Row],[Land]],1,0)-OFFSET(TblExplore[[#This Row],[Land Bonus]],1,0)*20)+15000)))*(1+(mason_bonus*TblConstr[[#This Row],[Tot Mas]]/TblConstr[[#This Row],[Land (2)]]))</f>
        <v>0</v>
      </c>
      <c r="AC83" s="315">
        <f ca="1">walls_forges_cap*(1-EXP(-TblImps[[#This Row],[Σ Walls]]/(walls_forges_param*(OFFSET(TblImps[[#This Row],[Land]],1,0)-OFFSET(TblExplore[[#This Row],[Land Bonus]],1,0)*20)+15000)))*(1+(mason_bonus*TblConstr[[#This Row],[Tot Mas]]/TblConstr[[#This Row],[Land (2)]]))</f>
        <v>0</v>
      </c>
      <c r="AD83" s="315">
        <f ca="1">harbor_towers_cap*(1-EXP(-TblImps[[#This Row],[Σ Irrigation]]/(harbor_towers_param*(OFFSET(TblImps[[#This Row],[Land]],1,0)-OFFSET(TblExplore[[#This Row],[Land Bonus]],1,0)*20)+15000)))*(1+(mason_bonus*TblConstr[[#This Row],[Tot Mas]]/TblConstr[[#This Row],[Land (2)]]))</f>
        <v>0</v>
      </c>
      <c r="AE83" s="150"/>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50"/>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50"/>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50"/>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50"/>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50"/>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50"/>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50"/>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50"/>
      <c r="BV8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62">
        <f>TblImps[[#This Row],[Login]]</f>
        <v>0</v>
      </c>
      <c r="BX83" s="145"/>
      <c r="BY83" s="321">
        <f ca="1">OFFSET(TblImps[[#This Row],[Real time]],-1,0)+1/24</f>
        <v>44814.041666666475</v>
      </c>
      <c r="BZ83" s="322">
        <f ca="1">OFFSET(TblImps[[#This Row],[Servertime]],-1,0)+1/24</f>
        <v>44814.291666666475</v>
      </c>
      <c r="CA83" s="57"/>
      <c r="CB83" s="320"/>
      <c r="CC83" s="320"/>
    </row>
    <row r="84" spans="1:84" x14ac:dyDescent="0.2">
      <c r="A84" s="230">
        <f ca="1">TblConstr[[#This Row],[Land]]</f>
        <v>250</v>
      </c>
      <c r="B84" s="150"/>
      <c r="C84" s="97">
        <f ca="1">TblProd[[#This Row],[Platinum]]</f>
        <v>539758</v>
      </c>
      <c r="D84" s="97">
        <f ca="1">TblProd[[#This Row],[Lumber]]</f>
        <v>61958</v>
      </c>
      <c r="E84" s="97">
        <f ca="1">TblProd[[#This Row],[Ore]]</f>
        <v>0</v>
      </c>
      <c r="F84" s="97">
        <f ca="1">TblProd[[#This Row],[Gems]]</f>
        <v>10000</v>
      </c>
      <c r="G84" s="162"/>
      <c r="H84" s="97">
        <f ca="1">TblMili[[#This Row],[Draftees]]</f>
        <v>626</v>
      </c>
      <c r="I84" s="188">
        <f ca="1">TblPop[[#This Row],[Employment]]</f>
        <v>1</v>
      </c>
      <c r="J84" s="188">
        <f ca="1">TblPop[[#This Row],[Total]]/TblPop[[#This Row],[Net max]]</f>
        <v>1</v>
      </c>
      <c r="K84" s="311">
        <f>TblRezone[[#This Row],[Hour]]</f>
        <v>81</v>
      </c>
      <c r="L84" s="312">
        <f ca="1">TblImps[[#This Row],[Real time]]</f>
        <v>44814.083333333139</v>
      </c>
      <c r="M84" s="62">
        <f>IF(ISERROR(TblImps[[#This Row],[algorithm]]),0,TblImps[[#This Row],[algorithm]]*1)</f>
        <v>0</v>
      </c>
      <c r="N84" s="97">
        <f ca="1">TblImps[[#This Row],[Land]]</f>
        <v>250</v>
      </c>
      <c r="O84" s="313" t="s">
        <v>4</v>
      </c>
      <c r="P84" s="314"/>
      <c r="Q84" s="313" t="s">
        <v>216</v>
      </c>
      <c r="R84" s="313" t="s">
        <v>7</v>
      </c>
      <c r="S84" s="314"/>
      <c r="T84" s="313" t="s">
        <v>216</v>
      </c>
      <c r="U84" s="313" t="s">
        <v>3</v>
      </c>
      <c r="V84" s="314"/>
      <c r="W84" s="313" t="s">
        <v>216</v>
      </c>
      <c r="X84" s="150"/>
      <c r="Y84" s="315">
        <f ca="1">science_cap*(1-EXP(-TblImps[[#This Row],[Σ Science]]/(science_param*(OFFSET(TblImps[[#This Row],[Land]],1,0)-OFFSET(TblExplore[[#This Row],[Land Bonus]],1,0)*20)+15000)))*(1+(mason_bonus*TblConstr[[#This Row],[Tot Mas]]/TblConstr[[#This Row],[Land (2)]]))</f>
        <v>0</v>
      </c>
      <c r="Z84" s="315">
        <f ca="1">keep_cap*(1-EXP(-TblImps[[#This Row],[Σ Keep]]/(keep_param*(OFFSET(TblImps[[#This Row],[Land]],1,0)-OFFSET(TblExplore[[#This Row],[Land Bonus]],1,0)*20)+15000)))*(1+(mason_bonus*TblConstr[[#This Row],[Tot Mas]]/TblConstr[[#This Row],[Land (2)]]))</f>
        <v>0</v>
      </c>
      <c r="AA84" s="315">
        <f ca="1">harbor_towers_cap*(1-EXP(-TblImps[[#This Row],[Σ Towers]]/(towers_param*(OFFSET(TblImps[[#This Row],[Land]],1,0)-OFFSET(TblExplore[[#This Row],[Land Bonus]],1,0)*20)+15000)))*(1+(mason_bonus*TblConstr[[#This Row],[Tot Mas]]/TblConstr[[#This Row],[Land (2)]]))</f>
        <v>0</v>
      </c>
      <c r="AB84" s="315">
        <f ca="1">walls_forges_cap*(1-EXP(-TblImps[[#This Row],[Σ Forges]]/(walls_forges_param*(OFFSET(TblImps[[#This Row],[Land]],1,0)-OFFSET(TblExplore[[#This Row],[Land Bonus]],1,0)*20)+15000)))*(1+(mason_bonus*TblConstr[[#This Row],[Tot Mas]]/TblConstr[[#This Row],[Land (2)]]))</f>
        <v>0</v>
      </c>
      <c r="AC84" s="315">
        <f ca="1">walls_forges_cap*(1-EXP(-TblImps[[#This Row],[Σ Walls]]/(walls_forges_param*(OFFSET(TblImps[[#This Row],[Land]],1,0)-OFFSET(TblExplore[[#This Row],[Land Bonus]],1,0)*20)+15000)))*(1+(mason_bonus*TblConstr[[#This Row],[Tot Mas]]/TblConstr[[#This Row],[Land (2)]]))</f>
        <v>0</v>
      </c>
      <c r="AD84" s="315">
        <f ca="1">harbor_towers_cap*(1-EXP(-TblImps[[#This Row],[Σ Irrigation]]/(harbor_towers_param*(OFFSET(TblImps[[#This Row],[Land]],1,0)-OFFSET(TblExplore[[#This Row],[Land Bonus]],1,0)*20)+15000)))*(1+(mason_bonus*TblConstr[[#This Row],[Tot Mas]]/TblConstr[[#This Row],[Land (2)]]))</f>
        <v>0</v>
      </c>
      <c r="AE84" s="150"/>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50"/>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50"/>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50"/>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50"/>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50"/>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50"/>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50"/>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50"/>
      <c r="BV8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62">
        <f>TblImps[[#This Row],[Login]]</f>
        <v>0</v>
      </c>
      <c r="BX84" s="145"/>
      <c r="BY84" s="321">
        <f ca="1">OFFSET(TblImps[[#This Row],[Real time]],-1,0)+1/24</f>
        <v>44814.083333333139</v>
      </c>
      <c r="BZ84" s="322">
        <f ca="1">OFFSET(TblImps[[#This Row],[Servertime]],-1,0)+1/24</f>
        <v>44814.333333333139</v>
      </c>
      <c r="CA84" s="57"/>
      <c r="CB84" s="320"/>
      <c r="CC84" s="320"/>
    </row>
    <row r="85" spans="1:84" x14ac:dyDescent="0.2">
      <c r="A85" s="230">
        <f ca="1">TblConstr[[#This Row],[Land]]</f>
        <v>250</v>
      </c>
      <c r="B85" s="150"/>
      <c r="C85" s="97">
        <f ca="1">TblProd[[#This Row],[Platinum]]</f>
        <v>545244</v>
      </c>
      <c r="D85" s="97">
        <f ca="1">TblProd[[#This Row],[Lumber]]</f>
        <v>62338</v>
      </c>
      <c r="E85" s="97">
        <f ca="1">TblProd[[#This Row],[Ore]]</f>
        <v>0</v>
      </c>
      <c r="F85" s="97">
        <f ca="1">TblProd[[#This Row],[Gems]]</f>
        <v>10000</v>
      </c>
      <c r="G85" s="162"/>
      <c r="H85" s="97">
        <f ca="1">TblMili[[#This Row],[Draftees]]</f>
        <v>626</v>
      </c>
      <c r="I85" s="188">
        <f ca="1">TblPop[[#This Row],[Employment]]</f>
        <v>1</v>
      </c>
      <c r="J85" s="188">
        <f ca="1">TblPop[[#This Row],[Total]]/TblPop[[#This Row],[Net max]]</f>
        <v>1</v>
      </c>
      <c r="K85" s="311">
        <f>TblRezone[[#This Row],[Hour]]</f>
        <v>82</v>
      </c>
      <c r="L85" s="312">
        <f ca="1">TblImps[[#This Row],[Real time]]</f>
        <v>44814.124999999804</v>
      </c>
      <c r="M85" s="62">
        <f>IF(ISERROR(TblImps[[#This Row],[algorithm]]),0,TblImps[[#This Row],[algorithm]]*1)</f>
        <v>0</v>
      </c>
      <c r="N85" s="97">
        <f ca="1">TblImps[[#This Row],[Land]]</f>
        <v>250</v>
      </c>
      <c r="O85" s="313" t="s">
        <v>4</v>
      </c>
      <c r="P85" s="314"/>
      <c r="Q85" s="313" t="s">
        <v>216</v>
      </c>
      <c r="R85" s="313" t="s">
        <v>7</v>
      </c>
      <c r="S85" s="314"/>
      <c r="T85" s="313" t="s">
        <v>216</v>
      </c>
      <c r="U85" s="313" t="s">
        <v>3</v>
      </c>
      <c r="V85" s="314"/>
      <c r="W85" s="313" t="s">
        <v>216</v>
      </c>
      <c r="X85" s="150"/>
      <c r="Y85" s="315">
        <f ca="1">science_cap*(1-EXP(-TblImps[[#This Row],[Σ Science]]/(science_param*(OFFSET(TblImps[[#This Row],[Land]],1,0)-OFFSET(TblExplore[[#This Row],[Land Bonus]],1,0)*20)+15000)))*(1+(mason_bonus*TblConstr[[#This Row],[Tot Mas]]/TblConstr[[#This Row],[Land (2)]]))</f>
        <v>0</v>
      </c>
      <c r="Z85" s="315">
        <f ca="1">keep_cap*(1-EXP(-TblImps[[#This Row],[Σ Keep]]/(keep_param*(OFFSET(TblImps[[#This Row],[Land]],1,0)-OFFSET(TblExplore[[#This Row],[Land Bonus]],1,0)*20)+15000)))*(1+(mason_bonus*TblConstr[[#This Row],[Tot Mas]]/TblConstr[[#This Row],[Land (2)]]))</f>
        <v>0</v>
      </c>
      <c r="AA85" s="315">
        <f ca="1">harbor_towers_cap*(1-EXP(-TblImps[[#This Row],[Σ Towers]]/(towers_param*(OFFSET(TblImps[[#This Row],[Land]],1,0)-OFFSET(TblExplore[[#This Row],[Land Bonus]],1,0)*20)+15000)))*(1+(mason_bonus*TblConstr[[#This Row],[Tot Mas]]/TblConstr[[#This Row],[Land (2)]]))</f>
        <v>0</v>
      </c>
      <c r="AB85" s="315">
        <f ca="1">walls_forges_cap*(1-EXP(-TblImps[[#This Row],[Σ Forges]]/(walls_forges_param*(OFFSET(TblImps[[#This Row],[Land]],1,0)-OFFSET(TblExplore[[#This Row],[Land Bonus]],1,0)*20)+15000)))*(1+(mason_bonus*TblConstr[[#This Row],[Tot Mas]]/TblConstr[[#This Row],[Land (2)]]))</f>
        <v>0</v>
      </c>
      <c r="AC85" s="315">
        <f ca="1">walls_forges_cap*(1-EXP(-TblImps[[#This Row],[Σ Walls]]/(walls_forges_param*(OFFSET(TblImps[[#This Row],[Land]],1,0)-OFFSET(TblExplore[[#This Row],[Land Bonus]],1,0)*20)+15000)))*(1+(mason_bonus*TblConstr[[#This Row],[Tot Mas]]/TblConstr[[#This Row],[Land (2)]]))</f>
        <v>0</v>
      </c>
      <c r="AD85" s="315">
        <f ca="1">harbor_towers_cap*(1-EXP(-TblImps[[#This Row],[Σ Irrigation]]/(harbor_towers_param*(OFFSET(TblImps[[#This Row],[Land]],1,0)-OFFSET(TblExplore[[#This Row],[Land Bonus]],1,0)*20)+15000)))*(1+(mason_bonus*TblConstr[[#This Row],[Tot Mas]]/TblConstr[[#This Row],[Land (2)]]))</f>
        <v>0</v>
      </c>
      <c r="AE85" s="150"/>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50"/>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50"/>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50"/>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50"/>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50"/>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50"/>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50"/>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50"/>
      <c r="BV8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62">
        <f>TblImps[[#This Row],[Login]]</f>
        <v>0</v>
      </c>
      <c r="BX85" s="145"/>
      <c r="BY85" s="321">
        <f ca="1">OFFSET(TblImps[[#This Row],[Real time]],-1,0)+1/24</f>
        <v>44814.124999999804</v>
      </c>
      <c r="BZ85" s="322">
        <f ca="1">OFFSET(TblImps[[#This Row],[Servertime]],-1,0)+1/24</f>
        <v>44814.374999999804</v>
      </c>
      <c r="CA85" s="57"/>
      <c r="CB85" s="320"/>
      <c r="CC85" s="320"/>
    </row>
    <row r="86" spans="1:84" x14ac:dyDescent="0.2">
      <c r="A86" s="230">
        <f ca="1">TblConstr[[#This Row],[Land]]</f>
        <v>250</v>
      </c>
      <c r="B86" s="150"/>
      <c r="C86" s="97">
        <f ca="1">TblProd[[#This Row],[Platinum]]</f>
        <v>550730</v>
      </c>
      <c r="D86" s="97">
        <f ca="1">TblProd[[#This Row],[Lumber]]</f>
        <v>62715</v>
      </c>
      <c r="E86" s="97">
        <f ca="1">TblProd[[#This Row],[Ore]]</f>
        <v>0</v>
      </c>
      <c r="F86" s="97">
        <f ca="1">TblProd[[#This Row],[Gems]]</f>
        <v>10000</v>
      </c>
      <c r="G86" s="162"/>
      <c r="H86" s="97">
        <f ca="1">TblMili[[#This Row],[Draftees]]</f>
        <v>626</v>
      </c>
      <c r="I86" s="188">
        <f ca="1">TblPop[[#This Row],[Employment]]</f>
        <v>1</v>
      </c>
      <c r="J86" s="188">
        <f ca="1">TblPop[[#This Row],[Total]]/TblPop[[#This Row],[Net max]]</f>
        <v>1</v>
      </c>
      <c r="K86" s="311">
        <f>TblRezone[[#This Row],[Hour]]</f>
        <v>83</v>
      </c>
      <c r="L86" s="312">
        <f ca="1">TblImps[[#This Row],[Real time]]</f>
        <v>44814.166666666468</v>
      </c>
      <c r="M86" s="62">
        <f>IF(ISERROR(TblImps[[#This Row],[algorithm]]),0,TblImps[[#This Row],[algorithm]]*1)</f>
        <v>0</v>
      </c>
      <c r="N86" s="97">
        <f ca="1">TblImps[[#This Row],[Land]]</f>
        <v>250</v>
      </c>
      <c r="O86" s="313" t="s">
        <v>4</v>
      </c>
      <c r="P86" s="314"/>
      <c r="Q86" s="313" t="s">
        <v>216</v>
      </c>
      <c r="R86" s="313" t="s">
        <v>7</v>
      </c>
      <c r="S86" s="314"/>
      <c r="T86" s="313" t="s">
        <v>216</v>
      </c>
      <c r="U86" s="313" t="s">
        <v>3</v>
      </c>
      <c r="V86" s="314"/>
      <c r="W86" s="313" t="s">
        <v>216</v>
      </c>
      <c r="X86" s="150"/>
      <c r="Y86" s="315">
        <f ca="1">science_cap*(1-EXP(-TblImps[[#This Row],[Σ Science]]/(science_param*(OFFSET(TblImps[[#This Row],[Land]],1,0)-OFFSET(TblExplore[[#This Row],[Land Bonus]],1,0)*20)+15000)))*(1+(mason_bonus*TblConstr[[#This Row],[Tot Mas]]/TblConstr[[#This Row],[Land (2)]]))</f>
        <v>0</v>
      </c>
      <c r="Z86" s="315">
        <f ca="1">keep_cap*(1-EXP(-TblImps[[#This Row],[Σ Keep]]/(keep_param*(OFFSET(TblImps[[#This Row],[Land]],1,0)-OFFSET(TblExplore[[#This Row],[Land Bonus]],1,0)*20)+15000)))*(1+(mason_bonus*TblConstr[[#This Row],[Tot Mas]]/TblConstr[[#This Row],[Land (2)]]))</f>
        <v>0</v>
      </c>
      <c r="AA86" s="315">
        <f ca="1">harbor_towers_cap*(1-EXP(-TblImps[[#This Row],[Σ Towers]]/(towers_param*(OFFSET(TblImps[[#This Row],[Land]],1,0)-OFFSET(TblExplore[[#This Row],[Land Bonus]],1,0)*20)+15000)))*(1+(mason_bonus*TblConstr[[#This Row],[Tot Mas]]/TblConstr[[#This Row],[Land (2)]]))</f>
        <v>0</v>
      </c>
      <c r="AB86" s="315">
        <f ca="1">walls_forges_cap*(1-EXP(-TblImps[[#This Row],[Σ Forges]]/(walls_forges_param*(OFFSET(TblImps[[#This Row],[Land]],1,0)-OFFSET(TblExplore[[#This Row],[Land Bonus]],1,0)*20)+15000)))*(1+(mason_bonus*TblConstr[[#This Row],[Tot Mas]]/TblConstr[[#This Row],[Land (2)]]))</f>
        <v>0</v>
      </c>
      <c r="AC86" s="315">
        <f ca="1">walls_forges_cap*(1-EXP(-TblImps[[#This Row],[Σ Walls]]/(walls_forges_param*(OFFSET(TblImps[[#This Row],[Land]],1,0)-OFFSET(TblExplore[[#This Row],[Land Bonus]],1,0)*20)+15000)))*(1+(mason_bonus*TblConstr[[#This Row],[Tot Mas]]/TblConstr[[#This Row],[Land (2)]]))</f>
        <v>0</v>
      </c>
      <c r="AD86" s="315">
        <f ca="1">harbor_towers_cap*(1-EXP(-TblImps[[#This Row],[Σ Irrigation]]/(harbor_towers_param*(OFFSET(TblImps[[#This Row],[Land]],1,0)-OFFSET(TblExplore[[#This Row],[Land Bonus]],1,0)*20)+15000)))*(1+(mason_bonus*TblConstr[[#This Row],[Tot Mas]]/TblConstr[[#This Row],[Land (2)]]))</f>
        <v>0</v>
      </c>
      <c r="AE86" s="150"/>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50"/>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50"/>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50"/>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50"/>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50"/>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50"/>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50"/>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50"/>
      <c r="BV8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62">
        <f>TblImps[[#This Row],[Login]]</f>
        <v>0</v>
      </c>
      <c r="BX86" s="145"/>
      <c r="BY86" s="321">
        <f ca="1">OFFSET(TblImps[[#This Row],[Real time]],-1,0)+1/24</f>
        <v>44814.166666666468</v>
      </c>
      <c r="BZ86" s="322">
        <f ca="1">OFFSET(TblImps[[#This Row],[Servertime]],-1,0)+1/24</f>
        <v>44814.416666666468</v>
      </c>
      <c r="CA86" s="57"/>
      <c r="CB86" s="320"/>
      <c r="CC86" s="320"/>
    </row>
    <row r="87" spans="1:84" x14ac:dyDescent="0.2">
      <c r="A87" s="230">
        <f ca="1">TblConstr[[#This Row],[Land]]</f>
        <v>250</v>
      </c>
      <c r="B87" s="150"/>
      <c r="C87" s="97">
        <f ca="1">TblProd[[#This Row],[Platinum]]</f>
        <v>556216</v>
      </c>
      <c r="D87" s="97">
        <f ca="1">TblProd[[#This Row],[Lumber]]</f>
        <v>63088</v>
      </c>
      <c r="E87" s="97">
        <f ca="1">TblProd[[#This Row],[Ore]]</f>
        <v>0</v>
      </c>
      <c r="F87" s="97">
        <f ca="1">TblProd[[#This Row],[Gems]]</f>
        <v>10000</v>
      </c>
      <c r="G87" s="162"/>
      <c r="H87" s="97">
        <f ca="1">TblMili[[#This Row],[Draftees]]</f>
        <v>626</v>
      </c>
      <c r="I87" s="188">
        <f ca="1">TblPop[[#This Row],[Employment]]</f>
        <v>1</v>
      </c>
      <c r="J87" s="188">
        <f ca="1">TblPop[[#This Row],[Total]]/TblPop[[#This Row],[Net max]]</f>
        <v>1</v>
      </c>
      <c r="K87" s="311">
        <f>TblRezone[[#This Row],[Hour]]</f>
        <v>84</v>
      </c>
      <c r="L87" s="312">
        <f ca="1">TblImps[[#This Row],[Real time]]</f>
        <v>44814.208333333132</v>
      </c>
      <c r="M87" s="62">
        <f>IF(ISERROR(TblImps[[#This Row],[algorithm]]),0,TblImps[[#This Row],[algorithm]]*1)</f>
        <v>0</v>
      </c>
      <c r="N87" s="97">
        <f ca="1">TblImps[[#This Row],[Land]]</f>
        <v>250</v>
      </c>
      <c r="O87" s="313" t="s">
        <v>4</v>
      </c>
      <c r="P87" s="314"/>
      <c r="Q87" s="313" t="s">
        <v>216</v>
      </c>
      <c r="R87" s="313" t="s">
        <v>7</v>
      </c>
      <c r="S87" s="314"/>
      <c r="T87" s="313" t="s">
        <v>216</v>
      </c>
      <c r="U87" s="313" t="s">
        <v>3</v>
      </c>
      <c r="V87" s="314"/>
      <c r="W87" s="313" t="s">
        <v>216</v>
      </c>
      <c r="X87" s="150"/>
      <c r="Y87" s="315">
        <f ca="1">science_cap*(1-EXP(-TblImps[[#This Row],[Σ Science]]/(science_param*(OFFSET(TblImps[[#This Row],[Land]],1,0)-OFFSET(TblExplore[[#This Row],[Land Bonus]],1,0)*20)+15000)))*(1+(mason_bonus*TblConstr[[#This Row],[Tot Mas]]/TblConstr[[#This Row],[Land (2)]]))</f>
        <v>0</v>
      </c>
      <c r="Z87" s="315">
        <f ca="1">keep_cap*(1-EXP(-TblImps[[#This Row],[Σ Keep]]/(keep_param*(OFFSET(TblImps[[#This Row],[Land]],1,0)-OFFSET(TblExplore[[#This Row],[Land Bonus]],1,0)*20)+15000)))*(1+(mason_bonus*TblConstr[[#This Row],[Tot Mas]]/TblConstr[[#This Row],[Land (2)]]))</f>
        <v>0</v>
      </c>
      <c r="AA87" s="315">
        <f ca="1">harbor_towers_cap*(1-EXP(-TblImps[[#This Row],[Σ Towers]]/(towers_param*(OFFSET(TblImps[[#This Row],[Land]],1,0)-OFFSET(TblExplore[[#This Row],[Land Bonus]],1,0)*20)+15000)))*(1+(mason_bonus*TblConstr[[#This Row],[Tot Mas]]/TblConstr[[#This Row],[Land (2)]]))</f>
        <v>0</v>
      </c>
      <c r="AB87" s="315">
        <f ca="1">walls_forges_cap*(1-EXP(-TblImps[[#This Row],[Σ Forges]]/(walls_forges_param*(OFFSET(TblImps[[#This Row],[Land]],1,0)-OFFSET(TblExplore[[#This Row],[Land Bonus]],1,0)*20)+15000)))*(1+(mason_bonus*TblConstr[[#This Row],[Tot Mas]]/TblConstr[[#This Row],[Land (2)]]))</f>
        <v>0</v>
      </c>
      <c r="AC87" s="315">
        <f ca="1">walls_forges_cap*(1-EXP(-TblImps[[#This Row],[Σ Walls]]/(walls_forges_param*(OFFSET(TblImps[[#This Row],[Land]],1,0)-OFFSET(TblExplore[[#This Row],[Land Bonus]],1,0)*20)+15000)))*(1+(mason_bonus*TblConstr[[#This Row],[Tot Mas]]/TblConstr[[#This Row],[Land (2)]]))</f>
        <v>0</v>
      </c>
      <c r="AD87" s="315">
        <f ca="1">harbor_towers_cap*(1-EXP(-TblImps[[#This Row],[Σ Irrigation]]/(harbor_towers_param*(OFFSET(TblImps[[#This Row],[Land]],1,0)-OFFSET(TblExplore[[#This Row],[Land Bonus]],1,0)*20)+15000)))*(1+(mason_bonus*TblConstr[[#This Row],[Tot Mas]]/TblConstr[[#This Row],[Land (2)]]))</f>
        <v>0</v>
      </c>
      <c r="AE87" s="150"/>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50"/>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50"/>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50"/>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50"/>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50"/>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50"/>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50"/>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50"/>
      <c r="BV8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62">
        <f>TblImps[[#This Row],[Login]]</f>
        <v>0</v>
      </c>
      <c r="BX87" s="145"/>
      <c r="BY87" s="321">
        <f ca="1">OFFSET(TblImps[[#This Row],[Real time]],-1,0)+1/24</f>
        <v>44814.208333333132</v>
      </c>
      <c r="BZ87" s="322">
        <f ca="1">OFFSET(TblImps[[#This Row],[Servertime]],-1,0)+1/24</f>
        <v>44814.458333333132</v>
      </c>
      <c r="CA87" s="57"/>
      <c r="CB87" s="320"/>
      <c r="CC87" s="320"/>
    </row>
    <row r="88" spans="1:84" x14ac:dyDescent="0.2">
      <c r="A88" s="230">
        <f ca="1">TblConstr[[#This Row],[Land]]</f>
        <v>250</v>
      </c>
      <c r="B88" s="150"/>
      <c r="C88" s="97">
        <f ca="1">TblProd[[#This Row],[Platinum]]</f>
        <v>561702</v>
      </c>
      <c r="D88" s="97">
        <f ca="1">TblProd[[#This Row],[Lumber]]</f>
        <v>63457</v>
      </c>
      <c r="E88" s="97">
        <f ca="1">TblProd[[#This Row],[Ore]]</f>
        <v>0</v>
      </c>
      <c r="F88" s="97">
        <f ca="1">TblProd[[#This Row],[Gems]]</f>
        <v>10000</v>
      </c>
      <c r="G88" s="162"/>
      <c r="H88" s="97">
        <f ca="1">TblMili[[#This Row],[Draftees]]</f>
        <v>626</v>
      </c>
      <c r="I88" s="188">
        <f ca="1">TblPop[[#This Row],[Employment]]</f>
        <v>1</v>
      </c>
      <c r="J88" s="188">
        <f ca="1">TblPop[[#This Row],[Total]]/TblPop[[#This Row],[Net max]]</f>
        <v>1</v>
      </c>
      <c r="K88" s="311">
        <f>TblRezone[[#This Row],[Hour]]</f>
        <v>85</v>
      </c>
      <c r="L88" s="312">
        <f ca="1">TblImps[[#This Row],[Real time]]</f>
        <v>44814.249999999796</v>
      </c>
      <c r="M88" s="62">
        <f>IF(ISERROR(TblImps[[#This Row],[algorithm]]),0,TblImps[[#This Row],[algorithm]]*1)</f>
        <v>0</v>
      </c>
      <c r="N88" s="97">
        <f ca="1">TblImps[[#This Row],[Land]]</f>
        <v>250</v>
      </c>
      <c r="O88" s="313" t="s">
        <v>4</v>
      </c>
      <c r="P88" s="314"/>
      <c r="Q88" s="313" t="s">
        <v>216</v>
      </c>
      <c r="R88" s="313" t="s">
        <v>7</v>
      </c>
      <c r="S88" s="314"/>
      <c r="T88" s="313" t="s">
        <v>216</v>
      </c>
      <c r="U88" s="313" t="s">
        <v>3</v>
      </c>
      <c r="V88" s="314"/>
      <c r="W88" s="313" t="s">
        <v>216</v>
      </c>
      <c r="X88" s="150"/>
      <c r="Y88" s="315">
        <f ca="1">science_cap*(1-EXP(-TblImps[[#This Row],[Σ Science]]/(science_param*(OFFSET(TblImps[[#This Row],[Land]],1,0)-OFFSET(TblExplore[[#This Row],[Land Bonus]],1,0)*20)+15000)))*(1+(mason_bonus*TblConstr[[#This Row],[Tot Mas]]/TblConstr[[#This Row],[Land (2)]]))</f>
        <v>0</v>
      </c>
      <c r="Z88" s="315">
        <f ca="1">keep_cap*(1-EXP(-TblImps[[#This Row],[Σ Keep]]/(keep_param*(OFFSET(TblImps[[#This Row],[Land]],1,0)-OFFSET(TblExplore[[#This Row],[Land Bonus]],1,0)*20)+15000)))*(1+(mason_bonus*TblConstr[[#This Row],[Tot Mas]]/TblConstr[[#This Row],[Land (2)]]))</f>
        <v>0</v>
      </c>
      <c r="AA88" s="315">
        <f ca="1">harbor_towers_cap*(1-EXP(-TblImps[[#This Row],[Σ Towers]]/(towers_param*(OFFSET(TblImps[[#This Row],[Land]],1,0)-OFFSET(TblExplore[[#This Row],[Land Bonus]],1,0)*20)+15000)))*(1+(mason_bonus*TblConstr[[#This Row],[Tot Mas]]/TblConstr[[#This Row],[Land (2)]]))</f>
        <v>0</v>
      </c>
      <c r="AB88" s="315">
        <f ca="1">walls_forges_cap*(1-EXP(-TblImps[[#This Row],[Σ Forges]]/(walls_forges_param*(OFFSET(TblImps[[#This Row],[Land]],1,0)-OFFSET(TblExplore[[#This Row],[Land Bonus]],1,0)*20)+15000)))*(1+(mason_bonus*TblConstr[[#This Row],[Tot Mas]]/TblConstr[[#This Row],[Land (2)]]))</f>
        <v>0</v>
      </c>
      <c r="AC88" s="315">
        <f ca="1">walls_forges_cap*(1-EXP(-TblImps[[#This Row],[Σ Walls]]/(walls_forges_param*(OFFSET(TblImps[[#This Row],[Land]],1,0)-OFFSET(TblExplore[[#This Row],[Land Bonus]],1,0)*20)+15000)))*(1+(mason_bonus*TblConstr[[#This Row],[Tot Mas]]/TblConstr[[#This Row],[Land (2)]]))</f>
        <v>0</v>
      </c>
      <c r="AD88" s="315">
        <f ca="1">harbor_towers_cap*(1-EXP(-TblImps[[#This Row],[Σ Irrigation]]/(harbor_towers_param*(OFFSET(TblImps[[#This Row],[Land]],1,0)-OFFSET(TblExplore[[#This Row],[Land Bonus]],1,0)*20)+15000)))*(1+(mason_bonus*TblConstr[[#This Row],[Tot Mas]]/TblConstr[[#This Row],[Land (2)]]))</f>
        <v>0</v>
      </c>
      <c r="AE88" s="150"/>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50"/>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50"/>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50"/>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50"/>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50"/>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50"/>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50"/>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50"/>
      <c r="BV8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62">
        <f>TblImps[[#This Row],[Login]]</f>
        <v>0</v>
      </c>
      <c r="BX88" s="145"/>
      <c r="BY88" s="321">
        <f ca="1">OFFSET(TblImps[[#This Row],[Real time]],-1,0)+1/24</f>
        <v>44814.249999999796</v>
      </c>
      <c r="BZ88" s="322">
        <f ca="1">OFFSET(TblImps[[#This Row],[Servertime]],-1,0)+1/24</f>
        <v>44814.499999999796</v>
      </c>
      <c r="CA88" s="57"/>
      <c r="CB88" s="320"/>
      <c r="CC88" s="320"/>
    </row>
    <row r="89" spans="1:84" x14ac:dyDescent="0.2">
      <c r="A89" s="230">
        <f ca="1">TblConstr[[#This Row],[Land]]</f>
        <v>250</v>
      </c>
      <c r="B89" s="150"/>
      <c r="C89" s="97">
        <f ca="1">TblProd[[#This Row],[Platinum]]</f>
        <v>567188</v>
      </c>
      <c r="D89" s="97">
        <f ca="1">TblProd[[#This Row],[Lumber]]</f>
        <v>63822</v>
      </c>
      <c r="E89" s="97">
        <f ca="1">TblProd[[#This Row],[Ore]]</f>
        <v>0</v>
      </c>
      <c r="F89" s="97">
        <f ca="1">TblProd[[#This Row],[Gems]]</f>
        <v>10000</v>
      </c>
      <c r="G89" s="162"/>
      <c r="H89" s="97">
        <f ca="1">TblMili[[#This Row],[Draftees]]</f>
        <v>626</v>
      </c>
      <c r="I89" s="188">
        <f ca="1">TblPop[[#This Row],[Employment]]</f>
        <v>1</v>
      </c>
      <c r="J89" s="188">
        <f ca="1">TblPop[[#This Row],[Total]]/TblPop[[#This Row],[Net max]]</f>
        <v>1</v>
      </c>
      <c r="K89" s="311">
        <f>TblRezone[[#This Row],[Hour]]</f>
        <v>86</v>
      </c>
      <c r="L89" s="312">
        <f ca="1">TblImps[[#This Row],[Real time]]</f>
        <v>44814.291666666461</v>
      </c>
      <c r="M89" s="62">
        <f>IF(ISERROR(TblImps[[#This Row],[algorithm]]),0,TblImps[[#This Row],[algorithm]]*1)</f>
        <v>0</v>
      </c>
      <c r="N89" s="97">
        <f ca="1">TblImps[[#This Row],[Land]]</f>
        <v>250</v>
      </c>
      <c r="O89" s="313" t="s">
        <v>2</v>
      </c>
      <c r="P89" s="314"/>
      <c r="Q89" s="313" t="s">
        <v>216</v>
      </c>
      <c r="R89" s="313" t="s">
        <v>7</v>
      </c>
      <c r="S89" s="314"/>
      <c r="T89" s="313" t="s">
        <v>216</v>
      </c>
      <c r="U89" s="313" t="s">
        <v>3</v>
      </c>
      <c r="V89" s="314"/>
      <c r="W89" s="313" t="s">
        <v>216</v>
      </c>
      <c r="X89" s="150"/>
      <c r="Y89" s="315">
        <f ca="1">science_cap*(1-EXP(-TblImps[[#This Row],[Σ Science]]/(science_param*(OFFSET(TblImps[[#This Row],[Land]],1,0)-OFFSET(TblExplore[[#This Row],[Land Bonus]],1,0)*20)+15000)))*(1+(mason_bonus*TblConstr[[#This Row],[Tot Mas]]/TblConstr[[#This Row],[Land (2)]]))</f>
        <v>0</v>
      </c>
      <c r="Z89" s="315">
        <f ca="1">keep_cap*(1-EXP(-TblImps[[#This Row],[Σ Keep]]/(keep_param*(OFFSET(TblImps[[#This Row],[Land]],1,0)-OFFSET(TblExplore[[#This Row],[Land Bonus]],1,0)*20)+15000)))*(1+(mason_bonus*TblConstr[[#This Row],[Tot Mas]]/TblConstr[[#This Row],[Land (2)]]))</f>
        <v>0</v>
      </c>
      <c r="AA89" s="315">
        <f ca="1">harbor_towers_cap*(1-EXP(-TblImps[[#This Row],[Σ Towers]]/(towers_param*(OFFSET(TblImps[[#This Row],[Land]],1,0)-OFFSET(TblExplore[[#This Row],[Land Bonus]],1,0)*20)+15000)))*(1+(mason_bonus*TblConstr[[#This Row],[Tot Mas]]/TblConstr[[#This Row],[Land (2)]]))</f>
        <v>0</v>
      </c>
      <c r="AB89" s="315">
        <f ca="1">walls_forges_cap*(1-EXP(-TblImps[[#This Row],[Σ Forges]]/(walls_forges_param*(OFFSET(TblImps[[#This Row],[Land]],1,0)-OFFSET(TblExplore[[#This Row],[Land Bonus]],1,0)*20)+15000)))*(1+(mason_bonus*TblConstr[[#This Row],[Tot Mas]]/TblConstr[[#This Row],[Land (2)]]))</f>
        <v>0</v>
      </c>
      <c r="AC89" s="315">
        <f ca="1">walls_forges_cap*(1-EXP(-TblImps[[#This Row],[Σ Walls]]/(walls_forges_param*(OFFSET(TblImps[[#This Row],[Land]],1,0)-OFFSET(TblExplore[[#This Row],[Land Bonus]],1,0)*20)+15000)))*(1+(mason_bonus*TblConstr[[#This Row],[Tot Mas]]/TblConstr[[#This Row],[Land (2)]]))</f>
        <v>0</v>
      </c>
      <c r="AD89" s="315">
        <f ca="1">harbor_towers_cap*(1-EXP(-TblImps[[#This Row],[Σ Irrigation]]/(harbor_towers_param*(OFFSET(TblImps[[#This Row],[Land]],1,0)-OFFSET(TblExplore[[#This Row],[Land Bonus]],1,0)*20)+15000)))*(1+(mason_bonus*TblConstr[[#This Row],[Tot Mas]]/TblConstr[[#This Row],[Land (2)]]))</f>
        <v>0</v>
      </c>
      <c r="AE89" s="150"/>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50"/>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50"/>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50"/>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50"/>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50"/>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50"/>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50"/>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50"/>
      <c r="BV8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62">
        <f>TblImps[[#This Row],[Login]]</f>
        <v>0</v>
      </c>
      <c r="BX89" s="145"/>
      <c r="BY89" s="321">
        <f ca="1">OFFSET(TblImps[[#This Row],[Real time]],-1,0)+1/24</f>
        <v>44814.291666666461</v>
      </c>
      <c r="BZ89" s="322">
        <f ca="1">OFFSET(TblImps[[#This Row],[Servertime]],-1,0)+1/24</f>
        <v>44814.541666666461</v>
      </c>
      <c r="CA89" s="57"/>
      <c r="CB89" s="320"/>
      <c r="CC89" s="320"/>
      <c r="CD89" s="167"/>
    </row>
    <row r="90" spans="1:84" x14ac:dyDescent="0.2">
      <c r="A90" s="230">
        <f ca="1">TblConstr[[#This Row],[Land]]</f>
        <v>250</v>
      </c>
      <c r="B90" s="150"/>
      <c r="C90" s="97">
        <f ca="1">TblProd[[#This Row],[Platinum]]</f>
        <v>572674</v>
      </c>
      <c r="D90" s="97">
        <f ca="1">TblProd[[#This Row],[Lumber]]</f>
        <v>64184</v>
      </c>
      <c r="E90" s="97">
        <f ca="1">TblProd[[#This Row],[Ore]]</f>
        <v>0</v>
      </c>
      <c r="F90" s="97">
        <f ca="1">TblProd[[#This Row],[Gems]]</f>
        <v>10000</v>
      </c>
      <c r="G90" s="162"/>
      <c r="H90" s="97">
        <f ca="1">TblMili[[#This Row],[Draftees]]</f>
        <v>626</v>
      </c>
      <c r="I90" s="188">
        <f ca="1">TblPop[[#This Row],[Employment]]</f>
        <v>1</v>
      </c>
      <c r="J90" s="188">
        <f ca="1">TblPop[[#This Row],[Total]]/TblPop[[#This Row],[Net max]]</f>
        <v>1</v>
      </c>
      <c r="K90" s="311">
        <f>TblRezone[[#This Row],[Hour]]</f>
        <v>87</v>
      </c>
      <c r="L90" s="312">
        <f ca="1">TblImps[[#This Row],[Real time]]</f>
        <v>44814.333333333125</v>
      </c>
      <c r="M90" s="62">
        <f>IF(ISERROR(TblImps[[#This Row],[algorithm]]),0,TblImps[[#This Row],[algorithm]]*1)</f>
        <v>0</v>
      </c>
      <c r="N90" s="97">
        <f ca="1">TblImps[[#This Row],[Land]]</f>
        <v>250</v>
      </c>
      <c r="O90" s="313" t="s">
        <v>4</v>
      </c>
      <c r="P90" s="314"/>
      <c r="Q90" s="313" t="s">
        <v>216</v>
      </c>
      <c r="R90" s="313" t="s">
        <v>7</v>
      </c>
      <c r="S90" s="314"/>
      <c r="T90" s="313" t="s">
        <v>216</v>
      </c>
      <c r="U90" s="313" t="s">
        <v>3</v>
      </c>
      <c r="V90" s="314"/>
      <c r="W90" s="313" t="s">
        <v>216</v>
      </c>
      <c r="X90" s="150"/>
      <c r="Y90" s="315">
        <f ca="1">science_cap*(1-EXP(-TblImps[[#This Row],[Σ Science]]/(science_param*(OFFSET(TblImps[[#This Row],[Land]],1,0)-OFFSET(TblExplore[[#This Row],[Land Bonus]],1,0)*20)+15000)))*(1+(mason_bonus*TblConstr[[#This Row],[Tot Mas]]/TblConstr[[#This Row],[Land (2)]]))</f>
        <v>0</v>
      </c>
      <c r="Z90" s="315">
        <f ca="1">keep_cap*(1-EXP(-TblImps[[#This Row],[Σ Keep]]/(keep_param*(OFFSET(TblImps[[#This Row],[Land]],1,0)-OFFSET(TblExplore[[#This Row],[Land Bonus]],1,0)*20)+15000)))*(1+(mason_bonus*TblConstr[[#This Row],[Tot Mas]]/TblConstr[[#This Row],[Land (2)]]))</f>
        <v>0</v>
      </c>
      <c r="AA90" s="315">
        <f ca="1">harbor_towers_cap*(1-EXP(-TblImps[[#This Row],[Σ Towers]]/(towers_param*(OFFSET(TblImps[[#This Row],[Land]],1,0)-OFFSET(TblExplore[[#This Row],[Land Bonus]],1,0)*20)+15000)))*(1+(mason_bonus*TblConstr[[#This Row],[Tot Mas]]/TblConstr[[#This Row],[Land (2)]]))</f>
        <v>0</v>
      </c>
      <c r="AB90" s="315">
        <f ca="1">walls_forges_cap*(1-EXP(-TblImps[[#This Row],[Σ Forges]]/(walls_forges_param*(OFFSET(TblImps[[#This Row],[Land]],1,0)-OFFSET(TblExplore[[#This Row],[Land Bonus]],1,0)*20)+15000)))*(1+(mason_bonus*TblConstr[[#This Row],[Tot Mas]]/TblConstr[[#This Row],[Land (2)]]))</f>
        <v>0</v>
      </c>
      <c r="AC90" s="315">
        <f ca="1">walls_forges_cap*(1-EXP(-TblImps[[#This Row],[Σ Walls]]/(walls_forges_param*(OFFSET(TblImps[[#This Row],[Land]],1,0)-OFFSET(TblExplore[[#This Row],[Land Bonus]],1,0)*20)+15000)))*(1+(mason_bonus*TblConstr[[#This Row],[Tot Mas]]/TblConstr[[#This Row],[Land (2)]]))</f>
        <v>0</v>
      </c>
      <c r="AD90" s="315">
        <f ca="1">harbor_towers_cap*(1-EXP(-TblImps[[#This Row],[Σ Irrigation]]/(harbor_towers_param*(OFFSET(TblImps[[#This Row],[Land]],1,0)-OFFSET(TblExplore[[#This Row],[Land Bonus]],1,0)*20)+15000)))*(1+(mason_bonus*TblConstr[[#This Row],[Tot Mas]]/TblConstr[[#This Row],[Land (2)]]))</f>
        <v>0</v>
      </c>
      <c r="AE90" s="150"/>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50"/>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50"/>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50"/>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50"/>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50"/>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50"/>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50"/>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50"/>
      <c r="BV9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62">
        <f>TblImps[[#This Row],[Login]]</f>
        <v>0</v>
      </c>
      <c r="BX90" s="145"/>
      <c r="BY90" s="321">
        <f ca="1">OFFSET(TblImps[[#This Row],[Real time]],-1,0)+1/24</f>
        <v>44814.333333333125</v>
      </c>
      <c r="BZ90" s="322">
        <f ca="1">OFFSET(TblImps[[#This Row],[Servertime]],-1,0)+1/24</f>
        <v>44814.583333333125</v>
      </c>
      <c r="CA90" s="325"/>
      <c r="CB90" s="320"/>
      <c r="CC90" s="320"/>
      <c r="CF90" s="323"/>
    </row>
    <row r="91" spans="1:84" x14ac:dyDescent="0.2">
      <c r="A91" s="230">
        <f ca="1">TblConstr[[#This Row],[Land]]</f>
        <v>250</v>
      </c>
      <c r="B91" s="150"/>
      <c r="C91" s="97">
        <f ca="1">TblProd[[#This Row],[Platinum]]</f>
        <v>578160</v>
      </c>
      <c r="D91" s="97">
        <f ca="1">TblProd[[#This Row],[Lumber]]</f>
        <v>64542</v>
      </c>
      <c r="E91" s="97">
        <f ca="1">TblProd[[#This Row],[Ore]]</f>
        <v>0</v>
      </c>
      <c r="F91" s="97">
        <f ca="1">TblProd[[#This Row],[Gems]]</f>
        <v>10000</v>
      </c>
      <c r="G91" s="162"/>
      <c r="H91" s="97">
        <f ca="1">TblMili[[#This Row],[Draftees]]</f>
        <v>626</v>
      </c>
      <c r="I91" s="188">
        <f ca="1">TblPop[[#This Row],[Employment]]</f>
        <v>1</v>
      </c>
      <c r="J91" s="188">
        <f ca="1">TblPop[[#This Row],[Total]]/TblPop[[#This Row],[Net max]]</f>
        <v>1</v>
      </c>
      <c r="K91" s="311">
        <f>TblRezone[[#This Row],[Hour]]</f>
        <v>88</v>
      </c>
      <c r="L91" s="312">
        <f ca="1">TblImps[[#This Row],[Real time]]</f>
        <v>44814.374999999789</v>
      </c>
      <c r="M91" s="62">
        <f>IF(ISERROR(TblImps[[#This Row],[algorithm]]),0,TblImps[[#This Row],[algorithm]]*1)</f>
        <v>0</v>
      </c>
      <c r="N91" s="97">
        <f ca="1">TblImps[[#This Row],[Land]]</f>
        <v>250</v>
      </c>
      <c r="O91" s="313" t="s">
        <v>4</v>
      </c>
      <c r="P91" s="314"/>
      <c r="Q91" s="313" t="s">
        <v>216</v>
      </c>
      <c r="R91" s="313" t="s">
        <v>7</v>
      </c>
      <c r="S91" s="314"/>
      <c r="T91" s="313" t="s">
        <v>216</v>
      </c>
      <c r="U91" s="313" t="s">
        <v>3</v>
      </c>
      <c r="V91" s="314"/>
      <c r="W91" s="313" t="s">
        <v>216</v>
      </c>
      <c r="X91" s="150"/>
      <c r="Y91" s="315">
        <f ca="1">science_cap*(1-EXP(-TblImps[[#This Row],[Σ Science]]/(science_param*(OFFSET(TblImps[[#This Row],[Land]],1,0)-OFFSET(TblExplore[[#This Row],[Land Bonus]],1,0)*20)+15000)))*(1+(mason_bonus*TblConstr[[#This Row],[Tot Mas]]/TblConstr[[#This Row],[Land (2)]]))</f>
        <v>0</v>
      </c>
      <c r="Z91" s="315">
        <f ca="1">keep_cap*(1-EXP(-TblImps[[#This Row],[Σ Keep]]/(keep_param*(OFFSET(TblImps[[#This Row],[Land]],1,0)-OFFSET(TblExplore[[#This Row],[Land Bonus]],1,0)*20)+15000)))*(1+(mason_bonus*TblConstr[[#This Row],[Tot Mas]]/TblConstr[[#This Row],[Land (2)]]))</f>
        <v>0</v>
      </c>
      <c r="AA91" s="315">
        <f ca="1">harbor_towers_cap*(1-EXP(-TblImps[[#This Row],[Σ Towers]]/(towers_param*(OFFSET(TblImps[[#This Row],[Land]],1,0)-OFFSET(TblExplore[[#This Row],[Land Bonus]],1,0)*20)+15000)))*(1+(mason_bonus*TblConstr[[#This Row],[Tot Mas]]/TblConstr[[#This Row],[Land (2)]]))</f>
        <v>0</v>
      </c>
      <c r="AB91" s="315">
        <f ca="1">walls_forges_cap*(1-EXP(-TblImps[[#This Row],[Σ Forges]]/(walls_forges_param*(OFFSET(TblImps[[#This Row],[Land]],1,0)-OFFSET(TblExplore[[#This Row],[Land Bonus]],1,0)*20)+15000)))*(1+(mason_bonus*TblConstr[[#This Row],[Tot Mas]]/TblConstr[[#This Row],[Land (2)]]))</f>
        <v>0</v>
      </c>
      <c r="AC91" s="315">
        <f ca="1">walls_forges_cap*(1-EXP(-TblImps[[#This Row],[Σ Walls]]/(walls_forges_param*(OFFSET(TblImps[[#This Row],[Land]],1,0)-OFFSET(TblExplore[[#This Row],[Land Bonus]],1,0)*20)+15000)))*(1+(mason_bonus*TblConstr[[#This Row],[Tot Mas]]/TblConstr[[#This Row],[Land (2)]]))</f>
        <v>0</v>
      </c>
      <c r="AD91" s="315">
        <f ca="1">harbor_towers_cap*(1-EXP(-TblImps[[#This Row],[Σ Irrigation]]/(harbor_towers_param*(OFFSET(TblImps[[#This Row],[Land]],1,0)-OFFSET(TblExplore[[#This Row],[Land Bonus]],1,0)*20)+15000)))*(1+(mason_bonus*TblConstr[[#This Row],[Tot Mas]]/TblConstr[[#This Row],[Land (2)]]))</f>
        <v>0</v>
      </c>
      <c r="AE91" s="150"/>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50"/>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50"/>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50"/>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50"/>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50"/>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50"/>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50"/>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50"/>
      <c r="BV9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62">
        <f>TblImps[[#This Row],[Login]]</f>
        <v>0</v>
      </c>
      <c r="BX91" s="145"/>
      <c r="BY91" s="321">
        <f ca="1">OFFSET(TblImps[[#This Row],[Real time]],-1,0)+1/24</f>
        <v>44814.374999999789</v>
      </c>
      <c r="BZ91" s="322">
        <f ca="1">OFFSET(TblImps[[#This Row],[Servertime]],-1,0)+1/24</f>
        <v>44814.624999999789</v>
      </c>
      <c r="CA91" s="57"/>
      <c r="CB91" s="320"/>
      <c r="CC91" s="320"/>
      <c r="CF91" s="324"/>
    </row>
    <row r="92" spans="1:84" x14ac:dyDescent="0.2">
      <c r="A92" s="230">
        <f ca="1">TblConstr[[#This Row],[Land]]</f>
        <v>250</v>
      </c>
      <c r="B92" s="150"/>
      <c r="C92" s="97">
        <f ca="1">TblProd[[#This Row],[Platinum]]</f>
        <v>583646</v>
      </c>
      <c r="D92" s="97">
        <f ca="1">TblProd[[#This Row],[Lumber]]</f>
        <v>64897</v>
      </c>
      <c r="E92" s="97">
        <f ca="1">TblProd[[#This Row],[Ore]]</f>
        <v>0</v>
      </c>
      <c r="F92" s="97">
        <f ca="1">TblProd[[#This Row],[Gems]]</f>
        <v>10000</v>
      </c>
      <c r="G92" s="162"/>
      <c r="H92" s="97">
        <f ca="1">TblMili[[#This Row],[Draftees]]</f>
        <v>626</v>
      </c>
      <c r="I92" s="188">
        <f ca="1">TblPop[[#This Row],[Employment]]</f>
        <v>1</v>
      </c>
      <c r="J92" s="188">
        <f ca="1">TblPop[[#This Row],[Total]]/TblPop[[#This Row],[Net max]]</f>
        <v>1</v>
      </c>
      <c r="K92" s="311">
        <f>TblRezone[[#This Row],[Hour]]</f>
        <v>89</v>
      </c>
      <c r="L92" s="312">
        <f ca="1">TblImps[[#This Row],[Real time]]</f>
        <v>44814.416666666453</v>
      </c>
      <c r="M92" s="62">
        <f>IF(ISERROR(TblImps[[#This Row],[algorithm]]),0,TblImps[[#This Row],[algorithm]]*1)</f>
        <v>0</v>
      </c>
      <c r="N92" s="97">
        <f ca="1">TblImps[[#This Row],[Land]]</f>
        <v>250</v>
      </c>
      <c r="O92" s="313" t="s">
        <v>4</v>
      </c>
      <c r="P92" s="314"/>
      <c r="Q92" s="313" t="s">
        <v>216</v>
      </c>
      <c r="R92" s="313" t="s">
        <v>7</v>
      </c>
      <c r="S92" s="314"/>
      <c r="T92" s="313" t="s">
        <v>216</v>
      </c>
      <c r="U92" s="313" t="s">
        <v>3</v>
      </c>
      <c r="V92" s="314"/>
      <c r="W92" s="313" t="s">
        <v>216</v>
      </c>
      <c r="X92" s="150"/>
      <c r="Y92" s="315">
        <f ca="1">science_cap*(1-EXP(-TblImps[[#This Row],[Σ Science]]/(science_param*(OFFSET(TblImps[[#This Row],[Land]],1,0)-OFFSET(TblExplore[[#This Row],[Land Bonus]],1,0)*20)+15000)))*(1+(mason_bonus*TblConstr[[#This Row],[Tot Mas]]/TblConstr[[#This Row],[Land (2)]]))</f>
        <v>0</v>
      </c>
      <c r="Z92" s="315">
        <f ca="1">keep_cap*(1-EXP(-TblImps[[#This Row],[Σ Keep]]/(keep_param*(OFFSET(TblImps[[#This Row],[Land]],1,0)-OFFSET(TblExplore[[#This Row],[Land Bonus]],1,0)*20)+15000)))*(1+(mason_bonus*TblConstr[[#This Row],[Tot Mas]]/TblConstr[[#This Row],[Land (2)]]))</f>
        <v>0</v>
      </c>
      <c r="AA92" s="315">
        <f ca="1">harbor_towers_cap*(1-EXP(-TblImps[[#This Row],[Σ Towers]]/(towers_param*(OFFSET(TblImps[[#This Row],[Land]],1,0)-OFFSET(TblExplore[[#This Row],[Land Bonus]],1,0)*20)+15000)))*(1+(mason_bonus*TblConstr[[#This Row],[Tot Mas]]/TblConstr[[#This Row],[Land (2)]]))</f>
        <v>0</v>
      </c>
      <c r="AB92" s="315">
        <f ca="1">walls_forges_cap*(1-EXP(-TblImps[[#This Row],[Σ Forges]]/(walls_forges_param*(OFFSET(TblImps[[#This Row],[Land]],1,0)-OFFSET(TblExplore[[#This Row],[Land Bonus]],1,0)*20)+15000)))*(1+(mason_bonus*TblConstr[[#This Row],[Tot Mas]]/TblConstr[[#This Row],[Land (2)]]))</f>
        <v>0</v>
      </c>
      <c r="AC92" s="315">
        <f ca="1">walls_forges_cap*(1-EXP(-TblImps[[#This Row],[Σ Walls]]/(walls_forges_param*(OFFSET(TblImps[[#This Row],[Land]],1,0)-OFFSET(TblExplore[[#This Row],[Land Bonus]],1,0)*20)+15000)))*(1+(mason_bonus*TblConstr[[#This Row],[Tot Mas]]/TblConstr[[#This Row],[Land (2)]]))</f>
        <v>0</v>
      </c>
      <c r="AD92" s="315">
        <f ca="1">harbor_towers_cap*(1-EXP(-TblImps[[#This Row],[Σ Irrigation]]/(harbor_towers_param*(OFFSET(TblImps[[#This Row],[Land]],1,0)-OFFSET(TblExplore[[#This Row],[Land Bonus]],1,0)*20)+15000)))*(1+(mason_bonus*TblConstr[[#This Row],[Tot Mas]]/TblConstr[[#This Row],[Land (2)]]))</f>
        <v>0</v>
      </c>
      <c r="AE92" s="150"/>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50"/>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50"/>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50"/>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50"/>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50"/>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50"/>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50"/>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50"/>
      <c r="BV9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62">
        <f>TblImps[[#This Row],[Login]]</f>
        <v>0</v>
      </c>
      <c r="BX92" s="145"/>
      <c r="BY92" s="321">
        <f ca="1">OFFSET(TblImps[[#This Row],[Real time]],-1,0)+1/24</f>
        <v>44814.416666666453</v>
      </c>
      <c r="BZ92" s="322">
        <f ca="1">OFFSET(TblImps[[#This Row],[Servertime]],-1,0)+1/24</f>
        <v>44814.666666666453</v>
      </c>
      <c r="CA92" s="57"/>
      <c r="CB92" s="320"/>
      <c r="CC92" s="320"/>
      <c r="CF92" s="323"/>
    </row>
    <row r="93" spans="1:84" x14ac:dyDescent="0.2">
      <c r="A93" s="230">
        <f ca="1">TblConstr[[#This Row],[Land]]</f>
        <v>250</v>
      </c>
      <c r="B93" s="150"/>
      <c r="C93" s="97">
        <f ca="1">TblProd[[#This Row],[Platinum]]</f>
        <v>589132</v>
      </c>
      <c r="D93" s="97">
        <f ca="1">TblProd[[#This Row],[Lumber]]</f>
        <v>65248</v>
      </c>
      <c r="E93" s="97">
        <f ca="1">TblProd[[#This Row],[Ore]]</f>
        <v>0</v>
      </c>
      <c r="F93" s="97">
        <f ca="1">TblProd[[#This Row],[Gems]]</f>
        <v>10000</v>
      </c>
      <c r="G93" s="162"/>
      <c r="H93" s="97">
        <f ca="1">TblMili[[#This Row],[Draftees]]</f>
        <v>626</v>
      </c>
      <c r="I93" s="188">
        <f ca="1">TblPop[[#This Row],[Employment]]</f>
        <v>1</v>
      </c>
      <c r="J93" s="188">
        <f ca="1">TblPop[[#This Row],[Total]]/TblPop[[#This Row],[Net max]]</f>
        <v>1</v>
      </c>
      <c r="K93" s="311">
        <f>TblRezone[[#This Row],[Hour]]</f>
        <v>90</v>
      </c>
      <c r="L93" s="312">
        <f ca="1">TblImps[[#This Row],[Real time]]</f>
        <v>44814.458333333117</v>
      </c>
      <c r="M93" s="62">
        <f>IF(ISERROR(TblImps[[#This Row],[algorithm]]),0,TblImps[[#This Row],[algorithm]]*1)</f>
        <v>0</v>
      </c>
      <c r="N93" s="97">
        <f ca="1">TblImps[[#This Row],[Land]]</f>
        <v>250</v>
      </c>
      <c r="O93" s="313" t="s">
        <v>4</v>
      </c>
      <c r="P93" s="314"/>
      <c r="Q93" s="313" t="s">
        <v>216</v>
      </c>
      <c r="R93" s="313" t="s">
        <v>7</v>
      </c>
      <c r="S93" s="314"/>
      <c r="T93" s="313" t="s">
        <v>216</v>
      </c>
      <c r="U93" s="313" t="s">
        <v>3</v>
      </c>
      <c r="V93" s="314"/>
      <c r="W93" s="313" t="s">
        <v>216</v>
      </c>
      <c r="X93" s="150"/>
      <c r="Y93" s="315">
        <f ca="1">science_cap*(1-EXP(-TblImps[[#This Row],[Σ Science]]/(science_param*(OFFSET(TblImps[[#This Row],[Land]],1,0)-OFFSET(TblExplore[[#This Row],[Land Bonus]],1,0)*20)+15000)))*(1+(mason_bonus*TblConstr[[#This Row],[Tot Mas]]/TblConstr[[#This Row],[Land (2)]]))</f>
        <v>0</v>
      </c>
      <c r="Z93" s="315">
        <f ca="1">keep_cap*(1-EXP(-TblImps[[#This Row],[Σ Keep]]/(keep_param*(OFFSET(TblImps[[#This Row],[Land]],1,0)-OFFSET(TblExplore[[#This Row],[Land Bonus]],1,0)*20)+15000)))*(1+(mason_bonus*TblConstr[[#This Row],[Tot Mas]]/TblConstr[[#This Row],[Land (2)]]))</f>
        <v>0</v>
      </c>
      <c r="AA93" s="315">
        <f ca="1">harbor_towers_cap*(1-EXP(-TblImps[[#This Row],[Σ Towers]]/(towers_param*(OFFSET(TblImps[[#This Row],[Land]],1,0)-OFFSET(TblExplore[[#This Row],[Land Bonus]],1,0)*20)+15000)))*(1+(mason_bonus*TblConstr[[#This Row],[Tot Mas]]/TblConstr[[#This Row],[Land (2)]]))</f>
        <v>0</v>
      </c>
      <c r="AB93" s="315">
        <f ca="1">walls_forges_cap*(1-EXP(-TblImps[[#This Row],[Σ Forges]]/(walls_forges_param*(OFFSET(TblImps[[#This Row],[Land]],1,0)-OFFSET(TblExplore[[#This Row],[Land Bonus]],1,0)*20)+15000)))*(1+(mason_bonus*TblConstr[[#This Row],[Tot Mas]]/TblConstr[[#This Row],[Land (2)]]))</f>
        <v>0</v>
      </c>
      <c r="AC93" s="315">
        <f ca="1">walls_forges_cap*(1-EXP(-TblImps[[#This Row],[Σ Walls]]/(walls_forges_param*(OFFSET(TblImps[[#This Row],[Land]],1,0)-OFFSET(TblExplore[[#This Row],[Land Bonus]],1,0)*20)+15000)))*(1+(mason_bonus*TblConstr[[#This Row],[Tot Mas]]/TblConstr[[#This Row],[Land (2)]]))</f>
        <v>0</v>
      </c>
      <c r="AD93" s="315">
        <f ca="1">harbor_towers_cap*(1-EXP(-TblImps[[#This Row],[Σ Irrigation]]/(harbor_towers_param*(OFFSET(TblImps[[#This Row],[Land]],1,0)-OFFSET(TblExplore[[#This Row],[Land Bonus]],1,0)*20)+15000)))*(1+(mason_bonus*TblConstr[[#This Row],[Tot Mas]]/TblConstr[[#This Row],[Land (2)]]))</f>
        <v>0</v>
      </c>
      <c r="AE93" s="150"/>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50"/>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50"/>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50"/>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50"/>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50"/>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50"/>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50"/>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50"/>
      <c r="BV9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62">
        <f>TblImps[[#This Row],[Login]]</f>
        <v>0</v>
      </c>
      <c r="BX93" s="145"/>
      <c r="BY93" s="321">
        <f ca="1">OFFSET(TblImps[[#This Row],[Real time]],-1,0)+1/24</f>
        <v>44814.458333333117</v>
      </c>
      <c r="BZ93" s="322">
        <f ca="1">OFFSET(TblImps[[#This Row],[Servertime]],-1,0)+1/24</f>
        <v>44814.708333333117</v>
      </c>
      <c r="CA93" s="57"/>
      <c r="CB93" s="320"/>
      <c r="CC93" s="320"/>
      <c r="CF93" s="323"/>
    </row>
    <row r="94" spans="1:84" x14ac:dyDescent="0.2">
      <c r="A94" s="230">
        <f ca="1">TblConstr[[#This Row],[Land]]</f>
        <v>250</v>
      </c>
      <c r="B94" s="150"/>
      <c r="C94" s="97">
        <f ca="1">TblProd[[#This Row],[Platinum]]</f>
        <v>594618</v>
      </c>
      <c r="D94" s="97">
        <f ca="1">TblProd[[#This Row],[Lumber]]</f>
        <v>65596</v>
      </c>
      <c r="E94" s="97">
        <f ca="1">TblProd[[#This Row],[Ore]]</f>
        <v>0</v>
      </c>
      <c r="F94" s="97">
        <f ca="1">TblProd[[#This Row],[Gems]]</f>
        <v>10000</v>
      </c>
      <c r="G94" s="162"/>
      <c r="H94" s="97">
        <f ca="1">TblMili[[#This Row],[Draftees]]</f>
        <v>626</v>
      </c>
      <c r="I94" s="188">
        <f ca="1">TblPop[[#This Row],[Employment]]</f>
        <v>1</v>
      </c>
      <c r="J94" s="188">
        <f ca="1">TblPop[[#This Row],[Total]]/TblPop[[#This Row],[Net max]]</f>
        <v>1</v>
      </c>
      <c r="K94" s="311">
        <f>TblRezone[[#This Row],[Hour]]</f>
        <v>91</v>
      </c>
      <c r="L94" s="312">
        <f ca="1">TblImps[[#This Row],[Real time]]</f>
        <v>44814.499999999782</v>
      </c>
      <c r="M94" s="62">
        <f>IF(ISERROR(TblImps[[#This Row],[algorithm]]),0,TblImps[[#This Row],[algorithm]]*1)</f>
        <v>0</v>
      </c>
      <c r="N94" s="97">
        <f ca="1">TblImps[[#This Row],[Land]]</f>
        <v>250</v>
      </c>
      <c r="O94" s="313" t="s">
        <v>4</v>
      </c>
      <c r="P94" s="314"/>
      <c r="Q94" s="313" t="s">
        <v>216</v>
      </c>
      <c r="R94" s="313" t="s">
        <v>7</v>
      </c>
      <c r="S94" s="314"/>
      <c r="T94" s="313" t="s">
        <v>216</v>
      </c>
      <c r="U94" s="313" t="s">
        <v>3</v>
      </c>
      <c r="V94" s="314"/>
      <c r="W94" s="313" t="s">
        <v>216</v>
      </c>
      <c r="X94" s="150"/>
      <c r="Y94" s="315">
        <f ca="1">science_cap*(1-EXP(-TblImps[[#This Row],[Σ Science]]/(science_param*(OFFSET(TblImps[[#This Row],[Land]],1,0)-OFFSET(TblExplore[[#This Row],[Land Bonus]],1,0)*20)+15000)))*(1+(mason_bonus*TblConstr[[#This Row],[Tot Mas]]/TblConstr[[#This Row],[Land (2)]]))</f>
        <v>0</v>
      </c>
      <c r="Z94" s="315">
        <f ca="1">keep_cap*(1-EXP(-TblImps[[#This Row],[Σ Keep]]/(keep_param*(OFFSET(TblImps[[#This Row],[Land]],1,0)-OFFSET(TblExplore[[#This Row],[Land Bonus]],1,0)*20)+15000)))*(1+(mason_bonus*TblConstr[[#This Row],[Tot Mas]]/TblConstr[[#This Row],[Land (2)]]))</f>
        <v>0</v>
      </c>
      <c r="AA94" s="315">
        <f ca="1">harbor_towers_cap*(1-EXP(-TblImps[[#This Row],[Σ Towers]]/(towers_param*(OFFSET(TblImps[[#This Row],[Land]],1,0)-OFFSET(TblExplore[[#This Row],[Land Bonus]],1,0)*20)+15000)))*(1+(mason_bonus*TblConstr[[#This Row],[Tot Mas]]/TblConstr[[#This Row],[Land (2)]]))</f>
        <v>0</v>
      </c>
      <c r="AB94" s="315">
        <f ca="1">walls_forges_cap*(1-EXP(-TblImps[[#This Row],[Σ Forges]]/(walls_forges_param*(OFFSET(TblImps[[#This Row],[Land]],1,0)-OFFSET(TblExplore[[#This Row],[Land Bonus]],1,0)*20)+15000)))*(1+(mason_bonus*TblConstr[[#This Row],[Tot Mas]]/TblConstr[[#This Row],[Land (2)]]))</f>
        <v>0</v>
      </c>
      <c r="AC94" s="315">
        <f ca="1">walls_forges_cap*(1-EXP(-TblImps[[#This Row],[Σ Walls]]/(walls_forges_param*(OFFSET(TblImps[[#This Row],[Land]],1,0)-OFFSET(TblExplore[[#This Row],[Land Bonus]],1,0)*20)+15000)))*(1+(mason_bonus*TblConstr[[#This Row],[Tot Mas]]/TblConstr[[#This Row],[Land (2)]]))</f>
        <v>0</v>
      </c>
      <c r="AD94" s="315">
        <f ca="1">harbor_towers_cap*(1-EXP(-TblImps[[#This Row],[Σ Irrigation]]/(harbor_towers_param*(OFFSET(TblImps[[#This Row],[Land]],1,0)-OFFSET(TblExplore[[#This Row],[Land Bonus]],1,0)*20)+15000)))*(1+(mason_bonus*TblConstr[[#This Row],[Tot Mas]]/TblConstr[[#This Row],[Land (2)]]))</f>
        <v>0</v>
      </c>
      <c r="AE94" s="150"/>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50"/>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50"/>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50"/>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50"/>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50"/>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50"/>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50"/>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50"/>
      <c r="BV9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62">
        <f>TblImps[[#This Row],[Login]]</f>
        <v>0</v>
      </c>
      <c r="BX94" s="145"/>
      <c r="BY94" s="321">
        <f ca="1">OFFSET(TblImps[[#This Row],[Real time]],-1,0)+1/24</f>
        <v>44814.499999999782</v>
      </c>
      <c r="BZ94" s="322">
        <f ca="1">OFFSET(TblImps[[#This Row],[Servertime]],-1,0)+1/24</f>
        <v>44814.749999999782</v>
      </c>
      <c r="CA94" s="57"/>
      <c r="CB94" s="320"/>
      <c r="CC94" s="320"/>
    </row>
    <row r="95" spans="1:84" x14ac:dyDescent="0.2">
      <c r="A95" s="230">
        <f ca="1">TblConstr[[#This Row],[Land]]</f>
        <v>250</v>
      </c>
      <c r="B95" s="150"/>
      <c r="C95" s="97">
        <f ca="1">TblProd[[#This Row],[Platinum]]</f>
        <v>600104</v>
      </c>
      <c r="D95" s="97">
        <f ca="1">TblProd[[#This Row],[Lumber]]</f>
        <v>65940</v>
      </c>
      <c r="E95" s="97">
        <f ca="1">TblProd[[#This Row],[Ore]]</f>
        <v>0</v>
      </c>
      <c r="F95" s="97">
        <f ca="1">TblProd[[#This Row],[Gems]]</f>
        <v>10000</v>
      </c>
      <c r="G95" s="162"/>
      <c r="H95" s="97">
        <f ca="1">TblMili[[#This Row],[Draftees]]</f>
        <v>626</v>
      </c>
      <c r="I95" s="188">
        <f ca="1">TblPop[[#This Row],[Employment]]</f>
        <v>1</v>
      </c>
      <c r="J95" s="188">
        <f ca="1">TblPop[[#This Row],[Total]]/TblPop[[#This Row],[Net max]]</f>
        <v>1</v>
      </c>
      <c r="K95" s="311">
        <f>TblRezone[[#This Row],[Hour]]</f>
        <v>92</v>
      </c>
      <c r="L95" s="312">
        <f ca="1">TblImps[[#This Row],[Real time]]</f>
        <v>44814.541666666446</v>
      </c>
      <c r="M95" s="62">
        <f>IF(ISERROR(TblImps[[#This Row],[algorithm]]),0,TblImps[[#This Row],[algorithm]]*1)</f>
        <v>0</v>
      </c>
      <c r="N95" s="97">
        <f ca="1">TblImps[[#This Row],[Land]]</f>
        <v>250</v>
      </c>
      <c r="O95" s="313" t="s">
        <v>4</v>
      </c>
      <c r="P95" s="314"/>
      <c r="Q95" s="313" t="s">
        <v>216</v>
      </c>
      <c r="R95" s="313" t="s">
        <v>7</v>
      </c>
      <c r="S95" s="314"/>
      <c r="T95" s="313" t="s">
        <v>216</v>
      </c>
      <c r="U95" s="313" t="s">
        <v>3</v>
      </c>
      <c r="V95" s="314"/>
      <c r="W95" s="313" t="s">
        <v>216</v>
      </c>
      <c r="X95" s="150"/>
      <c r="Y95" s="315">
        <f ca="1">science_cap*(1-EXP(-TblImps[[#This Row],[Σ Science]]/(science_param*(OFFSET(TblImps[[#This Row],[Land]],1,0)-OFFSET(TblExplore[[#This Row],[Land Bonus]],1,0)*20)+15000)))*(1+(mason_bonus*TblConstr[[#This Row],[Tot Mas]]/TblConstr[[#This Row],[Land (2)]]))</f>
        <v>0</v>
      </c>
      <c r="Z95" s="315">
        <f ca="1">keep_cap*(1-EXP(-TblImps[[#This Row],[Σ Keep]]/(keep_param*(OFFSET(TblImps[[#This Row],[Land]],1,0)-OFFSET(TblExplore[[#This Row],[Land Bonus]],1,0)*20)+15000)))*(1+(mason_bonus*TblConstr[[#This Row],[Tot Mas]]/TblConstr[[#This Row],[Land (2)]]))</f>
        <v>0</v>
      </c>
      <c r="AA95" s="315">
        <f ca="1">harbor_towers_cap*(1-EXP(-TblImps[[#This Row],[Σ Towers]]/(towers_param*(OFFSET(TblImps[[#This Row],[Land]],1,0)-OFFSET(TblExplore[[#This Row],[Land Bonus]],1,0)*20)+15000)))*(1+(mason_bonus*TblConstr[[#This Row],[Tot Mas]]/TblConstr[[#This Row],[Land (2)]]))</f>
        <v>0</v>
      </c>
      <c r="AB95" s="315">
        <f ca="1">walls_forges_cap*(1-EXP(-TblImps[[#This Row],[Σ Forges]]/(walls_forges_param*(OFFSET(TblImps[[#This Row],[Land]],1,0)-OFFSET(TblExplore[[#This Row],[Land Bonus]],1,0)*20)+15000)))*(1+(mason_bonus*TblConstr[[#This Row],[Tot Mas]]/TblConstr[[#This Row],[Land (2)]]))</f>
        <v>0</v>
      </c>
      <c r="AC95" s="315">
        <f ca="1">walls_forges_cap*(1-EXP(-TblImps[[#This Row],[Σ Walls]]/(walls_forges_param*(OFFSET(TblImps[[#This Row],[Land]],1,0)-OFFSET(TblExplore[[#This Row],[Land Bonus]],1,0)*20)+15000)))*(1+(mason_bonus*TblConstr[[#This Row],[Tot Mas]]/TblConstr[[#This Row],[Land (2)]]))</f>
        <v>0</v>
      </c>
      <c r="AD95" s="315">
        <f ca="1">harbor_towers_cap*(1-EXP(-TblImps[[#This Row],[Σ Irrigation]]/(harbor_towers_param*(OFFSET(TblImps[[#This Row],[Land]],1,0)-OFFSET(TblExplore[[#This Row],[Land Bonus]],1,0)*20)+15000)))*(1+(mason_bonus*TblConstr[[#This Row],[Tot Mas]]/TblConstr[[#This Row],[Land (2)]]))</f>
        <v>0</v>
      </c>
      <c r="AE95" s="150"/>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50"/>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50"/>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50"/>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50"/>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50"/>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50"/>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50"/>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50"/>
      <c r="BV9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62">
        <f>TblImps[[#This Row],[Login]]</f>
        <v>0</v>
      </c>
      <c r="BX95" s="145"/>
      <c r="BY95" s="321">
        <f ca="1">OFFSET(TblImps[[#This Row],[Real time]],-1,0)+1/24</f>
        <v>44814.541666666446</v>
      </c>
      <c r="BZ95" s="322">
        <f ca="1">OFFSET(TblImps[[#This Row],[Servertime]],-1,0)+1/24</f>
        <v>44814.791666666446</v>
      </c>
      <c r="CA95" s="57"/>
      <c r="CB95" s="320"/>
      <c r="CC95" s="320"/>
    </row>
    <row r="96" spans="1:84" x14ac:dyDescent="0.2">
      <c r="A96" s="230">
        <f ca="1">TblConstr[[#This Row],[Land]]</f>
        <v>250</v>
      </c>
      <c r="B96" s="150"/>
      <c r="C96" s="97">
        <f ca="1">TblProd[[#This Row],[Platinum]]</f>
        <v>605590</v>
      </c>
      <c r="D96" s="97">
        <f ca="1">TblProd[[#This Row],[Lumber]]</f>
        <v>66281</v>
      </c>
      <c r="E96" s="97">
        <f ca="1">TblProd[[#This Row],[Ore]]</f>
        <v>0</v>
      </c>
      <c r="F96" s="97">
        <f ca="1">TblProd[[#This Row],[Gems]]</f>
        <v>10000</v>
      </c>
      <c r="G96" s="162"/>
      <c r="H96" s="97">
        <f ca="1">TblMili[[#This Row],[Draftees]]</f>
        <v>626</v>
      </c>
      <c r="I96" s="188">
        <f ca="1">TblPop[[#This Row],[Employment]]</f>
        <v>1</v>
      </c>
      <c r="J96" s="188">
        <f ca="1">TblPop[[#This Row],[Total]]/TblPop[[#This Row],[Net max]]</f>
        <v>1</v>
      </c>
      <c r="K96" s="311">
        <f>TblRezone[[#This Row],[Hour]]</f>
        <v>93</v>
      </c>
      <c r="L96" s="312">
        <f ca="1">TblImps[[#This Row],[Real time]]</f>
        <v>44814.58333333311</v>
      </c>
      <c r="M96" s="62">
        <f>IF(ISERROR(TblImps[[#This Row],[algorithm]]),0,TblImps[[#This Row],[algorithm]]*1)</f>
        <v>0</v>
      </c>
      <c r="N96" s="97">
        <f ca="1">TblImps[[#This Row],[Land]]</f>
        <v>250</v>
      </c>
      <c r="O96" s="313" t="s">
        <v>4</v>
      </c>
      <c r="P96" s="314"/>
      <c r="Q96" s="313" t="s">
        <v>216</v>
      </c>
      <c r="R96" s="313" t="s">
        <v>7</v>
      </c>
      <c r="S96" s="314"/>
      <c r="T96" s="313" t="s">
        <v>216</v>
      </c>
      <c r="U96" s="313" t="s">
        <v>3</v>
      </c>
      <c r="V96" s="314"/>
      <c r="W96" s="313" t="s">
        <v>216</v>
      </c>
      <c r="X96" s="150"/>
      <c r="Y96" s="315">
        <f ca="1">science_cap*(1-EXP(-TblImps[[#This Row],[Σ Science]]/(science_param*(OFFSET(TblImps[[#This Row],[Land]],1,0)-OFFSET(TblExplore[[#This Row],[Land Bonus]],1,0)*20)+15000)))*(1+(mason_bonus*TblConstr[[#This Row],[Tot Mas]]/TblConstr[[#This Row],[Land (2)]]))</f>
        <v>0</v>
      </c>
      <c r="Z96" s="315">
        <f ca="1">keep_cap*(1-EXP(-TblImps[[#This Row],[Σ Keep]]/(keep_param*(OFFSET(TblImps[[#This Row],[Land]],1,0)-OFFSET(TblExplore[[#This Row],[Land Bonus]],1,0)*20)+15000)))*(1+(mason_bonus*TblConstr[[#This Row],[Tot Mas]]/TblConstr[[#This Row],[Land (2)]]))</f>
        <v>0</v>
      </c>
      <c r="AA96" s="315">
        <f ca="1">harbor_towers_cap*(1-EXP(-TblImps[[#This Row],[Σ Towers]]/(towers_param*(OFFSET(TblImps[[#This Row],[Land]],1,0)-OFFSET(TblExplore[[#This Row],[Land Bonus]],1,0)*20)+15000)))*(1+(mason_bonus*TblConstr[[#This Row],[Tot Mas]]/TblConstr[[#This Row],[Land (2)]]))</f>
        <v>0</v>
      </c>
      <c r="AB96" s="315">
        <f ca="1">walls_forges_cap*(1-EXP(-TblImps[[#This Row],[Σ Forges]]/(walls_forges_param*(OFFSET(TblImps[[#This Row],[Land]],1,0)-OFFSET(TblExplore[[#This Row],[Land Bonus]],1,0)*20)+15000)))*(1+(mason_bonus*TblConstr[[#This Row],[Tot Mas]]/TblConstr[[#This Row],[Land (2)]]))</f>
        <v>0</v>
      </c>
      <c r="AC96" s="315">
        <f ca="1">walls_forges_cap*(1-EXP(-TblImps[[#This Row],[Σ Walls]]/(walls_forges_param*(OFFSET(TblImps[[#This Row],[Land]],1,0)-OFFSET(TblExplore[[#This Row],[Land Bonus]],1,0)*20)+15000)))*(1+(mason_bonus*TblConstr[[#This Row],[Tot Mas]]/TblConstr[[#This Row],[Land (2)]]))</f>
        <v>0</v>
      </c>
      <c r="AD96" s="315">
        <f ca="1">harbor_towers_cap*(1-EXP(-TblImps[[#This Row],[Σ Irrigation]]/(harbor_towers_param*(OFFSET(TblImps[[#This Row],[Land]],1,0)-OFFSET(TblExplore[[#This Row],[Land Bonus]],1,0)*20)+15000)))*(1+(mason_bonus*TblConstr[[#This Row],[Tot Mas]]/TblConstr[[#This Row],[Land (2)]]))</f>
        <v>0</v>
      </c>
      <c r="AE96" s="150"/>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50"/>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50"/>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50"/>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50"/>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50"/>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50"/>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50"/>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50"/>
      <c r="BV9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62">
        <f>TblImps[[#This Row],[Login]]</f>
        <v>0</v>
      </c>
      <c r="BX96" s="145"/>
      <c r="BY96" s="321">
        <f ca="1">OFFSET(TblImps[[#This Row],[Real time]],-1,0)+1/24</f>
        <v>44814.58333333311</v>
      </c>
      <c r="BZ96" s="322">
        <f ca="1">OFFSET(TblImps[[#This Row],[Servertime]],-1,0)+1/24</f>
        <v>44814.83333333311</v>
      </c>
      <c r="CA96" s="57"/>
      <c r="CB96" s="320"/>
      <c r="CC96" s="320"/>
    </row>
    <row r="97" spans="1:82" x14ac:dyDescent="0.2">
      <c r="A97" s="230">
        <f ca="1">TblConstr[[#This Row],[Land]]</f>
        <v>250</v>
      </c>
      <c r="B97" s="150"/>
      <c r="C97" s="97">
        <f ca="1">TblProd[[#This Row],[Platinum]]</f>
        <v>611076</v>
      </c>
      <c r="D97" s="97">
        <f ca="1">TblProd[[#This Row],[Lumber]]</f>
        <v>66618</v>
      </c>
      <c r="E97" s="97">
        <f ca="1">TblProd[[#This Row],[Ore]]</f>
        <v>0</v>
      </c>
      <c r="F97" s="97">
        <f ca="1">TblProd[[#This Row],[Gems]]</f>
        <v>10000</v>
      </c>
      <c r="G97" s="162"/>
      <c r="H97" s="97">
        <f ca="1">TblMili[[#This Row],[Draftees]]</f>
        <v>626</v>
      </c>
      <c r="I97" s="188">
        <f ca="1">TblPop[[#This Row],[Employment]]</f>
        <v>1</v>
      </c>
      <c r="J97" s="188">
        <f ca="1">TblPop[[#This Row],[Total]]/TblPop[[#This Row],[Net max]]</f>
        <v>1</v>
      </c>
      <c r="K97" s="311">
        <f>TblRezone[[#This Row],[Hour]]</f>
        <v>94</v>
      </c>
      <c r="L97" s="312">
        <f ca="1">TblImps[[#This Row],[Real time]]</f>
        <v>44814.624999999774</v>
      </c>
      <c r="M97" s="62">
        <f>IF(ISERROR(TblImps[[#This Row],[algorithm]]),0,TblImps[[#This Row],[algorithm]]*1)</f>
        <v>0</v>
      </c>
      <c r="N97" s="97">
        <f ca="1">TblImps[[#This Row],[Land]]</f>
        <v>250</v>
      </c>
      <c r="O97" s="313" t="s">
        <v>4</v>
      </c>
      <c r="P97" s="314"/>
      <c r="Q97" s="313" t="s">
        <v>216</v>
      </c>
      <c r="R97" s="313" t="s">
        <v>7</v>
      </c>
      <c r="S97" s="314"/>
      <c r="T97" s="313" t="s">
        <v>216</v>
      </c>
      <c r="U97" s="313" t="s">
        <v>3</v>
      </c>
      <c r="V97" s="314"/>
      <c r="W97" s="313" t="s">
        <v>216</v>
      </c>
      <c r="X97" s="150"/>
      <c r="Y97" s="315">
        <f ca="1">science_cap*(1-EXP(-TblImps[[#This Row],[Σ Science]]/(science_param*(OFFSET(TblImps[[#This Row],[Land]],1,0)-OFFSET(TblExplore[[#This Row],[Land Bonus]],1,0)*20)+15000)))*(1+(mason_bonus*TblConstr[[#This Row],[Tot Mas]]/TblConstr[[#This Row],[Land (2)]]))</f>
        <v>0</v>
      </c>
      <c r="Z97" s="315">
        <f ca="1">keep_cap*(1-EXP(-TblImps[[#This Row],[Σ Keep]]/(keep_param*(OFFSET(TblImps[[#This Row],[Land]],1,0)-OFFSET(TblExplore[[#This Row],[Land Bonus]],1,0)*20)+15000)))*(1+(mason_bonus*TblConstr[[#This Row],[Tot Mas]]/TblConstr[[#This Row],[Land (2)]]))</f>
        <v>0</v>
      </c>
      <c r="AA97" s="315">
        <f ca="1">harbor_towers_cap*(1-EXP(-TblImps[[#This Row],[Σ Towers]]/(towers_param*(OFFSET(TblImps[[#This Row],[Land]],1,0)-OFFSET(TblExplore[[#This Row],[Land Bonus]],1,0)*20)+15000)))*(1+(mason_bonus*TblConstr[[#This Row],[Tot Mas]]/TblConstr[[#This Row],[Land (2)]]))</f>
        <v>0</v>
      </c>
      <c r="AB97" s="315">
        <f ca="1">walls_forges_cap*(1-EXP(-TblImps[[#This Row],[Σ Forges]]/(walls_forges_param*(OFFSET(TblImps[[#This Row],[Land]],1,0)-OFFSET(TblExplore[[#This Row],[Land Bonus]],1,0)*20)+15000)))*(1+(mason_bonus*TblConstr[[#This Row],[Tot Mas]]/TblConstr[[#This Row],[Land (2)]]))</f>
        <v>0</v>
      </c>
      <c r="AC97" s="315">
        <f ca="1">walls_forges_cap*(1-EXP(-TblImps[[#This Row],[Σ Walls]]/(walls_forges_param*(OFFSET(TblImps[[#This Row],[Land]],1,0)-OFFSET(TblExplore[[#This Row],[Land Bonus]],1,0)*20)+15000)))*(1+(mason_bonus*TblConstr[[#This Row],[Tot Mas]]/TblConstr[[#This Row],[Land (2)]]))</f>
        <v>0</v>
      </c>
      <c r="AD97" s="315">
        <f ca="1">harbor_towers_cap*(1-EXP(-TblImps[[#This Row],[Σ Irrigation]]/(harbor_towers_param*(OFFSET(TblImps[[#This Row],[Land]],1,0)-OFFSET(TblExplore[[#This Row],[Land Bonus]],1,0)*20)+15000)))*(1+(mason_bonus*TblConstr[[#This Row],[Tot Mas]]/TblConstr[[#This Row],[Land (2)]]))</f>
        <v>0</v>
      </c>
      <c r="AE97" s="150"/>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50"/>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50"/>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50"/>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50"/>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50"/>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50"/>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50"/>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50"/>
      <c r="BV9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62">
        <f>TblImps[[#This Row],[Login]]</f>
        <v>0</v>
      </c>
      <c r="BX97" s="145"/>
      <c r="BY97" s="321">
        <f ca="1">OFFSET(TblImps[[#This Row],[Real time]],-1,0)+1/24</f>
        <v>44814.624999999774</v>
      </c>
      <c r="BZ97" s="322">
        <f ca="1">OFFSET(TblImps[[#This Row],[Servertime]],-1,0)+1/24</f>
        <v>44814.874999999774</v>
      </c>
      <c r="CA97" s="57"/>
      <c r="CB97" s="320"/>
      <c r="CC97" s="320"/>
    </row>
    <row r="98" spans="1:82" x14ac:dyDescent="0.2">
      <c r="A98" s="230">
        <f ca="1">TblConstr[[#This Row],[Land]]</f>
        <v>250</v>
      </c>
      <c r="B98" s="150"/>
      <c r="C98" s="97">
        <f ca="1">TblProd[[#This Row],[Platinum]]</f>
        <v>616562</v>
      </c>
      <c r="D98" s="97">
        <f ca="1">TblProd[[#This Row],[Lumber]]</f>
        <v>66952</v>
      </c>
      <c r="E98" s="97">
        <f ca="1">TblProd[[#This Row],[Ore]]</f>
        <v>0</v>
      </c>
      <c r="F98" s="97">
        <f ca="1">TblProd[[#This Row],[Gems]]</f>
        <v>10000</v>
      </c>
      <c r="G98" s="162"/>
      <c r="H98" s="97">
        <f ca="1">TblMili[[#This Row],[Draftees]]</f>
        <v>626</v>
      </c>
      <c r="I98" s="188">
        <f ca="1">TblPop[[#This Row],[Employment]]</f>
        <v>1</v>
      </c>
      <c r="J98" s="188">
        <f ca="1">TblPop[[#This Row],[Total]]/TblPop[[#This Row],[Net max]]</f>
        <v>1</v>
      </c>
      <c r="K98" s="311">
        <f>TblRezone[[#This Row],[Hour]]</f>
        <v>95</v>
      </c>
      <c r="L98" s="312">
        <f ca="1">TblImps[[#This Row],[Real time]]</f>
        <v>44814.666666666439</v>
      </c>
      <c r="M98" s="62">
        <f>IF(ISERROR(TblImps[[#This Row],[algorithm]]),0,TblImps[[#This Row],[algorithm]]*1)</f>
        <v>0</v>
      </c>
      <c r="N98" s="97">
        <f ca="1">TblImps[[#This Row],[Land]]</f>
        <v>250</v>
      </c>
      <c r="O98" s="313" t="s">
        <v>4</v>
      </c>
      <c r="P98" s="314"/>
      <c r="Q98" s="313" t="s">
        <v>216</v>
      </c>
      <c r="R98" s="313" t="s">
        <v>7</v>
      </c>
      <c r="S98" s="314"/>
      <c r="T98" s="313" t="s">
        <v>216</v>
      </c>
      <c r="U98" s="313" t="s">
        <v>3</v>
      </c>
      <c r="V98" s="314"/>
      <c r="W98" s="313" t="s">
        <v>216</v>
      </c>
      <c r="X98" s="150"/>
      <c r="Y98" s="315">
        <f ca="1">science_cap*(1-EXP(-TblImps[[#This Row],[Σ Science]]/(science_param*(OFFSET(TblImps[[#This Row],[Land]],1,0)-OFFSET(TblExplore[[#This Row],[Land Bonus]],1,0)*20)+15000)))*(1+(mason_bonus*TblConstr[[#This Row],[Tot Mas]]/TblConstr[[#This Row],[Land (2)]]))</f>
        <v>0</v>
      </c>
      <c r="Z98" s="315">
        <f ca="1">keep_cap*(1-EXP(-TblImps[[#This Row],[Σ Keep]]/(keep_param*(OFFSET(TblImps[[#This Row],[Land]],1,0)-OFFSET(TblExplore[[#This Row],[Land Bonus]],1,0)*20)+15000)))*(1+(mason_bonus*TblConstr[[#This Row],[Tot Mas]]/TblConstr[[#This Row],[Land (2)]]))</f>
        <v>0</v>
      </c>
      <c r="AA98" s="315">
        <f ca="1">harbor_towers_cap*(1-EXP(-TblImps[[#This Row],[Σ Towers]]/(towers_param*(OFFSET(TblImps[[#This Row],[Land]],1,0)-OFFSET(TblExplore[[#This Row],[Land Bonus]],1,0)*20)+15000)))*(1+(mason_bonus*TblConstr[[#This Row],[Tot Mas]]/TblConstr[[#This Row],[Land (2)]]))</f>
        <v>0</v>
      </c>
      <c r="AB98" s="315">
        <f ca="1">walls_forges_cap*(1-EXP(-TblImps[[#This Row],[Σ Forges]]/(walls_forges_param*(OFFSET(TblImps[[#This Row],[Land]],1,0)-OFFSET(TblExplore[[#This Row],[Land Bonus]],1,0)*20)+15000)))*(1+(mason_bonus*TblConstr[[#This Row],[Tot Mas]]/TblConstr[[#This Row],[Land (2)]]))</f>
        <v>0</v>
      </c>
      <c r="AC98" s="315">
        <f ca="1">walls_forges_cap*(1-EXP(-TblImps[[#This Row],[Σ Walls]]/(walls_forges_param*(OFFSET(TblImps[[#This Row],[Land]],1,0)-OFFSET(TblExplore[[#This Row],[Land Bonus]],1,0)*20)+15000)))*(1+(mason_bonus*TblConstr[[#This Row],[Tot Mas]]/TblConstr[[#This Row],[Land (2)]]))</f>
        <v>0</v>
      </c>
      <c r="AD98" s="315">
        <f ca="1">harbor_towers_cap*(1-EXP(-TblImps[[#This Row],[Σ Irrigation]]/(harbor_towers_param*(OFFSET(TblImps[[#This Row],[Land]],1,0)-OFFSET(TblExplore[[#This Row],[Land Bonus]],1,0)*20)+15000)))*(1+(mason_bonus*TblConstr[[#This Row],[Tot Mas]]/TblConstr[[#This Row],[Land (2)]]))</f>
        <v>0</v>
      </c>
      <c r="AE98" s="150"/>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50"/>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50"/>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50"/>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50"/>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50"/>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50"/>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50"/>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50"/>
      <c r="BV9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62">
        <f>TblImps[[#This Row],[Login]]</f>
        <v>0</v>
      </c>
      <c r="BX98" s="145"/>
      <c r="BY98" s="321">
        <f ca="1">OFFSET(TblImps[[#This Row],[Real time]],-1,0)+1/24</f>
        <v>44814.666666666439</v>
      </c>
      <c r="BZ98" s="322">
        <f ca="1">OFFSET(TblImps[[#This Row],[Servertime]],-1,0)+1/24</f>
        <v>44814.916666666439</v>
      </c>
      <c r="CA98" s="57"/>
      <c r="CB98" s="320"/>
      <c r="CC98" s="320"/>
    </row>
    <row r="99" spans="1:82" x14ac:dyDescent="0.2">
      <c r="A99" s="230">
        <f ca="1">TblConstr[[#This Row],[Land]]</f>
        <v>250</v>
      </c>
      <c r="B99" s="150"/>
      <c r="C99" s="97">
        <f ca="1">TblProd[[#This Row],[Platinum]]</f>
        <v>622048</v>
      </c>
      <c r="D99" s="97">
        <f ca="1">TblProd[[#This Row],[Lumber]]</f>
        <v>67282</v>
      </c>
      <c r="E99" s="97">
        <f ca="1">TblProd[[#This Row],[Ore]]</f>
        <v>0</v>
      </c>
      <c r="F99" s="97">
        <f ca="1">TblProd[[#This Row],[Gems]]</f>
        <v>10000</v>
      </c>
      <c r="G99" s="162"/>
      <c r="H99" s="97">
        <f ca="1">TblMili[[#This Row],[Draftees]]</f>
        <v>626</v>
      </c>
      <c r="I99" s="188">
        <f ca="1">TblPop[[#This Row],[Employment]]</f>
        <v>1</v>
      </c>
      <c r="J99" s="188">
        <f ca="1">TblPop[[#This Row],[Total]]/TblPop[[#This Row],[Net max]]</f>
        <v>1</v>
      </c>
      <c r="K99" s="311">
        <f>TblRezone[[#This Row],[Hour]]</f>
        <v>96</v>
      </c>
      <c r="L99" s="312">
        <f ca="1">TblImps[[#This Row],[Real time]]</f>
        <v>44814.708333333103</v>
      </c>
      <c r="M99" s="62">
        <f>IF(ISERROR(TblImps[[#This Row],[algorithm]]),0,TblImps[[#This Row],[algorithm]]*1)</f>
        <v>0</v>
      </c>
      <c r="N99" s="97">
        <f ca="1">TblImps[[#This Row],[Land]]</f>
        <v>250</v>
      </c>
      <c r="O99" s="313" t="s">
        <v>4</v>
      </c>
      <c r="P99" s="314"/>
      <c r="Q99" s="313" t="s">
        <v>216</v>
      </c>
      <c r="R99" s="313" t="s">
        <v>7</v>
      </c>
      <c r="S99" s="314"/>
      <c r="T99" s="313" t="s">
        <v>216</v>
      </c>
      <c r="U99" s="313" t="s">
        <v>3</v>
      </c>
      <c r="V99" s="314"/>
      <c r="W99" s="313" t="s">
        <v>216</v>
      </c>
      <c r="X99" s="150"/>
      <c r="Y99" s="315">
        <f ca="1">science_cap*(1-EXP(-TblImps[[#This Row],[Σ Science]]/(science_param*(OFFSET(TblImps[[#This Row],[Land]],1,0)-OFFSET(TblExplore[[#This Row],[Land Bonus]],1,0)*20)+15000)))*(1+(mason_bonus*TblConstr[[#This Row],[Tot Mas]]/TblConstr[[#This Row],[Land (2)]]))</f>
        <v>0</v>
      </c>
      <c r="Z99" s="315">
        <f ca="1">keep_cap*(1-EXP(-TblImps[[#This Row],[Σ Keep]]/(keep_param*(OFFSET(TblImps[[#This Row],[Land]],1,0)-OFFSET(TblExplore[[#This Row],[Land Bonus]],1,0)*20)+15000)))*(1+(mason_bonus*TblConstr[[#This Row],[Tot Mas]]/TblConstr[[#This Row],[Land (2)]]))</f>
        <v>0</v>
      </c>
      <c r="AA99" s="315">
        <f ca="1">harbor_towers_cap*(1-EXP(-TblImps[[#This Row],[Σ Towers]]/(towers_param*(OFFSET(TblImps[[#This Row],[Land]],1,0)-OFFSET(TblExplore[[#This Row],[Land Bonus]],1,0)*20)+15000)))*(1+(mason_bonus*TblConstr[[#This Row],[Tot Mas]]/TblConstr[[#This Row],[Land (2)]]))</f>
        <v>0</v>
      </c>
      <c r="AB99" s="315">
        <f ca="1">walls_forges_cap*(1-EXP(-TblImps[[#This Row],[Σ Forges]]/(walls_forges_param*(OFFSET(TblImps[[#This Row],[Land]],1,0)-OFFSET(TblExplore[[#This Row],[Land Bonus]],1,0)*20)+15000)))*(1+(mason_bonus*TblConstr[[#This Row],[Tot Mas]]/TblConstr[[#This Row],[Land (2)]]))</f>
        <v>0</v>
      </c>
      <c r="AC99" s="315">
        <f ca="1">walls_forges_cap*(1-EXP(-TblImps[[#This Row],[Σ Walls]]/(walls_forges_param*(OFFSET(TblImps[[#This Row],[Land]],1,0)-OFFSET(TblExplore[[#This Row],[Land Bonus]],1,0)*20)+15000)))*(1+(mason_bonus*TblConstr[[#This Row],[Tot Mas]]/TblConstr[[#This Row],[Land (2)]]))</f>
        <v>0</v>
      </c>
      <c r="AD99" s="315">
        <f ca="1">harbor_towers_cap*(1-EXP(-TblImps[[#This Row],[Σ Irrigation]]/(harbor_towers_param*(OFFSET(TblImps[[#This Row],[Land]],1,0)-OFFSET(TblExplore[[#This Row],[Land Bonus]],1,0)*20)+15000)))*(1+(mason_bonus*TblConstr[[#This Row],[Tot Mas]]/TblConstr[[#This Row],[Land (2)]]))</f>
        <v>0</v>
      </c>
      <c r="AE99" s="150"/>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50"/>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50"/>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50"/>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50"/>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50"/>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50"/>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50"/>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50"/>
      <c r="BV9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62">
        <f>TblImps[[#This Row],[Login]]</f>
        <v>0</v>
      </c>
      <c r="BX99" s="145"/>
      <c r="BY99" s="321">
        <f ca="1">OFFSET(TblImps[[#This Row],[Real time]],-1,0)+1/24</f>
        <v>44814.708333333103</v>
      </c>
      <c r="BZ99" s="322">
        <f ca="1">OFFSET(TblImps[[#This Row],[Servertime]],-1,0)+1/24</f>
        <v>44814.958333333103</v>
      </c>
      <c r="CA99" s="57"/>
      <c r="CB99" s="320"/>
      <c r="CC99" s="320"/>
    </row>
    <row r="100" spans="1:82" x14ac:dyDescent="0.2">
      <c r="A100" s="230">
        <f ca="1">TblConstr[[#This Row],[Land]]</f>
        <v>250</v>
      </c>
      <c r="B100" s="150"/>
      <c r="C100" s="97">
        <f ca="1">TblProd[[#This Row],[Platinum]]</f>
        <v>627534</v>
      </c>
      <c r="D100" s="97">
        <f ca="1">TblProd[[#This Row],[Lumber]]</f>
        <v>67609</v>
      </c>
      <c r="E100" s="97">
        <f ca="1">TblProd[[#This Row],[Ore]]</f>
        <v>0</v>
      </c>
      <c r="F100" s="97">
        <f ca="1">TblProd[[#This Row],[Gems]]</f>
        <v>10000</v>
      </c>
      <c r="G100" s="162"/>
      <c r="H100" s="97">
        <f ca="1">TblMili[[#This Row],[Draftees]]</f>
        <v>626</v>
      </c>
      <c r="I100" s="188">
        <f ca="1">TblPop[[#This Row],[Employment]]</f>
        <v>1</v>
      </c>
      <c r="J100" s="188">
        <f ca="1">TblPop[[#This Row],[Total]]/TblPop[[#This Row],[Net max]]</f>
        <v>1</v>
      </c>
      <c r="K100" s="311">
        <f>TblRezone[[#This Row],[Hour]]</f>
        <v>97</v>
      </c>
      <c r="L100" s="312">
        <f ca="1">TblImps[[#This Row],[Real time]]</f>
        <v>44814.749999999767</v>
      </c>
      <c r="M100" s="62">
        <f>IF(ISERROR(TblImps[[#This Row],[algorithm]]),0,TblImps[[#This Row],[algorithm]]*1)</f>
        <v>0</v>
      </c>
      <c r="N100" s="97">
        <f ca="1">TblImps[[#This Row],[Land]]</f>
        <v>250</v>
      </c>
      <c r="O100" s="313" t="s">
        <v>4</v>
      </c>
      <c r="P100" s="314"/>
      <c r="Q100" s="313" t="s">
        <v>216</v>
      </c>
      <c r="R100" s="313" t="s">
        <v>7</v>
      </c>
      <c r="S100" s="314"/>
      <c r="T100" s="313" t="s">
        <v>216</v>
      </c>
      <c r="U100" s="313" t="s">
        <v>3</v>
      </c>
      <c r="V100" s="314"/>
      <c r="W100" s="313" t="s">
        <v>216</v>
      </c>
      <c r="X100" s="150"/>
      <c r="Y100" s="315">
        <f ca="1">science_cap*(1-EXP(-TblImps[[#This Row],[Σ Science]]/(science_param*(OFFSET(TblImps[[#This Row],[Land]],1,0)-OFFSET(TblExplore[[#This Row],[Land Bonus]],1,0)*20)+15000)))*(1+(mason_bonus*TblConstr[[#This Row],[Tot Mas]]/TblConstr[[#This Row],[Land (2)]]))</f>
        <v>0</v>
      </c>
      <c r="Z100" s="315">
        <f ca="1">keep_cap*(1-EXP(-TblImps[[#This Row],[Σ Keep]]/(keep_param*(OFFSET(TblImps[[#This Row],[Land]],1,0)-OFFSET(TblExplore[[#This Row],[Land Bonus]],1,0)*20)+15000)))*(1+(mason_bonus*TblConstr[[#This Row],[Tot Mas]]/TblConstr[[#This Row],[Land (2)]]))</f>
        <v>0</v>
      </c>
      <c r="AA100" s="315">
        <f ca="1">harbor_towers_cap*(1-EXP(-TblImps[[#This Row],[Σ Towers]]/(towers_param*(OFFSET(TblImps[[#This Row],[Land]],1,0)-OFFSET(TblExplore[[#This Row],[Land Bonus]],1,0)*20)+15000)))*(1+(mason_bonus*TblConstr[[#This Row],[Tot Mas]]/TblConstr[[#This Row],[Land (2)]]))</f>
        <v>0</v>
      </c>
      <c r="AB100" s="315">
        <f ca="1">walls_forges_cap*(1-EXP(-TblImps[[#This Row],[Σ Forges]]/(walls_forges_param*(OFFSET(TblImps[[#This Row],[Land]],1,0)-OFFSET(TblExplore[[#This Row],[Land Bonus]],1,0)*20)+15000)))*(1+(mason_bonus*TblConstr[[#This Row],[Tot Mas]]/TblConstr[[#This Row],[Land (2)]]))</f>
        <v>0</v>
      </c>
      <c r="AC100" s="315">
        <f ca="1">walls_forges_cap*(1-EXP(-TblImps[[#This Row],[Σ Walls]]/(walls_forges_param*(OFFSET(TblImps[[#This Row],[Land]],1,0)-OFFSET(TblExplore[[#This Row],[Land Bonus]],1,0)*20)+15000)))*(1+(mason_bonus*TblConstr[[#This Row],[Tot Mas]]/TblConstr[[#This Row],[Land (2)]]))</f>
        <v>0</v>
      </c>
      <c r="AD100" s="315">
        <f ca="1">harbor_towers_cap*(1-EXP(-TblImps[[#This Row],[Σ Irrigation]]/(harbor_towers_param*(OFFSET(TblImps[[#This Row],[Land]],1,0)-OFFSET(TblExplore[[#This Row],[Land Bonus]],1,0)*20)+15000)))*(1+(mason_bonus*TblConstr[[#This Row],[Tot Mas]]/TblConstr[[#This Row],[Land (2)]]))</f>
        <v>0</v>
      </c>
      <c r="AE100" s="150"/>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50"/>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50"/>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50"/>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50"/>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50"/>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50"/>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50"/>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50"/>
      <c r="BV10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62">
        <f>TblImps[[#This Row],[Login]]</f>
        <v>0</v>
      </c>
      <c r="BX100" s="145"/>
      <c r="BY100" s="321">
        <f ca="1">OFFSET(TblImps[[#This Row],[Real time]],-1,0)+1/24</f>
        <v>44814.749999999767</v>
      </c>
      <c r="BZ100" s="322">
        <f ca="1">OFFSET(TblImps[[#This Row],[Servertime]],-1,0)+1/24</f>
        <v>44814.999999999767</v>
      </c>
      <c r="CA100" s="57"/>
      <c r="CB100" s="320"/>
      <c r="CC100" s="320"/>
    </row>
    <row r="101" spans="1:82" x14ac:dyDescent="0.2">
      <c r="A101" s="230">
        <f ca="1">TblConstr[[#This Row],[Land]]</f>
        <v>250</v>
      </c>
      <c r="B101" s="150"/>
      <c r="C101" s="97">
        <f ca="1">TblProd[[#This Row],[Platinum]]</f>
        <v>633020</v>
      </c>
      <c r="D101" s="97">
        <f ca="1">TblProd[[#This Row],[Lumber]]</f>
        <v>67933</v>
      </c>
      <c r="E101" s="97">
        <f ca="1">TblProd[[#This Row],[Ore]]</f>
        <v>0</v>
      </c>
      <c r="F101" s="97">
        <f ca="1">TblProd[[#This Row],[Gems]]</f>
        <v>10000</v>
      </c>
      <c r="G101" s="162"/>
      <c r="H101" s="97">
        <f ca="1">TblMili[[#This Row],[Draftees]]</f>
        <v>626</v>
      </c>
      <c r="I101" s="188">
        <f ca="1">TblPop[[#This Row],[Employment]]</f>
        <v>1</v>
      </c>
      <c r="J101" s="188">
        <f ca="1">TblPop[[#This Row],[Total]]/TblPop[[#This Row],[Net max]]</f>
        <v>1</v>
      </c>
      <c r="K101" s="311">
        <f>TblRezone[[#This Row],[Hour]]</f>
        <v>98</v>
      </c>
      <c r="L101" s="312">
        <f ca="1">TblImps[[#This Row],[Real time]]</f>
        <v>44814.791666666431</v>
      </c>
      <c r="M101" s="62">
        <f>IF(ISERROR(TblImps[[#This Row],[algorithm]]),0,TblImps[[#This Row],[algorithm]]*1)</f>
        <v>0</v>
      </c>
      <c r="N101" s="97">
        <f ca="1">TblImps[[#This Row],[Land]]</f>
        <v>250</v>
      </c>
      <c r="O101" s="313" t="s">
        <v>4</v>
      </c>
      <c r="P101" s="314"/>
      <c r="Q101" s="313" t="s">
        <v>216</v>
      </c>
      <c r="R101" s="313" t="s">
        <v>7</v>
      </c>
      <c r="S101" s="314"/>
      <c r="T101" s="313" t="s">
        <v>216</v>
      </c>
      <c r="U101" s="313" t="s">
        <v>3</v>
      </c>
      <c r="V101" s="314"/>
      <c r="W101" s="313" t="s">
        <v>216</v>
      </c>
      <c r="X101" s="150"/>
      <c r="Y101" s="315">
        <f ca="1">science_cap*(1-EXP(-TblImps[[#This Row],[Σ Science]]/(science_param*(OFFSET(TblImps[[#This Row],[Land]],1,0)-OFFSET(TblExplore[[#This Row],[Land Bonus]],1,0)*20)+15000)))*(1+(mason_bonus*TblConstr[[#This Row],[Tot Mas]]/TblConstr[[#This Row],[Land (2)]]))</f>
        <v>0</v>
      </c>
      <c r="Z101" s="315">
        <f ca="1">keep_cap*(1-EXP(-TblImps[[#This Row],[Σ Keep]]/(keep_param*(OFFSET(TblImps[[#This Row],[Land]],1,0)-OFFSET(TblExplore[[#This Row],[Land Bonus]],1,0)*20)+15000)))*(1+(mason_bonus*TblConstr[[#This Row],[Tot Mas]]/TblConstr[[#This Row],[Land (2)]]))</f>
        <v>0</v>
      </c>
      <c r="AA101" s="315">
        <f ca="1">harbor_towers_cap*(1-EXP(-TblImps[[#This Row],[Σ Towers]]/(towers_param*(OFFSET(TblImps[[#This Row],[Land]],1,0)-OFFSET(TblExplore[[#This Row],[Land Bonus]],1,0)*20)+15000)))*(1+(mason_bonus*TblConstr[[#This Row],[Tot Mas]]/TblConstr[[#This Row],[Land (2)]]))</f>
        <v>0</v>
      </c>
      <c r="AB101" s="315">
        <f ca="1">walls_forges_cap*(1-EXP(-TblImps[[#This Row],[Σ Forges]]/(walls_forges_param*(OFFSET(TblImps[[#This Row],[Land]],1,0)-OFFSET(TblExplore[[#This Row],[Land Bonus]],1,0)*20)+15000)))*(1+(mason_bonus*TblConstr[[#This Row],[Tot Mas]]/TblConstr[[#This Row],[Land (2)]]))</f>
        <v>0</v>
      </c>
      <c r="AC101" s="315">
        <f ca="1">walls_forges_cap*(1-EXP(-TblImps[[#This Row],[Σ Walls]]/(walls_forges_param*(OFFSET(TblImps[[#This Row],[Land]],1,0)-OFFSET(TblExplore[[#This Row],[Land Bonus]],1,0)*20)+15000)))*(1+(mason_bonus*TblConstr[[#This Row],[Tot Mas]]/TblConstr[[#This Row],[Land (2)]]))</f>
        <v>0</v>
      </c>
      <c r="AD101" s="315">
        <f ca="1">harbor_towers_cap*(1-EXP(-TblImps[[#This Row],[Σ Irrigation]]/(harbor_towers_param*(OFFSET(TblImps[[#This Row],[Land]],1,0)-OFFSET(TblExplore[[#This Row],[Land Bonus]],1,0)*20)+15000)))*(1+(mason_bonus*TblConstr[[#This Row],[Tot Mas]]/TblConstr[[#This Row],[Land (2)]]))</f>
        <v>0</v>
      </c>
      <c r="AE101" s="150"/>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50"/>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50"/>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50"/>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50"/>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50"/>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50"/>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50"/>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50"/>
      <c r="BV10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62">
        <f>TblImps[[#This Row],[Login]]</f>
        <v>0</v>
      </c>
      <c r="BX101" s="145"/>
      <c r="BY101" s="321">
        <f ca="1">OFFSET(TblImps[[#This Row],[Real time]],-1,0)+1/24</f>
        <v>44814.791666666431</v>
      </c>
      <c r="BZ101" s="322">
        <f ca="1">OFFSET(TblImps[[#This Row],[Servertime]],-1,0)+1/24</f>
        <v>44815.041666666431</v>
      </c>
      <c r="CA101" s="57"/>
      <c r="CB101" s="320"/>
      <c r="CC101" s="320"/>
    </row>
    <row r="102" spans="1:82" x14ac:dyDescent="0.2">
      <c r="A102" s="230">
        <f ca="1">TblConstr[[#This Row],[Land]]</f>
        <v>250</v>
      </c>
      <c r="B102" s="150"/>
      <c r="C102" s="97">
        <f ca="1">TblProd[[#This Row],[Platinum]]</f>
        <v>638506</v>
      </c>
      <c r="D102" s="97">
        <f ca="1">TblProd[[#This Row],[Lumber]]</f>
        <v>68254</v>
      </c>
      <c r="E102" s="97">
        <f ca="1">TblProd[[#This Row],[Ore]]</f>
        <v>0</v>
      </c>
      <c r="F102" s="97">
        <f ca="1">TblProd[[#This Row],[Gems]]</f>
        <v>10000</v>
      </c>
      <c r="G102" s="162"/>
      <c r="H102" s="97">
        <f ca="1">TblMili[[#This Row],[Draftees]]</f>
        <v>626</v>
      </c>
      <c r="I102" s="188">
        <f ca="1">TblPop[[#This Row],[Employment]]</f>
        <v>1</v>
      </c>
      <c r="J102" s="188">
        <f ca="1">TblPop[[#This Row],[Total]]/TblPop[[#This Row],[Net max]]</f>
        <v>1</v>
      </c>
      <c r="K102" s="311">
        <f>TblRezone[[#This Row],[Hour]]</f>
        <v>99</v>
      </c>
      <c r="L102" s="312">
        <f ca="1">TblImps[[#This Row],[Real time]]</f>
        <v>44814.833333333096</v>
      </c>
      <c r="M102" s="62">
        <f>IF(ISERROR(TblImps[[#This Row],[algorithm]]),0,TblImps[[#This Row],[algorithm]]*1)</f>
        <v>0</v>
      </c>
      <c r="N102" s="97">
        <f ca="1">TblImps[[#This Row],[Land]]</f>
        <v>250</v>
      </c>
      <c r="O102" s="313" t="s">
        <v>4</v>
      </c>
      <c r="P102" s="314"/>
      <c r="Q102" s="313" t="s">
        <v>216</v>
      </c>
      <c r="R102" s="313" t="s">
        <v>7</v>
      </c>
      <c r="S102" s="314"/>
      <c r="T102" s="313" t="s">
        <v>216</v>
      </c>
      <c r="U102" s="313" t="s">
        <v>3</v>
      </c>
      <c r="V102" s="314"/>
      <c r="W102" s="313" t="s">
        <v>216</v>
      </c>
      <c r="X102" s="150"/>
      <c r="Y102" s="315">
        <f ca="1">science_cap*(1-EXP(-TblImps[[#This Row],[Σ Science]]/(science_param*(OFFSET(TblImps[[#This Row],[Land]],1,0)-OFFSET(TblExplore[[#This Row],[Land Bonus]],1,0)*20)+15000)))*(1+(mason_bonus*TblConstr[[#This Row],[Tot Mas]]/TblConstr[[#This Row],[Land (2)]]))</f>
        <v>0</v>
      </c>
      <c r="Z102" s="315">
        <f ca="1">keep_cap*(1-EXP(-TblImps[[#This Row],[Σ Keep]]/(keep_param*(OFFSET(TblImps[[#This Row],[Land]],1,0)-OFFSET(TblExplore[[#This Row],[Land Bonus]],1,0)*20)+15000)))*(1+(mason_bonus*TblConstr[[#This Row],[Tot Mas]]/TblConstr[[#This Row],[Land (2)]]))</f>
        <v>0</v>
      </c>
      <c r="AA102" s="315">
        <f ca="1">harbor_towers_cap*(1-EXP(-TblImps[[#This Row],[Σ Towers]]/(towers_param*(OFFSET(TblImps[[#This Row],[Land]],1,0)-OFFSET(TblExplore[[#This Row],[Land Bonus]],1,0)*20)+15000)))*(1+(mason_bonus*TblConstr[[#This Row],[Tot Mas]]/TblConstr[[#This Row],[Land (2)]]))</f>
        <v>0</v>
      </c>
      <c r="AB102" s="315">
        <f ca="1">walls_forges_cap*(1-EXP(-TblImps[[#This Row],[Σ Forges]]/(walls_forges_param*(OFFSET(TblImps[[#This Row],[Land]],1,0)-OFFSET(TblExplore[[#This Row],[Land Bonus]],1,0)*20)+15000)))*(1+(mason_bonus*TblConstr[[#This Row],[Tot Mas]]/TblConstr[[#This Row],[Land (2)]]))</f>
        <v>0</v>
      </c>
      <c r="AC102" s="315">
        <f ca="1">walls_forges_cap*(1-EXP(-TblImps[[#This Row],[Σ Walls]]/(walls_forges_param*(OFFSET(TblImps[[#This Row],[Land]],1,0)-OFFSET(TblExplore[[#This Row],[Land Bonus]],1,0)*20)+15000)))*(1+(mason_bonus*TblConstr[[#This Row],[Tot Mas]]/TblConstr[[#This Row],[Land (2)]]))</f>
        <v>0</v>
      </c>
      <c r="AD102" s="315">
        <f ca="1">harbor_towers_cap*(1-EXP(-TblImps[[#This Row],[Σ Irrigation]]/(harbor_towers_param*(OFFSET(TblImps[[#This Row],[Land]],1,0)-OFFSET(TblExplore[[#This Row],[Land Bonus]],1,0)*20)+15000)))*(1+(mason_bonus*TblConstr[[#This Row],[Tot Mas]]/TblConstr[[#This Row],[Land (2)]]))</f>
        <v>0</v>
      </c>
      <c r="AE102" s="150"/>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50"/>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50"/>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50"/>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50"/>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50"/>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50"/>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50"/>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50"/>
      <c r="BV10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62">
        <f>TblImps[[#This Row],[Login]]</f>
        <v>0</v>
      </c>
      <c r="BX102" s="145"/>
      <c r="BY102" s="321">
        <f ca="1">OFFSET(TblImps[[#This Row],[Real time]],-1,0)+1/24</f>
        <v>44814.833333333096</v>
      </c>
      <c r="BZ102" s="322">
        <f ca="1">OFFSET(TblImps[[#This Row],[Servertime]],-1,0)+1/24</f>
        <v>44815.083333333096</v>
      </c>
      <c r="CA102" s="57"/>
      <c r="CB102" s="320"/>
      <c r="CC102" s="320"/>
      <c r="CD102" s="45" t="s">
        <v>4</v>
      </c>
    </row>
    <row r="103" spans="1:82" x14ac:dyDescent="0.2">
      <c r="A103" s="230">
        <f ca="1">TblConstr[[#This Row],[Land]]</f>
        <v>250</v>
      </c>
      <c r="B103" s="150"/>
      <c r="C103" s="97">
        <f ca="1">TblProd[[#This Row],[Platinum]]</f>
        <v>643992</v>
      </c>
      <c r="D103" s="97">
        <f ca="1">TblProd[[#This Row],[Lumber]]</f>
        <v>68571</v>
      </c>
      <c r="E103" s="97">
        <f ca="1">TblProd[[#This Row],[Ore]]</f>
        <v>0</v>
      </c>
      <c r="F103" s="97">
        <f ca="1">TblProd[[#This Row],[Gems]]</f>
        <v>10000</v>
      </c>
      <c r="G103" s="162"/>
      <c r="H103" s="97">
        <f ca="1">TblMili[[#This Row],[Draftees]]</f>
        <v>626</v>
      </c>
      <c r="I103" s="188">
        <f ca="1">TblPop[[#This Row],[Employment]]</f>
        <v>1</v>
      </c>
      <c r="J103" s="188">
        <f ca="1">TblPop[[#This Row],[Total]]/TblPop[[#This Row],[Net max]]</f>
        <v>1</v>
      </c>
      <c r="K103" s="311">
        <f>TblRezone[[#This Row],[Hour]]</f>
        <v>100</v>
      </c>
      <c r="L103" s="312">
        <f ca="1">TblImps[[#This Row],[Real time]]</f>
        <v>44814.87499999976</v>
      </c>
      <c r="M103" s="62">
        <f>IF(ISERROR(TblImps[[#This Row],[algorithm]]),0,TblImps[[#This Row],[algorithm]]*1)</f>
        <v>0</v>
      </c>
      <c r="N103" s="97">
        <f ca="1">TblImps[[#This Row],[Land]]</f>
        <v>250</v>
      </c>
      <c r="O103" s="313" t="s">
        <v>4</v>
      </c>
      <c r="P103" s="314"/>
      <c r="Q103" s="313" t="s">
        <v>216</v>
      </c>
      <c r="R103" s="313" t="s">
        <v>7</v>
      </c>
      <c r="S103" s="314"/>
      <c r="T103" s="313" t="s">
        <v>216</v>
      </c>
      <c r="U103" s="313" t="s">
        <v>3</v>
      </c>
      <c r="V103" s="314"/>
      <c r="W103" s="313" t="s">
        <v>216</v>
      </c>
      <c r="X103" s="150"/>
      <c r="Y103" s="315">
        <f ca="1">science_cap*(1-EXP(-TblImps[[#This Row],[Σ Science]]/(science_param*(OFFSET(TblImps[[#This Row],[Land]],1,0)-OFFSET(TblExplore[[#This Row],[Land Bonus]],1,0)*20)+15000)))*(1+(mason_bonus*TblConstr[[#This Row],[Tot Mas]]/TblConstr[[#This Row],[Land (2)]]))</f>
        <v>0</v>
      </c>
      <c r="Z103" s="315">
        <f ca="1">keep_cap*(1-EXP(-TblImps[[#This Row],[Σ Keep]]/(keep_param*(OFFSET(TblImps[[#This Row],[Land]],1,0)-OFFSET(TblExplore[[#This Row],[Land Bonus]],1,0)*20)+15000)))*(1+(mason_bonus*TblConstr[[#This Row],[Tot Mas]]/TblConstr[[#This Row],[Land (2)]]))</f>
        <v>0</v>
      </c>
      <c r="AA103" s="315">
        <f ca="1">harbor_towers_cap*(1-EXP(-TblImps[[#This Row],[Σ Towers]]/(towers_param*(OFFSET(TblImps[[#This Row],[Land]],1,0)-OFFSET(TblExplore[[#This Row],[Land Bonus]],1,0)*20)+15000)))*(1+(mason_bonus*TblConstr[[#This Row],[Tot Mas]]/TblConstr[[#This Row],[Land (2)]]))</f>
        <v>0</v>
      </c>
      <c r="AB103" s="315">
        <f ca="1">walls_forges_cap*(1-EXP(-TblImps[[#This Row],[Σ Forges]]/(walls_forges_param*(OFFSET(TblImps[[#This Row],[Land]],1,0)-OFFSET(TblExplore[[#This Row],[Land Bonus]],1,0)*20)+15000)))*(1+(mason_bonus*TblConstr[[#This Row],[Tot Mas]]/TblConstr[[#This Row],[Land (2)]]))</f>
        <v>0</v>
      </c>
      <c r="AC103" s="315">
        <f ca="1">walls_forges_cap*(1-EXP(-TblImps[[#This Row],[Σ Walls]]/(walls_forges_param*(OFFSET(TblImps[[#This Row],[Land]],1,0)-OFFSET(TblExplore[[#This Row],[Land Bonus]],1,0)*20)+15000)))*(1+(mason_bonus*TblConstr[[#This Row],[Tot Mas]]/TblConstr[[#This Row],[Land (2)]]))</f>
        <v>0</v>
      </c>
      <c r="AD103" s="315">
        <f ca="1">harbor_towers_cap*(1-EXP(-TblImps[[#This Row],[Σ Irrigation]]/(harbor_towers_param*(OFFSET(TblImps[[#This Row],[Land]],1,0)-OFFSET(TblExplore[[#This Row],[Land Bonus]],1,0)*20)+15000)))*(1+(mason_bonus*TblConstr[[#This Row],[Tot Mas]]/TblConstr[[#This Row],[Land (2)]]))</f>
        <v>0</v>
      </c>
      <c r="AE103" s="150"/>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50"/>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50"/>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50"/>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50"/>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50"/>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50"/>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50"/>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50"/>
      <c r="BV10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62">
        <f>TblImps[[#This Row],[Login]]</f>
        <v>0</v>
      </c>
      <c r="BX103" s="145"/>
      <c r="BY103" s="321">
        <f ca="1">OFFSET(TblImps[[#This Row],[Real time]],-1,0)+1/24</f>
        <v>44814.87499999976</v>
      </c>
      <c r="BZ103" s="322">
        <f ca="1">OFFSET(TblImps[[#This Row],[Servertime]],-1,0)+1/24</f>
        <v>44815.12499999976</v>
      </c>
      <c r="CA103" s="57"/>
      <c r="CB103" s="320"/>
      <c r="CC103" s="320"/>
      <c r="CD103" s="45" t="s">
        <v>7</v>
      </c>
    </row>
    <row r="104" spans="1:82" x14ac:dyDescent="0.2">
      <c r="A104" s="230">
        <f ca="1">TblConstr[[#This Row],[Land]]</f>
        <v>250</v>
      </c>
      <c r="B104" s="150"/>
      <c r="C104" s="97">
        <f ca="1">TblProd[[#This Row],[Platinum]]</f>
        <v>649478</v>
      </c>
      <c r="D104" s="97">
        <f ca="1">TblProd[[#This Row],[Lumber]]</f>
        <v>68885</v>
      </c>
      <c r="E104" s="97">
        <f ca="1">TblProd[[#This Row],[Ore]]</f>
        <v>0</v>
      </c>
      <c r="F104" s="97">
        <f ca="1">TblProd[[#This Row],[Gems]]</f>
        <v>10000</v>
      </c>
      <c r="G104" s="162"/>
      <c r="H104" s="97">
        <f ca="1">TblMili[[#This Row],[Draftees]]</f>
        <v>626</v>
      </c>
      <c r="I104" s="188">
        <f ca="1">TblPop[[#This Row],[Employment]]</f>
        <v>1</v>
      </c>
      <c r="J104" s="188">
        <f ca="1">TblPop[[#This Row],[Total]]/TblPop[[#This Row],[Net max]]</f>
        <v>1</v>
      </c>
      <c r="K104" s="311">
        <f>TblRezone[[#This Row],[Hour]]</f>
        <v>101</v>
      </c>
      <c r="L104" s="312">
        <f ca="1">TblImps[[#This Row],[Real time]]</f>
        <v>44814.916666666424</v>
      </c>
      <c r="M104" s="62">
        <f>IF(ISERROR(TblImps[[#This Row],[algorithm]]),0,TblImps[[#This Row],[algorithm]]*1)</f>
        <v>0</v>
      </c>
      <c r="N104" s="97">
        <f ca="1">TblImps[[#This Row],[Land]]</f>
        <v>250</v>
      </c>
      <c r="O104" s="313" t="s">
        <v>4</v>
      </c>
      <c r="P104" s="314"/>
      <c r="Q104" s="313" t="s">
        <v>216</v>
      </c>
      <c r="R104" s="313" t="s">
        <v>7</v>
      </c>
      <c r="S104" s="314"/>
      <c r="T104" s="313" t="s">
        <v>216</v>
      </c>
      <c r="U104" s="313" t="s">
        <v>3</v>
      </c>
      <c r="V104" s="314"/>
      <c r="W104" s="313" t="s">
        <v>216</v>
      </c>
      <c r="X104" s="150"/>
      <c r="Y104" s="315">
        <f ca="1">science_cap*(1-EXP(-TblImps[[#This Row],[Σ Science]]/(science_param*(OFFSET(TblImps[[#This Row],[Land]],1,0)-OFFSET(TblExplore[[#This Row],[Land Bonus]],1,0)*20)+15000)))*(1+(mason_bonus*TblConstr[[#This Row],[Tot Mas]]/TblConstr[[#This Row],[Land (2)]]))</f>
        <v>0</v>
      </c>
      <c r="Z104" s="315">
        <f ca="1">keep_cap*(1-EXP(-TblImps[[#This Row],[Σ Keep]]/(keep_param*(OFFSET(TblImps[[#This Row],[Land]],1,0)-OFFSET(TblExplore[[#This Row],[Land Bonus]],1,0)*20)+15000)))*(1+(mason_bonus*TblConstr[[#This Row],[Tot Mas]]/TblConstr[[#This Row],[Land (2)]]))</f>
        <v>0</v>
      </c>
      <c r="AA104" s="315">
        <f ca="1">harbor_towers_cap*(1-EXP(-TblImps[[#This Row],[Σ Towers]]/(towers_param*(OFFSET(TblImps[[#This Row],[Land]],1,0)-OFFSET(TblExplore[[#This Row],[Land Bonus]],1,0)*20)+15000)))*(1+(mason_bonus*TblConstr[[#This Row],[Tot Mas]]/TblConstr[[#This Row],[Land (2)]]))</f>
        <v>0</v>
      </c>
      <c r="AB104" s="315">
        <f ca="1">walls_forges_cap*(1-EXP(-TblImps[[#This Row],[Σ Forges]]/(walls_forges_param*(OFFSET(TblImps[[#This Row],[Land]],1,0)-OFFSET(TblExplore[[#This Row],[Land Bonus]],1,0)*20)+15000)))*(1+(mason_bonus*TblConstr[[#This Row],[Tot Mas]]/TblConstr[[#This Row],[Land (2)]]))</f>
        <v>0</v>
      </c>
      <c r="AC104" s="315">
        <f ca="1">walls_forges_cap*(1-EXP(-TblImps[[#This Row],[Σ Walls]]/(walls_forges_param*(OFFSET(TblImps[[#This Row],[Land]],1,0)-OFFSET(TblExplore[[#This Row],[Land Bonus]],1,0)*20)+15000)))*(1+(mason_bonus*TblConstr[[#This Row],[Tot Mas]]/TblConstr[[#This Row],[Land (2)]]))</f>
        <v>0</v>
      </c>
      <c r="AD104" s="315">
        <f ca="1">harbor_towers_cap*(1-EXP(-TblImps[[#This Row],[Σ Irrigation]]/(harbor_towers_param*(OFFSET(TblImps[[#This Row],[Land]],1,0)-OFFSET(TblExplore[[#This Row],[Land Bonus]],1,0)*20)+15000)))*(1+(mason_bonus*TblConstr[[#This Row],[Tot Mas]]/TblConstr[[#This Row],[Land (2)]]))</f>
        <v>0</v>
      </c>
      <c r="AE104" s="150"/>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50"/>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50"/>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50"/>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50"/>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50"/>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50"/>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50"/>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50"/>
      <c r="BV10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62">
        <f>TblImps[[#This Row],[Login]]</f>
        <v>0</v>
      </c>
      <c r="BX104" s="145"/>
      <c r="BY104" s="321">
        <f ca="1">OFFSET(TblImps[[#This Row],[Real time]],-1,0)+1/24</f>
        <v>44814.916666666424</v>
      </c>
      <c r="BZ104" s="322">
        <f ca="1">OFFSET(TblImps[[#This Row],[Servertime]],-1,0)+1/24</f>
        <v>44815.166666666424</v>
      </c>
      <c r="CA104" s="57"/>
      <c r="CB104" s="320"/>
      <c r="CC104" s="320"/>
      <c r="CD104" s="45" t="s">
        <v>3</v>
      </c>
    </row>
    <row r="105" spans="1:82" x14ac:dyDescent="0.2">
      <c r="A105" s="230">
        <f ca="1">TblConstr[[#This Row],[Land]]</f>
        <v>250</v>
      </c>
      <c r="B105" s="150"/>
      <c r="C105" s="97">
        <f ca="1">TblProd[[#This Row],[Platinum]]</f>
        <v>654964</v>
      </c>
      <c r="D105" s="97">
        <f ca="1">TblProd[[#This Row],[Lumber]]</f>
        <v>69196</v>
      </c>
      <c r="E105" s="97">
        <f ca="1">TblProd[[#This Row],[Ore]]</f>
        <v>0</v>
      </c>
      <c r="F105" s="97">
        <f ca="1">TblProd[[#This Row],[Gems]]</f>
        <v>10000</v>
      </c>
      <c r="G105" s="162"/>
      <c r="H105" s="97">
        <f ca="1">TblMili[[#This Row],[Draftees]]</f>
        <v>626</v>
      </c>
      <c r="I105" s="188">
        <f ca="1">TblPop[[#This Row],[Employment]]</f>
        <v>1</v>
      </c>
      <c r="J105" s="188">
        <f ca="1">TblPop[[#This Row],[Total]]/TblPop[[#This Row],[Net max]]</f>
        <v>1</v>
      </c>
      <c r="K105" s="311">
        <f>TblRezone[[#This Row],[Hour]]</f>
        <v>102</v>
      </c>
      <c r="L105" s="312">
        <f ca="1">TblImps[[#This Row],[Real time]]</f>
        <v>44814.958333333088</v>
      </c>
      <c r="M105" s="62">
        <f>IF(ISERROR(TblImps[[#This Row],[algorithm]]),0,TblImps[[#This Row],[algorithm]]*1)</f>
        <v>0</v>
      </c>
      <c r="N105" s="97">
        <f ca="1">TblImps[[#This Row],[Land]]</f>
        <v>250</v>
      </c>
      <c r="O105" s="313" t="s">
        <v>4</v>
      </c>
      <c r="P105" s="314"/>
      <c r="Q105" s="313" t="s">
        <v>216</v>
      </c>
      <c r="R105" s="313" t="s">
        <v>7</v>
      </c>
      <c r="S105" s="314"/>
      <c r="T105" s="313" t="s">
        <v>216</v>
      </c>
      <c r="U105" s="313" t="s">
        <v>3</v>
      </c>
      <c r="V105" s="314"/>
      <c r="W105" s="313" t="s">
        <v>216</v>
      </c>
      <c r="X105" s="150"/>
      <c r="Y105" s="315">
        <f ca="1">science_cap*(1-EXP(-TblImps[[#This Row],[Σ Science]]/(science_param*(OFFSET(TblImps[[#This Row],[Land]],1,0)-OFFSET(TblExplore[[#This Row],[Land Bonus]],1,0)*20)+15000)))*(1+(mason_bonus*TblConstr[[#This Row],[Tot Mas]]/TblConstr[[#This Row],[Land (2)]]))</f>
        <v>0</v>
      </c>
      <c r="Z105" s="315">
        <f ca="1">keep_cap*(1-EXP(-TblImps[[#This Row],[Σ Keep]]/(keep_param*(OFFSET(TblImps[[#This Row],[Land]],1,0)-OFFSET(TblExplore[[#This Row],[Land Bonus]],1,0)*20)+15000)))*(1+(mason_bonus*TblConstr[[#This Row],[Tot Mas]]/TblConstr[[#This Row],[Land (2)]]))</f>
        <v>0</v>
      </c>
      <c r="AA105" s="315">
        <f ca="1">harbor_towers_cap*(1-EXP(-TblImps[[#This Row],[Σ Towers]]/(towers_param*(OFFSET(TblImps[[#This Row],[Land]],1,0)-OFFSET(TblExplore[[#This Row],[Land Bonus]],1,0)*20)+15000)))*(1+(mason_bonus*TblConstr[[#This Row],[Tot Mas]]/TblConstr[[#This Row],[Land (2)]]))</f>
        <v>0</v>
      </c>
      <c r="AB105" s="315">
        <f ca="1">walls_forges_cap*(1-EXP(-TblImps[[#This Row],[Σ Forges]]/(walls_forges_param*(OFFSET(TblImps[[#This Row],[Land]],1,0)-OFFSET(TblExplore[[#This Row],[Land Bonus]],1,0)*20)+15000)))*(1+(mason_bonus*TblConstr[[#This Row],[Tot Mas]]/TblConstr[[#This Row],[Land (2)]]))</f>
        <v>0</v>
      </c>
      <c r="AC105" s="315">
        <f ca="1">walls_forges_cap*(1-EXP(-TblImps[[#This Row],[Σ Walls]]/(walls_forges_param*(OFFSET(TblImps[[#This Row],[Land]],1,0)-OFFSET(TblExplore[[#This Row],[Land Bonus]],1,0)*20)+15000)))*(1+(mason_bonus*TblConstr[[#This Row],[Tot Mas]]/TblConstr[[#This Row],[Land (2)]]))</f>
        <v>0</v>
      </c>
      <c r="AD105" s="315">
        <f ca="1">harbor_towers_cap*(1-EXP(-TblImps[[#This Row],[Σ Irrigation]]/(harbor_towers_param*(OFFSET(TblImps[[#This Row],[Land]],1,0)-OFFSET(TblExplore[[#This Row],[Land Bonus]],1,0)*20)+15000)))*(1+(mason_bonus*TblConstr[[#This Row],[Tot Mas]]/TblConstr[[#This Row],[Land (2)]]))</f>
        <v>0</v>
      </c>
      <c r="AE105" s="150"/>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50"/>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50"/>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50"/>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50"/>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50"/>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50"/>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50"/>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50"/>
      <c r="BV10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62">
        <f>TblImps[[#This Row],[Login]]</f>
        <v>0</v>
      </c>
      <c r="BX105" s="145"/>
      <c r="BY105" s="321">
        <f ca="1">OFFSET(TblImps[[#This Row],[Real time]],-1,0)+1/24</f>
        <v>44814.958333333088</v>
      </c>
      <c r="BZ105" s="322">
        <f ca="1">OFFSET(TblImps[[#This Row],[Servertime]],-1,0)+1/24</f>
        <v>44815.208333333088</v>
      </c>
      <c r="CA105" s="57"/>
      <c r="CB105" s="320"/>
      <c r="CC105" s="320"/>
      <c r="CD105" s="45" t="s">
        <v>2</v>
      </c>
    </row>
    <row r="106" spans="1:82" x14ac:dyDescent="0.2">
      <c r="A106" s="230">
        <f ca="1">TblConstr[[#This Row],[Land]]</f>
        <v>250</v>
      </c>
      <c r="B106" s="150"/>
      <c r="C106" s="97">
        <f ca="1">TblProd[[#This Row],[Platinum]]</f>
        <v>660450</v>
      </c>
      <c r="D106" s="97">
        <f ca="1">TblProd[[#This Row],[Lumber]]</f>
        <v>69504</v>
      </c>
      <c r="E106" s="97">
        <f ca="1">TblProd[[#This Row],[Ore]]</f>
        <v>0</v>
      </c>
      <c r="F106" s="97">
        <f ca="1">TblProd[[#This Row],[Gems]]</f>
        <v>10000</v>
      </c>
      <c r="G106" s="162"/>
      <c r="H106" s="97">
        <f ca="1">TblMili[[#This Row],[Draftees]]</f>
        <v>626</v>
      </c>
      <c r="I106" s="188">
        <f ca="1">TblPop[[#This Row],[Employment]]</f>
        <v>1</v>
      </c>
      <c r="J106" s="188">
        <f ca="1">TblPop[[#This Row],[Total]]/TblPop[[#This Row],[Net max]]</f>
        <v>1</v>
      </c>
      <c r="K106" s="311">
        <f>TblRezone[[#This Row],[Hour]]</f>
        <v>103</v>
      </c>
      <c r="L106" s="312">
        <f ca="1">TblImps[[#This Row],[Real time]]</f>
        <v>44814.999999999753</v>
      </c>
      <c r="M106" s="62">
        <f>IF(ISERROR(TblImps[[#This Row],[algorithm]]),0,TblImps[[#This Row],[algorithm]]*1)</f>
        <v>0</v>
      </c>
      <c r="N106" s="97">
        <f ca="1">TblImps[[#This Row],[Land]]</f>
        <v>250</v>
      </c>
      <c r="O106" s="313" t="s">
        <v>4</v>
      </c>
      <c r="P106" s="314"/>
      <c r="Q106" s="313" t="s">
        <v>216</v>
      </c>
      <c r="R106" s="313" t="s">
        <v>7</v>
      </c>
      <c r="S106" s="314"/>
      <c r="T106" s="313" t="s">
        <v>216</v>
      </c>
      <c r="U106" s="313" t="s">
        <v>3</v>
      </c>
      <c r="V106" s="314"/>
      <c r="W106" s="313" t="s">
        <v>216</v>
      </c>
      <c r="X106" s="150"/>
      <c r="Y106" s="315">
        <f ca="1">science_cap*(1-EXP(-TblImps[[#This Row],[Σ Science]]/(science_param*(OFFSET(TblImps[[#This Row],[Land]],1,0)-OFFSET(TblExplore[[#This Row],[Land Bonus]],1,0)*20)+15000)))*(1+(mason_bonus*TblConstr[[#This Row],[Tot Mas]]/TblConstr[[#This Row],[Land (2)]]))</f>
        <v>0</v>
      </c>
      <c r="Z106" s="315">
        <f ca="1">keep_cap*(1-EXP(-TblImps[[#This Row],[Σ Keep]]/(keep_param*(OFFSET(TblImps[[#This Row],[Land]],1,0)-OFFSET(TblExplore[[#This Row],[Land Bonus]],1,0)*20)+15000)))*(1+(mason_bonus*TblConstr[[#This Row],[Tot Mas]]/TblConstr[[#This Row],[Land (2)]]))</f>
        <v>0</v>
      </c>
      <c r="AA106" s="315">
        <f ca="1">harbor_towers_cap*(1-EXP(-TblImps[[#This Row],[Σ Towers]]/(towers_param*(OFFSET(TblImps[[#This Row],[Land]],1,0)-OFFSET(TblExplore[[#This Row],[Land Bonus]],1,0)*20)+15000)))*(1+(mason_bonus*TblConstr[[#This Row],[Tot Mas]]/TblConstr[[#This Row],[Land (2)]]))</f>
        <v>0</v>
      </c>
      <c r="AB106" s="315">
        <f ca="1">walls_forges_cap*(1-EXP(-TblImps[[#This Row],[Σ Forges]]/(walls_forges_param*(OFFSET(TblImps[[#This Row],[Land]],1,0)-OFFSET(TblExplore[[#This Row],[Land Bonus]],1,0)*20)+15000)))*(1+(mason_bonus*TblConstr[[#This Row],[Tot Mas]]/TblConstr[[#This Row],[Land (2)]]))</f>
        <v>0</v>
      </c>
      <c r="AC106" s="315">
        <f ca="1">walls_forges_cap*(1-EXP(-TblImps[[#This Row],[Σ Walls]]/(walls_forges_param*(OFFSET(TblImps[[#This Row],[Land]],1,0)-OFFSET(TblExplore[[#This Row],[Land Bonus]],1,0)*20)+15000)))*(1+(mason_bonus*TblConstr[[#This Row],[Tot Mas]]/TblConstr[[#This Row],[Land (2)]]))</f>
        <v>0</v>
      </c>
      <c r="AD106" s="315">
        <f ca="1">harbor_towers_cap*(1-EXP(-TblImps[[#This Row],[Σ Irrigation]]/(harbor_towers_param*(OFFSET(TblImps[[#This Row],[Land]],1,0)-OFFSET(TblExplore[[#This Row],[Land Bonus]],1,0)*20)+15000)))*(1+(mason_bonus*TblConstr[[#This Row],[Tot Mas]]/TblConstr[[#This Row],[Land (2)]]))</f>
        <v>0</v>
      </c>
      <c r="AE106" s="150"/>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50"/>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50"/>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50"/>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50"/>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50"/>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50"/>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50"/>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50"/>
      <c r="BV10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62">
        <f>TblImps[[#This Row],[Login]]</f>
        <v>0</v>
      </c>
      <c r="BX106" s="145"/>
      <c r="BY106" s="321">
        <f ca="1">OFFSET(TblImps[[#This Row],[Real time]],-1,0)+1/24</f>
        <v>44814.999999999753</v>
      </c>
      <c r="BZ106" s="322">
        <f ca="1">OFFSET(TblImps[[#This Row],[Servertime]],-1,0)+1/24</f>
        <v>44815.249999999753</v>
      </c>
      <c r="CA106" s="57"/>
      <c r="CB106" s="320"/>
      <c r="CC106" s="320"/>
    </row>
    <row r="107" spans="1:82" x14ac:dyDescent="0.2">
      <c r="A107" s="230">
        <f ca="1">TblConstr[[#This Row],[Land]]</f>
        <v>250</v>
      </c>
      <c r="B107" s="150"/>
      <c r="C107" s="97">
        <f ca="1">TblProd[[#This Row],[Platinum]]</f>
        <v>665936</v>
      </c>
      <c r="D107" s="97">
        <f ca="1">TblProd[[#This Row],[Lumber]]</f>
        <v>69809</v>
      </c>
      <c r="E107" s="97">
        <f ca="1">TblProd[[#This Row],[Ore]]</f>
        <v>0</v>
      </c>
      <c r="F107" s="97">
        <f ca="1">TblProd[[#This Row],[Gems]]</f>
        <v>10000</v>
      </c>
      <c r="G107" s="162"/>
      <c r="H107" s="97">
        <f ca="1">TblMili[[#This Row],[Draftees]]</f>
        <v>626</v>
      </c>
      <c r="I107" s="188">
        <f ca="1">TblPop[[#This Row],[Employment]]</f>
        <v>1</v>
      </c>
      <c r="J107" s="188">
        <f ca="1">TblPop[[#This Row],[Total]]/TblPop[[#This Row],[Net max]]</f>
        <v>1</v>
      </c>
      <c r="K107" s="311">
        <f>TblRezone[[#This Row],[Hour]]</f>
        <v>104</v>
      </c>
      <c r="L107" s="312">
        <f ca="1">TblImps[[#This Row],[Real time]]</f>
        <v>44815.041666666417</v>
      </c>
      <c r="M107" s="62">
        <f>IF(ISERROR(TblImps[[#This Row],[algorithm]]),0,TblImps[[#This Row],[algorithm]]*1)</f>
        <v>0</v>
      </c>
      <c r="N107" s="97">
        <f ca="1">TblImps[[#This Row],[Land]]</f>
        <v>250</v>
      </c>
      <c r="O107" s="313" t="s">
        <v>4</v>
      </c>
      <c r="P107" s="314"/>
      <c r="Q107" s="313" t="s">
        <v>216</v>
      </c>
      <c r="R107" s="313" t="s">
        <v>7</v>
      </c>
      <c r="S107" s="314"/>
      <c r="T107" s="313" t="s">
        <v>216</v>
      </c>
      <c r="U107" s="313" t="s">
        <v>3</v>
      </c>
      <c r="V107" s="314"/>
      <c r="W107" s="313" t="s">
        <v>216</v>
      </c>
      <c r="X107" s="150"/>
      <c r="Y107" s="315">
        <f ca="1">science_cap*(1-EXP(-TblImps[[#This Row],[Σ Science]]/(science_param*(OFFSET(TblImps[[#This Row],[Land]],1,0)-OFFSET(TblExplore[[#This Row],[Land Bonus]],1,0)*20)+15000)))*(1+(mason_bonus*TblConstr[[#This Row],[Tot Mas]]/TblConstr[[#This Row],[Land (2)]]))</f>
        <v>0</v>
      </c>
      <c r="Z107" s="315">
        <f ca="1">keep_cap*(1-EXP(-TblImps[[#This Row],[Σ Keep]]/(keep_param*(OFFSET(TblImps[[#This Row],[Land]],1,0)-OFFSET(TblExplore[[#This Row],[Land Bonus]],1,0)*20)+15000)))*(1+(mason_bonus*TblConstr[[#This Row],[Tot Mas]]/TblConstr[[#This Row],[Land (2)]]))</f>
        <v>0</v>
      </c>
      <c r="AA107" s="315">
        <f ca="1">harbor_towers_cap*(1-EXP(-TblImps[[#This Row],[Σ Towers]]/(towers_param*(OFFSET(TblImps[[#This Row],[Land]],1,0)-OFFSET(TblExplore[[#This Row],[Land Bonus]],1,0)*20)+15000)))*(1+(mason_bonus*TblConstr[[#This Row],[Tot Mas]]/TblConstr[[#This Row],[Land (2)]]))</f>
        <v>0</v>
      </c>
      <c r="AB107" s="315">
        <f ca="1">walls_forges_cap*(1-EXP(-TblImps[[#This Row],[Σ Forges]]/(walls_forges_param*(OFFSET(TblImps[[#This Row],[Land]],1,0)-OFFSET(TblExplore[[#This Row],[Land Bonus]],1,0)*20)+15000)))*(1+(mason_bonus*TblConstr[[#This Row],[Tot Mas]]/TblConstr[[#This Row],[Land (2)]]))</f>
        <v>0</v>
      </c>
      <c r="AC107" s="315">
        <f ca="1">walls_forges_cap*(1-EXP(-TblImps[[#This Row],[Σ Walls]]/(walls_forges_param*(OFFSET(TblImps[[#This Row],[Land]],1,0)-OFFSET(TblExplore[[#This Row],[Land Bonus]],1,0)*20)+15000)))*(1+(mason_bonus*TblConstr[[#This Row],[Tot Mas]]/TblConstr[[#This Row],[Land (2)]]))</f>
        <v>0</v>
      </c>
      <c r="AD107" s="315">
        <f ca="1">harbor_towers_cap*(1-EXP(-TblImps[[#This Row],[Σ Irrigation]]/(harbor_towers_param*(OFFSET(TblImps[[#This Row],[Land]],1,0)-OFFSET(TblExplore[[#This Row],[Land Bonus]],1,0)*20)+15000)))*(1+(mason_bonus*TblConstr[[#This Row],[Tot Mas]]/TblConstr[[#This Row],[Land (2)]]))</f>
        <v>0</v>
      </c>
      <c r="AE107" s="150"/>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50"/>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50"/>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50"/>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50"/>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50"/>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50"/>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50"/>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50"/>
      <c r="BV10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62">
        <f>TblImps[[#This Row],[Login]]</f>
        <v>0</v>
      </c>
      <c r="BX107" s="145"/>
      <c r="BY107" s="321">
        <f ca="1">OFFSET(TblImps[[#This Row],[Real time]],-1,0)+1/24</f>
        <v>44815.041666666417</v>
      </c>
      <c r="BZ107" s="322">
        <f ca="1">OFFSET(TblImps[[#This Row],[Servertime]],-1,0)+1/24</f>
        <v>44815.291666666417</v>
      </c>
      <c r="CA107" s="57"/>
      <c r="CB107" s="320"/>
      <c r="CC107" s="320"/>
      <c r="CD107" s="45" t="s">
        <v>214</v>
      </c>
    </row>
    <row r="108" spans="1:82" x14ac:dyDescent="0.2">
      <c r="A108" s="230">
        <f ca="1">TblConstr[[#This Row],[Land]]</f>
        <v>250</v>
      </c>
      <c r="B108" s="150"/>
      <c r="C108" s="97">
        <f ca="1">TblProd[[#This Row],[Platinum]]</f>
        <v>671422</v>
      </c>
      <c r="D108" s="97">
        <f ca="1">TblProd[[#This Row],[Lumber]]</f>
        <v>70111</v>
      </c>
      <c r="E108" s="97">
        <f ca="1">TblProd[[#This Row],[Ore]]</f>
        <v>0</v>
      </c>
      <c r="F108" s="97">
        <f ca="1">TblProd[[#This Row],[Gems]]</f>
        <v>10000</v>
      </c>
      <c r="G108" s="162"/>
      <c r="H108" s="97">
        <f ca="1">TblMili[[#This Row],[Draftees]]</f>
        <v>626</v>
      </c>
      <c r="I108" s="188">
        <f ca="1">TblPop[[#This Row],[Employment]]</f>
        <v>1</v>
      </c>
      <c r="J108" s="188">
        <f ca="1">TblPop[[#This Row],[Total]]/TblPop[[#This Row],[Net max]]</f>
        <v>1</v>
      </c>
      <c r="K108" s="311">
        <f>TblRezone[[#This Row],[Hour]]</f>
        <v>105</v>
      </c>
      <c r="L108" s="312">
        <f ca="1">TblImps[[#This Row],[Real time]]</f>
        <v>44815.083333333081</v>
      </c>
      <c r="M108" s="62">
        <f>IF(ISERROR(TblImps[[#This Row],[algorithm]]),0,TblImps[[#This Row],[algorithm]]*1)</f>
        <v>0</v>
      </c>
      <c r="N108" s="97">
        <f ca="1">TblImps[[#This Row],[Land]]</f>
        <v>250</v>
      </c>
      <c r="O108" s="313" t="s">
        <v>4</v>
      </c>
      <c r="P108" s="314"/>
      <c r="Q108" s="313" t="s">
        <v>216</v>
      </c>
      <c r="R108" s="313" t="s">
        <v>7</v>
      </c>
      <c r="S108" s="314"/>
      <c r="T108" s="313" t="s">
        <v>216</v>
      </c>
      <c r="U108" s="313" t="s">
        <v>3</v>
      </c>
      <c r="V108" s="314"/>
      <c r="W108" s="313" t="s">
        <v>216</v>
      </c>
      <c r="X108" s="150"/>
      <c r="Y108" s="315">
        <f ca="1">science_cap*(1-EXP(-TblImps[[#This Row],[Σ Science]]/(science_param*(OFFSET(TblImps[[#This Row],[Land]],1,0)-OFFSET(TblExplore[[#This Row],[Land Bonus]],1,0)*20)+15000)))*(1+(mason_bonus*TblConstr[[#This Row],[Tot Mas]]/TblConstr[[#This Row],[Land (2)]]))</f>
        <v>0</v>
      </c>
      <c r="Z108" s="315">
        <f ca="1">keep_cap*(1-EXP(-TblImps[[#This Row],[Σ Keep]]/(keep_param*(OFFSET(TblImps[[#This Row],[Land]],1,0)-OFFSET(TblExplore[[#This Row],[Land Bonus]],1,0)*20)+15000)))*(1+(mason_bonus*TblConstr[[#This Row],[Tot Mas]]/TblConstr[[#This Row],[Land (2)]]))</f>
        <v>0</v>
      </c>
      <c r="AA108" s="315">
        <f ca="1">harbor_towers_cap*(1-EXP(-TblImps[[#This Row],[Σ Towers]]/(towers_param*(OFFSET(TblImps[[#This Row],[Land]],1,0)-OFFSET(TblExplore[[#This Row],[Land Bonus]],1,0)*20)+15000)))*(1+(mason_bonus*TblConstr[[#This Row],[Tot Mas]]/TblConstr[[#This Row],[Land (2)]]))</f>
        <v>0</v>
      </c>
      <c r="AB108" s="315">
        <f ca="1">walls_forges_cap*(1-EXP(-TblImps[[#This Row],[Σ Forges]]/(walls_forges_param*(OFFSET(TblImps[[#This Row],[Land]],1,0)-OFFSET(TblExplore[[#This Row],[Land Bonus]],1,0)*20)+15000)))*(1+(mason_bonus*TblConstr[[#This Row],[Tot Mas]]/TblConstr[[#This Row],[Land (2)]]))</f>
        <v>0</v>
      </c>
      <c r="AC108" s="315">
        <f ca="1">walls_forges_cap*(1-EXP(-TblImps[[#This Row],[Σ Walls]]/(walls_forges_param*(OFFSET(TblImps[[#This Row],[Land]],1,0)-OFFSET(TblExplore[[#This Row],[Land Bonus]],1,0)*20)+15000)))*(1+(mason_bonus*TblConstr[[#This Row],[Tot Mas]]/TblConstr[[#This Row],[Land (2)]]))</f>
        <v>0</v>
      </c>
      <c r="AD108" s="315">
        <f ca="1">harbor_towers_cap*(1-EXP(-TblImps[[#This Row],[Σ Irrigation]]/(harbor_towers_param*(OFFSET(TblImps[[#This Row],[Land]],1,0)-OFFSET(TblExplore[[#This Row],[Land Bonus]],1,0)*20)+15000)))*(1+(mason_bonus*TblConstr[[#This Row],[Tot Mas]]/TblConstr[[#This Row],[Land (2)]]))</f>
        <v>0</v>
      </c>
      <c r="AE108" s="150"/>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50"/>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50"/>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50"/>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50"/>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50"/>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50"/>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50"/>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50"/>
      <c r="BV10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62">
        <f>TblImps[[#This Row],[Login]]</f>
        <v>0</v>
      </c>
      <c r="BX108" s="145"/>
      <c r="BY108" s="321">
        <f ca="1">OFFSET(TblImps[[#This Row],[Real time]],-1,0)+1/24</f>
        <v>44815.083333333081</v>
      </c>
      <c r="BZ108" s="322">
        <f ca="1">OFFSET(TblImps[[#This Row],[Servertime]],-1,0)+1/24</f>
        <v>44815.333333333081</v>
      </c>
      <c r="CA108" s="57"/>
      <c r="CB108" s="320"/>
      <c r="CC108" s="320"/>
      <c r="CD108" s="45" t="s">
        <v>216</v>
      </c>
    </row>
    <row r="109" spans="1:82" x14ac:dyDescent="0.2">
      <c r="A109" s="230">
        <f ca="1">TblConstr[[#This Row],[Land]]</f>
        <v>250</v>
      </c>
      <c r="B109" s="150"/>
      <c r="C109" s="97">
        <f ca="1">TblProd[[#This Row],[Platinum]]</f>
        <v>676908</v>
      </c>
      <c r="D109" s="97">
        <f ca="1">TblProd[[#This Row],[Lumber]]</f>
        <v>70410</v>
      </c>
      <c r="E109" s="97">
        <f ca="1">TblProd[[#This Row],[Ore]]</f>
        <v>0</v>
      </c>
      <c r="F109" s="97">
        <f ca="1">TblProd[[#This Row],[Gems]]</f>
        <v>10000</v>
      </c>
      <c r="G109" s="162"/>
      <c r="H109" s="97">
        <f ca="1">TblMili[[#This Row],[Draftees]]</f>
        <v>626</v>
      </c>
      <c r="I109" s="188">
        <f ca="1">TblPop[[#This Row],[Employment]]</f>
        <v>1</v>
      </c>
      <c r="J109" s="188">
        <f ca="1">TblPop[[#This Row],[Total]]/TblPop[[#This Row],[Net max]]</f>
        <v>1</v>
      </c>
      <c r="K109" s="311">
        <f>TblRezone[[#This Row],[Hour]]</f>
        <v>106</v>
      </c>
      <c r="L109" s="312">
        <f ca="1">TblImps[[#This Row],[Real time]]</f>
        <v>44815.124999999745</v>
      </c>
      <c r="M109" s="62">
        <f>IF(ISERROR(TblImps[[#This Row],[algorithm]]),0,TblImps[[#This Row],[algorithm]]*1)</f>
        <v>0</v>
      </c>
      <c r="N109" s="97">
        <f ca="1">TblImps[[#This Row],[Land]]</f>
        <v>250</v>
      </c>
      <c r="O109" s="313" t="s">
        <v>4</v>
      </c>
      <c r="P109" s="314"/>
      <c r="Q109" s="313" t="s">
        <v>216</v>
      </c>
      <c r="R109" s="313" t="s">
        <v>7</v>
      </c>
      <c r="S109" s="314"/>
      <c r="T109" s="313" t="s">
        <v>216</v>
      </c>
      <c r="U109" s="313" t="s">
        <v>3</v>
      </c>
      <c r="V109" s="314"/>
      <c r="W109" s="313" t="s">
        <v>216</v>
      </c>
      <c r="X109" s="150"/>
      <c r="Y109" s="315">
        <f ca="1">science_cap*(1-EXP(-TblImps[[#This Row],[Σ Science]]/(science_param*(OFFSET(TblImps[[#This Row],[Land]],1,0)-OFFSET(TblExplore[[#This Row],[Land Bonus]],1,0)*20)+15000)))*(1+(mason_bonus*TblConstr[[#This Row],[Tot Mas]]/TblConstr[[#This Row],[Land (2)]]))</f>
        <v>0</v>
      </c>
      <c r="Z109" s="315">
        <f ca="1">keep_cap*(1-EXP(-TblImps[[#This Row],[Σ Keep]]/(keep_param*(OFFSET(TblImps[[#This Row],[Land]],1,0)-OFFSET(TblExplore[[#This Row],[Land Bonus]],1,0)*20)+15000)))*(1+(mason_bonus*TblConstr[[#This Row],[Tot Mas]]/TblConstr[[#This Row],[Land (2)]]))</f>
        <v>0</v>
      </c>
      <c r="AA109" s="315">
        <f ca="1">harbor_towers_cap*(1-EXP(-TblImps[[#This Row],[Σ Towers]]/(towers_param*(OFFSET(TblImps[[#This Row],[Land]],1,0)-OFFSET(TblExplore[[#This Row],[Land Bonus]],1,0)*20)+15000)))*(1+(mason_bonus*TblConstr[[#This Row],[Tot Mas]]/TblConstr[[#This Row],[Land (2)]]))</f>
        <v>0</v>
      </c>
      <c r="AB109" s="315">
        <f ca="1">walls_forges_cap*(1-EXP(-TblImps[[#This Row],[Σ Forges]]/(walls_forges_param*(OFFSET(TblImps[[#This Row],[Land]],1,0)-OFFSET(TblExplore[[#This Row],[Land Bonus]],1,0)*20)+15000)))*(1+(mason_bonus*TblConstr[[#This Row],[Tot Mas]]/TblConstr[[#This Row],[Land (2)]]))</f>
        <v>0</v>
      </c>
      <c r="AC109" s="315">
        <f ca="1">walls_forges_cap*(1-EXP(-TblImps[[#This Row],[Σ Walls]]/(walls_forges_param*(OFFSET(TblImps[[#This Row],[Land]],1,0)-OFFSET(TblExplore[[#This Row],[Land Bonus]],1,0)*20)+15000)))*(1+(mason_bonus*TblConstr[[#This Row],[Tot Mas]]/TblConstr[[#This Row],[Land (2)]]))</f>
        <v>0</v>
      </c>
      <c r="AD109" s="315">
        <f ca="1">harbor_towers_cap*(1-EXP(-TblImps[[#This Row],[Σ Irrigation]]/(harbor_towers_param*(OFFSET(TblImps[[#This Row],[Land]],1,0)-OFFSET(TblExplore[[#This Row],[Land Bonus]],1,0)*20)+15000)))*(1+(mason_bonus*TblConstr[[#This Row],[Tot Mas]]/TblConstr[[#This Row],[Land (2)]]))</f>
        <v>0</v>
      </c>
      <c r="AE109" s="150"/>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50"/>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50"/>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50"/>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50"/>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50"/>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50"/>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50"/>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50"/>
      <c r="BV10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62">
        <f>TblImps[[#This Row],[Login]]</f>
        <v>0</v>
      </c>
      <c r="BX109" s="145"/>
      <c r="BY109" s="321">
        <f ca="1">OFFSET(TblImps[[#This Row],[Real time]],-1,0)+1/24</f>
        <v>44815.124999999745</v>
      </c>
      <c r="BZ109" s="322">
        <f ca="1">OFFSET(TblImps[[#This Row],[Servertime]],-1,0)+1/24</f>
        <v>44815.374999999745</v>
      </c>
      <c r="CA109" s="57"/>
      <c r="CB109" s="320"/>
      <c r="CC109" s="320"/>
      <c r="CD109" s="45" t="s">
        <v>217</v>
      </c>
    </row>
    <row r="110" spans="1:82" x14ac:dyDescent="0.2">
      <c r="A110" s="230">
        <f ca="1">TblConstr[[#This Row],[Land]]</f>
        <v>250</v>
      </c>
      <c r="B110" s="150"/>
      <c r="C110" s="97">
        <f ca="1">TblProd[[#This Row],[Platinum]]</f>
        <v>682394</v>
      </c>
      <c r="D110" s="97">
        <f ca="1">TblProd[[#This Row],[Lumber]]</f>
        <v>70706</v>
      </c>
      <c r="E110" s="97">
        <f ca="1">TblProd[[#This Row],[Ore]]</f>
        <v>0</v>
      </c>
      <c r="F110" s="97">
        <f ca="1">TblProd[[#This Row],[Gems]]</f>
        <v>10000</v>
      </c>
      <c r="G110" s="162"/>
      <c r="H110" s="97">
        <f ca="1">TblMili[[#This Row],[Draftees]]</f>
        <v>626</v>
      </c>
      <c r="I110" s="188">
        <f ca="1">TblPop[[#This Row],[Employment]]</f>
        <v>1</v>
      </c>
      <c r="J110" s="188">
        <f ca="1">TblPop[[#This Row],[Total]]/TblPop[[#This Row],[Net max]]</f>
        <v>1</v>
      </c>
      <c r="K110" s="311">
        <f>TblRezone[[#This Row],[Hour]]</f>
        <v>107</v>
      </c>
      <c r="L110" s="312">
        <f ca="1">TblImps[[#This Row],[Real time]]</f>
        <v>44815.16666666641</v>
      </c>
      <c r="M110" s="62">
        <f>IF(ISERROR(TblImps[[#This Row],[algorithm]]),0,TblImps[[#This Row],[algorithm]]*1)</f>
        <v>0</v>
      </c>
      <c r="N110" s="97">
        <f ca="1">TblImps[[#This Row],[Land]]</f>
        <v>250</v>
      </c>
      <c r="O110" s="313" t="s">
        <v>4</v>
      </c>
      <c r="P110" s="314"/>
      <c r="Q110" s="313" t="s">
        <v>216</v>
      </c>
      <c r="R110" s="313" t="s">
        <v>7</v>
      </c>
      <c r="S110" s="314"/>
      <c r="T110" s="313" t="s">
        <v>216</v>
      </c>
      <c r="U110" s="313" t="s">
        <v>3</v>
      </c>
      <c r="V110" s="314"/>
      <c r="W110" s="313" t="s">
        <v>216</v>
      </c>
      <c r="X110" s="150"/>
      <c r="Y110" s="315">
        <f ca="1">science_cap*(1-EXP(-TblImps[[#This Row],[Σ Science]]/(science_param*(OFFSET(TblImps[[#This Row],[Land]],1,0)-OFFSET(TblExplore[[#This Row],[Land Bonus]],1,0)*20)+15000)))*(1+(mason_bonus*TblConstr[[#This Row],[Tot Mas]]/TblConstr[[#This Row],[Land (2)]]))</f>
        <v>0</v>
      </c>
      <c r="Z110" s="315">
        <f ca="1">keep_cap*(1-EXP(-TblImps[[#This Row],[Σ Keep]]/(keep_param*(OFFSET(TblImps[[#This Row],[Land]],1,0)-OFFSET(TblExplore[[#This Row],[Land Bonus]],1,0)*20)+15000)))*(1+(mason_bonus*TblConstr[[#This Row],[Tot Mas]]/TblConstr[[#This Row],[Land (2)]]))</f>
        <v>0</v>
      </c>
      <c r="AA110" s="315">
        <f ca="1">harbor_towers_cap*(1-EXP(-TblImps[[#This Row],[Σ Towers]]/(towers_param*(OFFSET(TblImps[[#This Row],[Land]],1,0)-OFFSET(TblExplore[[#This Row],[Land Bonus]],1,0)*20)+15000)))*(1+(mason_bonus*TblConstr[[#This Row],[Tot Mas]]/TblConstr[[#This Row],[Land (2)]]))</f>
        <v>0</v>
      </c>
      <c r="AB110" s="315">
        <f ca="1">walls_forges_cap*(1-EXP(-TblImps[[#This Row],[Σ Forges]]/(walls_forges_param*(OFFSET(TblImps[[#This Row],[Land]],1,0)-OFFSET(TblExplore[[#This Row],[Land Bonus]],1,0)*20)+15000)))*(1+(mason_bonus*TblConstr[[#This Row],[Tot Mas]]/TblConstr[[#This Row],[Land (2)]]))</f>
        <v>0</v>
      </c>
      <c r="AC110" s="315">
        <f ca="1">walls_forges_cap*(1-EXP(-TblImps[[#This Row],[Σ Walls]]/(walls_forges_param*(OFFSET(TblImps[[#This Row],[Land]],1,0)-OFFSET(TblExplore[[#This Row],[Land Bonus]],1,0)*20)+15000)))*(1+(mason_bonus*TblConstr[[#This Row],[Tot Mas]]/TblConstr[[#This Row],[Land (2)]]))</f>
        <v>0</v>
      </c>
      <c r="AD110" s="315">
        <f ca="1">harbor_towers_cap*(1-EXP(-TblImps[[#This Row],[Σ Irrigation]]/(harbor_towers_param*(OFFSET(TblImps[[#This Row],[Land]],1,0)-OFFSET(TblExplore[[#This Row],[Land Bonus]],1,0)*20)+15000)))*(1+(mason_bonus*TblConstr[[#This Row],[Tot Mas]]/TblConstr[[#This Row],[Land (2)]]))</f>
        <v>0</v>
      </c>
      <c r="AE110" s="150"/>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50"/>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50"/>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50"/>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50"/>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50"/>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50"/>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50"/>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50"/>
      <c r="BV11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62">
        <f>TblImps[[#This Row],[Login]]</f>
        <v>0</v>
      </c>
      <c r="BX110" s="145"/>
      <c r="BY110" s="321">
        <f ca="1">OFFSET(TblImps[[#This Row],[Real time]],-1,0)+1/24</f>
        <v>44815.16666666641</v>
      </c>
      <c r="BZ110" s="322">
        <f ca="1">OFFSET(TblImps[[#This Row],[Servertime]],-1,0)+1/24</f>
        <v>44815.41666666641</v>
      </c>
      <c r="CA110" s="57"/>
      <c r="CB110" s="320"/>
      <c r="CC110" s="320"/>
      <c r="CD110" s="45" t="s">
        <v>218</v>
      </c>
    </row>
    <row r="111" spans="1:82" x14ac:dyDescent="0.2">
      <c r="A111" s="230">
        <f ca="1">TblConstr[[#This Row],[Land]]</f>
        <v>250</v>
      </c>
      <c r="B111" s="150"/>
      <c r="C111" s="97">
        <f ca="1">TblProd[[#This Row],[Platinum]]</f>
        <v>687880</v>
      </c>
      <c r="D111" s="97">
        <f ca="1">TblProd[[#This Row],[Lumber]]</f>
        <v>70999</v>
      </c>
      <c r="E111" s="97">
        <f ca="1">TblProd[[#This Row],[Ore]]</f>
        <v>0</v>
      </c>
      <c r="F111" s="97">
        <f ca="1">TblProd[[#This Row],[Gems]]</f>
        <v>10000</v>
      </c>
      <c r="G111" s="162"/>
      <c r="H111" s="97">
        <f ca="1">TblMili[[#This Row],[Draftees]]</f>
        <v>626</v>
      </c>
      <c r="I111" s="188">
        <f ca="1">TblPop[[#This Row],[Employment]]</f>
        <v>1</v>
      </c>
      <c r="J111" s="188">
        <f ca="1">TblPop[[#This Row],[Total]]/TblPop[[#This Row],[Net max]]</f>
        <v>1</v>
      </c>
      <c r="K111" s="311">
        <f>TblRezone[[#This Row],[Hour]]</f>
        <v>108</v>
      </c>
      <c r="L111" s="312">
        <f ca="1">TblImps[[#This Row],[Real time]]</f>
        <v>44815.208333333074</v>
      </c>
      <c r="M111" s="62">
        <f>IF(ISERROR(TblImps[[#This Row],[algorithm]]),0,TblImps[[#This Row],[algorithm]]*1)</f>
        <v>0</v>
      </c>
      <c r="N111" s="97">
        <f ca="1">TblImps[[#This Row],[Land]]</f>
        <v>250</v>
      </c>
      <c r="O111" s="313" t="s">
        <v>4</v>
      </c>
      <c r="P111" s="314"/>
      <c r="Q111" s="313" t="s">
        <v>216</v>
      </c>
      <c r="R111" s="313" t="s">
        <v>7</v>
      </c>
      <c r="S111" s="314"/>
      <c r="T111" s="313" t="s">
        <v>216</v>
      </c>
      <c r="U111" s="313" t="s">
        <v>3</v>
      </c>
      <c r="V111" s="314"/>
      <c r="W111" s="313" t="s">
        <v>216</v>
      </c>
      <c r="X111" s="150"/>
      <c r="Y111" s="315">
        <f ca="1">science_cap*(1-EXP(-TblImps[[#This Row],[Σ Science]]/(science_param*(OFFSET(TblImps[[#This Row],[Land]],1,0)-OFFSET(TblExplore[[#This Row],[Land Bonus]],1,0)*20)+15000)))*(1+(mason_bonus*TblConstr[[#This Row],[Tot Mas]]/TblConstr[[#This Row],[Land (2)]]))</f>
        <v>0</v>
      </c>
      <c r="Z111" s="315">
        <f ca="1">keep_cap*(1-EXP(-TblImps[[#This Row],[Σ Keep]]/(keep_param*(OFFSET(TblImps[[#This Row],[Land]],1,0)-OFFSET(TblExplore[[#This Row],[Land Bonus]],1,0)*20)+15000)))*(1+(mason_bonus*TblConstr[[#This Row],[Tot Mas]]/TblConstr[[#This Row],[Land (2)]]))</f>
        <v>0</v>
      </c>
      <c r="AA111" s="315">
        <f ca="1">harbor_towers_cap*(1-EXP(-TblImps[[#This Row],[Σ Towers]]/(towers_param*(OFFSET(TblImps[[#This Row],[Land]],1,0)-OFFSET(TblExplore[[#This Row],[Land Bonus]],1,0)*20)+15000)))*(1+(mason_bonus*TblConstr[[#This Row],[Tot Mas]]/TblConstr[[#This Row],[Land (2)]]))</f>
        <v>0</v>
      </c>
      <c r="AB111" s="315">
        <f ca="1">walls_forges_cap*(1-EXP(-TblImps[[#This Row],[Σ Forges]]/(walls_forges_param*(OFFSET(TblImps[[#This Row],[Land]],1,0)-OFFSET(TblExplore[[#This Row],[Land Bonus]],1,0)*20)+15000)))*(1+(mason_bonus*TblConstr[[#This Row],[Tot Mas]]/TblConstr[[#This Row],[Land (2)]]))</f>
        <v>0</v>
      </c>
      <c r="AC111" s="315">
        <f ca="1">walls_forges_cap*(1-EXP(-TblImps[[#This Row],[Σ Walls]]/(walls_forges_param*(OFFSET(TblImps[[#This Row],[Land]],1,0)-OFFSET(TblExplore[[#This Row],[Land Bonus]],1,0)*20)+15000)))*(1+(mason_bonus*TblConstr[[#This Row],[Tot Mas]]/TblConstr[[#This Row],[Land (2)]]))</f>
        <v>0</v>
      </c>
      <c r="AD111" s="315">
        <f ca="1">harbor_towers_cap*(1-EXP(-TblImps[[#This Row],[Σ Irrigation]]/(harbor_towers_param*(OFFSET(TblImps[[#This Row],[Land]],1,0)-OFFSET(TblExplore[[#This Row],[Land Bonus]],1,0)*20)+15000)))*(1+(mason_bonus*TblConstr[[#This Row],[Tot Mas]]/TblConstr[[#This Row],[Land (2)]]))</f>
        <v>0</v>
      </c>
      <c r="AE111" s="150"/>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50"/>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50"/>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50"/>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50"/>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50"/>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50"/>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50"/>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50"/>
      <c r="BV11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62">
        <f>TblImps[[#This Row],[Login]]</f>
        <v>0</v>
      </c>
      <c r="BX111" s="145"/>
      <c r="BY111" s="321">
        <f ca="1">OFFSET(TblImps[[#This Row],[Real time]],-1,0)+1/24</f>
        <v>44815.208333333074</v>
      </c>
      <c r="BZ111" s="322">
        <f ca="1">OFFSET(TblImps[[#This Row],[Servertime]],-1,0)+1/24</f>
        <v>44815.458333333074</v>
      </c>
      <c r="CA111" s="57"/>
      <c r="CB111" s="320"/>
      <c r="CC111" s="320"/>
      <c r="CD111" s="45" t="s">
        <v>219</v>
      </c>
    </row>
    <row r="112" spans="1:82" x14ac:dyDescent="0.2">
      <c r="A112" s="230">
        <f ca="1">TblConstr[[#This Row],[Land]]</f>
        <v>250</v>
      </c>
      <c r="B112" s="150"/>
      <c r="C112" s="97">
        <f ca="1">TblProd[[#This Row],[Platinum]]</f>
        <v>693366</v>
      </c>
      <c r="D112" s="97">
        <f ca="1">TblProd[[#This Row],[Lumber]]</f>
        <v>71289</v>
      </c>
      <c r="E112" s="97">
        <f ca="1">TblProd[[#This Row],[Ore]]</f>
        <v>0</v>
      </c>
      <c r="F112" s="97">
        <f ca="1">TblProd[[#This Row],[Gems]]</f>
        <v>10000</v>
      </c>
      <c r="G112" s="162"/>
      <c r="H112" s="97">
        <f ca="1">TblMili[[#This Row],[Draftees]]</f>
        <v>626</v>
      </c>
      <c r="I112" s="188">
        <f ca="1">TblPop[[#This Row],[Employment]]</f>
        <v>1</v>
      </c>
      <c r="J112" s="188">
        <f ca="1">TblPop[[#This Row],[Total]]/TblPop[[#This Row],[Net max]]</f>
        <v>1</v>
      </c>
      <c r="K112" s="311">
        <f>TblRezone[[#This Row],[Hour]]</f>
        <v>109</v>
      </c>
      <c r="L112" s="312">
        <f ca="1">TblImps[[#This Row],[Real time]]</f>
        <v>44815.249999999738</v>
      </c>
      <c r="M112" s="62">
        <f>IF(ISERROR(TblImps[[#This Row],[algorithm]]),0,TblImps[[#This Row],[algorithm]]*1)</f>
        <v>0</v>
      </c>
      <c r="N112" s="97">
        <f ca="1">TblImps[[#This Row],[Land]]</f>
        <v>250</v>
      </c>
      <c r="O112" s="313" t="s">
        <v>4</v>
      </c>
      <c r="P112" s="314"/>
      <c r="Q112" s="313" t="s">
        <v>216</v>
      </c>
      <c r="R112" s="313" t="s">
        <v>7</v>
      </c>
      <c r="S112" s="314"/>
      <c r="T112" s="313" t="s">
        <v>216</v>
      </c>
      <c r="U112" s="313" t="s">
        <v>3</v>
      </c>
      <c r="V112" s="314"/>
      <c r="W112" s="313" t="s">
        <v>216</v>
      </c>
      <c r="X112" s="150"/>
      <c r="Y112" s="315">
        <f ca="1">science_cap*(1-EXP(-TblImps[[#This Row],[Σ Science]]/(science_param*(OFFSET(TblImps[[#This Row],[Land]],1,0)-OFFSET(TblExplore[[#This Row],[Land Bonus]],1,0)*20)+15000)))*(1+(mason_bonus*TblConstr[[#This Row],[Tot Mas]]/TblConstr[[#This Row],[Land (2)]]))</f>
        <v>0</v>
      </c>
      <c r="Z112" s="315">
        <f ca="1">keep_cap*(1-EXP(-TblImps[[#This Row],[Σ Keep]]/(keep_param*(OFFSET(TblImps[[#This Row],[Land]],1,0)-OFFSET(TblExplore[[#This Row],[Land Bonus]],1,0)*20)+15000)))*(1+(mason_bonus*TblConstr[[#This Row],[Tot Mas]]/TblConstr[[#This Row],[Land (2)]]))</f>
        <v>0</v>
      </c>
      <c r="AA112" s="315">
        <f ca="1">harbor_towers_cap*(1-EXP(-TblImps[[#This Row],[Σ Towers]]/(towers_param*(OFFSET(TblImps[[#This Row],[Land]],1,0)-OFFSET(TblExplore[[#This Row],[Land Bonus]],1,0)*20)+15000)))*(1+(mason_bonus*TblConstr[[#This Row],[Tot Mas]]/TblConstr[[#This Row],[Land (2)]]))</f>
        <v>0</v>
      </c>
      <c r="AB112" s="315">
        <f ca="1">walls_forges_cap*(1-EXP(-TblImps[[#This Row],[Σ Forges]]/(walls_forges_param*(OFFSET(TblImps[[#This Row],[Land]],1,0)-OFFSET(TblExplore[[#This Row],[Land Bonus]],1,0)*20)+15000)))*(1+(mason_bonus*TblConstr[[#This Row],[Tot Mas]]/TblConstr[[#This Row],[Land (2)]]))</f>
        <v>0</v>
      </c>
      <c r="AC112" s="315">
        <f ca="1">walls_forges_cap*(1-EXP(-TblImps[[#This Row],[Σ Walls]]/(walls_forges_param*(OFFSET(TblImps[[#This Row],[Land]],1,0)-OFFSET(TblExplore[[#This Row],[Land Bonus]],1,0)*20)+15000)))*(1+(mason_bonus*TblConstr[[#This Row],[Tot Mas]]/TblConstr[[#This Row],[Land (2)]]))</f>
        <v>0</v>
      </c>
      <c r="AD112" s="315">
        <f ca="1">harbor_towers_cap*(1-EXP(-TblImps[[#This Row],[Σ Irrigation]]/(harbor_towers_param*(OFFSET(TblImps[[#This Row],[Land]],1,0)-OFFSET(TblExplore[[#This Row],[Land Bonus]],1,0)*20)+15000)))*(1+(mason_bonus*TblConstr[[#This Row],[Tot Mas]]/TblConstr[[#This Row],[Land (2)]]))</f>
        <v>0</v>
      </c>
      <c r="AE112" s="150"/>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50"/>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50"/>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50"/>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50"/>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50"/>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50"/>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50"/>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50"/>
      <c r="BV11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62">
        <f>TblImps[[#This Row],[Login]]</f>
        <v>0</v>
      </c>
      <c r="BX112" s="145"/>
      <c r="BY112" s="321">
        <f ca="1">OFFSET(TblImps[[#This Row],[Real time]],-1,0)+1/24</f>
        <v>44815.249999999738</v>
      </c>
      <c r="BZ112" s="322">
        <f ca="1">OFFSET(TblImps[[#This Row],[Servertime]],-1,0)+1/24</f>
        <v>44815.499999999738</v>
      </c>
      <c r="CA112" s="57"/>
      <c r="CB112" s="320"/>
      <c r="CC112" s="320"/>
      <c r="CD112" s="45" t="s">
        <v>220</v>
      </c>
    </row>
    <row r="113" spans="1:81" x14ac:dyDescent="0.2">
      <c r="A113" s="230">
        <f ca="1">TblConstr[[#This Row],[Land]]</f>
        <v>250</v>
      </c>
      <c r="B113" s="150"/>
      <c r="C113" s="97">
        <f ca="1">TblProd[[#This Row],[Platinum]]</f>
        <v>698852</v>
      </c>
      <c r="D113" s="97">
        <f ca="1">TblProd[[#This Row],[Lumber]]</f>
        <v>71576</v>
      </c>
      <c r="E113" s="97">
        <f ca="1">TblProd[[#This Row],[Ore]]</f>
        <v>0</v>
      </c>
      <c r="F113" s="97">
        <f ca="1">TblProd[[#This Row],[Gems]]</f>
        <v>10000</v>
      </c>
      <c r="G113" s="162"/>
      <c r="H113" s="97">
        <f ca="1">TblMili[[#This Row],[Draftees]]</f>
        <v>626</v>
      </c>
      <c r="I113" s="188">
        <f ca="1">TblPop[[#This Row],[Employment]]</f>
        <v>1</v>
      </c>
      <c r="J113" s="188">
        <f ca="1">TblPop[[#This Row],[Total]]/TblPop[[#This Row],[Net max]]</f>
        <v>1</v>
      </c>
      <c r="K113" s="311">
        <f>TblRezone[[#This Row],[Hour]]</f>
        <v>110</v>
      </c>
      <c r="L113" s="312">
        <f ca="1">TblImps[[#This Row],[Real time]]</f>
        <v>44815.291666666402</v>
      </c>
      <c r="M113" s="62">
        <f>IF(ISERROR(TblImps[[#This Row],[algorithm]]),0,TblImps[[#This Row],[algorithm]]*1)</f>
        <v>0</v>
      </c>
      <c r="N113" s="97">
        <f ca="1">TblImps[[#This Row],[Land]]</f>
        <v>250</v>
      </c>
      <c r="O113" s="313" t="s">
        <v>4</v>
      </c>
      <c r="P113" s="314"/>
      <c r="Q113" s="313" t="s">
        <v>216</v>
      </c>
      <c r="R113" s="313" t="s">
        <v>7</v>
      </c>
      <c r="S113" s="314"/>
      <c r="T113" s="313" t="s">
        <v>216</v>
      </c>
      <c r="U113" s="313" t="s">
        <v>3</v>
      </c>
      <c r="V113" s="314"/>
      <c r="W113" s="313" t="s">
        <v>216</v>
      </c>
      <c r="X113" s="150"/>
      <c r="Y113" s="315">
        <f ca="1">science_cap*(1-EXP(-TblImps[[#This Row],[Σ Science]]/(science_param*(OFFSET(TblImps[[#This Row],[Land]],1,0)-OFFSET(TblExplore[[#This Row],[Land Bonus]],1,0)*20)+15000)))*(1+(mason_bonus*TblConstr[[#This Row],[Tot Mas]]/TblConstr[[#This Row],[Land (2)]]))</f>
        <v>0</v>
      </c>
      <c r="Z113" s="315">
        <f ca="1">keep_cap*(1-EXP(-TblImps[[#This Row],[Σ Keep]]/(keep_param*(OFFSET(TblImps[[#This Row],[Land]],1,0)-OFFSET(TblExplore[[#This Row],[Land Bonus]],1,0)*20)+15000)))*(1+(mason_bonus*TblConstr[[#This Row],[Tot Mas]]/TblConstr[[#This Row],[Land (2)]]))</f>
        <v>0</v>
      </c>
      <c r="AA113" s="315">
        <f ca="1">harbor_towers_cap*(1-EXP(-TblImps[[#This Row],[Σ Towers]]/(towers_param*(OFFSET(TblImps[[#This Row],[Land]],1,0)-OFFSET(TblExplore[[#This Row],[Land Bonus]],1,0)*20)+15000)))*(1+(mason_bonus*TblConstr[[#This Row],[Tot Mas]]/TblConstr[[#This Row],[Land (2)]]))</f>
        <v>0</v>
      </c>
      <c r="AB113" s="315">
        <f ca="1">walls_forges_cap*(1-EXP(-TblImps[[#This Row],[Σ Forges]]/(walls_forges_param*(OFFSET(TblImps[[#This Row],[Land]],1,0)-OFFSET(TblExplore[[#This Row],[Land Bonus]],1,0)*20)+15000)))*(1+(mason_bonus*TblConstr[[#This Row],[Tot Mas]]/TblConstr[[#This Row],[Land (2)]]))</f>
        <v>0</v>
      </c>
      <c r="AC113" s="315">
        <f ca="1">walls_forges_cap*(1-EXP(-TblImps[[#This Row],[Σ Walls]]/(walls_forges_param*(OFFSET(TblImps[[#This Row],[Land]],1,0)-OFFSET(TblExplore[[#This Row],[Land Bonus]],1,0)*20)+15000)))*(1+(mason_bonus*TblConstr[[#This Row],[Tot Mas]]/TblConstr[[#This Row],[Land (2)]]))</f>
        <v>0</v>
      </c>
      <c r="AD113" s="315">
        <f ca="1">harbor_towers_cap*(1-EXP(-TblImps[[#This Row],[Σ Irrigation]]/(harbor_towers_param*(OFFSET(TblImps[[#This Row],[Land]],1,0)-OFFSET(TblExplore[[#This Row],[Land Bonus]],1,0)*20)+15000)))*(1+(mason_bonus*TblConstr[[#This Row],[Tot Mas]]/TblConstr[[#This Row],[Land (2)]]))</f>
        <v>0</v>
      </c>
      <c r="AE113" s="150"/>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50"/>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50"/>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50"/>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50"/>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50"/>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50"/>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50"/>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50"/>
      <c r="BV11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62">
        <f>TblImps[[#This Row],[Login]]</f>
        <v>0</v>
      </c>
      <c r="BX113" s="145"/>
      <c r="BY113" s="321">
        <f ca="1">OFFSET(TblImps[[#This Row],[Real time]],-1,0)+1/24</f>
        <v>44815.291666666402</v>
      </c>
      <c r="BZ113" s="322">
        <f ca="1">OFFSET(TblImps[[#This Row],[Servertime]],-1,0)+1/24</f>
        <v>44815.541666666402</v>
      </c>
      <c r="CA113" s="57"/>
      <c r="CB113" s="320"/>
      <c r="CC113" s="320"/>
    </row>
    <row r="114" spans="1:81" x14ac:dyDescent="0.2">
      <c r="A114" s="230">
        <f ca="1">TblConstr[[#This Row],[Land]]</f>
        <v>250</v>
      </c>
      <c r="B114" s="150"/>
      <c r="C114" s="97">
        <f ca="1">TblProd[[#This Row],[Platinum]]</f>
        <v>704338</v>
      </c>
      <c r="D114" s="97">
        <f ca="1">TblProd[[#This Row],[Lumber]]</f>
        <v>71860</v>
      </c>
      <c r="E114" s="97">
        <f ca="1">TblProd[[#This Row],[Ore]]</f>
        <v>0</v>
      </c>
      <c r="F114" s="97">
        <f ca="1">TblProd[[#This Row],[Gems]]</f>
        <v>10000</v>
      </c>
      <c r="G114" s="162"/>
      <c r="H114" s="97">
        <f ca="1">TblMili[[#This Row],[Draftees]]</f>
        <v>626</v>
      </c>
      <c r="I114" s="188">
        <f ca="1">TblPop[[#This Row],[Employment]]</f>
        <v>1</v>
      </c>
      <c r="J114" s="188">
        <f ca="1">TblPop[[#This Row],[Total]]/TblPop[[#This Row],[Net max]]</f>
        <v>1</v>
      </c>
      <c r="K114" s="311">
        <f>TblRezone[[#This Row],[Hour]]</f>
        <v>111</v>
      </c>
      <c r="L114" s="312">
        <f ca="1">TblImps[[#This Row],[Real time]]</f>
        <v>44815.333333333067</v>
      </c>
      <c r="M114" s="62">
        <f>IF(ISERROR(TblImps[[#This Row],[algorithm]]),0,TblImps[[#This Row],[algorithm]]*1)</f>
        <v>0</v>
      </c>
      <c r="N114" s="97">
        <f ca="1">TblImps[[#This Row],[Land]]</f>
        <v>250</v>
      </c>
      <c r="O114" s="313" t="s">
        <v>4</v>
      </c>
      <c r="P114" s="314"/>
      <c r="Q114" s="313" t="s">
        <v>216</v>
      </c>
      <c r="R114" s="313" t="s">
        <v>7</v>
      </c>
      <c r="S114" s="314"/>
      <c r="T114" s="313" t="s">
        <v>216</v>
      </c>
      <c r="U114" s="313" t="s">
        <v>3</v>
      </c>
      <c r="V114" s="314"/>
      <c r="W114" s="313" t="s">
        <v>216</v>
      </c>
      <c r="X114" s="150"/>
      <c r="Y114" s="315">
        <f ca="1">science_cap*(1-EXP(-TblImps[[#This Row],[Σ Science]]/(science_param*(OFFSET(TblImps[[#This Row],[Land]],1,0)-OFFSET(TblExplore[[#This Row],[Land Bonus]],1,0)*20)+15000)))*(1+(mason_bonus*TblConstr[[#This Row],[Tot Mas]]/TblConstr[[#This Row],[Land (2)]]))</f>
        <v>0</v>
      </c>
      <c r="Z114" s="315">
        <f ca="1">keep_cap*(1-EXP(-TblImps[[#This Row],[Σ Keep]]/(keep_param*(OFFSET(TblImps[[#This Row],[Land]],1,0)-OFFSET(TblExplore[[#This Row],[Land Bonus]],1,0)*20)+15000)))*(1+(mason_bonus*TblConstr[[#This Row],[Tot Mas]]/TblConstr[[#This Row],[Land (2)]]))</f>
        <v>0</v>
      </c>
      <c r="AA114" s="315">
        <f ca="1">harbor_towers_cap*(1-EXP(-TblImps[[#This Row],[Σ Towers]]/(towers_param*(OFFSET(TblImps[[#This Row],[Land]],1,0)-OFFSET(TblExplore[[#This Row],[Land Bonus]],1,0)*20)+15000)))*(1+(mason_bonus*TblConstr[[#This Row],[Tot Mas]]/TblConstr[[#This Row],[Land (2)]]))</f>
        <v>0</v>
      </c>
      <c r="AB114" s="315">
        <f ca="1">walls_forges_cap*(1-EXP(-TblImps[[#This Row],[Σ Forges]]/(walls_forges_param*(OFFSET(TblImps[[#This Row],[Land]],1,0)-OFFSET(TblExplore[[#This Row],[Land Bonus]],1,0)*20)+15000)))*(1+(mason_bonus*TblConstr[[#This Row],[Tot Mas]]/TblConstr[[#This Row],[Land (2)]]))</f>
        <v>0</v>
      </c>
      <c r="AC114" s="315">
        <f ca="1">walls_forges_cap*(1-EXP(-TblImps[[#This Row],[Σ Walls]]/(walls_forges_param*(OFFSET(TblImps[[#This Row],[Land]],1,0)-OFFSET(TblExplore[[#This Row],[Land Bonus]],1,0)*20)+15000)))*(1+(mason_bonus*TblConstr[[#This Row],[Tot Mas]]/TblConstr[[#This Row],[Land (2)]]))</f>
        <v>0</v>
      </c>
      <c r="AD114" s="315">
        <f ca="1">harbor_towers_cap*(1-EXP(-TblImps[[#This Row],[Σ Irrigation]]/(harbor_towers_param*(OFFSET(TblImps[[#This Row],[Land]],1,0)-OFFSET(TblExplore[[#This Row],[Land Bonus]],1,0)*20)+15000)))*(1+(mason_bonus*TblConstr[[#This Row],[Tot Mas]]/TblConstr[[#This Row],[Land (2)]]))</f>
        <v>0</v>
      </c>
      <c r="AE114" s="150"/>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50"/>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50"/>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50"/>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50"/>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50"/>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50"/>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50"/>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50"/>
      <c r="BV11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62">
        <f>TblImps[[#This Row],[Login]]</f>
        <v>0</v>
      </c>
      <c r="BX114" s="145"/>
      <c r="BY114" s="321">
        <f ca="1">OFFSET(TblImps[[#This Row],[Real time]],-1,0)+1/24</f>
        <v>44815.333333333067</v>
      </c>
      <c r="BZ114" s="322">
        <f ca="1">OFFSET(TblImps[[#This Row],[Servertime]],-1,0)+1/24</f>
        <v>44815.583333333067</v>
      </c>
      <c r="CA114" s="325"/>
      <c r="CB114" s="320"/>
      <c r="CC114" s="320"/>
    </row>
    <row r="115" spans="1:81" x14ac:dyDescent="0.2">
      <c r="A115" s="230">
        <f ca="1">TblConstr[[#This Row],[Land]]</f>
        <v>250</v>
      </c>
      <c r="B115" s="150"/>
      <c r="C115" s="97">
        <f ca="1">TblProd[[#This Row],[Platinum]]</f>
        <v>709824</v>
      </c>
      <c r="D115" s="97">
        <f ca="1">TblProd[[#This Row],[Lumber]]</f>
        <v>72141</v>
      </c>
      <c r="E115" s="97">
        <f ca="1">TblProd[[#This Row],[Ore]]</f>
        <v>0</v>
      </c>
      <c r="F115" s="97">
        <f ca="1">TblProd[[#This Row],[Gems]]</f>
        <v>10000</v>
      </c>
      <c r="G115" s="162"/>
      <c r="H115" s="97">
        <f ca="1">TblMili[[#This Row],[Draftees]]</f>
        <v>626</v>
      </c>
      <c r="I115" s="188">
        <f ca="1">TblPop[[#This Row],[Employment]]</f>
        <v>1</v>
      </c>
      <c r="J115" s="188">
        <f ca="1">TblPop[[#This Row],[Total]]/TblPop[[#This Row],[Net max]]</f>
        <v>1</v>
      </c>
      <c r="K115" s="311">
        <f>TblRezone[[#This Row],[Hour]]</f>
        <v>112</v>
      </c>
      <c r="L115" s="312">
        <f ca="1">TblImps[[#This Row],[Real time]]</f>
        <v>44815.374999999731</v>
      </c>
      <c r="M115" s="62">
        <f>IF(ISERROR(TblImps[[#This Row],[algorithm]]),0,TblImps[[#This Row],[algorithm]]*1)</f>
        <v>0</v>
      </c>
      <c r="N115" s="97">
        <f ca="1">TblImps[[#This Row],[Land]]</f>
        <v>250</v>
      </c>
      <c r="O115" s="313" t="s">
        <v>4</v>
      </c>
      <c r="P115" s="314"/>
      <c r="Q115" s="313" t="s">
        <v>216</v>
      </c>
      <c r="R115" s="313" t="s">
        <v>7</v>
      </c>
      <c r="S115" s="314"/>
      <c r="T115" s="313" t="s">
        <v>216</v>
      </c>
      <c r="U115" s="313" t="s">
        <v>3</v>
      </c>
      <c r="V115" s="314"/>
      <c r="W115" s="313" t="s">
        <v>216</v>
      </c>
      <c r="X115" s="150"/>
      <c r="Y115" s="315">
        <f ca="1">science_cap*(1-EXP(-TblImps[[#This Row],[Σ Science]]/(science_param*(OFFSET(TblImps[[#This Row],[Land]],1,0)-OFFSET(TblExplore[[#This Row],[Land Bonus]],1,0)*20)+15000)))*(1+(mason_bonus*TblConstr[[#This Row],[Tot Mas]]/TblConstr[[#This Row],[Land (2)]]))</f>
        <v>0</v>
      </c>
      <c r="Z115" s="315">
        <f ca="1">keep_cap*(1-EXP(-TblImps[[#This Row],[Σ Keep]]/(keep_param*(OFFSET(TblImps[[#This Row],[Land]],1,0)-OFFSET(TblExplore[[#This Row],[Land Bonus]],1,0)*20)+15000)))*(1+(mason_bonus*TblConstr[[#This Row],[Tot Mas]]/TblConstr[[#This Row],[Land (2)]]))</f>
        <v>0</v>
      </c>
      <c r="AA115" s="315">
        <f ca="1">harbor_towers_cap*(1-EXP(-TblImps[[#This Row],[Σ Towers]]/(towers_param*(OFFSET(TblImps[[#This Row],[Land]],1,0)-OFFSET(TblExplore[[#This Row],[Land Bonus]],1,0)*20)+15000)))*(1+(mason_bonus*TblConstr[[#This Row],[Tot Mas]]/TblConstr[[#This Row],[Land (2)]]))</f>
        <v>0</v>
      </c>
      <c r="AB115" s="315">
        <f ca="1">walls_forges_cap*(1-EXP(-TblImps[[#This Row],[Σ Forges]]/(walls_forges_param*(OFFSET(TblImps[[#This Row],[Land]],1,0)-OFFSET(TblExplore[[#This Row],[Land Bonus]],1,0)*20)+15000)))*(1+(mason_bonus*TblConstr[[#This Row],[Tot Mas]]/TblConstr[[#This Row],[Land (2)]]))</f>
        <v>0</v>
      </c>
      <c r="AC115" s="315">
        <f ca="1">walls_forges_cap*(1-EXP(-TblImps[[#This Row],[Σ Walls]]/(walls_forges_param*(OFFSET(TblImps[[#This Row],[Land]],1,0)-OFFSET(TblExplore[[#This Row],[Land Bonus]],1,0)*20)+15000)))*(1+(mason_bonus*TblConstr[[#This Row],[Tot Mas]]/TblConstr[[#This Row],[Land (2)]]))</f>
        <v>0</v>
      </c>
      <c r="AD115" s="315">
        <f ca="1">harbor_towers_cap*(1-EXP(-TblImps[[#This Row],[Σ Irrigation]]/(harbor_towers_param*(OFFSET(TblImps[[#This Row],[Land]],1,0)-OFFSET(TblExplore[[#This Row],[Land Bonus]],1,0)*20)+15000)))*(1+(mason_bonus*TblConstr[[#This Row],[Tot Mas]]/TblConstr[[#This Row],[Land (2)]]))</f>
        <v>0</v>
      </c>
      <c r="AE115" s="150"/>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50"/>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50"/>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50"/>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50"/>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50"/>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50"/>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50"/>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50"/>
      <c r="BV11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62">
        <f>TblImps[[#This Row],[Login]]</f>
        <v>0</v>
      </c>
      <c r="BX115" s="145"/>
      <c r="BY115" s="321">
        <f ca="1">OFFSET(TblImps[[#This Row],[Real time]],-1,0)+1/24</f>
        <v>44815.374999999731</v>
      </c>
      <c r="BZ115" s="322">
        <f ca="1">OFFSET(TblImps[[#This Row],[Servertime]],-1,0)+1/24</f>
        <v>44815.624999999731</v>
      </c>
      <c r="CA115" s="57"/>
      <c r="CB115" s="320"/>
      <c r="CC115" s="320"/>
    </row>
    <row r="116" spans="1:81" x14ac:dyDescent="0.2">
      <c r="A116" s="230">
        <f ca="1">TblConstr[[#This Row],[Land]]</f>
        <v>250</v>
      </c>
      <c r="B116" s="150"/>
      <c r="C116" s="97">
        <f ca="1">TblProd[[#This Row],[Platinum]]</f>
        <v>715310</v>
      </c>
      <c r="D116" s="97">
        <f ca="1">TblProd[[#This Row],[Lumber]]</f>
        <v>72420</v>
      </c>
      <c r="E116" s="97">
        <f ca="1">TblProd[[#This Row],[Ore]]</f>
        <v>0</v>
      </c>
      <c r="F116" s="97">
        <f ca="1">TblProd[[#This Row],[Gems]]</f>
        <v>10000</v>
      </c>
      <c r="G116" s="162"/>
      <c r="H116" s="97">
        <f ca="1">TblMili[[#This Row],[Draftees]]</f>
        <v>626</v>
      </c>
      <c r="I116" s="188">
        <f ca="1">TblPop[[#This Row],[Employment]]</f>
        <v>1</v>
      </c>
      <c r="J116" s="188">
        <f ca="1">TblPop[[#This Row],[Total]]/TblPop[[#This Row],[Net max]]</f>
        <v>1</v>
      </c>
      <c r="K116" s="311">
        <f>TblRezone[[#This Row],[Hour]]</f>
        <v>113</v>
      </c>
      <c r="L116" s="312">
        <f ca="1">TblImps[[#This Row],[Real time]]</f>
        <v>44815.416666666395</v>
      </c>
      <c r="M116" s="62">
        <f>IF(ISERROR(TblImps[[#This Row],[algorithm]]),0,TblImps[[#This Row],[algorithm]]*1)</f>
        <v>0</v>
      </c>
      <c r="N116" s="97">
        <f ca="1">TblImps[[#This Row],[Land]]</f>
        <v>250</v>
      </c>
      <c r="O116" s="313" t="s">
        <v>4</v>
      </c>
      <c r="P116" s="314"/>
      <c r="Q116" s="313" t="s">
        <v>216</v>
      </c>
      <c r="R116" s="313" t="s">
        <v>7</v>
      </c>
      <c r="S116" s="314"/>
      <c r="T116" s="313" t="s">
        <v>216</v>
      </c>
      <c r="U116" s="313" t="s">
        <v>3</v>
      </c>
      <c r="V116" s="314"/>
      <c r="W116" s="313" t="s">
        <v>216</v>
      </c>
      <c r="X116" s="150"/>
      <c r="Y116" s="315">
        <f ca="1">science_cap*(1-EXP(-TblImps[[#This Row],[Σ Science]]/(science_param*(OFFSET(TblImps[[#This Row],[Land]],1,0)-OFFSET(TblExplore[[#This Row],[Land Bonus]],1,0)*20)+15000)))*(1+(mason_bonus*TblConstr[[#This Row],[Tot Mas]]/TblConstr[[#This Row],[Land (2)]]))</f>
        <v>0</v>
      </c>
      <c r="Z116" s="315">
        <f ca="1">keep_cap*(1-EXP(-TblImps[[#This Row],[Σ Keep]]/(keep_param*(OFFSET(TblImps[[#This Row],[Land]],1,0)-OFFSET(TblExplore[[#This Row],[Land Bonus]],1,0)*20)+15000)))*(1+(mason_bonus*TblConstr[[#This Row],[Tot Mas]]/TblConstr[[#This Row],[Land (2)]]))</f>
        <v>0</v>
      </c>
      <c r="AA116" s="315">
        <f ca="1">harbor_towers_cap*(1-EXP(-TblImps[[#This Row],[Σ Towers]]/(towers_param*(OFFSET(TblImps[[#This Row],[Land]],1,0)-OFFSET(TblExplore[[#This Row],[Land Bonus]],1,0)*20)+15000)))*(1+(mason_bonus*TblConstr[[#This Row],[Tot Mas]]/TblConstr[[#This Row],[Land (2)]]))</f>
        <v>0</v>
      </c>
      <c r="AB116" s="315">
        <f ca="1">walls_forges_cap*(1-EXP(-TblImps[[#This Row],[Σ Forges]]/(walls_forges_param*(OFFSET(TblImps[[#This Row],[Land]],1,0)-OFFSET(TblExplore[[#This Row],[Land Bonus]],1,0)*20)+15000)))*(1+(mason_bonus*TblConstr[[#This Row],[Tot Mas]]/TblConstr[[#This Row],[Land (2)]]))</f>
        <v>0</v>
      </c>
      <c r="AC116" s="315">
        <f ca="1">walls_forges_cap*(1-EXP(-TblImps[[#This Row],[Σ Walls]]/(walls_forges_param*(OFFSET(TblImps[[#This Row],[Land]],1,0)-OFFSET(TblExplore[[#This Row],[Land Bonus]],1,0)*20)+15000)))*(1+(mason_bonus*TblConstr[[#This Row],[Tot Mas]]/TblConstr[[#This Row],[Land (2)]]))</f>
        <v>0</v>
      </c>
      <c r="AD116" s="315">
        <f ca="1">harbor_towers_cap*(1-EXP(-TblImps[[#This Row],[Σ Irrigation]]/(harbor_towers_param*(OFFSET(TblImps[[#This Row],[Land]],1,0)-OFFSET(TblExplore[[#This Row],[Land Bonus]],1,0)*20)+15000)))*(1+(mason_bonus*TblConstr[[#This Row],[Tot Mas]]/TblConstr[[#This Row],[Land (2)]]))</f>
        <v>0</v>
      </c>
      <c r="AE116" s="150"/>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50"/>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50"/>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50"/>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50"/>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50"/>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50"/>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50"/>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50"/>
      <c r="BV11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62">
        <f>TblImps[[#This Row],[Login]]</f>
        <v>0</v>
      </c>
      <c r="BX116" s="145"/>
      <c r="BY116" s="321">
        <f ca="1">OFFSET(TblImps[[#This Row],[Real time]],-1,0)+1/24</f>
        <v>44815.416666666395</v>
      </c>
      <c r="BZ116" s="322">
        <f ca="1">OFFSET(TblImps[[#This Row],[Servertime]],-1,0)+1/24</f>
        <v>44815.666666666395</v>
      </c>
      <c r="CA116" s="57"/>
      <c r="CB116" s="320"/>
      <c r="CC116" s="320"/>
    </row>
    <row r="117" spans="1:81" x14ac:dyDescent="0.2">
      <c r="A117" s="230">
        <f ca="1">TblConstr[[#This Row],[Land]]</f>
        <v>250</v>
      </c>
      <c r="B117" s="150"/>
      <c r="C117" s="97">
        <f ca="1">TblProd[[#This Row],[Platinum]]</f>
        <v>720796</v>
      </c>
      <c r="D117" s="97">
        <f ca="1">TblProd[[#This Row],[Lumber]]</f>
        <v>72696</v>
      </c>
      <c r="E117" s="97">
        <f ca="1">TblProd[[#This Row],[Ore]]</f>
        <v>0</v>
      </c>
      <c r="F117" s="97">
        <f ca="1">TblProd[[#This Row],[Gems]]</f>
        <v>10000</v>
      </c>
      <c r="G117" s="162"/>
      <c r="H117" s="97">
        <f ca="1">TblMili[[#This Row],[Draftees]]</f>
        <v>626</v>
      </c>
      <c r="I117" s="188">
        <f ca="1">TblPop[[#This Row],[Employment]]</f>
        <v>1</v>
      </c>
      <c r="J117" s="188">
        <f ca="1">TblPop[[#This Row],[Total]]/TblPop[[#This Row],[Net max]]</f>
        <v>1</v>
      </c>
      <c r="K117" s="311">
        <f>TblRezone[[#This Row],[Hour]]</f>
        <v>114</v>
      </c>
      <c r="L117" s="312">
        <f ca="1">TblImps[[#This Row],[Real time]]</f>
        <v>44815.458333333059</v>
      </c>
      <c r="M117" s="62">
        <f>IF(ISERROR(TblImps[[#This Row],[algorithm]]),0,TblImps[[#This Row],[algorithm]]*1)</f>
        <v>0</v>
      </c>
      <c r="N117" s="97">
        <f ca="1">TblImps[[#This Row],[Land]]</f>
        <v>250</v>
      </c>
      <c r="O117" s="313" t="s">
        <v>4</v>
      </c>
      <c r="P117" s="314"/>
      <c r="Q117" s="313" t="s">
        <v>216</v>
      </c>
      <c r="R117" s="313" t="s">
        <v>7</v>
      </c>
      <c r="S117" s="314"/>
      <c r="T117" s="313" t="s">
        <v>216</v>
      </c>
      <c r="U117" s="313" t="s">
        <v>3</v>
      </c>
      <c r="V117" s="314"/>
      <c r="W117" s="313" t="s">
        <v>216</v>
      </c>
      <c r="X117" s="150"/>
      <c r="Y117" s="315">
        <f ca="1">science_cap*(1-EXP(-TblImps[[#This Row],[Σ Science]]/(science_param*(OFFSET(TblImps[[#This Row],[Land]],1,0)-OFFSET(TblExplore[[#This Row],[Land Bonus]],1,0)*20)+15000)))*(1+(mason_bonus*TblConstr[[#This Row],[Tot Mas]]/TblConstr[[#This Row],[Land (2)]]))</f>
        <v>0</v>
      </c>
      <c r="Z117" s="315">
        <f ca="1">keep_cap*(1-EXP(-TblImps[[#This Row],[Σ Keep]]/(keep_param*(OFFSET(TblImps[[#This Row],[Land]],1,0)-OFFSET(TblExplore[[#This Row],[Land Bonus]],1,0)*20)+15000)))*(1+(mason_bonus*TblConstr[[#This Row],[Tot Mas]]/TblConstr[[#This Row],[Land (2)]]))</f>
        <v>0</v>
      </c>
      <c r="AA117" s="315">
        <f ca="1">harbor_towers_cap*(1-EXP(-TblImps[[#This Row],[Σ Towers]]/(towers_param*(OFFSET(TblImps[[#This Row],[Land]],1,0)-OFFSET(TblExplore[[#This Row],[Land Bonus]],1,0)*20)+15000)))*(1+(mason_bonus*TblConstr[[#This Row],[Tot Mas]]/TblConstr[[#This Row],[Land (2)]]))</f>
        <v>0</v>
      </c>
      <c r="AB117" s="315">
        <f ca="1">walls_forges_cap*(1-EXP(-TblImps[[#This Row],[Σ Forges]]/(walls_forges_param*(OFFSET(TblImps[[#This Row],[Land]],1,0)-OFFSET(TblExplore[[#This Row],[Land Bonus]],1,0)*20)+15000)))*(1+(mason_bonus*TblConstr[[#This Row],[Tot Mas]]/TblConstr[[#This Row],[Land (2)]]))</f>
        <v>0</v>
      </c>
      <c r="AC117" s="315">
        <f ca="1">walls_forges_cap*(1-EXP(-TblImps[[#This Row],[Σ Walls]]/(walls_forges_param*(OFFSET(TblImps[[#This Row],[Land]],1,0)-OFFSET(TblExplore[[#This Row],[Land Bonus]],1,0)*20)+15000)))*(1+(mason_bonus*TblConstr[[#This Row],[Tot Mas]]/TblConstr[[#This Row],[Land (2)]]))</f>
        <v>0</v>
      </c>
      <c r="AD117" s="315">
        <f ca="1">harbor_towers_cap*(1-EXP(-TblImps[[#This Row],[Σ Irrigation]]/(harbor_towers_param*(OFFSET(TblImps[[#This Row],[Land]],1,0)-OFFSET(TblExplore[[#This Row],[Land Bonus]],1,0)*20)+15000)))*(1+(mason_bonus*TblConstr[[#This Row],[Tot Mas]]/TblConstr[[#This Row],[Land (2)]]))</f>
        <v>0</v>
      </c>
      <c r="AE117" s="150"/>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50"/>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50"/>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50"/>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50"/>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50"/>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50"/>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50"/>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50"/>
      <c r="BV11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62">
        <f>TblImps[[#This Row],[Login]]</f>
        <v>0</v>
      </c>
      <c r="BX117" s="145"/>
      <c r="BY117" s="321">
        <f ca="1">OFFSET(TblImps[[#This Row],[Real time]],-1,0)+1/24</f>
        <v>44815.458333333059</v>
      </c>
      <c r="BZ117" s="322">
        <f ca="1">OFFSET(TblImps[[#This Row],[Servertime]],-1,0)+1/24</f>
        <v>44815.708333333059</v>
      </c>
      <c r="CA117" s="57"/>
      <c r="CB117" s="320"/>
      <c r="CC117" s="320"/>
    </row>
    <row r="118" spans="1:81" x14ac:dyDescent="0.2">
      <c r="A118" s="230">
        <f ca="1">TblConstr[[#This Row],[Land]]</f>
        <v>250</v>
      </c>
      <c r="B118" s="150"/>
      <c r="C118" s="97">
        <f ca="1">TblProd[[#This Row],[Platinum]]</f>
        <v>726282</v>
      </c>
      <c r="D118" s="97">
        <f ca="1">TblProd[[#This Row],[Lumber]]</f>
        <v>72969</v>
      </c>
      <c r="E118" s="97">
        <f ca="1">TblProd[[#This Row],[Ore]]</f>
        <v>0</v>
      </c>
      <c r="F118" s="97">
        <f ca="1">TblProd[[#This Row],[Gems]]</f>
        <v>10000</v>
      </c>
      <c r="G118" s="162"/>
      <c r="H118" s="97">
        <f ca="1">TblMili[[#This Row],[Draftees]]</f>
        <v>626</v>
      </c>
      <c r="I118" s="188">
        <f ca="1">TblPop[[#This Row],[Employment]]</f>
        <v>1</v>
      </c>
      <c r="J118" s="188">
        <f ca="1">TblPop[[#This Row],[Total]]/TblPop[[#This Row],[Net max]]</f>
        <v>1</v>
      </c>
      <c r="K118" s="311">
        <f>TblRezone[[#This Row],[Hour]]</f>
        <v>115</v>
      </c>
      <c r="L118" s="312">
        <f ca="1">TblImps[[#This Row],[Real time]]</f>
        <v>44815.499999999724</v>
      </c>
      <c r="M118" s="62">
        <f>IF(ISERROR(TblImps[[#This Row],[algorithm]]),0,TblImps[[#This Row],[algorithm]]*1)</f>
        <v>0</v>
      </c>
      <c r="N118" s="97">
        <f ca="1">TblImps[[#This Row],[Land]]</f>
        <v>250</v>
      </c>
      <c r="O118" s="313" t="s">
        <v>4</v>
      </c>
      <c r="P118" s="314"/>
      <c r="Q118" s="313" t="s">
        <v>216</v>
      </c>
      <c r="R118" s="313" t="s">
        <v>7</v>
      </c>
      <c r="S118" s="314"/>
      <c r="T118" s="313" t="s">
        <v>216</v>
      </c>
      <c r="U118" s="313" t="s">
        <v>3</v>
      </c>
      <c r="V118" s="314"/>
      <c r="W118" s="313" t="s">
        <v>216</v>
      </c>
      <c r="X118" s="150"/>
      <c r="Y118" s="315">
        <f ca="1">science_cap*(1-EXP(-TblImps[[#This Row],[Σ Science]]/(science_param*(OFFSET(TblImps[[#This Row],[Land]],1,0)-OFFSET(TblExplore[[#This Row],[Land Bonus]],1,0)*20)+15000)))*(1+(mason_bonus*TblConstr[[#This Row],[Tot Mas]]/TblConstr[[#This Row],[Land (2)]]))</f>
        <v>0</v>
      </c>
      <c r="Z118" s="315">
        <f ca="1">keep_cap*(1-EXP(-TblImps[[#This Row],[Σ Keep]]/(keep_param*(OFFSET(TblImps[[#This Row],[Land]],1,0)-OFFSET(TblExplore[[#This Row],[Land Bonus]],1,0)*20)+15000)))*(1+(mason_bonus*TblConstr[[#This Row],[Tot Mas]]/TblConstr[[#This Row],[Land (2)]]))</f>
        <v>0</v>
      </c>
      <c r="AA118" s="315">
        <f ca="1">harbor_towers_cap*(1-EXP(-TblImps[[#This Row],[Σ Towers]]/(towers_param*(OFFSET(TblImps[[#This Row],[Land]],1,0)-OFFSET(TblExplore[[#This Row],[Land Bonus]],1,0)*20)+15000)))*(1+(mason_bonus*TblConstr[[#This Row],[Tot Mas]]/TblConstr[[#This Row],[Land (2)]]))</f>
        <v>0</v>
      </c>
      <c r="AB118" s="315">
        <f ca="1">walls_forges_cap*(1-EXP(-TblImps[[#This Row],[Σ Forges]]/(walls_forges_param*(OFFSET(TblImps[[#This Row],[Land]],1,0)-OFFSET(TblExplore[[#This Row],[Land Bonus]],1,0)*20)+15000)))*(1+(mason_bonus*TblConstr[[#This Row],[Tot Mas]]/TblConstr[[#This Row],[Land (2)]]))</f>
        <v>0</v>
      </c>
      <c r="AC118" s="315">
        <f ca="1">walls_forges_cap*(1-EXP(-TblImps[[#This Row],[Σ Walls]]/(walls_forges_param*(OFFSET(TblImps[[#This Row],[Land]],1,0)-OFFSET(TblExplore[[#This Row],[Land Bonus]],1,0)*20)+15000)))*(1+(mason_bonus*TblConstr[[#This Row],[Tot Mas]]/TblConstr[[#This Row],[Land (2)]]))</f>
        <v>0</v>
      </c>
      <c r="AD118" s="315">
        <f ca="1">harbor_towers_cap*(1-EXP(-TblImps[[#This Row],[Σ Irrigation]]/(harbor_towers_param*(OFFSET(TblImps[[#This Row],[Land]],1,0)-OFFSET(TblExplore[[#This Row],[Land Bonus]],1,0)*20)+15000)))*(1+(mason_bonus*TblConstr[[#This Row],[Tot Mas]]/TblConstr[[#This Row],[Land (2)]]))</f>
        <v>0</v>
      </c>
      <c r="AE118" s="150"/>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50"/>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50"/>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50"/>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50"/>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50"/>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50"/>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50"/>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50"/>
      <c r="BV11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62">
        <f>TblImps[[#This Row],[Login]]</f>
        <v>0</v>
      </c>
      <c r="BX118" s="145"/>
      <c r="BY118" s="321">
        <f ca="1">OFFSET(TblImps[[#This Row],[Real time]],-1,0)+1/24</f>
        <v>44815.499999999724</v>
      </c>
      <c r="BZ118" s="322">
        <f ca="1">OFFSET(TblImps[[#This Row],[Servertime]],-1,0)+1/24</f>
        <v>44815.749999999724</v>
      </c>
      <c r="CA118" s="57"/>
      <c r="CB118" s="320"/>
      <c r="CC118" s="320"/>
    </row>
    <row r="119" spans="1:81" x14ac:dyDescent="0.2">
      <c r="A119" s="230">
        <f ca="1">TblConstr[[#This Row],[Land]]</f>
        <v>250</v>
      </c>
      <c r="B119" s="150"/>
      <c r="C119" s="97">
        <f ca="1">TblProd[[#This Row],[Platinum]]</f>
        <v>731768</v>
      </c>
      <c r="D119" s="97">
        <f ca="1">TblProd[[#This Row],[Lumber]]</f>
        <v>73239</v>
      </c>
      <c r="E119" s="97">
        <f ca="1">TblProd[[#This Row],[Ore]]</f>
        <v>0</v>
      </c>
      <c r="F119" s="97">
        <f ca="1">TblProd[[#This Row],[Gems]]</f>
        <v>10000</v>
      </c>
      <c r="G119" s="162"/>
      <c r="H119" s="97">
        <f ca="1">TblMili[[#This Row],[Draftees]]</f>
        <v>626</v>
      </c>
      <c r="I119" s="188">
        <f ca="1">TblPop[[#This Row],[Employment]]</f>
        <v>1</v>
      </c>
      <c r="J119" s="188">
        <f ca="1">TblPop[[#This Row],[Total]]/TblPop[[#This Row],[Net max]]</f>
        <v>1</v>
      </c>
      <c r="K119" s="311">
        <f>TblRezone[[#This Row],[Hour]]</f>
        <v>116</v>
      </c>
      <c r="L119" s="312">
        <f ca="1">TblImps[[#This Row],[Real time]]</f>
        <v>44815.541666666388</v>
      </c>
      <c r="M119" s="62">
        <f>IF(ISERROR(TblImps[[#This Row],[algorithm]]),0,TblImps[[#This Row],[algorithm]]*1)</f>
        <v>0</v>
      </c>
      <c r="N119" s="97">
        <f ca="1">TblImps[[#This Row],[Land]]</f>
        <v>250</v>
      </c>
      <c r="O119" s="313" t="s">
        <v>4</v>
      </c>
      <c r="P119" s="314"/>
      <c r="Q119" s="313" t="s">
        <v>216</v>
      </c>
      <c r="R119" s="313" t="s">
        <v>7</v>
      </c>
      <c r="S119" s="314"/>
      <c r="T119" s="313" t="s">
        <v>216</v>
      </c>
      <c r="U119" s="313" t="s">
        <v>3</v>
      </c>
      <c r="V119" s="314"/>
      <c r="W119" s="313" t="s">
        <v>216</v>
      </c>
      <c r="X119" s="150"/>
      <c r="Y119" s="315">
        <f ca="1">science_cap*(1-EXP(-TblImps[[#This Row],[Σ Science]]/(science_param*(OFFSET(TblImps[[#This Row],[Land]],1,0)-OFFSET(TblExplore[[#This Row],[Land Bonus]],1,0)*20)+15000)))*(1+(mason_bonus*TblConstr[[#This Row],[Tot Mas]]/TblConstr[[#This Row],[Land (2)]]))</f>
        <v>0</v>
      </c>
      <c r="Z119" s="315">
        <f ca="1">keep_cap*(1-EXP(-TblImps[[#This Row],[Σ Keep]]/(keep_param*(OFFSET(TblImps[[#This Row],[Land]],1,0)-OFFSET(TblExplore[[#This Row],[Land Bonus]],1,0)*20)+15000)))*(1+(mason_bonus*TblConstr[[#This Row],[Tot Mas]]/TblConstr[[#This Row],[Land (2)]]))</f>
        <v>0</v>
      </c>
      <c r="AA119" s="315">
        <f ca="1">harbor_towers_cap*(1-EXP(-TblImps[[#This Row],[Σ Towers]]/(towers_param*(OFFSET(TblImps[[#This Row],[Land]],1,0)-OFFSET(TblExplore[[#This Row],[Land Bonus]],1,0)*20)+15000)))*(1+(mason_bonus*TblConstr[[#This Row],[Tot Mas]]/TblConstr[[#This Row],[Land (2)]]))</f>
        <v>0</v>
      </c>
      <c r="AB119" s="315">
        <f ca="1">walls_forges_cap*(1-EXP(-TblImps[[#This Row],[Σ Forges]]/(walls_forges_param*(OFFSET(TblImps[[#This Row],[Land]],1,0)-OFFSET(TblExplore[[#This Row],[Land Bonus]],1,0)*20)+15000)))*(1+(mason_bonus*TblConstr[[#This Row],[Tot Mas]]/TblConstr[[#This Row],[Land (2)]]))</f>
        <v>0</v>
      </c>
      <c r="AC119" s="315">
        <f ca="1">walls_forges_cap*(1-EXP(-TblImps[[#This Row],[Σ Walls]]/(walls_forges_param*(OFFSET(TblImps[[#This Row],[Land]],1,0)-OFFSET(TblExplore[[#This Row],[Land Bonus]],1,0)*20)+15000)))*(1+(mason_bonus*TblConstr[[#This Row],[Tot Mas]]/TblConstr[[#This Row],[Land (2)]]))</f>
        <v>0</v>
      </c>
      <c r="AD119" s="315">
        <f ca="1">harbor_towers_cap*(1-EXP(-TblImps[[#This Row],[Σ Irrigation]]/(harbor_towers_param*(OFFSET(TblImps[[#This Row],[Land]],1,0)-OFFSET(TblExplore[[#This Row],[Land Bonus]],1,0)*20)+15000)))*(1+(mason_bonus*TblConstr[[#This Row],[Tot Mas]]/TblConstr[[#This Row],[Land (2)]]))</f>
        <v>0</v>
      </c>
      <c r="AE119" s="150"/>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50"/>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50"/>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50"/>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50"/>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50"/>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50"/>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50"/>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50"/>
      <c r="BV11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62">
        <f>TblImps[[#This Row],[Login]]</f>
        <v>0</v>
      </c>
      <c r="BX119" s="145"/>
      <c r="BY119" s="321">
        <f ca="1">OFFSET(TblImps[[#This Row],[Real time]],-1,0)+1/24</f>
        <v>44815.541666666388</v>
      </c>
      <c r="BZ119" s="322">
        <f ca="1">OFFSET(TblImps[[#This Row],[Servertime]],-1,0)+1/24</f>
        <v>44815.791666666388</v>
      </c>
      <c r="CA119" s="57"/>
      <c r="CB119" s="320"/>
      <c r="CC119" s="320"/>
    </row>
    <row r="120" spans="1:81" x14ac:dyDescent="0.2">
      <c r="A120" s="230">
        <f ca="1">TblConstr[[#This Row],[Land]]</f>
        <v>250</v>
      </c>
      <c r="B120" s="150"/>
      <c r="C120" s="97">
        <f ca="1">TblProd[[#This Row],[Platinum]]</f>
        <v>737254</v>
      </c>
      <c r="D120" s="97">
        <f ca="1">TblProd[[#This Row],[Lumber]]</f>
        <v>73507</v>
      </c>
      <c r="E120" s="97">
        <f ca="1">TblProd[[#This Row],[Ore]]</f>
        <v>0</v>
      </c>
      <c r="F120" s="97">
        <f ca="1">TblProd[[#This Row],[Gems]]</f>
        <v>10000</v>
      </c>
      <c r="G120" s="162"/>
      <c r="H120" s="97">
        <f ca="1">TblMili[[#This Row],[Draftees]]</f>
        <v>626</v>
      </c>
      <c r="I120" s="188">
        <f ca="1">TblPop[[#This Row],[Employment]]</f>
        <v>1</v>
      </c>
      <c r="J120" s="188">
        <f ca="1">TblPop[[#This Row],[Total]]/TblPop[[#This Row],[Net max]]</f>
        <v>1</v>
      </c>
      <c r="K120" s="311">
        <f>TblRezone[[#This Row],[Hour]]</f>
        <v>117</v>
      </c>
      <c r="L120" s="312">
        <f ca="1">TblImps[[#This Row],[Real time]]</f>
        <v>44815.583333333052</v>
      </c>
      <c r="M120" s="62">
        <f>IF(ISERROR(TblImps[[#This Row],[algorithm]]),0,TblImps[[#This Row],[algorithm]]*1)</f>
        <v>0</v>
      </c>
      <c r="N120" s="97">
        <f ca="1">TblImps[[#This Row],[Land]]</f>
        <v>250</v>
      </c>
      <c r="O120" s="313" t="s">
        <v>4</v>
      </c>
      <c r="P120" s="314"/>
      <c r="Q120" s="313" t="s">
        <v>216</v>
      </c>
      <c r="R120" s="313" t="s">
        <v>7</v>
      </c>
      <c r="S120" s="314"/>
      <c r="T120" s="313" t="s">
        <v>216</v>
      </c>
      <c r="U120" s="313" t="s">
        <v>3</v>
      </c>
      <c r="V120" s="314"/>
      <c r="W120" s="313" t="s">
        <v>216</v>
      </c>
      <c r="X120" s="150"/>
      <c r="Y120" s="315">
        <f ca="1">science_cap*(1-EXP(-TblImps[[#This Row],[Σ Science]]/(science_param*(OFFSET(TblImps[[#This Row],[Land]],1,0)-OFFSET(TblExplore[[#This Row],[Land Bonus]],1,0)*20)+15000)))*(1+(mason_bonus*TblConstr[[#This Row],[Tot Mas]]/TblConstr[[#This Row],[Land (2)]]))</f>
        <v>0</v>
      </c>
      <c r="Z120" s="315">
        <f ca="1">keep_cap*(1-EXP(-TblImps[[#This Row],[Σ Keep]]/(keep_param*(OFFSET(TblImps[[#This Row],[Land]],1,0)-OFFSET(TblExplore[[#This Row],[Land Bonus]],1,0)*20)+15000)))*(1+(mason_bonus*TblConstr[[#This Row],[Tot Mas]]/TblConstr[[#This Row],[Land (2)]]))</f>
        <v>0</v>
      </c>
      <c r="AA120" s="315">
        <f ca="1">harbor_towers_cap*(1-EXP(-TblImps[[#This Row],[Σ Towers]]/(towers_param*(OFFSET(TblImps[[#This Row],[Land]],1,0)-OFFSET(TblExplore[[#This Row],[Land Bonus]],1,0)*20)+15000)))*(1+(mason_bonus*TblConstr[[#This Row],[Tot Mas]]/TblConstr[[#This Row],[Land (2)]]))</f>
        <v>0</v>
      </c>
      <c r="AB120" s="315">
        <f ca="1">walls_forges_cap*(1-EXP(-TblImps[[#This Row],[Σ Forges]]/(walls_forges_param*(OFFSET(TblImps[[#This Row],[Land]],1,0)-OFFSET(TblExplore[[#This Row],[Land Bonus]],1,0)*20)+15000)))*(1+(mason_bonus*TblConstr[[#This Row],[Tot Mas]]/TblConstr[[#This Row],[Land (2)]]))</f>
        <v>0</v>
      </c>
      <c r="AC120" s="315">
        <f ca="1">walls_forges_cap*(1-EXP(-TblImps[[#This Row],[Σ Walls]]/(walls_forges_param*(OFFSET(TblImps[[#This Row],[Land]],1,0)-OFFSET(TblExplore[[#This Row],[Land Bonus]],1,0)*20)+15000)))*(1+(mason_bonus*TblConstr[[#This Row],[Tot Mas]]/TblConstr[[#This Row],[Land (2)]]))</f>
        <v>0</v>
      </c>
      <c r="AD120" s="315">
        <f ca="1">harbor_towers_cap*(1-EXP(-TblImps[[#This Row],[Σ Irrigation]]/(harbor_towers_param*(OFFSET(TblImps[[#This Row],[Land]],1,0)-OFFSET(TblExplore[[#This Row],[Land Bonus]],1,0)*20)+15000)))*(1+(mason_bonus*TblConstr[[#This Row],[Tot Mas]]/TblConstr[[#This Row],[Land (2)]]))</f>
        <v>0</v>
      </c>
      <c r="AE120" s="150"/>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50"/>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50"/>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50"/>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50"/>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50"/>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50"/>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50"/>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50"/>
      <c r="BV12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62">
        <f>TblImps[[#This Row],[Login]]</f>
        <v>0</v>
      </c>
      <c r="BX120" s="145"/>
      <c r="BY120" s="321">
        <f ca="1">OFFSET(TblImps[[#This Row],[Real time]],-1,0)+1/24</f>
        <v>44815.583333333052</v>
      </c>
      <c r="BZ120" s="322">
        <f ca="1">OFFSET(TblImps[[#This Row],[Servertime]],-1,0)+1/24</f>
        <v>44815.833333333052</v>
      </c>
      <c r="CA120" s="57"/>
      <c r="CB120" s="320"/>
      <c r="CC120" s="320"/>
    </row>
    <row r="121" spans="1:81" x14ac:dyDescent="0.2">
      <c r="A121" s="230">
        <f ca="1">TblConstr[[#This Row],[Land]]</f>
        <v>250</v>
      </c>
      <c r="B121" s="150"/>
      <c r="C121" s="97">
        <f ca="1">TblProd[[#This Row],[Platinum]]</f>
        <v>742740</v>
      </c>
      <c r="D121" s="97">
        <f ca="1">TblProd[[#This Row],[Lumber]]</f>
        <v>73772</v>
      </c>
      <c r="E121" s="97">
        <f ca="1">TblProd[[#This Row],[Ore]]</f>
        <v>0</v>
      </c>
      <c r="F121" s="97">
        <f ca="1">TblProd[[#This Row],[Gems]]</f>
        <v>10000</v>
      </c>
      <c r="G121" s="162"/>
      <c r="H121" s="97">
        <f ca="1">TblMili[[#This Row],[Draftees]]</f>
        <v>626</v>
      </c>
      <c r="I121" s="188">
        <f ca="1">TblPop[[#This Row],[Employment]]</f>
        <v>1</v>
      </c>
      <c r="J121" s="188">
        <f ca="1">TblPop[[#This Row],[Total]]/TblPop[[#This Row],[Net max]]</f>
        <v>1</v>
      </c>
      <c r="K121" s="311">
        <f>TblRezone[[#This Row],[Hour]]</f>
        <v>118</v>
      </c>
      <c r="L121" s="312">
        <f ca="1">TblImps[[#This Row],[Real time]]</f>
        <v>44815.624999999716</v>
      </c>
      <c r="M121" s="62">
        <f>IF(ISERROR(TblImps[[#This Row],[algorithm]]),0,TblImps[[#This Row],[algorithm]]*1)</f>
        <v>0</v>
      </c>
      <c r="N121" s="97">
        <f ca="1">TblImps[[#This Row],[Land]]</f>
        <v>250</v>
      </c>
      <c r="O121" s="313" t="s">
        <v>4</v>
      </c>
      <c r="P121" s="314"/>
      <c r="Q121" s="313" t="s">
        <v>216</v>
      </c>
      <c r="R121" s="313" t="s">
        <v>7</v>
      </c>
      <c r="S121" s="314"/>
      <c r="T121" s="313" t="s">
        <v>216</v>
      </c>
      <c r="U121" s="313" t="s">
        <v>3</v>
      </c>
      <c r="V121" s="314"/>
      <c r="W121" s="313" t="s">
        <v>216</v>
      </c>
      <c r="X121" s="150"/>
      <c r="Y121" s="315">
        <f ca="1">science_cap*(1-EXP(-TblImps[[#This Row],[Σ Science]]/(science_param*(OFFSET(TblImps[[#This Row],[Land]],1,0)-OFFSET(TblExplore[[#This Row],[Land Bonus]],1,0)*20)+15000)))*(1+(mason_bonus*TblConstr[[#This Row],[Tot Mas]]/TblConstr[[#This Row],[Land (2)]]))</f>
        <v>0</v>
      </c>
      <c r="Z121" s="315">
        <f ca="1">keep_cap*(1-EXP(-TblImps[[#This Row],[Σ Keep]]/(keep_param*(OFFSET(TblImps[[#This Row],[Land]],1,0)-OFFSET(TblExplore[[#This Row],[Land Bonus]],1,0)*20)+15000)))*(1+(mason_bonus*TblConstr[[#This Row],[Tot Mas]]/TblConstr[[#This Row],[Land (2)]]))</f>
        <v>0</v>
      </c>
      <c r="AA121" s="315">
        <f ca="1">harbor_towers_cap*(1-EXP(-TblImps[[#This Row],[Σ Towers]]/(towers_param*(OFFSET(TblImps[[#This Row],[Land]],1,0)-OFFSET(TblExplore[[#This Row],[Land Bonus]],1,0)*20)+15000)))*(1+(mason_bonus*TblConstr[[#This Row],[Tot Mas]]/TblConstr[[#This Row],[Land (2)]]))</f>
        <v>0</v>
      </c>
      <c r="AB121" s="315">
        <f ca="1">walls_forges_cap*(1-EXP(-TblImps[[#This Row],[Σ Forges]]/(walls_forges_param*(OFFSET(TblImps[[#This Row],[Land]],1,0)-OFFSET(TblExplore[[#This Row],[Land Bonus]],1,0)*20)+15000)))*(1+(mason_bonus*TblConstr[[#This Row],[Tot Mas]]/TblConstr[[#This Row],[Land (2)]]))</f>
        <v>0</v>
      </c>
      <c r="AC121" s="315">
        <f ca="1">walls_forges_cap*(1-EXP(-TblImps[[#This Row],[Σ Walls]]/(walls_forges_param*(OFFSET(TblImps[[#This Row],[Land]],1,0)-OFFSET(TblExplore[[#This Row],[Land Bonus]],1,0)*20)+15000)))*(1+(mason_bonus*TblConstr[[#This Row],[Tot Mas]]/TblConstr[[#This Row],[Land (2)]]))</f>
        <v>0</v>
      </c>
      <c r="AD121" s="315">
        <f ca="1">harbor_towers_cap*(1-EXP(-TblImps[[#This Row],[Σ Irrigation]]/(harbor_towers_param*(OFFSET(TblImps[[#This Row],[Land]],1,0)-OFFSET(TblExplore[[#This Row],[Land Bonus]],1,0)*20)+15000)))*(1+(mason_bonus*TblConstr[[#This Row],[Tot Mas]]/TblConstr[[#This Row],[Land (2)]]))</f>
        <v>0</v>
      </c>
      <c r="AE121" s="150"/>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50"/>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50"/>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50"/>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50"/>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50"/>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50"/>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50"/>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50"/>
      <c r="BV12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62">
        <f>TblImps[[#This Row],[Login]]</f>
        <v>0</v>
      </c>
      <c r="BX121" s="145"/>
      <c r="BY121" s="321">
        <f ca="1">OFFSET(TblImps[[#This Row],[Real time]],-1,0)+1/24</f>
        <v>44815.624999999716</v>
      </c>
      <c r="BZ121" s="322">
        <f ca="1">OFFSET(TblImps[[#This Row],[Servertime]],-1,0)+1/24</f>
        <v>44815.874999999716</v>
      </c>
      <c r="CA121" s="57"/>
      <c r="CB121" s="320"/>
      <c r="CC121" s="320"/>
    </row>
    <row r="122" spans="1:81" x14ac:dyDescent="0.2">
      <c r="A122" s="230">
        <f ca="1">TblConstr[[#This Row],[Land]]</f>
        <v>250</v>
      </c>
      <c r="B122" s="150"/>
      <c r="C122" s="97">
        <f ca="1">TblProd[[#This Row],[Platinum]]</f>
        <v>748226</v>
      </c>
      <c r="D122" s="97">
        <f ca="1">TblProd[[#This Row],[Lumber]]</f>
        <v>74034</v>
      </c>
      <c r="E122" s="97">
        <f ca="1">TblProd[[#This Row],[Ore]]</f>
        <v>0</v>
      </c>
      <c r="F122" s="97">
        <f ca="1">TblProd[[#This Row],[Gems]]</f>
        <v>10000</v>
      </c>
      <c r="G122" s="162"/>
      <c r="H122" s="97">
        <f ca="1">TblMili[[#This Row],[Draftees]]</f>
        <v>626</v>
      </c>
      <c r="I122" s="188">
        <f ca="1">TblPop[[#This Row],[Employment]]</f>
        <v>1</v>
      </c>
      <c r="J122" s="188">
        <f ca="1">TblPop[[#This Row],[Total]]/TblPop[[#This Row],[Net max]]</f>
        <v>1</v>
      </c>
      <c r="K122" s="311">
        <f>TblRezone[[#This Row],[Hour]]</f>
        <v>119</v>
      </c>
      <c r="L122" s="312">
        <f ca="1">TblImps[[#This Row],[Real time]]</f>
        <v>44815.66666666638</v>
      </c>
      <c r="M122" s="62">
        <f>IF(ISERROR(TblImps[[#This Row],[algorithm]]),0,TblImps[[#This Row],[algorithm]]*1)</f>
        <v>0</v>
      </c>
      <c r="N122" s="97">
        <f ca="1">TblImps[[#This Row],[Land]]</f>
        <v>250</v>
      </c>
      <c r="O122" s="313" t="s">
        <v>4</v>
      </c>
      <c r="P122" s="314"/>
      <c r="Q122" s="313" t="s">
        <v>216</v>
      </c>
      <c r="R122" s="313" t="s">
        <v>7</v>
      </c>
      <c r="S122" s="314"/>
      <c r="T122" s="313" t="s">
        <v>216</v>
      </c>
      <c r="U122" s="313" t="s">
        <v>3</v>
      </c>
      <c r="V122" s="314"/>
      <c r="W122" s="313" t="s">
        <v>216</v>
      </c>
      <c r="X122" s="150"/>
      <c r="Y122" s="315">
        <f ca="1">science_cap*(1-EXP(-TblImps[[#This Row],[Σ Science]]/(science_param*(OFFSET(TblImps[[#This Row],[Land]],1,0)-OFFSET(TblExplore[[#This Row],[Land Bonus]],1,0)*20)+15000)))*(1+(mason_bonus*TblConstr[[#This Row],[Tot Mas]]/TblConstr[[#This Row],[Land (2)]]))</f>
        <v>0</v>
      </c>
      <c r="Z122" s="315">
        <f ca="1">keep_cap*(1-EXP(-TblImps[[#This Row],[Σ Keep]]/(keep_param*(OFFSET(TblImps[[#This Row],[Land]],1,0)-OFFSET(TblExplore[[#This Row],[Land Bonus]],1,0)*20)+15000)))*(1+(mason_bonus*TblConstr[[#This Row],[Tot Mas]]/TblConstr[[#This Row],[Land (2)]]))</f>
        <v>0</v>
      </c>
      <c r="AA122" s="315">
        <f ca="1">harbor_towers_cap*(1-EXP(-TblImps[[#This Row],[Σ Towers]]/(towers_param*(OFFSET(TblImps[[#This Row],[Land]],1,0)-OFFSET(TblExplore[[#This Row],[Land Bonus]],1,0)*20)+15000)))*(1+(mason_bonus*TblConstr[[#This Row],[Tot Mas]]/TblConstr[[#This Row],[Land (2)]]))</f>
        <v>0</v>
      </c>
      <c r="AB122" s="315">
        <f ca="1">walls_forges_cap*(1-EXP(-TblImps[[#This Row],[Σ Forges]]/(walls_forges_param*(OFFSET(TblImps[[#This Row],[Land]],1,0)-OFFSET(TblExplore[[#This Row],[Land Bonus]],1,0)*20)+15000)))*(1+(mason_bonus*TblConstr[[#This Row],[Tot Mas]]/TblConstr[[#This Row],[Land (2)]]))</f>
        <v>0</v>
      </c>
      <c r="AC122" s="315">
        <f ca="1">walls_forges_cap*(1-EXP(-TblImps[[#This Row],[Σ Walls]]/(walls_forges_param*(OFFSET(TblImps[[#This Row],[Land]],1,0)-OFFSET(TblExplore[[#This Row],[Land Bonus]],1,0)*20)+15000)))*(1+(mason_bonus*TblConstr[[#This Row],[Tot Mas]]/TblConstr[[#This Row],[Land (2)]]))</f>
        <v>0</v>
      </c>
      <c r="AD122" s="315">
        <f ca="1">harbor_towers_cap*(1-EXP(-TblImps[[#This Row],[Σ Irrigation]]/(harbor_towers_param*(OFFSET(TblImps[[#This Row],[Land]],1,0)-OFFSET(TblExplore[[#This Row],[Land Bonus]],1,0)*20)+15000)))*(1+(mason_bonus*TblConstr[[#This Row],[Tot Mas]]/TblConstr[[#This Row],[Land (2)]]))</f>
        <v>0</v>
      </c>
      <c r="AE122" s="150"/>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50"/>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50"/>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50"/>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50"/>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50"/>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50"/>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50"/>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50"/>
      <c r="BV12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62">
        <f>TblImps[[#This Row],[Login]]</f>
        <v>0</v>
      </c>
      <c r="BX122" s="145"/>
      <c r="BY122" s="321">
        <f ca="1">OFFSET(TblImps[[#This Row],[Real time]],-1,0)+1/24</f>
        <v>44815.66666666638</v>
      </c>
      <c r="BZ122" s="322">
        <f ca="1">OFFSET(TblImps[[#This Row],[Servertime]],-1,0)+1/24</f>
        <v>44815.91666666638</v>
      </c>
      <c r="CA122" s="57"/>
      <c r="CB122" s="320"/>
      <c r="CC122" s="320"/>
    </row>
    <row r="123" spans="1:81" x14ac:dyDescent="0.2">
      <c r="A123" s="230">
        <f ca="1">TblConstr[[#This Row],[Land]]</f>
        <v>250</v>
      </c>
      <c r="B123" s="150"/>
      <c r="C123" s="97">
        <f ca="1">TblProd[[#This Row],[Platinum]]</f>
        <v>753712</v>
      </c>
      <c r="D123" s="97">
        <f ca="1">TblProd[[#This Row],[Lumber]]</f>
        <v>74294</v>
      </c>
      <c r="E123" s="97">
        <f ca="1">TblProd[[#This Row],[Ore]]</f>
        <v>0</v>
      </c>
      <c r="F123" s="97">
        <f ca="1">TblProd[[#This Row],[Gems]]</f>
        <v>10000</v>
      </c>
      <c r="G123" s="162"/>
      <c r="H123" s="97">
        <f ca="1">TblMili[[#This Row],[Draftees]]</f>
        <v>626</v>
      </c>
      <c r="I123" s="188">
        <f ca="1">TblPop[[#This Row],[Employment]]</f>
        <v>1</v>
      </c>
      <c r="J123" s="188">
        <f ca="1">TblPop[[#This Row],[Total]]/TblPop[[#This Row],[Net max]]</f>
        <v>1</v>
      </c>
      <c r="K123" s="311">
        <f>TblRezone[[#This Row],[Hour]]</f>
        <v>120</v>
      </c>
      <c r="L123" s="312">
        <f ca="1">TblImps[[#This Row],[Real time]]</f>
        <v>44815.708333333045</v>
      </c>
      <c r="M123" s="62">
        <f>IF(ISERROR(TblImps[[#This Row],[algorithm]]),0,TblImps[[#This Row],[algorithm]]*1)</f>
        <v>0</v>
      </c>
      <c r="N123" s="97">
        <f ca="1">TblImps[[#This Row],[Land]]</f>
        <v>250</v>
      </c>
      <c r="O123" s="313" t="s">
        <v>4</v>
      </c>
      <c r="P123" s="314"/>
      <c r="Q123" s="313" t="s">
        <v>216</v>
      </c>
      <c r="R123" s="313" t="s">
        <v>7</v>
      </c>
      <c r="S123" s="314"/>
      <c r="T123" s="313" t="s">
        <v>216</v>
      </c>
      <c r="U123" s="313" t="s">
        <v>3</v>
      </c>
      <c r="V123" s="314"/>
      <c r="W123" s="313" t="s">
        <v>216</v>
      </c>
      <c r="X123" s="150"/>
      <c r="Y123" s="315">
        <f ca="1">science_cap*(1-EXP(-TblImps[[#This Row],[Σ Science]]/(science_param*(OFFSET(TblImps[[#This Row],[Land]],1,0)-OFFSET(TblExplore[[#This Row],[Land Bonus]],1,0)*20)+15000)))*(1+(mason_bonus*TblConstr[[#This Row],[Tot Mas]]/TblConstr[[#This Row],[Land (2)]]))</f>
        <v>0</v>
      </c>
      <c r="Z123" s="315">
        <f ca="1">keep_cap*(1-EXP(-TblImps[[#This Row],[Σ Keep]]/(keep_param*(OFFSET(TblImps[[#This Row],[Land]],1,0)-OFFSET(TblExplore[[#This Row],[Land Bonus]],1,0)*20)+15000)))*(1+(mason_bonus*TblConstr[[#This Row],[Tot Mas]]/TblConstr[[#This Row],[Land (2)]]))</f>
        <v>0</v>
      </c>
      <c r="AA123" s="315">
        <f ca="1">harbor_towers_cap*(1-EXP(-TblImps[[#This Row],[Σ Towers]]/(towers_param*(OFFSET(TblImps[[#This Row],[Land]],1,0)-OFFSET(TblExplore[[#This Row],[Land Bonus]],1,0)*20)+15000)))*(1+(mason_bonus*TblConstr[[#This Row],[Tot Mas]]/TblConstr[[#This Row],[Land (2)]]))</f>
        <v>0</v>
      </c>
      <c r="AB123" s="315">
        <f ca="1">walls_forges_cap*(1-EXP(-TblImps[[#This Row],[Σ Forges]]/(walls_forges_param*(OFFSET(TblImps[[#This Row],[Land]],1,0)-OFFSET(TblExplore[[#This Row],[Land Bonus]],1,0)*20)+15000)))*(1+(mason_bonus*TblConstr[[#This Row],[Tot Mas]]/TblConstr[[#This Row],[Land (2)]]))</f>
        <v>0</v>
      </c>
      <c r="AC123" s="315">
        <f ca="1">walls_forges_cap*(1-EXP(-TblImps[[#This Row],[Σ Walls]]/(walls_forges_param*(OFFSET(TblImps[[#This Row],[Land]],1,0)-OFFSET(TblExplore[[#This Row],[Land Bonus]],1,0)*20)+15000)))*(1+(mason_bonus*TblConstr[[#This Row],[Tot Mas]]/TblConstr[[#This Row],[Land (2)]]))</f>
        <v>0</v>
      </c>
      <c r="AD123" s="315">
        <f ca="1">harbor_towers_cap*(1-EXP(-TblImps[[#This Row],[Σ Irrigation]]/(harbor_towers_param*(OFFSET(TblImps[[#This Row],[Land]],1,0)-OFFSET(TblExplore[[#This Row],[Land Bonus]],1,0)*20)+15000)))*(1+(mason_bonus*TblConstr[[#This Row],[Tot Mas]]/TblConstr[[#This Row],[Land (2)]]))</f>
        <v>0</v>
      </c>
      <c r="AE123" s="150"/>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50"/>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50"/>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50"/>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50"/>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50"/>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50"/>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50"/>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50"/>
      <c r="BV12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62">
        <f>TblImps[[#This Row],[Login]]</f>
        <v>0</v>
      </c>
      <c r="BX123" s="145"/>
      <c r="BY123" s="321">
        <f ca="1">OFFSET(TblImps[[#This Row],[Real time]],-1,0)+1/24</f>
        <v>44815.708333333045</v>
      </c>
      <c r="BZ123" s="322">
        <f ca="1">OFFSET(TblImps[[#This Row],[Servertime]],-1,0)+1/24</f>
        <v>44815.958333333045</v>
      </c>
      <c r="CA123" s="57"/>
      <c r="CB123" s="320"/>
      <c r="CC123" s="320"/>
    </row>
    <row r="124" spans="1:81" x14ac:dyDescent="0.2">
      <c r="A124" s="230">
        <f ca="1">TblConstr[[#This Row],[Land]]</f>
        <v>250</v>
      </c>
      <c r="B124" s="150"/>
      <c r="C124" s="97">
        <f ca="1">TblProd[[#This Row],[Platinum]]</f>
        <v>759198</v>
      </c>
      <c r="D124" s="97">
        <f ca="1">TblProd[[#This Row],[Lumber]]</f>
        <v>74551</v>
      </c>
      <c r="E124" s="97">
        <f ca="1">TblProd[[#This Row],[Ore]]</f>
        <v>0</v>
      </c>
      <c r="F124" s="97">
        <f ca="1">TblProd[[#This Row],[Gems]]</f>
        <v>10000</v>
      </c>
      <c r="G124" s="162"/>
      <c r="H124" s="97">
        <f ca="1">TblMili[[#This Row],[Draftees]]</f>
        <v>626</v>
      </c>
      <c r="I124" s="188">
        <f ca="1">TblPop[[#This Row],[Employment]]</f>
        <v>1</v>
      </c>
      <c r="J124" s="188">
        <f ca="1">TblPop[[#This Row],[Total]]/TblPop[[#This Row],[Net max]]</f>
        <v>1</v>
      </c>
      <c r="K124" s="311">
        <f>TblRezone[[#This Row],[Hour]]</f>
        <v>121</v>
      </c>
      <c r="L124" s="312">
        <f ca="1">TblImps[[#This Row],[Real time]]</f>
        <v>44815.749999999709</v>
      </c>
      <c r="M124" s="62">
        <f>IF(ISERROR(TblImps[[#This Row],[algorithm]]),0,TblImps[[#This Row],[algorithm]]*1)</f>
        <v>0</v>
      </c>
      <c r="N124" s="97">
        <f ca="1">TblImps[[#This Row],[Land]]</f>
        <v>250</v>
      </c>
      <c r="O124" s="313" t="s">
        <v>4</v>
      </c>
      <c r="P124" s="314"/>
      <c r="Q124" s="313" t="s">
        <v>216</v>
      </c>
      <c r="R124" s="313" t="s">
        <v>7</v>
      </c>
      <c r="S124" s="314"/>
      <c r="T124" s="313" t="s">
        <v>216</v>
      </c>
      <c r="U124" s="313" t="s">
        <v>3</v>
      </c>
      <c r="V124" s="314"/>
      <c r="W124" s="313" t="s">
        <v>216</v>
      </c>
      <c r="X124" s="150"/>
      <c r="Y124" s="315">
        <f ca="1">science_cap*(1-EXP(-TblImps[[#This Row],[Σ Science]]/(science_param*(OFFSET(TblImps[[#This Row],[Land]],1,0)-OFFSET(TblExplore[[#This Row],[Land Bonus]],1,0)*20)+15000)))*(1+(mason_bonus*TblConstr[[#This Row],[Tot Mas]]/TblConstr[[#This Row],[Land (2)]]))</f>
        <v>0</v>
      </c>
      <c r="Z124" s="315">
        <f ca="1">keep_cap*(1-EXP(-TblImps[[#This Row],[Σ Keep]]/(keep_param*(OFFSET(TblImps[[#This Row],[Land]],1,0)-OFFSET(TblExplore[[#This Row],[Land Bonus]],1,0)*20)+15000)))*(1+(mason_bonus*TblConstr[[#This Row],[Tot Mas]]/TblConstr[[#This Row],[Land (2)]]))</f>
        <v>0</v>
      </c>
      <c r="AA124" s="315">
        <f ca="1">harbor_towers_cap*(1-EXP(-TblImps[[#This Row],[Σ Towers]]/(towers_param*(OFFSET(TblImps[[#This Row],[Land]],1,0)-OFFSET(TblExplore[[#This Row],[Land Bonus]],1,0)*20)+15000)))*(1+(mason_bonus*TblConstr[[#This Row],[Tot Mas]]/TblConstr[[#This Row],[Land (2)]]))</f>
        <v>0</v>
      </c>
      <c r="AB124" s="315">
        <f ca="1">walls_forges_cap*(1-EXP(-TblImps[[#This Row],[Σ Forges]]/(walls_forges_param*(OFFSET(TblImps[[#This Row],[Land]],1,0)-OFFSET(TblExplore[[#This Row],[Land Bonus]],1,0)*20)+15000)))*(1+(mason_bonus*TblConstr[[#This Row],[Tot Mas]]/TblConstr[[#This Row],[Land (2)]]))</f>
        <v>0</v>
      </c>
      <c r="AC124" s="315">
        <f ca="1">walls_forges_cap*(1-EXP(-TblImps[[#This Row],[Σ Walls]]/(walls_forges_param*(OFFSET(TblImps[[#This Row],[Land]],1,0)-OFFSET(TblExplore[[#This Row],[Land Bonus]],1,0)*20)+15000)))*(1+(mason_bonus*TblConstr[[#This Row],[Tot Mas]]/TblConstr[[#This Row],[Land (2)]]))</f>
        <v>0</v>
      </c>
      <c r="AD124" s="315">
        <f ca="1">harbor_towers_cap*(1-EXP(-TblImps[[#This Row],[Σ Irrigation]]/(harbor_towers_param*(OFFSET(TblImps[[#This Row],[Land]],1,0)-OFFSET(TblExplore[[#This Row],[Land Bonus]],1,0)*20)+15000)))*(1+(mason_bonus*TblConstr[[#This Row],[Tot Mas]]/TblConstr[[#This Row],[Land (2)]]))</f>
        <v>0</v>
      </c>
      <c r="AE124" s="150"/>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50"/>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50"/>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50"/>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50"/>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50"/>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50"/>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50"/>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50"/>
      <c r="BV12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62">
        <f>TblImps[[#This Row],[Login]]</f>
        <v>0</v>
      </c>
      <c r="BX124" s="145"/>
      <c r="BY124" s="321">
        <f ca="1">OFFSET(TblImps[[#This Row],[Real time]],-1,0)+1/24</f>
        <v>44815.749999999709</v>
      </c>
      <c r="BZ124" s="322">
        <f ca="1">OFFSET(TblImps[[#This Row],[Servertime]],-1,0)+1/24</f>
        <v>44815.999999999709</v>
      </c>
      <c r="CA124" s="57"/>
      <c r="CB124" s="320"/>
      <c r="CC124" s="320"/>
    </row>
    <row r="125" spans="1:81" x14ac:dyDescent="0.2">
      <c r="A125" s="230">
        <f ca="1">TblConstr[[#This Row],[Land]]</f>
        <v>250</v>
      </c>
      <c r="B125" s="150"/>
      <c r="C125" s="97">
        <f ca="1">TblProd[[#This Row],[Platinum]]</f>
        <v>764684</v>
      </c>
      <c r="D125" s="97">
        <f ca="1">TblProd[[#This Row],[Lumber]]</f>
        <v>74805</v>
      </c>
      <c r="E125" s="97">
        <f ca="1">TblProd[[#This Row],[Ore]]</f>
        <v>0</v>
      </c>
      <c r="F125" s="97">
        <f ca="1">TblProd[[#This Row],[Gems]]</f>
        <v>10000</v>
      </c>
      <c r="G125" s="162"/>
      <c r="H125" s="97">
        <f ca="1">TblMili[[#This Row],[Draftees]]</f>
        <v>626</v>
      </c>
      <c r="I125" s="188">
        <f ca="1">TblPop[[#This Row],[Employment]]</f>
        <v>1</v>
      </c>
      <c r="J125" s="188">
        <f ca="1">TblPop[[#This Row],[Total]]/TblPop[[#This Row],[Net max]]</f>
        <v>1</v>
      </c>
      <c r="K125" s="311">
        <f>TblRezone[[#This Row],[Hour]]</f>
        <v>122</v>
      </c>
      <c r="L125" s="312">
        <f ca="1">TblImps[[#This Row],[Real time]]</f>
        <v>44815.791666666373</v>
      </c>
      <c r="M125" s="62">
        <f>IF(ISERROR(TblImps[[#This Row],[algorithm]]),0,TblImps[[#This Row],[algorithm]]*1)</f>
        <v>0</v>
      </c>
      <c r="N125" s="97">
        <f ca="1">TblImps[[#This Row],[Land]]</f>
        <v>250</v>
      </c>
      <c r="O125" s="313" t="s">
        <v>4</v>
      </c>
      <c r="P125" s="314"/>
      <c r="Q125" s="313" t="s">
        <v>216</v>
      </c>
      <c r="R125" s="313" t="s">
        <v>7</v>
      </c>
      <c r="S125" s="314"/>
      <c r="T125" s="313" t="s">
        <v>216</v>
      </c>
      <c r="U125" s="313" t="s">
        <v>3</v>
      </c>
      <c r="V125" s="314"/>
      <c r="W125" s="313" t="s">
        <v>216</v>
      </c>
      <c r="X125" s="150"/>
      <c r="Y125" s="315">
        <f ca="1">science_cap*(1-EXP(-TblImps[[#This Row],[Σ Science]]/(science_param*(OFFSET(TblImps[[#This Row],[Land]],1,0)-OFFSET(TblExplore[[#This Row],[Land Bonus]],1,0)*20)+15000)))*(1+(mason_bonus*TblConstr[[#This Row],[Tot Mas]]/TblConstr[[#This Row],[Land (2)]]))</f>
        <v>0</v>
      </c>
      <c r="Z125" s="315">
        <f ca="1">keep_cap*(1-EXP(-TblImps[[#This Row],[Σ Keep]]/(keep_param*(OFFSET(TblImps[[#This Row],[Land]],1,0)-OFFSET(TblExplore[[#This Row],[Land Bonus]],1,0)*20)+15000)))*(1+(mason_bonus*TblConstr[[#This Row],[Tot Mas]]/TblConstr[[#This Row],[Land (2)]]))</f>
        <v>0</v>
      </c>
      <c r="AA125" s="315">
        <f ca="1">harbor_towers_cap*(1-EXP(-TblImps[[#This Row],[Σ Towers]]/(towers_param*(OFFSET(TblImps[[#This Row],[Land]],1,0)-OFFSET(TblExplore[[#This Row],[Land Bonus]],1,0)*20)+15000)))*(1+(mason_bonus*TblConstr[[#This Row],[Tot Mas]]/TblConstr[[#This Row],[Land (2)]]))</f>
        <v>0</v>
      </c>
      <c r="AB125" s="315">
        <f ca="1">walls_forges_cap*(1-EXP(-TblImps[[#This Row],[Σ Forges]]/(walls_forges_param*(OFFSET(TblImps[[#This Row],[Land]],1,0)-OFFSET(TblExplore[[#This Row],[Land Bonus]],1,0)*20)+15000)))*(1+(mason_bonus*TblConstr[[#This Row],[Tot Mas]]/TblConstr[[#This Row],[Land (2)]]))</f>
        <v>0</v>
      </c>
      <c r="AC125" s="315">
        <f ca="1">walls_forges_cap*(1-EXP(-TblImps[[#This Row],[Σ Walls]]/(walls_forges_param*(OFFSET(TblImps[[#This Row],[Land]],1,0)-OFFSET(TblExplore[[#This Row],[Land Bonus]],1,0)*20)+15000)))*(1+(mason_bonus*TblConstr[[#This Row],[Tot Mas]]/TblConstr[[#This Row],[Land (2)]]))</f>
        <v>0</v>
      </c>
      <c r="AD125" s="315">
        <f ca="1">harbor_towers_cap*(1-EXP(-TblImps[[#This Row],[Σ Irrigation]]/(harbor_towers_param*(OFFSET(TblImps[[#This Row],[Land]],1,0)-OFFSET(TblExplore[[#This Row],[Land Bonus]],1,0)*20)+15000)))*(1+(mason_bonus*TblConstr[[#This Row],[Tot Mas]]/TblConstr[[#This Row],[Land (2)]]))</f>
        <v>0</v>
      </c>
      <c r="AE125" s="150"/>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50"/>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50"/>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50"/>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50"/>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50"/>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50"/>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50"/>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50"/>
      <c r="BV12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62">
        <f>TblImps[[#This Row],[Login]]</f>
        <v>0</v>
      </c>
      <c r="BX125" s="145"/>
      <c r="BY125" s="321">
        <f ca="1">OFFSET(TblImps[[#This Row],[Real time]],-1,0)+1/24</f>
        <v>44815.791666666373</v>
      </c>
      <c r="BZ125" s="322">
        <f ca="1">OFFSET(TblImps[[#This Row],[Servertime]],-1,0)+1/24</f>
        <v>44816.041666666373</v>
      </c>
      <c r="CA125" s="57"/>
      <c r="CB125" s="320"/>
      <c r="CC125" s="320"/>
    </row>
    <row r="126" spans="1:81" x14ac:dyDescent="0.2">
      <c r="A126" s="230">
        <f ca="1">TblConstr[[#This Row],[Land]]</f>
        <v>250</v>
      </c>
      <c r="B126" s="150"/>
      <c r="C126" s="97">
        <f ca="1">TblProd[[#This Row],[Platinum]]</f>
        <v>770170</v>
      </c>
      <c r="D126" s="97">
        <f ca="1">TblProd[[#This Row],[Lumber]]</f>
        <v>75057</v>
      </c>
      <c r="E126" s="97">
        <f ca="1">TblProd[[#This Row],[Ore]]</f>
        <v>0</v>
      </c>
      <c r="F126" s="97">
        <f ca="1">TblProd[[#This Row],[Gems]]</f>
        <v>10000</v>
      </c>
      <c r="G126" s="162"/>
      <c r="H126" s="97">
        <f ca="1">TblMili[[#This Row],[Draftees]]</f>
        <v>626</v>
      </c>
      <c r="I126" s="188">
        <f ca="1">TblPop[[#This Row],[Employment]]</f>
        <v>1</v>
      </c>
      <c r="J126" s="188">
        <f ca="1">TblPop[[#This Row],[Total]]/TblPop[[#This Row],[Net max]]</f>
        <v>1</v>
      </c>
      <c r="K126" s="311">
        <f>TblRezone[[#This Row],[Hour]]</f>
        <v>123</v>
      </c>
      <c r="L126" s="312">
        <f ca="1">TblImps[[#This Row],[Real time]]</f>
        <v>44815.833333333037</v>
      </c>
      <c r="M126" s="62">
        <f>IF(ISERROR(TblImps[[#This Row],[algorithm]]),0,TblImps[[#This Row],[algorithm]]*1)</f>
        <v>0</v>
      </c>
      <c r="N126" s="97">
        <f ca="1">TblImps[[#This Row],[Land]]</f>
        <v>250</v>
      </c>
      <c r="O126" s="313" t="s">
        <v>4</v>
      </c>
      <c r="P126" s="314"/>
      <c r="Q126" s="313" t="s">
        <v>216</v>
      </c>
      <c r="R126" s="313" t="s">
        <v>7</v>
      </c>
      <c r="S126" s="314"/>
      <c r="T126" s="313" t="s">
        <v>216</v>
      </c>
      <c r="U126" s="313" t="s">
        <v>3</v>
      </c>
      <c r="V126" s="314"/>
      <c r="W126" s="313" t="s">
        <v>216</v>
      </c>
      <c r="X126" s="150"/>
      <c r="Y126" s="315">
        <f ca="1">science_cap*(1-EXP(-TblImps[[#This Row],[Σ Science]]/(science_param*(OFFSET(TblImps[[#This Row],[Land]],1,0)-OFFSET(TblExplore[[#This Row],[Land Bonus]],1,0)*20)+15000)))*(1+(mason_bonus*TblConstr[[#This Row],[Tot Mas]]/TblConstr[[#This Row],[Land (2)]]))</f>
        <v>0</v>
      </c>
      <c r="Z126" s="315">
        <f ca="1">keep_cap*(1-EXP(-TblImps[[#This Row],[Σ Keep]]/(keep_param*(OFFSET(TblImps[[#This Row],[Land]],1,0)-OFFSET(TblExplore[[#This Row],[Land Bonus]],1,0)*20)+15000)))*(1+(mason_bonus*TblConstr[[#This Row],[Tot Mas]]/TblConstr[[#This Row],[Land (2)]]))</f>
        <v>0</v>
      </c>
      <c r="AA126" s="315">
        <f ca="1">harbor_towers_cap*(1-EXP(-TblImps[[#This Row],[Σ Towers]]/(towers_param*(OFFSET(TblImps[[#This Row],[Land]],1,0)-OFFSET(TblExplore[[#This Row],[Land Bonus]],1,0)*20)+15000)))*(1+(mason_bonus*TblConstr[[#This Row],[Tot Mas]]/TblConstr[[#This Row],[Land (2)]]))</f>
        <v>0</v>
      </c>
      <c r="AB126" s="315">
        <f ca="1">walls_forges_cap*(1-EXP(-TblImps[[#This Row],[Σ Forges]]/(walls_forges_param*(OFFSET(TblImps[[#This Row],[Land]],1,0)-OFFSET(TblExplore[[#This Row],[Land Bonus]],1,0)*20)+15000)))*(1+(mason_bonus*TblConstr[[#This Row],[Tot Mas]]/TblConstr[[#This Row],[Land (2)]]))</f>
        <v>0</v>
      </c>
      <c r="AC126" s="315">
        <f ca="1">walls_forges_cap*(1-EXP(-TblImps[[#This Row],[Σ Walls]]/(walls_forges_param*(OFFSET(TblImps[[#This Row],[Land]],1,0)-OFFSET(TblExplore[[#This Row],[Land Bonus]],1,0)*20)+15000)))*(1+(mason_bonus*TblConstr[[#This Row],[Tot Mas]]/TblConstr[[#This Row],[Land (2)]]))</f>
        <v>0</v>
      </c>
      <c r="AD126" s="315">
        <f ca="1">harbor_towers_cap*(1-EXP(-TblImps[[#This Row],[Σ Irrigation]]/(harbor_towers_param*(OFFSET(TblImps[[#This Row],[Land]],1,0)-OFFSET(TblExplore[[#This Row],[Land Bonus]],1,0)*20)+15000)))*(1+(mason_bonus*TblConstr[[#This Row],[Tot Mas]]/TblConstr[[#This Row],[Land (2)]]))</f>
        <v>0</v>
      </c>
      <c r="AE126" s="150"/>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50"/>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50"/>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50"/>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50"/>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50"/>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50"/>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50"/>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50"/>
      <c r="BV12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62">
        <f>TblImps[[#This Row],[Login]]</f>
        <v>0</v>
      </c>
      <c r="BX126" s="145"/>
      <c r="BY126" s="321">
        <f ca="1">OFFSET(TblImps[[#This Row],[Real time]],-1,0)+1/24</f>
        <v>44815.833333333037</v>
      </c>
      <c r="BZ126" s="322">
        <f ca="1">OFFSET(TblImps[[#This Row],[Servertime]],-1,0)+1/24</f>
        <v>44816.083333333037</v>
      </c>
      <c r="CA126" s="57"/>
      <c r="CB126" s="320"/>
      <c r="CC126" s="320"/>
    </row>
    <row r="127" spans="1:81" x14ac:dyDescent="0.2">
      <c r="A127" s="230">
        <f ca="1">TblConstr[[#This Row],[Land]]</f>
        <v>250</v>
      </c>
      <c r="B127" s="150"/>
      <c r="C127" s="97">
        <f ca="1">TblProd[[#This Row],[Platinum]]</f>
        <v>775656</v>
      </c>
      <c r="D127" s="97">
        <f ca="1">TblProd[[#This Row],[Lumber]]</f>
        <v>75306</v>
      </c>
      <c r="E127" s="97">
        <f ca="1">TblProd[[#This Row],[Ore]]</f>
        <v>0</v>
      </c>
      <c r="F127" s="97">
        <f ca="1">TblProd[[#This Row],[Gems]]</f>
        <v>10000</v>
      </c>
      <c r="G127" s="162"/>
      <c r="H127" s="97">
        <f ca="1">TblMili[[#This Row],[Draftees]]</f>
        <v>626</v>
      </c>
      <c r="I127" s="188">
        <f ca="1">TblPop[[#This Row],[Employment]]</f>
        <v>1</v>
      </c>
      <c r="J127" s="188">
        <f ca="1">TblPop[[#This Row],[Total]]/TblPop[[#This Row],[Net max]]</f>
        <v>1</v>
      </c>
      <c r="K127" s="311">
        <f>TblRezone[[#This Row],[Hour]]</f>
        <v>124</v>
      </c>
      <c r="L127" s="312">
        <f ca="1">TblImps[[#This Row],[Real time]]</f>
        <v>44815.874999999702</v>
      </c>
      <c r="M127" s="62">
        <f>IF(ISERROR(TblImps[[#This Row],[algorithm]]),0,TblImps[[#This Row],[algorithm]]*1)</f>
        <v>0</v>
      </c>
      <c r="N127" s="97">
        <f ca="1">TblImps[[#This Row],[Land]]</f>
        <v>250</v>
      </c>
      <c r="O127" s="313" t="s">
        <v>4</v>
      </c>
      <c r="P127" s="314"/>
      <c r="Q127" s="313" t="s">
        <v>216</v>
      </c>
      <c r="R127" s="313" t="s">
        <v>7</v>
      </c>
      <c r="S127" s="314"/>
      <c r="T127" s="313" t="s">
        <v>216</v>
      </c>
      <c r="U127" s="313" t="s">
        <v>3</v>
      </c>
      <c r="V127" s="314"/>
      <c r="W127" s="313" t="s">
        <v>216</v>
      </c>
      <c r="X127" s="150"/>
      <c r="Y127" s="315">
        <f ca="1">science_cap*(1-EXP(-TblImps[[#This Row],[Σ Science]]/(science_param*(OFFSET(TblImps[[#This Row],[Land]],1,0)-OFFSET(TblExplore[[#This Row],[Land Bonus]],1,0)*20)+15000)))*(1+(mason_bonus*TblConstr[[#This Row],[Tot Mas]]/TblConstr[[#This Row],[Land (2)]]))</f>
        <v>0</v>
      </c>
      <c r="Z127" s="315">
        <f ca="1">keep_cap*(1-EXP(-TblImps[[#This Row],[Σ Keep]]/(keep_param*(OFFSET(TblImps[[#This Row],[Land]],1,0)-OFFSET(TblExplore[[#This Row],[Land Bonus]],1,0)*20)+15000)))*(1+(mason_bonus*TblConstr[[#This Row],[Tot Mas]]/TblConstr[[#This Row],[Land (2)]]))</f>
        <v>0</v>
      </c>
      <c r="AA127" s="315">
        <f ca="1">harbor_towers_cap*(1-EXP(-TblImps[[#This Row],[Σ Towers]]/(towers_param*(OFFSET(TblImps[[#This Row],[Land]],1,0)-OFFSET(TblExplore[[#This Row],[Land Bonus]],1,0)*20)+15000)))*(1+(mason_bonus*TblConstr[[#This Row],[Tot Mas]]/TblConstr[[#This Row],[Land (2)]]))</f>
        <v>0</v>
      </c>
      <c r="AB127" s="315">
        <f ca="1">walls_forges_cap*(1-EXP(-TblImps[[#This Row],[Σ Forges]]/(walls_forges_param*(OFFSET(TblImps[[#This Row],[Land]],1,0)-OFFSET(TblExplore[[#This Row],[Land Bonus]],1,0)*20)+15000)))*(1+(mason_bonus*TblConstr[[#This Row],[Tot Mas]]/TblConstr[[#This Row],[Land (2)]]))</f>
        <v>0</v>
      </c>
      <c r="AC127" s="315">
        <f ca="1">walls_forges_cap*(1-EXP(-TblImps[[#This Row],[Σ Walls]]/(walls_forges_param*(OFFSET(TblImps[[#This Row],[Land]],1,0)-OFFSET(TblExplore[[#This Row],[Land Bonus]],1,0)*20)+15000)))*(1+(mason_bonus*TblConstr[[#This Row],[Tot Mas]]/TblConstr[[#This Row],[Land (2)]]))</f>
        <v>0</v>
      </c>
      <c r="AD127" s="315">
        <f ca="1">harbor_towers_cap*(1-EXP(-TblImps[[#This Row],[Σ Irrigation]]/(harbor_towers_param*(OFFSET(TblImps[[#This Row],[Land]],1,0)-OFFSET(TblExplore[[#This Row],[Land Bonus]],1,0)*20)+15000)))*(1+(mason_bonus*TblConstr[[#This Row],[Tot Mas]]/TblConstr[[#This Row],[Land (2)]]))</f>
        <v>0</v>
      </c>
      <c r="AE127" s="150"/>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50"/>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50"/>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50"/>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50"/>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50"/>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50"/>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50"/>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50"/>
      <c r="BV127"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62">
        <f>TblImps[[#This Row],[Login]]</f>
        <v>0</v>
      </c>
      <c r="BX127" s="145"/>
      <c r="BY127" s="321">
        <f ca="1">OFFSET(TblImps[[#This Row],[Real time]],-1,0)+1/24</f>
        <v>44815.874999999702</v>
      </c>
      <c r="BZ127" s="322">
        <f ca="1">OFFSET(TblImps[[#This Row],[Servertime]],-1,0)+1/24</f>
        <v>44816.124999999702</v>
      </c>
      <c r="CA127" s="57"/>
      <c r="CB127" s="320"/>
      <c r="CC127" s="320"/>
    </row>
    <row r="128" spans="1:81" x14ac:dyDescent="0.2">
      <c r="A128" s="230">
        <f ca="1">TblConstr[[#This Row],[Land]]</f>
        <v>250</v>
      </c>
      <c r="B128" s="150"/>
      <c r="C128" s="97">
        <f ca="1">TblProd[[#This Row],[Platinum]]</f>
        <v>781142</v>
      </c>
      <c r="D128" s="97">
        <f ca="1">TblProd[[#This Row],[Lumber]]</f>
        <v>75553</v>
      </c>
      <c r="E128" s="97">
        <f ca="1">TblProd[[#This Row],[Ore]]</f>
        <v>0</v>
      </c>
      <c r="F128" s="97">
        <f ca="1">TblProd[[#This Row],[Gems]]</f>
        <v>10000</v>
      </c>
      <c r="G128" s="162"/>
      <c r="H128" s="97">
        <f ca="1">TblMili[[#This Row],[Draftees]]</f>
        <v>626</v>
      </c>
      <c r="I128" s="188">
        <f ca="1">TblPop[[#This Row],[Employment]]</f>
        <v>1</v>
      </c>
      <c r="J128" s="188">
        <f ca="1">TblPop[[#This Row],[Total]]/TblPop[[#This Row],[Net max]]</f>
        <v>1</v>
      </c>
      <c r="K128" s="311">
        <f>TblRezone[[#This Row],[Hour]]</f>
        <v>125</v>
      </c>
      <c r="L128" s="312">
        <f ca="1">TblImps[[#This Row],[Real time]]</f>
        <v>44815.916666666366</v>
      </c>
      <c r="M128" s="62">
        <f>IF(ISERROR(TblImps[[#This Row],[algorithm]]),0,TblImps[[#This Row],[algorithm]]*1)</f>
        <v>0</v>
      </c>
      <c r="N128" s="97">
        <f ca="1">TblImps[[#This Row],[Land]]</f>
        <v>250</v>
      </c>
      <c r="O128" s="313" t="s">
        <v>4</v>
      </c>
      <c r="P128" s="314"/>
      <c r="Q128" s="313" t="s">
        <v>216</v>
      </c>
      <c r="R128" s="313" t="s">
        <v>7</v>
      </c>
      <c r="S128" s="314"/>
      <c r="T128" s="313" t="s">
        <v>216</v>
      </c>
      <c r="U128" s="313" t="s">
        <v>3</v>
      </c>
      <c r="V128" s="314"/>
      <c r="W128" s="313" t="s">
        <v>216</v>
      </c>
      <c r="X128" s="150"/>
      <c r="Y128" s="315">
        <f ca="1">science_cap*(1-EXP(-TblImps[[#This Row],[Σ Science]]/(science_param*(OFFSET(TblImps[[#This Row],[Land]],1,0)-OFFSET(TblExplore[[#This Row],[Land Bonus]],1,0)*20)+15000)))*(1+(mason_bonus*TblConstr[[#This Row],[Tot Mas]]/TblConstr[[#This Row],[Land (2)]]))</f>
        <v>0</v>
      </c>
      <c r="Z128" s="315">
        <f ca="1">keep_cap*(1-EXP(-TblImps[[#This Row],[Σ Keep]]/(keep_param*(OFFSET(TblImps[[#This Row],[Land]],1,0)-OFFSET(TblExplore[[#This Row],[Land Bonus]],1,0)*20)+15000)))*(1+(mason_bonus*TblConstr[[#This Row],[Tot Mas]]/TblConstr[[#This Row],[Land (2)]]))</f>
        <v>0</v>
      </c>
      <c r="AA128" s="315">
        <f ca="1">harbor_towers_cap*(1-EXP(-TblImps[[#This Row],[Σ Towers]]/(towers_param*(OFFSET(TblImps[[#This Row],[Land]],1,0)-OFFSET(TblExplore[[#This Row],[Land Bonus]],1,0)*20)+15000)))*(1+(mason_bonus*TblConstr[[#This Row],[Tot Mas]]/TblConstr[[#This Row],[Land (2)]]))</f>
        <v>0</v>
      </c>
      <c r="AB128" s="315">
        <f ca="1">walls_forges_cap*(1-EXP(-TblImps[[#This Row],[Σ Forges]]/(walls_forges_param*(OFFSET(TblImps[[#This Row],[Land]],1,0)-OFFSET(TblExplore[[#This Row],[Land Bonus]],1,0)*20)+15000)))*(1+(mason_bonus*TblConstr[[#This Row],[Tot Mas]]/TblConstr[[#This Row],[Land (2)]]))</f>
        <v>0</v>
      </c>
      <c r="AC128" s="315">
        <f ca="1">walls_forges_cap*(1-EXP(-TblImps[[#This Row],[Σ Walls]]/(walls_forges_param*(OFFSET(TblImps[[#This Row],[Land]],1,0)-OFFSET(TblExplore[[#This Row],[Land Bonus]],1,0)*20)+15000)))*(1+(mason_bonus*TblConstr[[#This Row],[Tot Mas]]/TblConstr[[#This Row],[Land (2)]]))</f>
        <v>0</v>
      </c>
      <c r="AD128" s="315">
        <f ca="1">harbor_towers_cap*(1-EXP(-TblImps[[#This Row],[Σ Irrigation]]/(harbor_towers_param*(OFFSET(TblImps[[#This Row],[Land]],1,0)-OFFSET(TblExplore[[#This Row],[Land Bonus]],1,0)*20)+15000)))*(1+(mason_bonus*TblConstr[[#This Row],[Tot Mas]]/TblConstr[[#This Row],[Land (2)]]))</f>
        <v>0</v>
      </c>
      <c r="AE128" s="150"/>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50"/>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50"/>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50"/>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50"/>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50"/>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50"/>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50"/>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50"/>
      <c r="BV128"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62">
        <f>TblImps[[#This Row],[Login]]</f>
        <v>0</v>
      </c>
      <c r="BX128" s="145"/>
      <c r="BY128" s="321">
        <f ca="1">OFFSET(TblImps[[#This Row],[Real time]],-1,0)+1/24</f>
        <v>44815.916666666366</v>
      </c>
      <c r="BZ128" s="322">
        <f ca="1">OFFSET(TblImps[[#This Row],[Servertime]],-1,0)+1/24</f>
        <v>44816.166666666366</v>
      </c>
      <c r="CA128" s="57"/>
      <c r="CB128" s="320"/>
      <c r="CC128" s="320"/>
    </row>
    <row r="129" spans="1:81" x14ac:dyDescent="0.2">
      <c r="A129" s="230">
        <f ca="1">TblConstr[[#This Row],[Land]]</f>
        <v>250</v>
      </c>
      <c r="B129" s="150"/>
      <c r="C129" s="97">
        <f ca="1">TblProd[[#This Row],[Platinum]]</f>
        <v>786628</v>
      </c>
      <c r="D129" s="97">
        <f ca="1">TblProd[[#This Row],[Lumber]]</f>
        <v>75797</v>
      </c>
      <c r="E129" s="97">
        <f ca="1">TblProd[[#This Row],[Ore]]</f>
        <v>0</v>
      </c>
      <c r="F129" s="97">
        <f ca="1">TblProd[[#This Row],[Gems]]</f>
        <v>10000</v>
      </c>
      <c r="G129" s="162"/>
      <c r="H129" s="97">
        <f ca="1">TblMili[[#This Row],[Draftees]]</f>
        <v>626</v>
      </c>
      <c r="I129" s="188">
        <f ca="1">TblPop[[#This Row],[Employment]]</f>
        <v>1</v>
      </c>
      <c r="J129" s="188">
        <f ca="1">TblPop[[#This Row],[Total]]/TblPop[[#This Row],[Net max]]</f>
        <v>1</v>
      </c>
      <c r="K129" s="311">
        <f>TblRezone[[#This Row],[Hour]]</f>
        <v>126</v>
      </c>
      <c r="L129" s="312">
        <f ca="1">TblImps[[#This Row],[Real time]]</f>
        <v>44815.95833333303</v>
      </c>
      <c r="M129" s="62">
        <f>IF(ISERROR(TblImps[[#This Row],[algorithm]]),0,TblImps[[#This Row],[algorithm]]*1)</f>
        <v>0</v>
      </c>
      <c r="N129" s="97">
        <f ca="1">TblImps[[#This Row],[Land]]</f>
        <v>250</v>
      </c>
      <c r="O129" s="313" t="s">
        <v>4</v>
      </c>
      <c r="P129" s="314"/>
      <c r="Q129" s="313" t="s">
        <v>216</v>
      </c>
      <c r="R129" s="313" t="s">
        <v>7</v>
      </c>
      <c r="S129" s="314"/>
      <c r="T129" s="313" t="s">
        <v>216</v>
      </c>
      <c r="U129" s="313" t="s">
        <v>3</v>
      </c>
      <c r="V129" s="314"/>
      <c r="W129" s="313" t="s">
        <v>216</v>
      </c>
      <c r="X129" s="150"/>
      <c r="Y129" s="315">
        <f ca="1">science_cap*(1-EXP(-TblImps[[#This Row],[Σ Science]]/(science_param*(OFFSET(TblImps[[#This Row],[Land]],1,0)-OFFSET(TblExplore[[#This Row],[Land Bonus]],1,0)*20)+15000)))*(1+(mason_bonus*TblConstr[[#This Row],[Tot Mas]]/TblConstr[[#This Row],[Land (2)]]))</f>
        <v>0</v>
      </c>
      <c r="Z129" s="315">
        <f ca="1">keep_cap*(1-EXP(-TblImps[[#This Row],[Σ Keep]]/(keep_param*(OFFSET(TblImps[[#This Row],[Land]],1,0)-OFFSET(TblExplore[[#This Row],[Land Bonus]],1,0)*20)+15000)))*(1+(mason_bonus*TblConstr[[#This Row],[Tot Mas]]/TblConstr[[#This Row],[Land (2)]]))</f>
        <v>0</v>
      </c>
      <c r="AA129" s="315">
        <f ca="1">harbor_towers_cap*(1-EXP(-TblImps[[#This Row],[Σ Towers]]/(towers_param*(OFFSET(TblImps[[#This Row],[Land]],1,0)-OFFSET(TblExplore[[#This Row],[Land Bonus]],1,0)*20)+15000)))*(1+(mason_bonus*TblConstr[[#This Row],[Tot Mas]]/TblConstr[[#This Row],[Land (2)]]))</f>
        <v>0</v>
      </c>
      <c r="AB129" s="315">
        <f ca="1">walls_forges_cap*(1-EXP(-TblImps[[#This Row],[Σ Forges]]/(walls_forges_param*(OFFSET(TblImps[[#This Row],[Land]],1,0)-OFFSET(TblExplore[[#This Row],[Land Bonus]],1,0)*20)+15000)))*(1+(mason_bonus*TblConstr[[#This Row],[Tot Mas]]/TblConstr[[#This Row],[Land (2)]]))</f>
        <v>0</v>
      </c>
      <c r="AC129" s="315">
        <f ca="1">walls_forges_cap*(1-EXP(-TblImps[[#This Row],[Σ Walls]]/(walls_forges_param*(OFFSET(TblImps[[#This Row],[Land]],1,0)-OFFSET(TblExplore[[#This Row],[Land Bonus]],1,0)*20)+15000)))*(1+(mason_bonus*TblConstr[[#This Row],[Tot Mas]]/TblConstr[[#This Row],[Land (2)]]))</f>
        <v>0</v>
      </c>
      <c r="AD129" s="315">
        <f ca="1">harbor_towers_cap*(1-EXP(-TblImps[[#This Row],[Σ Irrigation]]/(harbor_towers_param*(OFFSET(TblImps[[#This Row],[Land]],1,0)-OFFSET(TblExplore[[#This Row],[Land Bonus]],1,0)*20)+15000)))*(1+(mason_bonus*TblConstr[[#This Row],[Tot Mas]]/TblConstr[[#This Row],[Land (2)]]))</f>
        <v>0</v>
      </c>
      <c r="AE129" s="150"/>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50"/>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50"/>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50"/>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50"/>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50"/>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50"/>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50"/>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50"/>
      <c r="BV129"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62">
        <f>TblImps[[#This Row],[Login]]</f>
        <v>0</v>
      </c>
      <c r="BX129" s="145"/>
      <c r="BY129" s="321">
        <f ca="1">OFFSET(TblImps[[#This Row],[Real time]],-1,0)+1/24</f>
        <v>44815.95833333303</v>
      </c>
      <c r="BZ129" s="322">
        <f ca="1">OFFSET(TblImps[[#This Row],[Servertime]],-1,0)+1/24</f>
        <v>44816.20833333303</v>
      </c>
      <c r="CA129" s="57"/>
      <c r="CB129" s="320"/>
      <c r="CC129" s="320"/>
    </row>
    <row r="130" spans="1:81" x14ac:dyDescent="0.2">
      <c r="A130" s="230">
        <f ca="1">TblConstr[[#This Row],[Land]]</f>
        <v>250</v>
      </c>
      <c r="B130" s="150"/>
      <c r="C130" s="97">
        <f ca="1">TblProd[[#This Row],[Platinum]]</f>
        <v>792114</v>
      </c>
      <c r="D130" s="97">
        <f ca="1">TblProd[[#This Row],[Lumber]]</f>
        <v>76039</v>
      </c>
      <c r="E130" s="97">
        <f ca="1">TblProd[[#This Row],[Ore]]</f>
        <v>0</v>
      </c>
      <c r="F130" s="97">
        <f ca="1">TblProd[[#This Row],[Gems]]</f>
        <v>10000</v>
      </c>
      <c r="G130" s="162"/>
      <c r="H130" s="97">
        <f ca="1">TblMili[[#This Row],[Draftees]]</f>
        <v>626</v>
      </c>
      <c r="I130" s="188">
        <f ca="1">TblPop[[#This Row],[Employment]]</f>
        <v>1</v>
      </c>
      <c r="J130" s="188">
        <f ca="1">TblPop[[#This Row],[Total]]/TblPop[[#This Row],[Net max]]</f>
        <v>1</v>
      </c>
      <c r="K130" s="311">
        <f>TblRezone[[#This Row],[Hour]]</f>
        <v>127</v>
      </c>
      <c r="L130" s="312">
        <f ca="1">TblImps[[#This Row],[Real time]]</f>
        <v>44815.999999999694</v>
      </c>
      <c r="M130" s="62">
        <f>IF(ISERROR(TblImps[[#This Row],[algorithm]]),0,TblImps[[#This Row],[algorithm]]*1)</f>
        <v>0</v>
      </c>
      <c r="N130" s="97">
        <f ca="1">TblImps[[#This Row],[Land]]</f>
        <v>250</v>
      </c>
      <c r="O130" s="313" t="s">
        <v>4</v>
      </c>
      <c r="P130" s="314"/>
      <c r="Q130" s="313" t="s">
        <v>216</v>
      </c>
      <c r="R130" s="313" t="s">
        <v>7</v>
      </c>
      <c r="S130" s="314"/>
      <c r="T130" s="313" t="s">
        <v>216</v>
      </c>
      <c r="U130" s="313" t="s">
        <v>3</v>
      </c>
      <c r="V130" s="314"/>
      <c r="W130" s="313" t="s">
        <v>216</v>
      </c>
      <c r="X130" s="150"/>
      <c r="Y130" s="315">
        <f ca="1">science_cap*(1-EXP(-TblImps[[#This Row],[Σ Science]]/(science_param*(OFFSET(TblImps[[#This Row],[Land]],1,0)-OFFSET(TblExplore[[#This Row],[Land Bonus]],1,0)*20)+15000)))*(1+(mason_bonus*TblConstr[[#This Row],[Tot Mas]]/TblConstr[[#This Row],[Land (2)]]))</f>
        <v>0</v>
      </c>
      <c r="Z130" s="315">
        <f ca="1">keep_cap*(1-EXP(-TblImps[[#This Row],[Σ Keep]]/(keep_param*(OFFSET(TblImps[[#This Row],[Land]],1,0)-OFFSET(TblExplore[[#This Row],[Land Bonus]],1,0)*20)+15000)))*(1+(mason_bonus*TblConstr[[#This Row],[Tot Mas]]/TblConstr[[#This Row],[Land (2)]]))</f>
        <v>0</v>
      </c>
      <c r="AA130" s="315">
        <f ca="1">harbor_towers_cap*(1-EXP(-TblImps[[#This Row],[Σ Towers]]/(towers_param*(OFFSET(TblImps[[#This Row],[Land]],1,0)-OFFSET(TblExplore[[#This Row],[Land Bonus]],1,0)*20)+15000)))*(1+(mason_bonus*TblConstr[[#This Row],[Tot Mas]]/TblConstr[[#This Row],[Land (2)]]))</f>
        <v>0</v>
      </c>
      <c r="AB130" s="315">
        <f ca="1">walls_forges_cap*(1-EXP(-TblImps[[#This Row],[Σ Forges]]/(walls_forges_param*(OFFSET(TblImps[[#This Row],[Land]],1,0)-OFFSET(TblExplore[[#This Row],[Land Bonus]],1,0)*20)+15000)))*(1+(mason_bonus*TblConstr[[#This Row],[Tot Mas]]/TblConstr[[#This Row],[Land (2)]]))</f>
        <v>0</v>
      </c>
      <c r="AC130" s="315">
        <f ca="1">walls_forges_cap*(1-EXP(-TblImps[[#This Row],[Σ Walls]]/(walls_forges_param*(OFFSET(TblImps[[#This Row],[Land]],1,0)-OFFSET(TblExplore[[#This Row],[Land Bonus]],1,0)*20)+15000)))*(1+(mason_bonus*TblConstr[[#This Row],[Tot Mas]]/TblConstr[[#This Row],[Land (2)]]))</f>
        <v>0</v>
      </c>
      <c r="AD130" s="315">
        <f ca="1">harbor_towers_cap*(1-EXP(-TblImps[[#This Row],[Σ Irrigation]]/(harbor_towers_param*(OFFSET(TblImps[[#This Row],[Land]],1,0)-OFFSET(TblExplore[[#This Row],[Land Bonus]],1,0)*20)+15000)))*(1+(mason_bonus*TblConstr[[#This Row],[Tot Mas]]/TblConstr[[#This Row],[Land (2)]]))</f>
        <v>0</v>
      </c>
      <c r="AE130" s="150"/>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50"/>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50"/>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50"/>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50"/>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50"/>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50"/>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50"/>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50"/>
      <c r="BV130"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62">
        <f>TblImps[[#This Row],[Login]]</f>
        <v>0</v>
      </c>
      <c r="BX130" s="145"/>
      <c r="BY130" s="321">
        <f ca="1">OFFSET(TblImps[[#This Row],[Real time]],-1,0)+1/24</f>
        <v>44815.999999999694</v>
      </c>
      <c r="BZ130" s="322">
        <f ca="1">OFFSET(TblImps[[#This Row],[Servertime]],-1,0)+1/24</f>
        <v>44816.249999999694</v>
      </c>
      <c r="CA130" s="57"/>
      <c r="CB130" s="320"/>
      <c r="CC130" s="320"/>
    </row>
    <row r="131" spans="1:81" x14ac:dyDescent="0.2">
      <c r="A131" s="230">
        <f ca="1">TblConstr[[#This Row],[Land]]</f>
        <v>250</v>
      </c>
      <c r="B131" s="150"/>
      <c r="C131" s="97">
        <f ca="1">TblProd[[#This Row],[Platinum]]</f>
        <v>797600</v>
      </c>
      <c r="D131" s="97">
        <f ca="1">TblProd[[#This Row],[Lumber]]</f>
        <v>76279</v>
      </c>
      <c r="E131" s="97">
        <f ca="1">TblProd[[#This Row],[Ore]]</f>
        <v>0</v>
      </c>
      <c r="F131" s="97">
        <f ca="1">TblProd[[#This Row],[Gems]]</f>
        <v>10000</v>
      </c>
      <c r="G131" s="162"/>
      <c r="H131" s="97">
        <f ca="1">TblMili[[#This Row],[Draftees]]</f>
        <v>626</v>
      </c>
      <c r="I131" s="188">
        <f ca="1">TblPop[[#This Row],[Employment]]</f>
        <v>1</v>
      </c>
      <c r="J131" s="188">
        <f ca="1">TblPop[[#This Row],[Total]]/TblPop[[#This Row],[Net max]]</f>
        <v>1</v>
      </c>
      <c r="K131" s="311">
        <f>TblRezone[[#This Row],[Hour]]</f>
        <v>128</v>
      </c>
      <c r="L131" s="312">
        <f ca="1">TblImps[[#This Row],[Real time]]</f>
        <v>44816.041666666359</v>
      </c>
      <c r="M131" s="62">
        <f>IF(ISERROR(TblImps[[#This Row],[algorithm]]),0,TblImps[[#This Row],[algorithm]]*1)</f>
        <v>0</v>
      </c>
      <c r="N131" s="97">
        <f ca="1">TblImps[[#This Row],[Land]]</f>
        <v>250</v>
      </c>
      <c r="O131" s="313" t="s">
        <v>4</v>
      </c>
      <c r="P131" s="314"/>
      <c r="Q131" s="313" t="s">
        <v>216</v>
      </c>
      <c r="R131" s="313" t="s">
        <v>7</v>
      </c>
      <c r="S131" s="314"/>
      <c r="T131" s="313" t="s">
        <v>216</v>
      </c>
      <c r="U131" s="313" t="s">
        <v>3</v>
      </c>
      <c r="V131" s="314"/>
      <c r="W131" s="313" t="s">
        <v>216</v>
      </c>
      <c r="X131" s="150"/>
      <c r="Y131" s="315">
        <f ca="1">science_cap*(1-EXP(-TblImps[[#This Row],[Σ Science]]/(science_param*(OFFSET(TblImps[[#This Row],[Land]],1,0)-OFFSET(TblExplore[[#This Row],[Land Bonus]],1,0)*20)+15000)))*(1+(mason_bonus*TblConstr[[#This Row],[Tot Mas]]/TblConstr[[#This Row],[Land (2)]]))</f>
        <v>0</v>
      </c>
      <c r="Z131" s="315">
        <f ca="1">keep_cap*(1-EXP(-TblImps[[#This Row],[Σ Keep]]/(keep_param*(OFFSET(TblImps[[#This Row],[Land]],1,0)-OFFSET(TblExplore[[#This Row],[Land Bonus]],1,0)*20)+15000)))*(1+(mason_bonus*TblConstr[[#This Row],[Tot Mas]]/TblConstr[[#This Row],[Land (2)]]))</f>
        <v>0</v>
      </c>
      <c r="AA131" s="315">
        <f ca="1">harbor_towers_cap*(1-EXP(-TblImps[[#This Row],[Σ Towers]]/(towers_param*(OFFSET(TblImps[[#This Row],[Land]],1,0)-OFFSET(TblExplore[[#This Row],[Land Bonus]],1,0)*20)+15000)))*(1+(mason_bonus*TblConstr[[#This Row],[Tot Mas]]/TblConstr[[#This Row],[Land (2)]]))</f>
        <v>0</v>
      </c>
      <c r="AB131" s="315">
        <f ca="1">walls_forges_cap*(1-EXP(-TblImps[[#This Row],[Σ Forges]]/(walls_forges_param*(OFFSET(TblImps[[#This Row],[Land]],1,0)-OFFSET(TblExplore[[#This Row],[Land Bonus]],1,0)*20)+15000)))*(1+(mason_bonus*TblConstr[[#This Row],[Tot Mas]]/TblConstr[[#This Row],[Land (2)]]))</f>
        <v>0</v>
      </c>
      <c r="AC131" s="315">
        <f ca="1">walls_forges_cap*(1-EXP(-TblImps[[#This Row],[Σ Walls]]/(walls_forges_param*(OFFSET(TblImps[[#This Row],[Land]],1,0)-OFFSET(TblExplore[[#This Row],[Land Bonus]],1,0)*20)+15000)))*(1+(mason_bonus*TblConstr[[#This Row],[Tot Mas]]/TblConstr[[#This Row],[Land (2)]]))</f>
        <v>0</v>
      </c>
      <c r="AD131" s="315">
        <f ca="1">harbor_towers_cap*(1-EXP(-TblImps[[#This Row],[Σ Irrigation]]/(harbor_towers_param*(OFFSET(TblImps[[#This Row],[Land]],1,0)-OFFSET(TblExplore[[#This Row],[Land Bonus]],1,0)*20)+15000)))*(1+(mason_bonus*TblConstr[[#This Row],[Tot Mas]]/TblConstr[[#This Row],[Land (2)]]))</f>
        <v>0</v>
      </c>
      <c r="AE131" s="150"/>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50"/>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50"/>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50"/>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50"/>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50"/>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50"/>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50"/>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50"/>
      <c r="BV131"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62">
        <f>TblImps[[#This Row],[Login]]</f>
        <v>0</v>
      </c>
      <c r="BX131" s="145"/>
      <c r="BY131" s="321">
        <f ca="1">OFFSET(TblImps[[#This Row],[Real time]],-1,0)+1/24</f>
        <v>44816.041666666359</v>
      </c>
      <c r="BZ131" s="322">
        <f ca="1">OFFSET(TblImps[[#This Row],[Servertime]],-1,0)+1/24</f>
        <v>44816.291666666359</v>
      </c>
      <c r="CA131" s="57"/>
      <c r="CB131" s="320"/>
      <c r="CC131" s="320"/>
    </row>
    <row r="132" spans="1:81" x14ac:dyDescent="0.2">
      <c r="A132" s="230">
        <f ca="1">TblConstr[[#This Row],[Land]]</f>
        <v>250</v>
      </c>
      <c r="B132" s="150"/>
      <c r="C132" s="97">
        <f ca="1">TblProd[[#This Row],[Platinum]]</f>
        <v>803086</v>
      </c>
      <c r="D132" s="97">
        <f ca="1">TblProd[[#This Row],[Lumber]]</f>
        <v>76516</v>
      </c>
      <c r="E132" s="97">
        <f ca="1">TblProd[[#This Row],[Ore]]</f>
        <v>0</v>
      </c>
      <c r="F132" s="97">
        <f ca="1">TblProd[[#This Row],[Gems]]</f>
        <v>10000</v>
      </c>
      <c r="G132" s="162"/>
      <c r="H132" s="97">
        <f ca="1">TblMili[[#This Row],[Draftees]]</f>
        <v>626</v>
      </c>
      <c r="I132" s="188">
        <f ca="1">TblPop[[#This Row],[Employment]]</f>
        <v>1</v>
      </c>
      <c r="J132" s="188">
        <f ca="1">TblPop[[#This Row],[Total]]/TblPop[[#This Row],[Net max]]</f>
        <v>1</v>
      </c>
      <c r="K132" s="311">
        <f>TblRezone[[#This Row],[Hour]]</f>
        <v>129</v>
      </c>
      <c r="L132" s="312">
        <f ca="1">TblImps[[#This Row],[Real time]]</f>
        <v>44816.083333333023</v>
      </c>
      <c r="M132" s="62">
        <f>IF(ISERROR(TblImps[[#This Row],[algorithm]]),0,TblImps[[#This Row],[algorithm]]*1)</f>
        <v>0</v>
      </c>
      <c r="N132" s="97">
        <f ca="1">TblImps[[#This Row],[Land]]</f>
        <v>250</v>
      </c>
      <c r="O132" s="313" t="s">
        <v>4</v>
      </c>
      <c r="P132" s="314"/>
      <c r="Q132" s="313" t="s">
        <v>216</v>
      </c>
      <c r="R132" s="313" t="s">
        <v>7</v>
      </c>
      <c r="S132" s="314"/>
      <c r="T132" s="313" t="s">
        <v>216</v>
      </c>
      <c r="U132" s="313" t="s">
        <v>3</v>
      </c>
      <c r="V132" s="314"/>
      <c r="W132" s="313" t="s">
        <v>216</v>
      </c>
      <c r="X132" s="150"/>
      <c r="Y132" s="315">
        <f ca="1">science_cap*(1-EXP(-TblImps[[#This Row],[Σ Science]]/(science_param*(OFFSET(TblImps[[#This Row],[Land]],1,0)-OFFSET(TblExplore[[#This Row],[Land Bonus]],1,0)*20)+15000)))*(1+(mason_bonus*TblConstr[[#This Row],[Tot Mas]]/TblConstr[[#This Row],[Land (2)]]))</f>
        <v>0</v>
      </c>
      <c r="Z132" s="315">
        <f ca="1">keep_cap*(1-EXP(-TblImps[[#This Row],[Σ Keep]]/(keep_param*(OFFSET(TblImps[[#This Row],[Land]],1,0)-OFFSET(TblExplore[[#This Row],[Land Bonus]],1,0)*20)+15000)))*(1+(mason_bonus*TblConstr[[#This Row],[Tot Mas]]/TblConstr[[#This Row],[Land (2)]]))</f>
        <v>0</v>
      </c>
      <c r="AA132" s="315">
        <f ca="1">harbor_towers_cap*(1-EXP(-TblImps[[#This Row],[Σ Towers]]/(towers_param*(OFFSET(TblImps[[#This Row],[Land]],1,0)-OFFSET(TblExplore[[#This Row],[Land Bonus]],1,0)*20)+15000)))*(1+(mason_bonus*TblConstr[[#This Row],[Tot Mas]]/TblConstr[[#This Row],[Land (2)]]))</f>
        <v>0</v>
      </c>
      <c r="AB132" s="315">
        <f ca="1">walls_forges_cap*(1-EXP(-TblImps[[#This Row],[Σ Forges]]/(walls_forges_param*(OFFSET(TblImps[[#This Row],[Land]],1,0)-OFFSET(TblExplore[[#This Row],[Land Bonus]],1,0)*20)+15000)))*(1+(mason_bonus*TblConstr[[#This Row],[Tot Mas]]/TblConstr[[#This Row],[Land (2)]]))</f>
        <v>0</v>
      </c>
      <c r="AC132" s="315">
        <f ca="1">walls_forges_cap*(1-EXP(-TblImps[[#This Row],[Σ Walls]]/(walls_forges_param*(OFFSET(TblImps[[#This Row],[Land]],1,0)-OFFSET(TblExplore[[#This Row],[Land Bonus]],1,0)*20)+15000)))*(1+(mason_bonus*TblConstr[[#This Row],[Tot Mas]]/TblConstr[[#This Row],[Land (2)]]))</f>
        <v>0</v>
      </c>
      <c r="AD132" s="315">
        <f ca="1">harbor_towers_cap*(1-EXP(-TblImps[[#This Row],[Σ Irrigation]]/(harbor_towers_param*(OFFSET(TblImps[[#This Row],[Land]],1,0)-OFFSET(TblExplore[[#This Row],[Land Bonus]],1,0)*20)+15000)))*(1+(mason_bonus*TblConstr[[#This Row],[Tot Mas]]/TblConstr[[#This Row],[Land (2)]]))</f>
        <v>0</v>
      </c>
      <c r="AE132" s="150"/>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50"/>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50"/>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50"/>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50"/>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50"/>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50"/>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50"/>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50"/>
      <c r="BV132"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62">
        <f>TblImps[[#This Row],[Login]]</f>
        <v>0</v>
      </c>
      <c r="BX132" s="145"/>
      <c r="BY132" s="321">
        <f ca="1">OFFSET(TblImps[[#This Row],[Real time]],-1,0)+1/24</f>
        <v>44816.083333333023</v>
      </c>
      <c r="BZ132" s="322">
        <f ca="1">OFFSET(TblImps[[#This Row],[Servertime]],-1,0)+1/24</f>
        <v>44816.333333333023</v>
      </c>
      <c r="CA132" s="57"/>
      <c r="CB132" s="320"/>
      <c r="CC132" s="320"/>
    </row>
    <row r="133" spans="1:81" x14ac:dyDescent="0.2">
      <c r="A133" s="230">
        <f ca="1">TblConstr[[#This Row],[Land]]</f>
        <v>250</v>
      </c>
      <c r="B133" s="150"/>
      <c r="C133" s="97">
        <f ca="1">TblProd[[#This Row],[Platinum]]</f>
        <v>808572</v>
      </c>
      <c r="D133" s="97">
        <f ca="1">TblProd[[#This Row],[Lumber]]</f>
        <v>76751</v>
      </c>
      <c r="E133" s="97">
        <f ca="1">TblProd[[#This Row],[Ore]]</f>
        <v>0</v>
      </c>
      <c r="F133" s="97">
        <f ca="1">TblProd[[#This Row],[Gems]]</f>
        <v>10000</v>
      </c>
      <c r="G133" s="162"/>
      <c r="H133" s="97">
        <f ca="1">TblMili[[#This Row],[Draftees]]</f>
        <v>626</v>
      </c>
      <c r="I133" s="188">
        <f ca="1">TblPop[[#This Row],[Employment]]</f>
        <v>1</v>
      </c>
      <c r="J133" s="188">
        <f ca="1">TblPop[[#This Row],[Total]]/TblPop[[#This Row],[Net max]]</f>
        <v>1</v>
      </c>
      <c r="K133" s="311">
        <f>TblRezone[[#This Row],[Hour]]</f>
        <v>130</v>
      </c>
      <c r="L133" s="312">
        <f ca="1">TblImps[[#This Row],[Real time]]</f>
        <v>44816.124999999687</v>
      </c>
      <c r="M133" s="62">
        <f>IF(ISERROR(TblImps[[#This Row],[algorithm]]),0,TblImps[[#This Row],[algorithm]]*1)</f>
        <v>0</v>
      </c>
      <c r="N133" s="97">
        <f ca="1">TblImps[[#This Row],[Land]]</f>
        <v>250</v>
      </c>
      <c r="O133" s="313" t="s">
        <v>4</v>
      </c>
      <c r="P133" s="314"/>
      <c r="Q133" s="313" t="s">
        <v>216</v>
      </c>
      <c r="R133" s="313" t="s">
        <v>7</v>
      </c>
      <c r="S133" s="314"/>
      <c r="T133" s="313" t="s">
        <v>216</v>
      </c>
      <c r="U133" s="313" t="s">
        <v>3</v>
      </c>
      <c r="V133" s="314"/>
      <c r="W133" s="313" t="s">
        <v>216</v>
      </c>
      <c r="X133" s="150"/>
      <c r="Y133" s="315">
        <f ca="1">science_cap*(1-EXP(-TblImps[[#This Row],[Σ Science]]/(science_param*(OFFSET(TblImps[[#This Row],[Land]],1,0)-OFFSET(TblExplore[[#This Row],[Land Bonus]],1,0)*20)+15000)))*(1+(mason_bonus*TblConstr[[#This Row],[Tot Mas]]/TblConstr[[#This Row],[Land (2)]]))</f>
        <v>0</v>
      </c>
      <c r="Z133" s="315">
        <f ca="1">keep_cap*(1-EXP(-TblImps[[#This Row],[Σ Keep]]/(keep_param*(OFFSET(TblImps[[#This Row],[Land]],1,0)-OFFSET(TblExplore[[#This Row],[Land Bonus]],1,0)*20)+15000)))*(1+(mason_bonus*TblConstr[[#This Row],[Tot Mas]]/TblConstr[[#This Row],[Land (2)]]))</f>
        <v>0</v>
      </c>
      <c r="AA133" s="315">
        <f ca="1">harbor_towers_cap*(1-EXP(-TblImps[[#This Row],[Σ Towers]]/(towers_param*(OFFSET(TblImps[[#This Row],[Land]],1,0)-OFFSET(TblExplore[[#This Row],[Land Bonus]],1,0)*20)+15000)))*(1+(mason_bonus*TblConstr[[#This Row],[Tot Mas]]/TblConstr[[#This Row],[Land (2)]]))</f>
        <v>0</v>
      </c>
      <c r="AB133" s="315">
        <f ca="1">walls_forges_cap*(1-EXP(-TblImps[[#This Row],[Σ Forges]]/(walls_forges_param*(OFFSET(TblImps[[#This Row],[Land]],1,0)-OFFSET(TblExplore[[#This Row],[Land Bonus]],1,0)*20)+15000)))*(1+(mason_bonus*TblConstr[[#This Row],[Tot Mas]]/TblConstr[[#This Row],[Land (2)]]))</f>
        <v>0</v>
      </c>
      <c r="AC133" s="315">
        <f ca="1">walls_forges_cap*(1-EXP(-TblImps[[#This Row],[Σ Walls]]/(walls_forges_param*(OFFSET(TblImps[[#This Row],[Land]],1,0)-OFFSET(TblExplore[[#This Row],[Land Bonus]],1,0)*20)+15000)))*(1+(mason_bonus*TblConstr[[#This Row],[Tot Mas]]/TblConstr[[#This Row],[Land (2)]]))</f>
        <v>0</v>
      </c>
      <c r="AD133" s="315">
        <f ca="1">harbor_towers_cap*(1-EXP(-TblImps[[#This Row],[Σ Irrigation]]/(harbor_towers_param*(OFFSET(TblImps[[#This Row],[Land]],1,0)-OFFSET(TblExplore[[#This Row],[Land Bonus]],1,0)*20)+15000)))*(1+(mason_bonus*TblConstr[[#This Row],[Tot Mas]]/TblConstr[[#This Row],[Land (2)]]))</f>
        <v>0</v>
      </c>
      <c r="AE133" s="150"/>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50"/>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50"/>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50"/>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50"/>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50"/>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50"/>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50"/>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50"/>
      <c r="BV133"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62">
        <f>TblImps[[#This Row],[Login]]</f>
        <v>0</v>
      </c>
      <c r="BX133" s="145"/>
      <c r="BY133" s="321">
        <f ca="1">OFFSET(TblImps[[#This Row],[Real time]],-1,0)+1/24</f>
        <v>44816.124999999687</v>
      </c>
      <c r="BZ133" s="322">
        <f ca="1">OFFSET(TblImps[[#This Row],[Servertime]],-1,0)+1/24</f>
        <v>44816.374999999687</v>
      </c>
      <c r="CA133" s="57"/>
      <c r="CB133" s="320"/>
      <c r="CC133" s="320"/>
    </row>
    <row r="134" spans="1:81" x14ac:dyDescent="0.2">
      <c r="A134" s="230">
        <f ca="1">TblConstr[[#This Row],[Land]]</f>
        <v>250</v>
      </c>
      <c r="B134" s="150"/>
      <c r="C134" s="97">
        <f ca="1">TblProd[[#This Row],[Platinum]]</f>
        <v>814058</v>
      </c>
      <c r="D134" s="97">
        <f ca="1">TblProd[[#This Row],[Lumber]]</f>
        <v>76983</v>
      </c>
      <c r="E134" s="97">
        <f ca="1">TblProd[[#This Row],[Ore]]</f>
        <v>0</v>
      </c>
      <c r="F134" s="97">
        <f ca="1">TblProd[[#This Row],[Gems]]</f>
        <v>10000</v>
      </c>
      <c r="G134" s="162"/>
      <c r="H134" s="97">
        <f ca="1">TblMili[[#This Row],[Draftees]]</f>
        <v>626</v>
      </c>
      <c r="I134" s="188">
        <f ca="1">TblPop[[#This Row],[Employment]]</f>
        <v>1</v>
      </c>
      <c r="J134" s="188">
        <f ca="1">TblPop[[#This Row],[Total]]/TblPop[[#This Row],[Net max]]</f>
        <v>1</v>
      </c>
      <c r="K134" s="311">
        <f>TblRezone[[#This Row],[Hour]]</f>
        <v>131</v>
      </c>
      <c r="L134" s="312">
        <f ca="1">TblImps[[#This Row],[Real time]]</f>
        <v>44816.166666666351</v>
      </c>
      <c r="M134" s="62">
        <f>IF(ISERROR(TblImps[[#This Row],[algorithm]]),0,TblImps[[#This Row],[algorithm]]*1)</f>
        <v>0</v>
      </c>
      <c r="N134" s="97">
        <f ca="1">TblImps[[#This Row],[Land]]</f>
        <v>250</v>
      </c>
      <c r="O134" s="313" t="s">
        <v>4</v>
      </c>
      <c r="P134" s="314"/>
      <c r="Q134" s="313" t="s">
        <v>216</v>
      </c>
      <c r="R134" s="313" t="s">
        <v>7</v>
      </c>
      <c r="S134" s="314"/>
      <c r="T134" s="313" t="s">
        <v>216</v>
      </c>
      <c r="U134" s="313" t="s">
        <v>3</v>
      </c>
      <c r="V134" s="314"/>
      <c r="W134" s="313" t="s">
        <v>216</v>
      </c>
      <c r="X134" s="150"/>
      <c r="Y134" s="315">
        <f ca="1">science_cap*(1-EXP(-TblImps[[#This Row],[Σ Science]]/(science_param*(OFFSET(TblImps[[#This Row],[Land]],1,0)-OFFSET(TblExplore[[#This Row],[Land Bonus]],1,0)*20)+15000)))*(1+(mason_bonus*TblConstr[[#This Row],[Tot Mas]]/TblConstr[[#This Row],[Land (2)]]))</f>
        <v>0</v>
      </c>
      <c r="Z134" s="315">
        <f ca="1">keep_cap*(1-EXP(-TblImps[[#This Row],[Σ Keep]]/(keep_param*(OFFSET(TblImps[[#This Row],[Land]],1,0)-OFFSET(TblExplore[[#This Row],[Land Bonus]],1,0)*20)+15000)))*(1+(mason_bonus*TblConstr[[#This Row],[Tot Mas]]/TblConstr[[#This Row],[Land (2)]]))</f>
        <v>0</v>
      </c>
      <c r="AA134" s="315">
        <f ca="1">harbor_towers_cap*(1-EXP(-TblImps[[#This Row],[Σ Towers]]/(towers_param*(OFFSET(TblImps[[#This Row],[Land]],1,0)-OFFSET(TblExplore[[#This Row],[Land Bonus]],1,0)*20)+15000)))*(1+(mason_bonus*TblConstr[[#This Row],[Tot Mas]]/TblConstr[[#This Row],[Land (2)]]))</f>
        <v>0</v>
      </c>
      <c r="AB134" s="315">
        <f ca="1">walls_forges_cap*(1-EXP(-TblImps[[#This Row],[Σ Forges]]/(walls_forges_param*(OFFSET(TblImps[[#This Row],[Land]],1,0)-OFFSET(TblExplore[[#This Row],[Land Bonus]],1,0)*20)+15000)))*(1+(mason_bonus*TblConstr[[#This Row],[Tot Mas]]/TblConstr[[#This Row],[Land (2)]]))</f>
        <v>0</v>
      </c>
      <c r="AC134" s="315">
        <f ca="1">walls_forges_cap*(1-EXP(-TblImps[[#This Row],[Σ Walls]]/(walls_forges_param*(OFFSET(TblImps[[#This Row],[Land]],1,0)-OFFSET(TblExplore[[#This Row],[Land Bonus]],1,0)*20)+15000)))*(1+(mason_bonus*TblConstr[[#This Row],[Tot Mas]]/TblConstr[[#This Row],[Land (2)]]))</f>
        <v>0</v>
      </c>
      <c r="AD134" s="315">
        <f ca="1">harbor_towers_cap*(1-EXP(-TblImps[[#This Row],[Σ Irrigation]]/(harbor_towers_param*(OFFSET(TblImps[[#This Row],[Land]],1,0)-OFFSET(TblExplore[[#This Row],[Land Bonus]],1,0)*20)+15000)))*(1+(mason_bonus*TblConstr[[#This Row],[Tot Mas]]/TblConstr[[#This Row],[Land (2)]]))</f>
        <v>0</v>
      </c>
      <c r="AE134" s="150"/>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50"/>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50"/>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50"/>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50"/>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50"/>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50"/>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50"/>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50"/>
      <c r="BV134"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62">
        <f>TblImps[[#This Row],[Login]]</f>
        <v>0</v>
      </c>
      <c r="BX134" s="145"/>
      <c r="BY134" s="321">
        <f ca="1">OFFSET(TblImps[[#This Row],[Real time]],-1,0)+1/24</f>
        <v>44816.166666666351</v>
      </c>
      <c r="BZ134" s="322">
        <f ca="1">OFFSET(TblImps[[#This Row],[Servertime]],-1,0)+1/24</f>
        <v>44816.416666666351</v>
      </c>
      <c r="CA134" s="57"/>
      <c r="CB134" s="320"/>
      <c r="CC134" s="320"/>
    </row>
    <row r="135" spans="1:81" x14ac:dyDescent="0.2">
      <c r="A135" s="230">
        <f ca="1">TblConstr[[#This Row],[Land]]</f>
        <v>250</v>
      </c>
      <c r="B135" s="150"/>
      <c r="C135" s="97">
        <f ca="1">TblProd[[#This Row],[Platinum]]</f>
        <v>819544</v>
      </c>
      <c r="D135" s="97">
        <f ca="1">TblProd[[#This Row],[Lumber]]</f>
        <v>77213</v>
      </c>
      <c r="E135" s="97">
        <f ca="1">TblProd[[#This Row],[Ore]]</f>
        <v>0</v>
      </c>
      <c r="F135" s="97">
        <f ca="1">TblProd[[#This Row],[Gems]]</f>
        <v>10000</v>
      </c>
      <c r="G135" s="162"/>
      <c r="H135" s="97">
        <f ca="1">TblMili[[#This Row],[Draftees]]</f>
        <v>626</v>
      </c>
      <c r="I135" s="188">
        <f ca="1">TblPop[[#This Row],[Employment]]</f>
        <v>1</v>
      </c>
      <c r="J135" s="188">
        <f ca="1">TblPop[[#This Row],[Total]]/TblPop[[#This Row],[Net max]]</f>
        <v>1</v>
      </c>
      <c r="K135" s="311">
        <f>TblRezone[[#This Row],[Hour]]</f>
        <v>132</v>
      </c>
      <c r="L135" s="312">
        <f ca="1">TblImps[[#This Row],[Real time]]</f>
        <v>44816.208333333016</v>
      </c>
      <c r="M135" s="62">
        <f>IF(ISERROR(TblImps[[#This Row],[algorithm]]),0,TblImps[[#This Row],[algorithm]]*1)</f>
        <v>0</v>
      </c>
      <c r="N135" s="97">
        <f ca="1">TblImps[[#This Row],[Land]]</f>
        <v>250</v>
      </c>
      <c r="O135" s="313" t="s">
        <v>4</v>
      </c>
      <c r="P135" s="314"/>
      <c r="Q135" s="313" t="s">
        <v>216</v>
      </c>
      <c r="R135" s="313" t="s">
        <v>7</v>
      </c>
      <c r="S135" s="314"/>
      <c r="T135" s="313" t="s">
        <v>216</v>
      </c>
      <c r="U135" s="313" t="s">
        <v>3</v>
      </c>
      <c r="V135" s="314"/>
      <c r="W135" s="313" t="s">
        <v>216</v>
      </c>
      <c r="X135" s="150"/>
      <c r="Y135" s="315">
        <f ca="1">science_cap*(1-EXP(-TblImps[[#This Row],[Σ Science]]/(science_param*(OFFSET(TblImps[[#This Row],[Land]],1,0)-OFFSET(TblExplore[[#This Row],[Land Bonus]],1,0)*20)+15000)))*(1+(mason_bonus*TblConstr[[#This Row],[Tot Mas]]/TblConstr[[#This Row],[Land (2)]]))</f>
        <v>0</v>
      </c>
      <c r="Z135" s="315">
        <f ca="1">keep_cap*(1-EXP(-TblImps[[#This Row],[Σ Keep]]/(keep_param*(OFFSET(TblImps[[#This Row],[Land]],1,0)-OFFSET(TblExplore[[#This Row],[Land Bonus]],1,0)*20)+15000)))*(1+(mason_bonus*TblConstr[[#This Row],[Tot Mas]]/TblConstr[[#This Row],[Land (2)]]))</f>
        <v>0</v>
      </c>
      <c r="AA135" s="315">
        <f ca="1">harbor_towers_cap*(1-EXP(-TblImps[[#This Row],[Σ Towers]]/(towers_param*(OFFSET(TblImps[[#This Row],[Land]],1,0)-OFFSET(TblExplore[[#This Row],[Land Bonus]],1,0)*20)+15000)))*(1+(mason_bonus*TblConstr[[#This Row],[Tot Mas]]/TblConstr[[#This Row],[Land (2)]]))</f>
        <v>0</v>
      </c>
      <c r="AB135" s="315">
        <f ca="1">walls_forges_cap*(1-EXP(-TblImps[[#This Row],[Σ Forges]]/(walls_forges_param*(OFFSET(TblImps[[#This Row],[Land]],1,0)-OFFSET(TblExplore[[#This Row],[Land Bonus]],1,0)*20)+15000)))*(1+(mason_bonus*TblConstr[[#This Row],[Tot Mas]]/TblConstr[[#This Row],[Land (2)]]))</f>
        <v>0</v>
      </c>
      <c r="AC135" s="315">
        <f ca="1">walls_forges_cap*(1-EXP(-TblImps[[#This Row],[Σ Walls]]/(walls_forges_param*(OFFSET(TblImps[[#This Row],[Land]],1,0)-OFFSET(TblExplore[[#This Row],[Land Bonus]],1,0)*20)+15000)))*(1+(mason_bonus*TblConstr[[#This Row],[Tot Mas]]/TblConstr[[#This Row],[Land (2)]]))</f>
        <v>0</v>
      </c>
      <c r="AD135" s="315">
        <f ca="1">harbor_towers_cap*(1-EXP(-TblImps[[#This Row],[Σ Irrigation]]/(harbor_towers_param*(OFFSET(TblImps[[#This Row],[Land]],1,0)-OFFSET(TblExplore[[#This Row],[Land Bonus]],1,0)*20)+15000)))*(1+(mason_bonus*TblConstr[[#This Row],[Tot Mas]]/TblConstr[[#This Row],[Land (2)]]))</f>
        <v>0</v>
      </c>
      <c r="AE135" s="150"/>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50"/>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50"/>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50"/>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50"/>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50"/>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50"/>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50"/>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50"/>
      <c r="BV135"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62">
        <f>TblImps[[#This Row],[Login]]</f>
        <v>0</v>
      </c>
      <c r="BX135" s="145"/>
      <c r="BY135" s="321">
        <f ca="1">OFFSET(TblImps[[#This Row],[Real time]],-1,0)+1/24</f>
        <v>44816.208333333016</v>
      </c>
      <c r="BZ135" s="322">
        <f ca="1">OFFSET(TblImps[[#This Row],[Servertime]],-1,0)+1/24</f>
        <v>44816.458333333016</v>
      </c>
      <c r="CA135" s="57"/>
      <c r="CB135" s="320"/>
      <c r="CC135" s="320"/>
    </row>
    <row r="136" spans="1:81" x14ac:dyDescent="0.2">
      <c r="A136" s="230">
        <f ca="1">TblConstr[[#This Row],[Land]]</f>
        <v>250</v>
      </c>
      <c r="B136" s="150"/>
      <c r="C136" s="97">
        <f ca="1">TblProd[[#This Row],[Platinum]]</f>
        <v>825030</v>
      </c>
      <c r="D136" s="97">
        <f ca="1">TblProd[[#This Row],[Lumber]]</f>
        <v>77441</v>
      </c>
      <c r="E136" s="97">
        <f ca="1">TblProd[[#This Row],[Ore]]</f>
        <v>0</v>
      </c>
      <c r="F136" s="97">
        <f ca="1">TblProd[[#This Row],[Gems]]</f>
        <v>10000</v>
      </c>
      <c r="G136" s="162"/>
      <c r="H136" s="97">
        <f ca="1">TblMili[[#This Row],[Draftees]]</f>
        <v>626</v>
      </c>
      <c r="I136" s="188">
        <f ca="1">TblPop[[#This Row],[Employment]]</f>
        <v>0</v>
      </c>
      <c r="J136" s="188">
        <f ca="1">TblPop[[#This Row],[Total]]/TblPop[[#This Row],[Net max]]</f>
        <v>1</v>
      </c>
      <c r="K136" s="311">
        <f>TblRezone[[#This Row],[Hour]]</f>
        <v>133</v>
      </c>
      <c r="L136" s="312">
        <f ca="1">TblImps[[#This Row],[Real time]]</f>
        <v>44816.24999999968</v>
      </c>
      <c r="M136" s="62">
        <f>IF(ISERROR(TblImps[[#This Row],[algorithm]]),0,TblImps[[#This Row],[algorithm]]*1)</f>
        <v>0</v>
      </c>
      <c r="N136" s="97">
        <f ca="1">TblImps[[#This Row],[Land]]</f>
        <v>250</v>
      </c>
      <c r="O136" s="313" t="s">
        <v>4</v>
      </c>
      <c r="P136" s="314"/>
      <c r="Q136" s="313" t="s">
        <v>216</v>
      </c>
      <c r="R136" s="313" t="s">
        <v>7</v>
      </c>
      <c r="S136" s="314"/>
      <c r="T136" s="313" t="s">
        <v>216</v>
      </c>
      <c r="U136" s="313" t="s">
        <v>3</v>
      </c>
      <c r="V136" s="314"/>
      <c r="W136" s="313" t="s">
        <v>216</v>
      </c>
      <c r="X136" s="150"/>
      <c r="Y136" s="315">
        <f ca="1">science_cap*(1-EXP(-TblImps[[#This Row],[Σ Science]]/(science_param*(OFFSET(TblImps[[#This Row],[Land]],1,0)-OFFSET(TblExplore[[#This Row],[Land Bonus]],1,0)*20)+15000)))*(1+(mason_bonus*TblConstr[[#This Row],[Tot Mas]]/TblConstr[[#This Row],[Land (2)]]))</f>
        <v>0</v>
      </c>
      <c r="Z136" s="315">
        <f ca="1">keep_cap*(1-EXP(-TblImps[[#This Row],[Σ Keep]]/(keep_param*(OFFSET(TblImps[[#This Row],[Land]],1,0)-OFFSET(TblExplore[[#This Row],[Land Bonus]],1,0)*20)+15000)))*(1+(mason_bonus*TblConstr[[#This Row],[Tot Mas]]/TblConstr[[#This Row],[Land (2)]]))</f>
        <v>0</v>
      </c>
      <c r="AA136" s="315">
        <f ca="1">harbor_towers_cap*(1-EXP(-TblImps[[#This Row],[Σ Towers]]/(towers_param*(OFFSET(TblImps[[#This Row],[Land]],1,0)-OFFSET(TblExplore[[#This Row],[Land Bonus]],1,0)*20)+15000)))*(1+(mason_bonus*TblConstr[[#This Row],[Tot Mas]]/TblConstr[[#This Row],[Land (2)]]))</f>
        <v>0</v>
      </c>
      <c r="AB136" s="315">
        <f ca="1">walls_forges_cap*(1-EXP(-TblImps[[#This Row],[Σ Forges]]/(walls_forges_param*(OFFSET(TblImps[[#This Row],[Land]],1,0)-OFFSET(TblExplore[[#This Row],[Land Bonus]],1,0)*20)+15000)))*(1+(mason_bonus*TblConstr[[#This Row],[Tot Mas]]/TblConstr[[#This Row],[Land (2)]]))</f>
        <v>0</v>
      </c>
      <c r="AC136" s="315">
        <f ca="1">walls_forges_cap*(1-EXP(-TblImps[[#This Row],[Σ Walls]]/(walls_forges_param*(OFFSET(TblImps[[#This Row],[Land]],1,0)-OFFSET(TblExplore[[#This Row],[Land Bonus]],1,0)*20)+15000)))*(1+(mason_bonus*TblConstr[[#This Row],[Tot Mas]]/TblConstr[[#This Row],[Land (2)]]))</f>
        <v>0</v>
      </c>
      <c r="AD136" s="315">
        <f ca="1">harbor_towers_cap*(1-EXP(-TblImps[[#This Row],[Σ Irrigation]]/(harbor_towers_param*(OFFSET(TblImps[[#This Row],[Land]],1,0)-OFFSET(TblExplore[[#This Row],[Land Bonus]],1,0)*20)+15000)))*(1+(mason_bonus*TblConstr[[#This Row],[Tot Mas]]/TblConstr[[#This Row],[Land (2)]]))</f>
        <v>0</v>
      </c>
      <c r="AE136" s="150"/>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50"/>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50"/>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50"/>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50"/>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50"/>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50"/>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50"/>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50"/>
      <c r="BV136" s="45"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62">
        <f>TblImps[[#This Row],[Login]]</f>
        <v>0</v>
      </c>
      <c r="BX136" s="145"/>
      <c r="BY136" s="321">
        <f ca="1">OFFSET(TblImps[[#This Row],[Real time]],-1,0)+1/24</f>
        <v>44816.24999999968</v>
      </c>
      <c r="BZ136" s="322">
        <f ca="1">OFFSET(TblImps[[#This Row],[Servertime]],-1,0)+1/24</f>
        <v>44816.49999999968</v>
      </c>
      <c r="CA136" s="57"/>
      <c r="CB136" s="320"/>
      <c r="CC136" s="320"/>
    </row>
    <row r="1269" spans="2:23" x14ac:dyDescent="0.2">
      <c r="B1269" s="495" t="s">
        <v>321</v>
      </c>
      <c r="C1269" s="448"/>
      <c r="W1269" s="142"/>
    </row>
    <row r="1270" spans="2:23" x14ac:dyDescent="0.2">
      <c r="B1270" s="28">
        <f>Overview!E17</f>
        <v>0</v>
      </c>
      <c r="C1270" s="28"/>
      <c r="W1270" s="142"/>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479</v>
      </c>
      <c r="P16" s="39"/>
    </row>
    <row r="27" spans="8:9" ht="12.75" customHeight="1" x14ac:dyDescent="0.2"/>
    <row r="28" spans="8:9" x14ac:dyDescent="0.2">
      <c r="H28" s="28" t="s">
        <v>479</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262</v>
      </c>
      <c r="C2" s="41" t="s">
        <v>1026</v>
      </c>
      <c r="D2" s="41" t="s">
        <v>957</v>
      </c>
      <c r="E2" s="41" t="s">
        <v>1028</v>
      </c>
    </row>
    <row r="3" spans="2:5" ht="15.75" x14ac:dyDescent="0.25">
      <c r="B3" s="40" t="s">
        <v>1005</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1006</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1008</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1007</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1009</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1010</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1011</v>
      </c>
      <c r="C9" s="42" t="s">
        <v>353</v>
      </c>
      <c r="D9" s="40">
        <f>_xlfn.IFNA(INDEX(TblConstr[],MATCH(Log!$I$28,TblConstr[Hour],0),MATCH(TblStats[[#This Row],[Abbr]],TblConstr[#Headers],0)),0)</f>
        <v>0</v>
      </c>
      <c r="E9" s="43" t="e">
        <f>TblStats[[#This Row],[Number]]/INDEX(TblConstr[[Hour]:[Land]],MATCH(Log!$I$28,TblConstr[Hour],0),6)</f>
        <v>#N/A</v>
      </c>
    </row>
    <row r="10" spans="2:5" ht="15.75" x14ac:dyDescent="0.25">
      <c r="B10" s="40" t="s">
        <v>1012</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1013</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1014</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1015</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1016</v>
      </c>
      <c r="C14" s="42" t="s">
        <v>355</v>
      </c>
      <c r="D14" s="40">
        <f>_xlfn.IFNA(INDEX(TblConstr[],MATCH(Log!$I$28,TblConstr[Hour],0),MATCH(TblStats[[#This Row],[Abbr]],TblConstr[#Headers],0)),0)</f>
        <v>0</v>
      </c>
      <c r="E14" s="43" t="e">
        <f>TblStats[[#This Row],[Number]]/INDEX(TblConstr[[Hour]:[Land]],MATCH(Log!$I$28,TblConstr[Hour],0),6)</f>
        <v>#N/A</v>
      </c>
    </row>
    <row r="15" spans="2:5" ht="15.75" x14ac:dyDescent="0.25">
      <c r="B15" s="40" t="s">
        <v>1017</v>
      </c>
      <c r="C15" s="42" t="s">
        <v>358</v>
      </c>
      <c r="D15" s="40">
        <f>_xlfn.IFNA(INDEX(TblConstr[],MATCH(Log!$I$28,TblConstr[Hour],0),MATCH(TblStats[[#This Row],[Abbr]],TblConstr[#Headers],0)),0)</f>
        <v>0</v>
      </c>
      <c r="E15" s="43" t="e">
        <f>TblStats[[#This Row],[Number]]/INDEX(TblConstr[[Hour]:[Land]],MATCH(Log!$I$28,TblConstr[Hour],0),6)</f>
        <v>#N/A</v>
      </c>
    </row>
    <row r="16" spans="2:5" ht="15.75" x14ac:dyDescent="0.25">
      <c r="B16" s="40" t="s">
        <v>1018</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1019</v>
      </c>
      <c r="C17" s="42" t="s">
        <v>356</v>
      </c>
      <c r="D17" s="40">
        <f>_xlfn.IFNA(INDEX(TblConstr[],MATCH(Log!$I$28,TblConstr[Hour],0),MATCH(TblStats[[#This Row],[Abbr]],TblConstr[#Headers],0)),0)</f>
        <v>0</v>
      </c>
      <c r="E17" s="43" t="e">
        <f>TblStats[[#This Row],[Number]]/INDEX(TblConstr[[Hour]:[Land]],MATCH(Log!$I$28,TblConstr[Hour],0),6)</f>
        <v>#N/A</v>
      </c>
    </row>
    <row r="18" spans="2:12" ht="15.75" x14ac:dyDescent="0.25">
      <c r="B18" s="40" t="s">
        <v>1020</v>
      </c>
      <c r="C18" s="42" t="s">
        <v>302</v>
      </c>
      <c r="D18" s="40">
        <f>_xlfn.IFNA(INDEX(TblConstr[],MATCH(Log!$I$28,TblConstr[Hour],0),MATCH(TblStats[[#This Row],[Abbr]],TblConstr[#Headers],0)),0)</f>
        <v>0</v>
      </c>
      <c r="E18" s="43" t="e">
        <f>TblStats[[#This Row],[Number]]/INDEX(TblConstr[[Hour]:[Land]],MATCH(Log!$I$28,TblConstr[Hour],0),6)</f>
        <v>#N/A</v>
      </c>
    </row>
    <row r="19" spans="2:12" ht="15.75" x14ac:dyDescent="0.25">
      <c r="B19" s="40" t="s">
        <v>1021</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1022</v>
      </c>
      <c r="C20" s="42" t="s">
        <v>376</v>
      </c>
      <c r="D20" s="40">
        <f>_xlfn.IFNA(INDEX(TblConstr[],MATCH(Log!$I$28,TblConstr[Hour],0),MATCH(TblStats[[#This Row],[Abbr]],TblConstr[#Headers],0)),0)</f>
        <v>0</v>
      </c>
      <c r="E20" s="43" t="e">
        <f>TblStats[[#This Row],[Number]]/INDEX(TblConstr[[Hour]:[Land]],MATCH(Log!$I$28,TblConstr[Hour],0),6)</f>
        <v>#N/A</v>
      </c>
    </row>
    <row r="21" spans="2:12" ht="15.75" x14ac:dyDescent="0.25">
      <c r="B21" s="40" t="s">
        <v>1023</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1024</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1025</v>
      </c>
      <c r="C23" s="40" t="s">
        <v>1027</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1004</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0"/>
  <sheetViews>
    <sheetView zoomScale="70" zoomScaleNormal="70" workbookViewId="0"/>
  </sheetViews>
  <sheetFormatPr defaultRowHeight="12.75" x14ac:dyDescent="0.2"/>
  <cols>
    <col min="1" max="1" width="26.42578125" style="334"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33" t="s">
        <v>43</v>
      </c>
    </row>
    <row r="3" spans="1:6" x14ac:dyDescent="0.2">
      <c r="A3" s="334" t="s">
        <v>49</v>
      </c>
    </row>
    <row r="4" spans="1:6" x14ac:dyDescent="0.2">
      <c r="A4" s="334" t="s">
        <v>44</v>
      </c>
      <c r="B4" s="45">
        <v>45</v>
      </c>
      <c r="C4" s="45" t="s">
        <v>6</v>
      </c>
    </row>
    <row r="5" spans="1:6" x14ac:dyDescent="0.2">
      <c r="A5" s="334" t="s">
        <v>51</v>
      </c>
      <c r="B5" s="45">
        <v>80</v>
      </c>
      <c r="C5" s="45" t="s">
        <v>9</v>
      </c>
    </row>
    <row r="6" spans="1:6" x14ac:dyDescent="0.2">
      <c r="A6" s="334" t="s">
        <v>45</v>
      </c>
      <c r="B6" s="45">
        <v>50</v>
      </c>
      <c r="C6" s="45" t="s">
        <v>8</v>
      </c>
    </row>
    <row r="7" spans="1:6" x14ac:dyDescent="0.2">
      <c r="A7" s="334" t="s">
        <v>47</v>
      </c>
      <c r="B7" s="45">
        <v>60</v>
      </c>
      <c r="C7" s="45" t="s">
        <v>10</v>
      </c>
    </row>
    <row r="8" spans="1:6" x14ac:dyDescent="0.2">
      <c r="A8" s="334" t="s">
        <v>48</v>
      </c>
      <c r="B8" s="45">
        <v>15</v>
      </c>
      <c r="C8" s="45" t="s">
        <v>11</v>
      </c>
    </row>
    <row r="9" spans="1:6" x14ac:dyDescent="0.2">
      <c r="A9" s="334" t="s">
        <v>52</v>
      </c>
      <c r="B9" s="45">
        <v>25</v>
      </c>
      <c r="C9" s="45" t="s">
        <v>13</v>
      </c>
    </row>
    <row r="10" spans="1:6" x14ac:dyDescent="0.2">
      <c r="A10" s="334" t="s">
        <v>46</v>
      </c>
      <c r="B10" s="45">
        <v>0.05</v>
      </c>
      <c r="C10" s="45" t="s">
        <v>50</v>
      </c>
      <c r="D10" s="45">
        <v>40</v>
      </c>
      <c r="E10" s="45" t="s">
        <v>9</v>
      </c>
    </row>
    <row r="11" spans="1:6" x14ac:dyDescent="0.2">
      <c r="A11" s="334" t="s">
        <v>543</v>
      </c>
      <c r="B11" s="45">
        <v>25</v>
      </c>
      <c r="C11" s="45" t="s">
        <v>8</v>
      </c>
    </row>
    <row r="12" spans="1:6" x14ac:dyDescent="0.2">
      <c r="A12" s="334" t="s">
        <v>67</v>
      </c>
      <c r="B12" s="271">
        <v>1.75</v>
      </c>
      <c r="C12" s="45" t="s">
        <v>518</v>
      </c>
      <c r="D12" s="164">
        <v>0.35</v>
      </c>
      <c r="E12" s="45" t="s">
        <v>443</v>
      </c>
    </row>
    <row r="13" spans="1:6" x14ac:dyDescent="0.2">
      <c r="A13" s="334" t="s">
        <v>65</v>
      </c>
      <c r="B13" s="271">
        <v>1.75</v>
      </c>
      <c r="C13" s="45" t="s">
        <v>519</v>
      </c>
      <c r="D13" s="164">
        <v>0.35</v>
      </c>
      <c r="E13" s="45" t="s">
        <v>443</v>
      </c>
    </row>
    <row r="14" spans="1:6" x14ac:dyDescent="0.2">
      <c r="A14" s="334" t="s">
        <v>488</v>
      </c>
      <c r="B14" s="45">
        <v>0</v>
      </c>
      <c r="C14" s="45" t="s">
        <v>489</v>
      </c>
      <c r="D14" s="335"/>
      <c r="F14" s="164"/>
    </row>
    <row r="15" spans="1:6" x14ac:dyDescent="0.2">
      <c r="B15" s="45">
        <v>3.5</v>
      </c>
      <c r="C15" s="45" t="s">
        <v>490</v>
      </c>
      <c r="D15" s="336">
        <v>0.35</v>
      </c>
      <c r="E15" s="45" t="s">
        <v>443</v>
      </c>
      <c r="F15" s="164"/>
    </row>
    <row r="16" spans="1:6" x14ac:dyDescent="0.2">
      <c r="A16" s="334" t="s">
        <v>485</v>
      </c>
      <c r="B16" s="45">
        <v>0</v>
      </c>
      <c r="C16" s="45" t="s">
        <v>492</v>
      </c>
      <c r="D16" s="336">
        <v>0</v>
      </c>
      <c r="E16" s="45" t="s">
        <v>443</v>
      </c>
      <c r="F16" s="164"/>
    </row>
    <row r="17" spans="1:19" x14ac:dyDescent="0.2">
      <c r="B17" s="45">
        <v>3.5</v>
      </c>
      <c r="C17" s="45" t="s">
        <v>491</v>
      </c>
      <c r="D17" s="336">
        <v>0.35</v>
      </c>
      <c r="E17" s="45" t="s">
        <v>443</v>
      </c>
      <c r="F17" s="164"/>
    </row>
    <row r="18" spans="1:19" x14ac:dyDescent="0.2">
      <c r="B18" s="45">
        <v>15</v>
      </c>
      <c r="C18" s="45" t="s">
        <v>13</v>
      </c>
      <c r="D18" s="336"/>
      <c r="F18" s="164"/>
    </row>
    <row r="19" spans="1:19" x14ac:dyDescent="0.2">
      <c r="A19" s="334" t="s">
        <v>189</v>
      </c>
      <c r="B19" s="45">
        <v>2</v>
      </c>
      <c r="C19" s="45" t="s">
        <v>444</v>
      </c>
      <c r="D19" s="164">
        <v>0.36</v>
      </c>
      <c r="E19" s="45" t="s">
        <v>443</v>
      </c>
    </row>
    <row r="20" spans="1:19" x14ac:dyDescent="0.2">
      <c r="A20" s="334" t="s">
        <v>459</v>
      </c>
      <c r="B20" s="45">
        <v>2.75</v>
      </c>
      <c r="C20" s="45" t="s">
        <v>493</v>
      </c>
    </row>
    <row r="21" spans="1:19" x14ac:dyDescent="0.2">
      <c r="A21" s="334" t="s">
        <v>460</v>
      </c>
      <c r="B21" s="337">
        <v>4</v>
      </c>
      <c r="C21" s="45" t="s">
        <v>461</v>
      </c>
      <c r="D21" s="164">
        <v>0.6</v>
      </c>
      <c r="E21" s="45" t="s">
        <v>443</v>
      </c>
    </row>
    <row r="22" spans="1:19" x14ac:dyDescent="0.2">
      <c r="B22" s="337">
        <v>4</v>
      </c>
      <c r="C22" s="45" t="s">
        <v>462</v>
      </c>
      <c r="D22" s="164">
        <v>0.6</v>
      </c>
      <c r="E22" s="45" t="s">
        <v>443</v>
      </c>
    </row>
    <row r="23" spans="1:19" x14ac:dyDescent="0.2">
      <c r="A23" s="334" t="s">
        <v>1096</v>
      </c>
      <c r="B23" s="337"/>
      <c r="C23" s="45" t="s">
        <v>1097</v>
      </c>
      <c r="D23" s="164">
        <v>0.5</v>
      </c>
      <c r="E23" s="45" t="s">
        <v>443</v>
      </c>
    </row>
    <row r="24" spans="1:19" x14ac:dyDescent="0.2">
      <c r="A24" s="333" t="s">
        <v>80</v>
      </c>
    </row>
    <row r="25" spans="1:19" x14ac:dyDescent="0.2">
      <c r="A25" s="338" t="s">
        <v>72</v>
      </c>
      <c r="B25" s="338" t="s">
        <v>71</v>
      </c>
      <c r="C25" s="338" t="s">
        <v>70</v>
      </c>
      <c r="D25" s="338" t="s">
        <v>69</v>
      </c>
      <c r="E25" s="338" t="s">
        <v>68</v>
      </c>
      <c r="F25" s="339" t="s">
        <v>63</v>
      </c>
      <c r="G25" s="339" t="s">
        <v>353</v>
      </c>
      <c r="H25" s="340" t="s">
        <v>64</v>
      </c>
      <c r="I25" s="340" t="s">
        <v>65</v>
      </c>
      <c r="J25" s="341" t="s">
        <v>66</v>
      </c>
      <c r="K25" s="341" t="s">
        <v>67</v>
      </c>
      <c r="L25" s="341" t="s">
        <v>355</v>
      </c>
      <c r="M25" s="342" t="s">
        <v>358</v>
      </c>
      <c r="N25" s="343" t="s">
        <v>74</v>
      </c>
      <c r="O25" s="343" t="s">
        <v>356</v>
      </c>
      <c r="P25" s="343" t="s">
        <v>516</v>
      </c>
      <c r="Q25" s="344" t="s">
        <v>75</v>
      </c>
      <c r="R25" s="344" t="s">
        <v>376</v>
      </c>
      <c r="S25" s="345" t="s">
        <v>76</v>
      </c>
    </row>
    <row r="26" spans="1:19" x14ac:dyDescent="0.2">
      <c r="A26" s="334">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33" t="s">
        <v>79</v>
      </c>
    </row>
    <row r="29" spans="1:19" x14ac:dyDescent="0.2">
      <c r="A29" s="346" t="s">
        <v>55</v>
      </c>
      <c r="B29" s="339" t="s">
        <v>58</v>
      </c>
      <c r="C29" s="340" t="s">
        <v>182</v>
      </c>
      <c r="D29" s="342" t="s">
        <v>59</v>
      </c>
      <c r="E29" s="343" t="s">
        <v>60</v>
      </c>
      <c r="F29" s="344" t="s">
        <v>61</v>
      </c>
      <c r="G29" s="345" t="s">
        <v>62</v>
      </c>
    </row>
    <row r="30" spans="1:19" s="5" customFormat="1" x14ac:dyDescent="0.2">
      <c r="A30" s="334">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33" t="s">
        <v>83</v>
      </c>
      <c r="B32" s="5"/>
      <c r="C32" s="5"/>
      <c r="D32" s="5" t="s">
        <v>239</v>
      </c>
      <c r="E32" s="5"/>
      <c r="F32" s="5"/>
      <c r="G32" s="5"/>
      <c r="H32" s="5"/>
      <c r="I32" s="5"/>
      <c r="J32" s="5"/>
      <c r="K32" s="5"/>
      <c r="L32" s="5" t="s">
        <v>401</v>
      </c>
      <c r="M32" s="5"/>
      <c r="N32" s="5"/>
      <c r="O32" s="5"/>
      <c r="P32" s="5"/>
      <c r="Q32" s="5"/>
      <c r="R32" s="5"/>
      <c r="S32" s="5"/>
    </row>
    <row r="33" spans="1:16" x14ac:dyDescent="0.2">
      <c r="A33" s="334" t="s">
        <v>21</v>
      </c>
      <c r="B33" s="45">
        <f>HLOOKUP(1,E33:J37,2)</f>
        <v>1300</v>
      </c>
      <c r="D33" s="45" t="s">
        <v>442</v>
      </c>
      <c r="E33" s="45">
        <v>1</v>
      </c>
      <c r="F33" s="45">
        <v>2</v>
      </c>
      <c r="G33" s="45">
        <v>3</v>
      </c>
      <c r="H33" s="45">
        <v>4</v>
      </c>
      <c r="I33" s="45">
        <v>5</v>
      </c>
      <c r="J33" s="45">
        <v>6</v>
      </c>
      <c r="L33" s="45" t="s">
        <v>391</v>
      </c>
      <c r="M33" s="164">
        <v>0.1</v>
      </c>
      <c r="N33" s="45" t="s">
        <v>402</v>
      </c>
    </row>
    <row r="34" spans="1:16" x14ac:dyDescent="0.2">
      <c r="A34" s="334" t="s">
        <v>24</v>
      </c>
      <c r="B34" s="45">
        <v>100</v>
      </c>
      <c r="D34" s="45" t="s">
        <v>21</v>
      </c>
      <c r="E34" s="97">
        <v>1300</v>
      </c>
      <c r="F34" s="97">
        <v>1390</v>
      </c>
      <c r="G34" s="97">
        <v>1480</v>
      </c>
      <c r="H34" s="97">
        <v>1570</v>
      </c>
      <c r="I34" s="97">
        <v>1660</v>
      </c>
      <c r="J34" s="97">
        <v>1750</v>
      </c>
      <c r="K34" s="97"/>
      <c r="M34" s="164">
        <v>0.05</v>
      </c>
      <c r="N34" s="45" t="s">
        <v>403</v>
      </c>
    </row>
    <row r="35" spans="1:16" x14ac:dyDescent="0.2">
      <c r="A35" s="334" t="str">
        <f>Overview!$A22</f>
        <v>Spearman</v>
      </c>
      <c r="B35" s="45">
        <v>0</v>
      </c>
      <c r="D35" s="45" t="s">
        <v>2</v>
      </c>
      <c r="E35" s="97">
        <v>100000</v>
      </c>
      <c r="F35" s="97">
        <v>110000</v>
      </c>
      <c r="G35" s="97">
        <v>120000</v>
      </c>
      <c r="H35" s="97">
        <v>130000</v>
      </c>
      <c r="I35" s="97">
        <v>140000</v>
      </c>
      <c r="J35" s="97">
        <v>150000</v>
      </c>
      <c r="M35" s="164">
        <v>0.05</v>
      </c>
      <c r="N35" s="45" t="s">
        <v>404</v>
      </c>
    </row>
    <row r="36" spans="1:16" x14ac:dyDescent="0.2">
      <c r="A36" s="334" t="str">
        <f>Overview!$A23</f>
        <v>Archer</v>
      </c>
      <c r="B36" s="45">
        <v>150</v>
      </c>
      <c r="D36" s="45" t="s">
        <v>5</v>
      </c>
      <c r="E36" s="97">
        <v>15000</v>
      </c>
      <c r="F36" s="97">
        <v>16000</v>
      </c>
      <c r="G36" s="97">
        <v>17000</v>
      </c>
      <c r="H36" s="97">
        <v>18000</v>
      </c>
      <c r="I36" s="97">
        <v>19000</v>
      </c>
      <c r="J36" s="97">
        <v>20000</v>
      </c>
      <c r="L36" s="45" t="s">
        <v>181</v>
      </c>
      <c r="M36" s="164">
        <v>-0.05</v>
      </c>
      <c r="N36" s="45" t="s">
        <v>405</v>
      </c>
    </row>
    <row r="37" spans="1:16" x14ac:dyDescent="0.2">
      <c r="A37" s="334" t="str">
        <f>Overview!$A24</f>
        <v>Knight</v>
      </c>
      <c r="B37" s="45">
        <v>0</v>
      </c>
      <c r="D37" s="45" t="s">
        <v>7</v>
      </c>
      <c r="E37" s="97">
        <v>15000</v>
      </c>
      <c r="F37" s="97">
        <v>15450</v>
      </c>
      <c r="G37" s="97">
        <v>15900</v>
      </c>
      <c r="H37" s="97">
        <v>16350</v>
      </c>
      <c r="I37" s="97">
        <v>16800</v>
      </c>
      <c r="J37" s="97">
        <v>17250</v>
      </c>
      <c r="M37" s="45">
        <v>-1</v>
      </c>
      <c r="N37" s="45" t="s">
        <v>406</v>
      </c>
    </row>
    <row r="38" spans="1:16" x14ac:dyDescent="0.2">
      <c r="A38" s="334" t="str">
        <f>Overview!$A25</f>
        <v>Cavalry</v>
      </c>
      <c r="B38" s="45">
        <v>0</v>
      </c>
      <c r="M38" s="164">
        <v>-0.1</v>
      </c>
      <c r="N38" s="45" t="s">
        <v>405</v>
      </c>
      <c r="O38" s="45">
        <v>-2</v>
      </c>
      <c r="P38" s="45" t="s">
        <v>406</v>
      </c>
    </row>
    <row r="39" spans="1:16" x14ac:dyDescent="0.2">
      <c r="A39" s="334" t="s">
        <v>25</v>
      </c>
      <c r="B39" s="45">
        <v>25</v>
      </c>
      <c r="D39" s="45" t="s">
        <v>375</v>
      </c>
      <c r="E39" s="97">
        <v>1</v>
      </c>
      <c r="F39" s="45">
        <v>2</v>
      </c>
      <c r="G39" s="45">
        <v>3</v>
      </c>
      <c r="H39" s="45">
        <v>4</v>
      </c>
      <c r="I39" s="45">
        <v>5</v>
      </c>
      <c r="J39" s="45">
        <v>6</v>
      </c>
      <c r="L39" s="45" t="s">
        <v>284</v>
      </c>
      <c r="M39" s="164">
        <v>-0.1</v>
      </c>
      <c r="N39" s="45" t="s">
        <v>407</v>
      </c>
    </row>
    <row r="40" spans="1:16" x14ac:dyDescent="0.2">
      <c r="A40" s="334" t="s">
        <v>26</v>
      </c>
      <c r="B40" s="45">
        <v>25</v>
      </c>
      <c r="D40" s="45" t="s">
        <v>21</v>
      </c>
      <c r="E40" s="45">
        <v>1200</v>
      </c>
      <c r="F40" s="45">
        <v>1325</v>
      </c>
      <c r="G40" s="45">
        <v>1450</v>
      </c>
      <c r="H40" s="45">
        <v>1575</v>
      </c>
      <c r="I40" s="45">
        <v>1700</v>
      </c>
      <c r="J40" s="45">
        <v>1825</v>
      </c>
      <c r="M40" s="164">
        <v>-0.1</v>
      </c>
      <c r="N40" s="45" t="s">
        <v>408</v>
      </c>
    </row>
    <row r="41" spans="1:16" x14ac:dyDescent="0.2">
      <c r="A41" s="334" t="s">
        <v>27</v>
      </c>
      <c r="B41" s="45">
        <v>0</v>
      </c>
      <c r="D41" s="45" t="s">
        <v>2</v>
      </c>
      <c r="E41" s="45">
        <v>100000</v>
      </c>
      <c r="F41" s="45">
        <v>104750</v>
      </c>
      <c r="G41" s="45">
        <v>109500</v>
      </c>
      <c r="H41" s="45">
        <v>114250</v>
      </c>
      <c r="I41" s="45">
        <v>119000</v>
      </c>
      <c r="J41" s="45">
        <v>123750</v>
      </c>
      <c r="M41" s="164">
        <v>0.02</v>
      </c>
      <c r="N41" s="45" t="s">
        <v>409</v>
      </c>
    </row>
    <row r="42" spans="1:16" x14ac:dyDescent="0.2">
      <c r="D42" s="45" t="s">
        <v>5</v>
      </c>
      <c r="E42" s="45">
        <v>15000</v>
      </c>
      <c r="F42" s="45">
        <v>16000</v>
      </c>
      <c r="G42" s="45">
        <v>17000</v>
      </c>
      <c r="H42" s="45">
        <v>18000</v>
      </c>
      <c r="I42" s="45">
        <v>19000</v>
      </c>
      <c r="J42" s="45">
        <v>20000</v>
      </c>
      <c r="L42" s="45" t="s">
        <v>22</v>
      </c>
      <c r="M42" s="164">
        <v>-0.1</v>
      </c>
      <c r="N42" s="45" t="s">
        <v>410</v>
      </c>
    </row>
    <row r="43" spans="1:16" x14ac:dyDescent="0.2">
      <c r="A43" s="333" t="s">
        <v>78</v>
      </c>
      <c r="D43" s="45" t="s">
        <v>7</v>
      </c>
      <c r="E43" s="45">
        <v>15000</v>
      </c>
      <c r="F43" s="45">
        <v>15450</v>
      </c>
      <c r="G43" s="45">
        <v>15900</v>
      </c>
      <c r="H43" s="45">
        <v>16350</v>
      </c>
      <c r="I43" s="45">
        <v>16800</v>
      </c>
      <c r="J43" s="45">
        <v>17250</v>
      </c>
      <c r="M43" s="164">
        <v>-0.1</v>
      </c>
      <c r="N43" s="45" t="s">
        <v>411</v>
      </c>
    </row>
    <row r="44" spans="1:16" x14ac:dyDescent="0.2">
      <c r="A44" s="334" t="s">
        <v>2</v>
      </c>
      <c r="B44" s="97">
        <f>HLOOKUP(1,E33:J37,3)</f>
        <v>100000</v>
      </c>
      <c r="C44" s="97"/>
      <c r="M44" s="164">
        <v>0.05</v>
      </c>
      <c r="N44" s="45" t="s">
        <v>299</v>
      </c>
    </row>
    <row r="45" spans="1:16" x14ac:dyDescent="0.2">
      <c r="A45" s="334" t="s">
        <v>5</v>
      </c>
      <c r="B45" s="97">
        <f>HLOOKUP(1,E33:J37,4)</f>
        <v>15000</v>
      </c>
      <c r="C45" s="97"/>
      <c r="D45" s="45" t="s">
        <v>447</v>
      </c>
      <c r="L45" s="45" t="s">
        <v>73</v>
      </c>
      <c r="M45" s="164">
        <v>-0.1</v>
      </c>
      <c r="N45" s="45" t="s">
        <v>412</v>
      </c>
    </row>
    <row r="46" spans="1:16" x14ac:dyDescent="0.2">
      <c r="A46" s="334" t="s">
        <v>81</v>
      </c>
      <c r="B46" s="97">
        <f>HLOOKUP(1,E33:J37,5)</f>
        <v>15000</v>
      </c>
      <c r="C46" s="97"/>
      <c r="D46" s="45" t="s">
        <v>21</v>
      </c>
      <c r="E46" s="45">
        <v>100</v>
      </c>
      <c r="M46" s="164">
        <v>-0.2</v>
      </c>
      <c r="N46" s="45" t="s">
        <v>413</v>
      </c>
    </row>
    <row r="47" spans="1:16" x14ac:dyDescent="0.2">
      <c r="A47" s="334" t="s">
        <v>12</v>
      </c>
      <c r="B47" s="97">
        <v>0</v>
      </c>
      <c r="C47" s="97"/>
      <c r="D47" s="45" t="s">
        <v>2</v>
      </c>
      <c r="E47" s="45">
        <v>5000</v>
      </c>
      <c r="M47" s="45">
        <v>1</v>
      </c>
      <c r="N47" s="45" t="s">
        <v>414</v>
      </c>
    </row>
    <row r="48" spans="1:16" x14ac:dyDescent="0.2">
      <c r="A48" s="334" t="s">
        <v>3</v>
      </c>
      <c r="B48" s="97">
        <v>0</v>
      </c>
      <c r="C48" s="97"/>
      <c r="D48" s="45" t="s">
        <v>5</v>
      </c>
      <c r="E48" s="45">
        <v>1500</v>
      </c>
      <c r="L48" s="45" t="s">
        <v>187</v>
      </c>
      <c r="M48" s="164">
        <v>-0.1</v>
      </c>
      <c r="N48" s="45" t="s">
        <v>415</v>
      </c>
    </row>
    <row r="49" spans="1:21" x14ac:dyDescent="0.2">
      <c r="A49" s="334" t="s">
        <v>4</v>
      </c>
      <c r="B49" s="97">
        <v>10000</v>
      </c>
      <c r="C49" s="97"/>
      <c r="D49" s="45" t="s">
        <v>7</v>
      </c>
      <c r="E49" s="45">
        <v>2500</v>
      </c>
      <c r="M49" s="164">
        <v>-0.2</v>
      </c>
      <c r="N49" s="45" t="s">
        <v>416</v>
      </c>
    </row>
    <row r="50" spans="1:21" x14ac:dyDescent="0.2">
      <c r="A50" s="334" t="s">
        <v>82</v>
      </c>
      <c r="B50" s="97">
        <v>0</v>
      </c>
      <c r="C50" s="97"/>
      <c r="D50" s="45" t="s">
        <v>3</v>
      </c>
      <c r="E50" s="45">
        <v>2500</v>
      </c>
      <c r="M50" s="45">
        <v>1</v>
      </c>
      <c r="N50" s="45" t="s">
        <v>417</v>
      </c>
    </row>
    <row r="51" spans="1:21" x14ac:dyDescent="0.2">
      <c r="D51" s="45" t="s">
        <v>12</v>
      </c>
      <c r="E51" s="45">
        <v>1000</v>
      </c>
      <c r="L51" s="45" t="s">
        <v>392</v>
      </c>
      <c r="M51" s="164">
        <v>-0.1</v>
      </c>
      <c r="N51" s="45" t="s">
        <v>418</v>
      </c>
    </row>
    <row r="52" spans="1:21" x14ac:dyDescent="0.2">
      <c r="A52" s="333" t="s">
        <v>86</v>
      </c>
      <c r="D52" s="45" t="s">
        <v>448</v>
      </c>
      <c r="E52" s="45">
        <v>30</v>
      </c>
      <c r="L52" s="45" t="s">
        <v>393</v>
      </c>
      <c r="M52" s="164">
        <v>0.2</v>
      </c>
      <c r="N52" s="45" t="s">
        <v>419</v>
      </c>
      <c r="O52" s="164">
        <v>0.1</v>
      </c>
      <c r="P52" s="45" t="s">
        <v>403</v>
      </c>
    </row>
    <row r="53" spans="1:21" x14ac:dyDescent="0.2">
      <c r="A53" s="334" t="s">
        <v>21</v>
      </c>
      <c r="B53" s="347">
        <v>0.03</v>
      </c>
      <c r="D53" s="45" t="s">
        <v>449</v>
      </c>
      <c r="E53" s="45">
        <v>30</v>
      </c>
      <c r="L53" s="45" t="s">
        <v>394</v>
      </c>
      <c r="M53" s="165">
        <v>0.06</v>
      </c>
      <c r="N53" s="45" t="s">
        <v>409</v>
      </c>
    </row>
    <row r="54" spans="1:21" x14ac:dyDescent="0.2">
      <c r="A54" s="334" t="s">
        <v>24</v>
      </c>
      <c r="B54" s="347">
        <v>0.01</v>
      </c>
      <c r="L54" s="45" t="s">
        <v>395</v>
      </c>
      <c r="M54" s="126">
        <v>0.125</v>
      </c>
      <c r="N54" s="45" t="s">
        <v>404</v>
      </c>
    </row>
    <row r="55" spans="1:21" x14ac:dyDescent="0.2">
      <c r="A55" s="334" t="s">
        <v>14</v>
      </c>
      <c r="B55" s="347">
        <v>0.01</v>
      </c>
      <c r="L55" s="45" t="s">
        <v>396</v>
      </c>
      <c r="M55" s="164">
        <v>-0.3</v>
      </c>
      <c r="N55" s="45" t="s">
        <v>420</v>
      </c>
    </row>
    <row r="56" spans="1:21" x14ac:dyDescent="0.2">
      <c r="A56" s="334" t="s">
        <v>16</v>
      </c>
      <c r="B56" s="347">
        <v>0.01</v>
      </c>
      <c r="L56" s="45" t="s">
        <v>397</v>
      </c>
      <c r="M56" s="164">
        <v>-0.2</v>
      </c>
      <c r="N56" s="45" t="s">
        <v>405</v>
      </c>
      <c r="O56" s="164">
        <v>0.15</v>
      </c>
      <c r="P56" s="45" t="s">
        <v>421</v>
      </c>
    </row>
    <row r="57" spans="1:21" x14ac:dyDescent="0.2">
      <c r="A57" s="334" t="s">
        <v>15</v>
      </c>
      <c r="B57" s="347">
        <v>0.02</v>
      </c>
      <c r="L57" s="45" t="s">
        <v>398</v>
      </c>
      <c r="M57" s="164">
        <v>-0.25</v>
      </c>
      <c r="N57" s="45" t="s">
        <v>422</v>
      </c>
    </row>
    <row r="58" spans="1:21" x14ac:dyDescent="0.2">
      <c r="L58" s="45" t="s">
        <v>399</v>
      </c>
      <c r="M58" s="164">
        <v>0.1</v>
      </c>
      <c r="N58" s="45" t="s">
        <v>299</v>
      </c>
      <c r="O58" s="164">
        <v>0.15</v>
      </c>
      <c r="P58" s="45" t="s">
        <v>423</v>
      </c>
    </row>
    <row r="59" spans="1:21" x14ac:dyDescent="0.2">
      <c r="L59" s="45" t="s">
        <v>400</v>
      </c>
      <c r="M59" s="45">
        <v>3</v>
      </c>
      <c r="N59" s="45" t="s">
        <v>424</v>
      </c>
    </row>
    <row r="60" spans="1:21" x14ac:dyDescent="0.2">
      <c r="A60" s="334" t="s">
        <v>87</v>
      </c>
      <c r="B60" s="45">
        <v>0.25</v>
      </c>
      <c r="C60" s="45" t="s">
        <v>88</v>
      </c>
      <c r="U60" s="165"/>
    </row>
    <row r="61" spans="1:21" x14ac:dyDescent="0.2">
      <c r="A61" s="334" t="s">
        <v>171</v>
      </c>
      <c r="B61" s="45">
        <v>2.7</v>
      </c>
      <c r="C61" s="45" t="s">
        <v>172</v>
      </c>
      <c r="T61" s="116"/>
      <c r="U61" s="165"/>
    </row>
    <row r="62" spans="1:21" x14ac:dyDescent="0.2">
      <c r="L62" s="45" t="s">
        <v>33</v>
      </c>
      <c r="M62" s="45">
        <v>6.4</v>
      </c>
      <c r="N62" s="45" t="s">
        <v>478</v>
      </c>
      <c r="U62" s="165"/>
    </row>
    <row r="63" spans="1:21" x14ac:dyDescent="0.2">
      <c r="A63" s="333" t="s">
        <v>174</v>
      </c>
    </row>
    <row r="64" spans="1:21" x14ac:dyDescent="0.2">
      <c r="A64" s="334" t="s">
        <v>350</v>
      </c>
      <c r="B64" s="45">
        <v>35</v>
      </c>
      <c r="C64" s="45" t="s">
        <v>351</v>
      </c>
      <c r="D64" s="45" t="s">
        <v>352</v>
      </c>
      <c r="L64" s="45" t="s">
        <v>477</v>
      </c>
      <c r="M64" s="45">
        <v>3780</v>
      </c>
      <c r="U64" s="164"/>
    </row>
    <row r="65" spans="1:21" x14ac:dyDescent="0.2">
      <c r="A65" s="334" t="s">
        <v>176</v>
      </c>
      <c r="B65" s="45">
        <v>30</v>
      </c>
      <c r="C65" s="45" t="s">
        <v>275</v>
      </c>
    </row>
    <row r="66" spans="1:21" x14ac:dyDescent="0.2">
      <c r="A66" s="334" t="s">
        <v>484</v>
      </c>
      <c r="B66" s="45">
        <v>15</v>
      </c>
      <c r="C66" s="45" t="s">
        <v>275</v>
      </c>
      <c r="L66" s="5" t="s">
        <v>640</v>
      </c>
      <c r="U66" s="164"/>
    </row>
    <row r="67" spans="1:21" x14ac:dyDescent="0.2">
      <c r="A67" s="334" t="s">
        <v>354</v>
      </c>
      <c r="B67" s="45">
        <v>15</v>
      </c>
      <c r="C67" s="45" t="s">
        <v>275</v>
      </c>
      <c r="L67" s="116" t="s">
        <v>545</v>
      </c>
      <c r="M67" s="439">
        <v>2.5000000000000001E-2</v>
      </c>
      <c r="N67" s="45" t="s">
        <v>645</v>
      </c>
      <c r="U67" s="164"/>
    </row>
    <row r="68" spans="1:21" x14ac:dyDescent="0.2">
      <c r="A68" s="334" t="s">
        <v>175</v>
      </c>
      <c r="B68" s="45">
        <v>15</v>
      </c>
      <c r="C68" s="45" t="str">
        <f>C65</f>
        <v>peasants</v>
      </c>
      <c r="L68" s="116" t="s">
        <v>547</v>
      </c>
      <c r="M68" s="439">
        <v>7.4999999999999997E-2</v>
      </c>
      <c r="N68" s="45" t="s">
        <v>646</v>
      </c>
    </row>
    <row r="69" spans="1:21" x14ac:dyDescent="0.2">
      <c r="A69" s="334" t="s">
        <v>276</v>
      </c>
      <c r="B69" s="45">
        <f>IF(OR(Overview!$B$14="Halfling",Overview!$B$14="Dwarf",Overview!$B$14="Gnome"),10,IF(race="Nomad",25,5))</f>
        <v>5</v>
      </c>
      <c r="L69" s="45" t="s">
        <v>549</v>
      </c>
      <c r="M69" s="2">
        <v>0.05</v>
      </c>
      <c r="N69" s="45" t="s">
        <v>647</v>
      </c>
    </row>
    <row r="70" spans="1:21" x14ac:dyDescent="0.2">
      <c r="L70" s="45" t="s">
        <v>551</v>
      </c>
      <c r="M70" s="439">
        <v>7.4999999999999997E-2</v>
      </c>
      <c r="N70" s="45" t="s">
        <v>645</v>
      </c>
      <c r="T70" s="116"/>
      <c r="U70" s="165"/>
    </row>
    <row r="71" spans="1:21" x14ac:dyDescent="0.2">
      <c r="A71" s="348" t="s">
        <v>277</v>
      </c>
      <c r="L71" s="45" t="s">
        <v>553</v>
      </c>
      <c r="M71" s="439">
        <v>2.5000000000000001E-2</v>
      </c>
      <c r="N71" s="45" t="s">
        <v>648</v>
      </c>
      <c r="U71" s="165"/>
    </row>
    <row r="72" spans="1:21" x14ac:dyDescent="0.2">
      <c r="A72" s="334" t="str">
        <f>CONCATENATE("Your race is ",Overview!B14)</f>
        <v>Your race is Human</v>
      </c>
      <c r="L72" s="45" t="s">
        <v>555</v>
      </c>
      <c r="M72" s="2">
        <v>0.05</v>
      </c>
      <c r="N72" s="45" t="s">
        <v>684</v>
      </c>
      <c r="S72" s="116"/>
      <c r="T72" s="116"/>
      <c r="U72" s="164"/>
    </row>
    <row r="73" spans="1:21" x14ac:dyDescent="0.2">
      <c r="L73" s="45" t="s">
        <v>556</v>
      </c>
      <c r="M73" s="2">
        <v>0.1</v>
      </c>
      <c r="N73" s="45" t="s">
        <v>769</v>
      </c>
      <c r="S73" s="116"/>
      <c r="T73" s="116"/>
      <c r="U73" s="164"/>
    </row>
    <row r="74" spans="1:21" x14ac:dyDescent="0.2">
      <c r="A74" s="333" t="s">
        <v>207</v>
      </c>
      <c r="B74" s="45" t="s">
        <v>278</v>
      </c>
      <c r="F74" s="45" t="s">
        <v>212</v>
      </c>
      <c r="L74" s="45" t="s">
        <v>557</v>
      </c>
      <c r="M74" s="2">
        <v>-0.1</v>
      </c>
      <c r="N74" s="45" t="s">
        <v>682</v>
      </c>
      <c r="O74" s="45" t="s">
        <v>651</v>
      </c>
      <c r="S74" s="116"/>
      <c r="T74" s="116"/>
      <c r="U74" s="164"/>
    </row>
    <row r="75" spans="1:21" x14ac:dyDescent="0.2">
      <c r="A75" s="334" t="s">
        <v>202</v>
      </c>
      <c r="B75" s="45">
        <v>2</v>
      </c>
      <c r="C75" s="45" t="s">
        <v>208</v>
      </c>
      <c r="D75" s="347"/>
      <c r="F75" s="347">
        <v>0.1</v>
      </c>
      <c r="G75" s="45" t="s">
        <v>107</v>
      </c>
      <c r="L75" s="45" t="s">
        <v>558</v>
      </c>
      <c r="M75" s="2">
        <v>-0.05</v>
      </c>
      <c r="N75" s="45" t="s">
        <v>689</v>
      </c>
      <c r="O75" s="164">
        <v>-0.15</v>
      </c>
      <c r="P75" s="45" t="s">
        <v>666</v>
      </c>
      <c r="S75" s="116"/>
      <c r="T75" s="116"/>
      <c r="U75" s="165"/>
    </row>
    <row r="76" spans="1:21" x14ac:dyDescent="0.2">
      <c r="A76" s="334" t="s">
        <v>203</v>
      </c>
      <c r="B76" s="45">
        <v>2</v>
      </c>
      <c r="C76" s="45" t="s">
        <v>208</v>
      </c>
      <c r="D76" s="347"/>
      <c r="F76" s="347">
        <v>0.1</v>
      </c>
      <c r="G76" s="45" t="s">
        <v>110</v>
      </c>
      <c r="L76" s="45" t="s">
        <v>560</v>
      </c>
      <c r="M76" s="439">
        <v>-2.5000000000000001E-2</v>
      </c>
      <c r="N76" s="45" t="s">
        <v>652</v>
      </c>
      <c r="S76" s="116"/>
      <c r="T76" s="116"/>
      <c r="U76" s="164"/>
    </row>
    <row r="77" spans="1:21" x14ac:dyDescent="0.2">
      <c r="A77" s="334" t="s">
        <v>209</v>
      </c>
      <c r="B77" s="45">
        <v>2.5</v>
      </c>
      <c r="C77" s="45" t="s">
        <v>208</v>
      </c>
      <c r="D77" s="347"/>
      <c r="F77" s="347">
        <v>0.1</v>
      </c>
      <c r="G77" s="45" t="s">
        <v>32</v>
      </c>
      <c r="L77" s="45" t="s">
        <v>562</v>
      </c>
      <c r="M77" s="2">
        <v>-0.1</v>
      </c>
      <c r="N77" s="45" t="s">
        <v>770</v>
      </c>
      <c r="S77" s="116"/>
      <c r="T77" s="116"/>
    </row>
    <row r="78" spans="1:21" x14ac:dyDescent="0.2">
      <c r="A78" s="334" t="s">
        <v>206</v>
      </c>
      <c r="B78" s="45">
        <v>2.5</v>
      </c>
      <c r="C78" s="45" t="s">
        <v>208</v>
      </c>
      <c r="D78" s="347"/>
      <c r="F78" s="347">
        <v>0.5</v>
      </c>
      <c r="G78" s="45" t="s">
        <v>213</v>
      </c>
      <c r="M78"/>
      <c r="S78" s="116"/>
      <c r="T78" s="116"/>
    </row>
    <row r="79" spans="1:21" x14ac:dyDescent="0.2">
      <c r="A79" s="334" t="s">
        <v>210</v>
      </c>
      <c r="B79" s="45">
        <v>2.5</v>
      </c>
      <c r="C79" s="45" t="s">
        <v>208</v>
      </c>
      <c r="D79" s="347"/>
      <c r="F79" s="347">
        <v>0.1</v>
      </c>
      <c r="G79" s="45" t="s">
        <v>106</v>
      </c>
      <c r="L79" s="45" t="s">
        <v>563</v>
      </c>
      <c r="M79" s="439">
        <v>-0.1</v>
      </c>
      <c r="N79" s="45" t="s">
        <v>654</v>
      </c>
      <c r="S79" s="116"/>
      <c r="T79" s="116"/>
      <c r="U79" s="165"/>
    </row>
    <row r="80" spans="1:21" x14ac:dyDescent="0.2">
      <c r="A80" s="334" t="s">
        <v>537</v>
      </c>
      <c r="B80" s="45">
        <v>5</v>
      </c>
      <c r="C80" s="45" t="s">
        <v>208</v>
      </c>
      <c r="D80" s="347"/>
      <c r="F80" s="347">
        <v>0.2</v>
      </c>
      <c r="G80" s="45" t="s">
        <v>110</v>
      </c>
      <c r="H80" s="45" t="s">
        <v>252</v>
      </c>
      <c r="L80" s="45" t="s">
        <v>564</v>
      </c>
      <c r="M80" s="2">
        <v>0.15</v>
      </c>
      <c r="N80" s="45" t="s">
        <v>655</v>
      </c>
      <c r="S80" s="116"/>
      <c r="T80" s="116"/>
      <c r="U80" s="164"/>
    </row>
    <row r="81" spans="1:23" x14ac:dyDescent="0.2">
      <c r="A81" s="334" t="s">
        <v>538</v>
      </c>
      <c r="B81" s="45">
        <v>5</v>
      </c>
      <c r="C81" s="45" t="s">
        <v>208</v>
      </c>
      <c r="D81" s="347"/>
      <c r="F81" s="347">
        <v>0.3</v>
      </c>
      <c r="G81" s="45" t="s">
        <v>539</v>
      </c>
      <c r="L81" s="45" t="s">
        <v>565</v>
      </c>
      <c r="M81" s="2">
        <v>-0.05</v>
      </c>
      <c r="N81" s="45" t="s">
        <v>656</v>
      </c>
      <c r="S81" s="116"/>
      <c r="T81" s="116"/>
      <c r="U81" s="164"/>
    </row>
    <row r="82" spans="1:23" x14ac:dyDescent="0.2">
      <c r="A82" s="334" t="s">
        <v>267</v>
      </c>
      <c r="B82" s="45">
        <f>B80</f>
        <v>5</v>
      </c>
      <c r="C82" s="45" t="str">
        <f>C80</f>
        <v>* Landsize</v>
      </c>
      <c r="D82" s="164"/>
      <c r="F82" s="347">
        <v>0.2</v>
      </c>
      <c r="G82" s="45" t="s">
        <v>32</v>
      </c>
      <c r="H82" s="45" t="s">
        <v>264</v>
      </c>
      <c r="L82" s="45" t="s">
        <v>567</v>
      </c>
      <c r="M82" s="2">
        <v>-0.2</v>
      </c>
      <c r="N82" s="45" t="s">
        <v>657</v>
      </c>
      <c r="S82" s="116"/>
      <c r="T82" s="116"/>
      <c r="U82" s="164"/>
    </row>
    <row r="83" spans="1:23" x14ac:dyDescent="0.2">
      <c r="A83" s="334" t="s">
        <v>266</v>
      </c>
      <c r="B83" s="45">
        <f>B80</f>
        <v>5</v>
      </c>
      <c r="C83" s="45" t="str">
        <f>C80</f>
        <v>* Landsize</v>
      </c>
      <c r="D83" s="164"/>
      <c r="F83" s="347">
        <v>0.1</v>
      </c>
      <c r="G83" s="45" t="s">
        <v>31</v>
      </c>
      <c r="L83" s="45" t="s">
        <v>569</v>
      </c>
      <c r="M83" s="2">
        <v>0.01</v>
      </c>
      <c r="N83" s="45" t="s">
        <v>658</v>
      </c>
      <c r="O83" s="45" t="s">
        <v>651</v>
      </c>
      <c r="S83" s="116"/>
      <c r="T83" s="116"/>
      <c r="U83" s="164"/>
    </row>
    <row r="84" spans="1:23" x14ac:dyDescent="0.2">
      <c r="A84" s="334" t="s">
        <v>304</v>
      </c>
      <c r="B84" s="45">
        <v>5</v>
      </c>
      <c r="C84" s="45" t="str">
        <f t="shared" ref="C84:C89" si="0">C83</f>
        <v>* Landsize</v>
      </c>
      <c r="D84" s="164"/>
      <c r="F84" s="164">
        <v>0.2</v>
      </c>
      <c r="G84" s="45" t="s">
        <v>107</v>
      </c>
      <c r="H84" s="164">
        <v>0.1</v>
      </c>
      <c r="I84" s="45" t="s">
        <v>108</v>
      </c>
      <c r="L84" s="45" t="s">
        <v>570</v>
      </c>
      <c r="M84" s="29">
        <v>-2.5000000000000001E-2</v>
      </c>
      <c r="N84" s="45" t="s">
        <v>650</v>
      </c>
      <c r="O84" s="165">
        <v>-2.5000000000000001E-2</v>
      </c>
      <c r="P84" s="45" t="s">
        <v>771</v>
      </c>
      <c r="S84" s="116"/>
      <c r="T84" s="116"/>
    </row>
    <row r="85" spans="1:23" x14ac:dyDescent="0.2">
      <c r="A85" s="334" t="s">
        <v>341</v>
      </c>
      <c r="B85" s="45">
        <f>B84</f>
        <v>5</v>
      </c>
      <c r="C85" s="45" t="str">
        <f t="shared" si="0"/>
        <v>* Landsize</v>
      </c>
      <c r="D85" s="164"/>
      <c r="F85" s="164">
        <v>0.1</v>
      </c>
      <c r="G85" s="45" t="s">
        <v>31</v>
      </c>
      <c r="H85" s="164">
        <v>0.1</v>
      </c>
      <c r="I85" s="45" t="s">
        <v>32</v>
      </c>
      <c r="L85" s="45" t="s">
        <v>572</v>
      </c>
      <c r="M85">
        <v>1.25</v>
      </c>
      <c r="N85" s="45" t="s">
        <v>686</v>
      </c>
      <c r="S85" s="116"/>
      <c r="T85" s="116"/>
      <c r="U85" s="165"/>
    </row>
    <row r="86" spans="1:23" x14ac:dyDescent="0.2">
      <c r="A86" s="334" t="s">
        <v>340</v>
      </c>
      <c r="B86" s="45">
        <f>B85</f>
        <v>5</v>
      </c>
      <c r="C86" s="45" t="str">
        <f t="shared" si="0"/>
        <v>* Landsize</v>
      </c>
      <c r="D86" s="164"/>
      <c r="F86" s="164">
        <v>0.15</v>
      </c>
      <c r="G86" s="45" t="s">
        <v>32</v>
      </c>
      <c r="H86" s="164" t="s">
        <v>342</v>
      </c>
      <c r="L86" s="45" t="s">
        <v>574</v>
      </c>
      <c r="M86" s="2">
        <v>-0.15</v>
      </c>
      <c r="N86" s="45" t="s">
        <v>654</v>
      </c>
      <c r="S86" s="116"/>
      <c r="T86" s="116"/>
      <c r="U86" s="164"/>
    </row>
    <row r="87" spans="1:23" x14ac:dyDescent="0.2">
      <c r="A87" s="334" t="s">
        <v>347</v>
      </c>
      <c r="B87" s="45">
        <v>5</v>
      </c>
      <c r="C87" s="349" t="str">
        <f t="shared" si="0"/>
        <v>* Landsize</v>
      </c>
      <c r="D87" s="164"/>
      <c r="F87" s="267">
        <v>15</v>
      </c>
      <c r="G87" s="45" t="s">
        <v>348</v>
      </c>
      <c r="H87" s="164"/>
      <c r="L87" s="45" t="s">
        <v>575</v>
      </c>
      <c r="M87" s="439">
        <v>-2.5000000000000001E-2</v>
      </c>
      <c r="N87" s="45" t="s">
        <v>650</v>
      </c>
      <c r="O87" s="45">
        <v>-1</v>
      </c>
      <c r="P87" s="45" t="s">
        <v>683</v>
      </c>
      <c r="S87" s="116"/>
      <c r="T87" s="116"/>
      <c r="U87" s="164"/>
    </row>
    <row r="88" spans="1:23" x14ac:dyDescent="0.2">
      <c r="A88" s="334" t="s">
        <v>432</v>
      </c>
      <c r="B88" s="45">
        <v>5</v>
      </c>
      <c r="C88" s="45" t="str">
        <f t="shared" si="0"/>
        <v>* Landsize</v>
      </c>
      <c r="D88" s="164"/>
      <c r="F88" s="164">
        <v>0.05</v>
      </c>
      <c r="G88" s="45" t="s">
        <v>31</v>
      </c>
      <c r="L88" s="45" t="s">
        <v>576</v>
      </c>
      <c r="M88" s="439">
        <v>-2.5000000000000001E-2</v>
      </c>
      <c r="N88" s="45" t="s">
        <v>656</v>
      </c>
      <c r="S88" s="116"/>
      <c r="T88" s="116"/>
      <c r="U88" s="165"/>
    </row>
    <row r="89" spans="1:23" x14ac:dyDescent="0.2">
      <c r="A89" s="334" t="s">
        <v>1107</v>
      </c>
      <c r="B89" s="45">
        <v>5</v>
      </c>
      <c r="C89" s="45" t="str">
        <f t="shared" si="0"/>
        <v>* Landsize</v>
      </c>
      <c r="D89" s="126">
        <v>0.01</v>
      </c>
      <c r="E89" s="45" t="s">
        <v>364</v>
      </c>
      <c r="F89" s="164">
        <v>0.1</v>
      </c>
      <c r="G89" s="45" t="s">
        <v>1109</v>
      </c>
      <c r="M89"/>
      <c r="S89" s="116"/>
      <c r="T89" s="116"/>
    </row>
    <row r="90" spans="1:23" x14ac:dyDescent="0.2">
      <c r="L90" s="45" t="s">
        <v>578</v>
      </c>
      <c r="M90" s="2">
        <v>0.05</v>
      </c>
      <c r="N90" s="45" t="s">
        <v>659</v>
      </c>
      <c r="S90" s="116"/>
      <c r="T90" s="116"/>
    </row>
    <row r="91" spans="1:23" x14ac:dyDescent="0.2">
      <c r="A91" s="333" t="s">
        <v>82</v>
      </c>
      <c r="L91" s="45" t="s">
        <v>580</v>
      </c>
      <c r="M91" s="439">
        <v>2.5000000000000001E-2</v>
      </c>
      <c r="N91" s="45" t="s">
        <v>661</v>
      </c>
      <c r="S91" s="116"/>
      <c r="T91" s="116"/>
      <c r="U91" s="165"/>
    </row>
    <row r="92" spans="1:23" x14ac:dyDescent="0.2">
      <c r="A92" s="334" t="s">
        <v>274</v>
      </c>
      <c r="B92" s="45">
        <f>IF(Overview!$B$14="Kobold",40,30)</f>
        <v>30</v>
      </c>
      <c r="C92" s="45" t="s">
        <v>245</v>
      </c>
      <c r="L92" s="45" t="s">
        <v>582</v>
      </c>
      <c r="M92" s="439">
        <v>7.4999999999999997E-2</v>
      </c>
      <c r="N92" s="45" t="s">
        <v>662</v>
      </c>
      <c r="O92" s="126">
        <v>7.4999999999999997E-2</v>
      </c>
      <c r="P92" s="45" t="s">
        <v>663</v>
      </c>
      <c r="S92" s="116"/>
      <c r="T92" s="116"/>
      <c r="U92" s="165"/>
      <c r="W92" s="164"/>
    </row>
    <row r="93" spans="1:23" x14ac:dyDescent="0.2">
      <c r="L93" s="45" t="s">
        <v>583</v>
      </c>
      <c r="M93" s="439">
        <v>7.4999999999999997E-2</v>
      </c>
      <c r="N93" s="45" t="s">
        <v>646</v>
      </c>
      <c r="O93" s="164">
        <v>0.05</v>
      </c>
      <c r="P93" s="45" t="s">
        <v>664</v>
      </c>
      <c r="S93" s="116"/>
      <c r="T93" s="116"/>
      <c r="U93" s="165"/>
      <c r="W93" s="164"/>
    </row>
    <row r="94" spans="1:23" x14ac:dyDescent="0.2">
      <c r="A94" s="333" t="s">
        <v>357</v>
      </c>
      <c r="L94" s="45" t="s">
        <v>585</v>
      </c>
      <c r="M94" s="439">
        <v>-1.7500000000000002E-2</v>
      </c>
      <c r="N94" s="45" t="s">
        <v>649</v>
      </c>
      <c r="S94" s="116"/>
      <c r="T94" s="116"/>
    </row>
    <row r="95" spans="1:23" x14ac:dyDescent="0.2">
      <c r="A95" s="334" t="s">
        <v>511</v>
      </c>
      <c r="B95" s="45">
        <v>250</v>
      </c>
      <c r="L95" s="45" t="s">
        <v>586</v>
      </c>
      <c r="M95" s="439">
        <v>1.4999999999999999E-2</v>
      </c>
      <c r="N95" s="45" t="s">
        <v>660</v>
      </c>
      <c r="S95" s="116"/>
      <c r="T95" s="116"/>
      <c r="U95" s="164"/>
    </row>
    <row r="96" spans="1:23" x14ac:dyDescent="0.2">
      <c r="A96" s="334" t="s">
        <v>512</v>
      </c>
      <c r="B96" s="164">
        <v>0.01</v>
      </c>
      <c r="L96" s="45" t="s">
        <v>587</v>
      </c>
      <c r="M96" s="439">
        <v>-7.4999999999999997E-2</v>
      </c>
      <c r="N96" s="45" t="s">
        <v>650</v>
      </c>
      <c r="O96" s="45">
        <v>-2</v>
      </c>
      <c r="P96" s="45" t="s">
        <v>683</v>
      </c>
      <c r="S96" s="116"/>
      <c r="T96" s="116"/>
      <c r="U96" s="165"/>
    </row>
    <row r="97" spans="1:23" x14ac:dyDescent="0.2">
      <c r="A97" s="334" t="s">
        <v>513</v>
      </c>
      <c r="B97" s="164">
        <v>0.01</v>
      </c>
      <c r="L97" s="45" t="s">
        <v>588</v>
      </c>
      <c r="M97" s="2">
        <v>-0.5</v>
      </c>
      <c r="N97" s="45" t="s">
        <v>665</v>
      </c>
      <c r="S97" s="116"/>
      <c r="T97" s="116"/>
      <c r="U97" s="164"/>
    </row>
    <row r="98" spans="1:23" x14ac:dyDescent="0.2">
      <c r="A98" s="334" t="s">
        <v>514</v>
      </c>
      <c r="B98" s="164">
        <v>0.01</v>
      </c>
      <c r="L98" s="45" t="s">
        <v>590</v>
      </c>
      <c r="M98" s="2">
        <v>-0.1</v>
      </c>
      <c r="N98" s="45" t="s">
        <v>653</v>
      </c>
      <c r="S98" s="116"/>
      <c r="T98" s="116"/>
      <c r="U98" s="164"/>
      <c r="W98" s="164"/>
    </row>
    <row r="99" spans="1:23" x14ac:dyDescent="0.2">
      <c r="M99"/>
      <c r="S99" s="116"/>
      <c r="T99" s="116"/>
    </row>
    <row r="100" spans="1:23" x14ac:dyDescent="0.2">
      <c r="A100" s="333" t="s">
        <v>463</v>
      </c>
      <c r="L100" s="45" t="s">
        <v>592</v>
      </c>
      <c r="M100" s="439">
        <v>0.125</v>
      </c>
      <c r="N100" s="45" t="s">
        <v>667</v>
      </c>
      <c r="S100" s="116"/>
      <c r="T100" s="116"/>
      <c r="U100" s="165"/>
    </row>
    <row r="101" spans="1:23" x14ac:dyDescent="0.2">
      <c r="L101" s="45" t="s">
        <v>593</v>
      </c>
      <c r="M101"/>
      <c r="N101" s="45" t="s">
        <v>641</v>
      </c>
      <c r="S101" s="116"/>
      <c r="T101" s="116"/>
    </row>
    <row r="102" spans="1:23" x14ac:dyDescent="0.2">
      <c r="A102" s="334" t="s">
        <v>464</v>
      </c>
      <c r="B102" s="45" t="s">
        <v>216</v>
      </c>
      <c r="D102" s="347">
        <v>0.3</v>
      </c>
      <c r="E102" s="45" t="s">
        <v>443</v>
      </c>
      <c r="L102" s="45" t="s">
        <v>594</v>
      </c>
      <c r="M102" s="439">
        <v>2.5000000000000001E-2</v>
      </c>
      <c r="N102" s="45" t="s">
        <v>661</v>
      </c>
      <c r="O102" s="165">
        <v>7.4999999999999997E-2</v>
      </c>
      <c r="P102" s="45" t="s">
        <v>659</v>
      </c>
      <c r="S102" s="116"/>
      <c r="T102" s="116"/>
      <c r="U102" s="165"/>
      <c r="W102" s="165"/>
    </row>
    <row r="103" spans="1:23" x14ac:dyDescent="0.2">
      <c r="B103" s="45" t="s">
        <v>214</v>
      </c>
      <c r="D103" s="347">
        <v>0.2</v>
      </c>
      <c r="E103" s="45" t="s">
        <v>443</v>
      </c>
      <c r="L103" s="45" t="s">
        <v>595</v>
      </c>
      <c r="M103" s="2">
        <v>0.05</v>
      </c>
      <c r="N103" s="45" t="s">
        <v>648</v>
      </c>
      <c r="S103" s="116"/>
      <c r="T103" s="116"/>
      <c r="U103" s="164"/>
    </row>
    <row r="104" spans="1:23" x14ac:dyDescent="0.2">
      <c r="B104" s="45" t="s">
        <v>465</v>
      </c>
      <c r="D104" s="347">
        <v>0.3</v>
      </c>
      <c r="E104" s="45" t="s">
        <v>443</v>
      </c>
      <c r="L104" s="45" t="s">
        <v>596</v>
      </c>
      <c r="M104">
        <v>1</v>
      </c>
      <c r="N104" s="45" t="s">
        <v>1093</v>
      </c>
      <c r="S104" s="116"/>
      <c r="T104" s="116"/>
      <c r="U104" s="164"/>
    </row>
    <row r="105" spans="1:23" x14ac:dyDescent="0.2">
      <c r="B105" s="45" t="s">
        <v>466</v>
      </c>
      <c r="D105" s="347">
        <v>0.6</v>
      </c>
      <c r="E105" s="45" t="s">
        <v>443</v>
      </c>
      <c r="L105" s="45" t="s">
        <v>597</v>
      </c>
      <c r="M105" s="439">
        <v>-7.4999999999999997E-2</v>
      </c>
      <c r="N105" s="45" t="s">
        <v>656</v>
      </c>
      <c r="S105" s="116"/>
      <c r="T105" s="116"/>
      <c r="U105" s="164"/>
    </row>
    <row r="106" spans="1:23" x14ac:dyDescent="0.2">
      <c r="L106" s="45" t="s">
        <v>599</v>
      </c>
      <c r="M106">
        <v>-1</v>
      </c>
      <c r="N106" s="45" t="s">
        <v>772</v>
      </c>
      <c r="S106" s="116"/>
      <c r="T106" s="116"/>
      <c r="U106" s="165"/>
    </row>
    <row r="107" spans="1:23" x14ac:dyDescent="0.2">
      <c r="A107" s="334" t="s">
        <v>467</v>
      </c>
      <c r="B107" s="45" t="s">
        <v>216</v>
      </c>
      <c r="D107" s="45">
        <v>4000</v>
      </c>
      <c r="E107" s="45" t="s">
        <v>515</v>
      </c>
      <c r="L107" s="45" t="s">
        <v>601</v>
      </c>
      <c r="M107" s="2">
        <v>-0.2</v>
      </c>
      <c r="N107" s="45" t="s">
        <v>668</v>
      </c>
      <c r="S107" s="116"/>
      <c r="T107" s="116"/>
    </row>
    <row r="108" spans="1:23" x14ac:dyDescent="0.2">
      <c r="B108" s="45" t="s">
        <v>214</v>
      </c>
      <c r="D108" s="45">
        <v>4000</v>
      </c>
      <c r="E108" s="45" t="s">
        <v>515</v>
      </c>
      <c r="M108"/>
    </row>
    <row r="109" spans="1:23" x14ac:dyDescent="0.2">
      <c r="B109" s="45" t="s">
        <v>465</v>
      </c>
      <c r="D109" s="45">
        <v>7500</v>
      </c>
      <c r="E109" s="45" t="s">
        <v>515</v>
      </c>
      <c r="L109" s="45" t="s">
        <v>602</v>
      </c>
      <c r="M109" s="439">
        <v>2.5000000000000001E-2</v>
      </c>
      <c r="N109" s="45" t="s">
        <v>1094</v>
      </c>
      <c r="O109" s="45" t="s">
        <v>670</v>
      </c>
      <c r="S109" s="116"/>
      <c r="T109" s="116"/>
      <c r="U109" s="164"/>
      <c r="W109" s="164"/>
    </row>
    <row r="110" spans="1:23" x14ac:dyDescent="0.2">
      <c r="B110" s="45" t="s">
        <v>535</v>
      </c>
      <c r="D110" s="45">
        <v>5000</v>
      </c>
      <c r="E110" s="45" t="s">
        <v>515</v>
      </c>
      <c r="L110" s="45" t="s">
        <v>603</v>
      </c>
      <c r="M110" s="2">
        <v>-0.2</v>
      </c>
      <c r="N110" s="45" t="s">
        <v>687</v>
      </c>
      <c r="O110" s="164">
        <v>-0.1</v>
      </c>
      <c r="P110" s="45" t="s">
        <v>669</v>
      </c>
      <c r="S110" s="116"/>
      <c r="T110" s="116"/>
    </row>
    <row r="111" spans="1:23" x14ac:dyDescent="0.2">
      <c r="B111" s="45" t="s">
        <v>217</v>
      </c>
      <c r="D111" s="45">
        <v>5000</v>
      </c>
      <c r="E111" s="45" t="s">
        <v>515</v>
      </c>
      <c r="L111" s="45" t="s">
        <v>604</v>
      </c>
      <c r="M111" s="439">
        <v>-1.7500000000000002E-2</v>
      </c>
      <c r="N111" s="45" t="s">
        <v>649</v>
      </c>
      <c r="S111" s="116"/>
      <c r="T111" s="116"/>
      <c r="U111" s="164"/>
    </row>
    <row r="112" spans="1:23" x14ac:dyDescent="0.2">
      <c r="L112" s="45" t="s">
        <v>605</v>
      </c>
      <c r="M112" s="439">
        <v>2.5000000000000001E-2</v>
      </c>
      <c r="N112" s="45" t="s">
        <v>679</v>
      </c>
      <c r="O112" s="165">
        <v>7.4999999999999997E-2</v>
      </c>
      <c r="P112" s="45" t="s">
        <v>671</v>
      </c>
      <c r="S112" s="116"/>
      <c r="T112" s="116"/>
      <c r="U112" s="165"/>
      <c r="W112" s="165"/>
    </row>
    <row r="113" spans="1:23" x14ac:dyDescent="0.2">
      <c r="A113" s="333" t="s">
        <v>468</v>
      </c>
      <c r="F113" s="45" t="s">
        <v>470</v>
      </c>
      <c r="L113" s="45" t="s">
        <v>606</v>
      </c>
      <c r="M113" s="439">
        <v>-1.7500000000000002E-2</v>
      </c>
      <c r="N113" s="45" t="s">
        <v>649</v>
      </c>
      <c r="S113" s="116"/>
      <c r="T113" s="116"/>
      <c r="U113" s="164"/>
    </row>
    <row r="114" spans="1:23" x14ac:dyDescent="0.2">
      <c r="A114" s="334" t="s">
        <v>125</v>
      </c>
      <c r="B114" s="258"/>
      <c r="C114" s="350">
        <v>0.2</v>
      </c>
      <c r="D114" s="45" t="s">
        <v>475</v>
      </c>
      <c r="F114" s="185" t="s">
        <v>474</v>
      </c>
      <c r="L114" s="45" t="s">
        <v>607</v>
      </c>
      <c r="M114">
        <v>1</v>
      </c>
      <c r="N114" s="45" t="s">
        <v>685</v>
      </c>
      <c r="S114" s="116"/>
      <c r="T114" s="116"/>
      <c r="U114" s="164"/>
      <c r="W114" s="164"/>
    </row>
    <row r="115" spans="1:23" x14ac:dyDescent="0.2">
      <c r="A115" s="334" t="s">
        <v>126</v>
      </c>
      <c r="B115" s="124" t="s">
        <v>299</v>
      </c>
      <c r="C115" s="350">
        <v>0.2</v>
      </c>
      <c r="D115" s="45" t="s">
        <v>475</v>
      </c>
      <c r="F115" s="185" t="s">
        <v>474</v>
      </c>
      <c r="L115" s="45" t="s">
        <v>608</v>
      </c>
      <c r="M115" s="2">
        <v>-0.01</v>
      </c>
      <c r="N115" s="45" t="s">
        <v>673</v>
      </c>
      <c r="S115" s="116"/>
      <c r="T115" s="116"/>
      <c r="U115" s="164"/>
    </row>
    <row r="116" spans="1:23" x14ac:dyDescent="0.2">
      <c r="B116" s="45" t="s">
        <v>298</v>
      </c>
      <c r="C116" s="126">
        <v>0.2</v>
      </c>
      <c r="D116" s="45" t="s">
        <v>475</v>
      </c>
      <c r="F116" s="185" t="s">
        <v>474</v>
      </c>
      <c r="M116"/>
      <c r="S116" s="116"/>
      <c r="T116" s="116"/>
    </row>
    <row r="117" spans="1:23" x14ac:dyDescent="0.2">
      <c r="A117" s="334" t="s">
        <v>141</v>
      </c>
      <c r="B117" s="258"/>
      <c r="C117" s="350">
        <v>0.2</v>
      </c>
      <c r="D117" s="45" t="s">
        <v>475</v>
      </c>
      <c r="F117" s="185">
        <v>4</v>
      </c>
      <c r="L117" s="45" t="s">
        <v>609</v>
      </c>
      <c r="M117" s="439">
        <v>1.4999999999999999E-2</v>
      </c>
      <c r="N117" s="45" t="s">
        <v>660</v>
      </c>
      <c r="S117" s="116"/>
      <c r="T117" s="116"/>
      <c r="U117" s="165"/>
    </row>
    <row r="118" spans="1:23" x14ac:dyDescent="0.2">
      <c r="A118" s="334" t="s">
        <v>133</v>
      </c>
      <c r="B118" s="258"/>
      <c r="C118" s="350">
        <v>0.2</v>
      </c>
      <c r="D118" s="45" t="s">
        <v>476</v>
      </c>
      <c r="F118" s="185">
        <v>2</v>
      </c>
      <c r="L118" s="45" t="s">
        <v>610</v>
      </c>
      <c r="M118" s="439">
        <v>2.5000000000000001E-2</v>
      </c>
      <c r="N118" s="45" t="s">
        <v>661</v>
      </c>
      <c r="O118" s="164">
        <v>-0.05</v>
      </c>
      <c r="P118" s="45" t="s">
        <v>674</v>
      </c>
      <c r="S118" s="116"/>
      <c r="T118" s="116"/>
      <c r="U118" s="165"/>
      <c r="W118" s="164"/>
    </row>
    <row r="119" spans="1:23" x14ac:dyDescent="0.2">
      <c r="A119" s="334" t="s">
        <v>1099</v>
      </c>
      <c r="B119" s="124" t="s">
        <v>299</v>
      </c>
      <c r="C119" s="350">
        <v>0.1</v>
      </c>
      <c r="D119" s="45" t="s">
        <v>302</v>
      </c>
      <c r="F119" s="185">
        <v>0</v>
      </c>
      <c r="L119" s="45" t="s">
        <v>612</v>
      </c>
      <c r="M119" s="2">
        <v>-0.05</v>
      </c>
      <c r="N119" s="45" t="s">
        <v>656</v>
      </c>
      <c r="O119" s="164">
        <v>-0.05</v>
      </c>
      <c r="P119" s="45" t="s">
        <v>669</v>
      </c>
      <c r="Q119" s="45">
        <v>5</v>
      </c>
      <c r="R119" s="45" t="s">
        <v>690</v>
      </c>
      <c r="S119" s="116"/>
      <c r="T119" s="116"/>
      <c r="U119" s="164"/>
      <c r="W119" s="164"/>
    </row>
    <row r="120" spans="1:23" x14ac:dyDescent="0.2">
      <c r="B120" s="45" t="s">
        <v>298</v>
      </c>
      <c r="C120" s="351">
        <v>0.1</v>
      </c>
      <c r="D120" s="45" t="s">
        <v>302</v>
      </c>
      <c r="F120" s="185">
        <v>0</v>
      </c>
      <c r="L120" s="45" t="s">
        <v>613</v>
      </c>
      <c r="M120" s="439">
        <v>-0.125</v>
      </c>
      <c r="N120" s="45" t="s">
        <v>675</v>
      </c>
      <c r="S120" s="116"/>
      <c r="T120" s="116"/>
      <c r="U120" s="165"/>
    </row>
    <row r="121" spans="1:23" x14ac:dyDescent="0.2">
      <c r="A121" s="334" t="s">
        <v>469</v>
      </c>
      <c r="B121" s="258"/>
      <c r="C121" s="350">
        <v>0.2</v>
      </c>
      <c r="D121" s="45" t="s">
        <v>476</v>
      </c>
      <c r="F121" s="185">
        <v>3</v>
      </c>
      <c r="L121" s="45" t="s">
        <v>615</v>
      </c>
      <c r="M121" s="2">
        <v>0.01</v>
      </c>
      <c r="N121" s="45" t="s">
        <v>660</v>
      </c>
      <c r="O121" s="164">
        <v>0.1</v>
      </c>
      <c r="P121" s="45" t="s">
        <v>672</v>
      </c>
      <c r="S121" s="116"/>
      <c r="T121" s="116"/>
      <c r="U121" s="164"/>
    </row>
    <row r="122" spans="1:23" x14ac:dyDescent="0.2">
      <c r="A122" s="334" t="s">
        <v>339</v>
      </c>
      <c r="C122" s="185">
        <v>1</v>
      </c>
      <c r="D122" s="45" t="s">
        <v>471</v>
      </c>
      <c r="F122" s="185">
        <v>3</v>
      </c>
      <c r="L122" s="45" t="s">
        <v>616</v>
      </c>
      <c r="M122" s="29">
        <v>7.4999999999999997E-2</v>
      </c>
      <c r="N122" s="45" t="s">
        <v>688</v>
      </c>
      <c r="O122" s="164">
        <v>-0.05</v>
      </c>
      <c r="P122" s="45" t="s">
        <v>676</v>
      </c>
      <c r="S122" s="116"/>
      <c r="T122" s="116"/>
      <c r="U122" s="164"/>
      <c r="W122" s="164"/>
    </row>
    <row r="123" spans="1:23" x14ac:dyDescent="0.2">
      <c r="A123" s="334" t="s">
        <v>381</v>
      </c>
      <c r="B123" s="185" t="s">
        <v>473</v>
      </c>
      <c r="C123" s="124">
        <v>500</v>
      </c>
      <c r="D123" s="45" t="s">
        <v>472</v>
      </c>
      <c r="F123" s="185">
        <v>0</v>
      </c>
      <c r="M123"/>
      <c r="S123" s="116"/>
      <c r="T123" s="116"/>
    </row>
    <row r="124" spans="1:23" x14ac:dyDescent="0.2">
      <c r="A124" s="334" t="s">
        <v>363</v>
      </c>
      <c r="B124" s="185" t="s">
        <v>473</v>
      </c>
      <c r="C124" s="124">
        <v>250</v>
      </c>
      <c r="D124" s="45" t="s">
        <v>472</v>
      </c>
      <c r="F124" s="185">
        <v>3</v>
      </c>
      <c r="L124" s="45" t="s">
        <v>617</v>
      </c>
      <c r="M124" s="2">
        <v>0.3</v>
      </c>
      <c r="N124" s="45" t="s">
        <v>677</v>
      </c>
      <c r="S124" s="116"/>
      <c r="T124" s="116"/>
      <c r="U124" s="164"/>
    </row>
    <row r="125" spans="1:23" x14ac:dyDescent="0.2">
      <c r="A125" s="334" t="s">
        <v>430</v>
      </c>
      <c r="B125" s="258"/>
      <c r="C125" s="126">
        <v>0.12</v>
      </c>
      <c r="D125" s="45" t="s">
        <v>506</v>
      </c>
      <c r="F125" s="185">
        <v>3</v>
      </c>
      <c r="L125" s="45" t="s">
        <v>619</v>
      </c>
      <c r="M125">
        <v>1.25</v>
      </c>
      <c r="N125" s="45" t="s">
        <v>692</v>
      </c>
      <c r="S125" s="116"/>
      <c r="T125" s="116"/>
      <c r="U125" s="164"/>
    </row>
    <row r="126" spans="1:23" x14ac:dyDescent="0.2">
      <c r="L126" s="45" t="s">
        <v>621</v>
      </c>
      <c r="M126" s="439">
        <v>-7.4999999999999997E-2</v>
      </c>
      <c r="N126" s="45" t="s">
        <v>676</v>
      </c>
      <c r="O126" s="165">
        <v>7.4999999999999997E-3</v>
      </c>
      <c r="P126" s="45" t="s">
        <v>773</v>
      </c>
      <c r="S126" s="116"/>
      <c r="T126" s="116"/>
      <c r="U126" s="164"/>
    </row>
    <row r="127" spans="1:23" x14ac:dyDescent="0.2">
      <c r="A127" s="333" t="s">
        <v>270</v>
      </c>
      <c r="L127" s="45" t="s">
        <v>622</v>
      </c>
      <c r="M127" s="439">
        <v>2.5000000000000001E-2</v>
      </c>
      <c r="N127" s="45" t="s">
        <v>679</v>
      </c>
      <c r="S127" s="116"/>
      <c r="T127" s="116"/>
      <c r="U127" s="165"/>
    </row>
    <row r="128" spans="1:23" x14ac:dyDescent="0.2">
      <c r="A128" s="334" t="s">
        <v>487</v>
      </c>
      <c r="B128" s="45">
        <v>20</v>
      </c>
      <c r="L128" s="45" t="s">
        <v>623</v>
      </c>
      <c r="M128" s="439">
        <v>-2.5000000000000001E-2</v>
      </c>
      <c r="N128" s="45" t="s">
        <v>652</v>
      </c>
      <c r="O128" s="5">
        <v>2</v>
      </c>
      <c r="P128" s="5" t="s">
        <v>691</v>
      </c>
      <c r="S128" s="116"/>
      <c r="T128" s="116"/>
      <c r="U128" s="165"/>
    </row>
    <row r="129" spans="1:23" x14ac:dyDescent="0.2">
      <c r="A129" s="334" t="s">
        <v>485</v>
      </c>
      <c r="B129" s="45">
        <v>0</v>
      </c>
      <c r="C129" s="45" t="s">
        <v>486</v>
      </c>
      <c r="M129"/>
      <c r="S129" s="116"/>
      <c r="T129" s="116"/>
    </row>
    <row r="130" spans="1:23" x14ac:dyDescent="0.2">
      <c r="L130" s="45" t="s">
        <v>625</v>
      </c>
      <c r="M130" s="2">
        <v>0.6</v>
      </c>
      <c r="N130" s="45" t="s">
        <v>774</v>
      </c>
      <c r="S130" s="116"/>
      <c r="T130" s="116"/>
    </row>
    <row r="131" spans="1:23" x14ac:dyDescent="0.2">
      <c r="A131" s="333" t="s">
        <v>775</v>
      </c>
      <c r="L131" s="45" t="s">
        <v>626</v>
      </c>
      <c r="M131" s="439">
        <v>-7.4999999999999997E-2</v>
      </c>
      <c r="N131" s="45" t="s">
        <v>676</v>
      </c>
      <c r="S131" s="116"/>
      <c r="T131" s="116"/>
      <c r="U131" s="165"/>
    </row>
    <row r="132" spans="1:23" x14ac:dyDescent="0.2">
      <c r="A132" s="334" t="s">
        <v>89</v>
      </c>
      <c r="B132" s="45" t="s">
        <v>3</v>
      </c>
      <c r="L132" s="45" t="s">
        <v>628</v>
      </c>
      <c r="M132">
        <v>1</v>
      </c>
      <c r="N132" s="45" t="s">
        <v>693</v>
      </c>
      <c r="S132" s="116"/>
      <c r="T132" s="116"/>
    </row>
    <row r="133" spans="1:23" x14ac:dyDescent="0.2">
      <c r="A133" s="334" t="s">
        <v>90</v>
      </c>
      <c r="B133" s="45" t="s">
        <v>3</v>
      </c>
      <c r="L133" s="45" t="s">
        <v>630</v>
      </c>
      <c r="M133" s="2">
        <v>0.3</v>
      </c>
      <c r="N133" s="45" t="s">
        <v>680</v>
      </c>
      <c r="S133" s="116"/>
      <c r="T133" s="116"/>
      <c r="U133" s="164"/>
    </row>
    <row r="134" spans="1:23" x14ac:dyDescent="0.2">
      <c r="A134" s="334" t="s">
        <v>91</v>
      </c>
      <c r="B134" s="45" t="s">
        <v>3</v>
      </c>
      <c r="M134"/>
      <c r="S134" s="116"/>
      <c r="T134" s="116"/>
    </row>
    <row r="135" spans="1:23" x14ac:dyDescent="0.2">
      <c r="A135" s="334" t="s">
        <v>92</v>
      </c>
      <c r="B135" s="45" t="s">
        <v>3</v>
      </c>
      <c r="L135" s="45" t="s">
        <v>631</v>
      </c>
      <c r="M135" s="2">
        <v>-0.15</v>
      </c>
      <c r="N135" s="45" t="s">
        <v>689</v>
      </c>
      <c r="O135" s="164">
        <v>-0.05</v>
      </c>
      <c r="P135" s="45" t="s">
        <v>666</v>
      </c>
      <c r="S135" s="116"/>
      <c r="T135" s="116"/>
      <c r="U135" s="164"/>
      <c r="W135" s="164"/>
    </row>
    <row r="136" spans="1:23" x14ac:dyDescent="0.2">
      <c r="A136" s="334" t="s">
        <v>93</v>
      </c>
      <c r="B136" s="45" t="s">
        <v>3</v>
      </c>
      <c r="L136" s="45" t="s">
        <v>633</v>
      </c>
      <c r="M136" s="439">
        <v>-2.5000000000000001E-2</v>
      </c>
      <c r="N136" s="45" t="s">
        <v>656</v>
      </c>
      <c r="S136" s="116"/>
      <c r="T136" s="116"/>
      <c r="U136" s="165"/>
    </row>
    <row r="137" spans="1:23" x14ac:dyDescent="0.2">
      <c r="A137" s="334" t="s">
        <v>94</v>
      </c>
      <c r="B137" s="45" t="s">
        <v>3</v>
      </c>
      <c r="L137" s="45" t="s">
        <v>634</v>
      </c>
      <c r="M137" s="2">
        <v>-0.25</v>
      </c>
      <c r="N137" s="45" t="s">
        <v>681</v>
      </c>
      <c r="S137" s="116"/>
      <c r="T137" s="116"/>
      <c r="U137" s="164"/>
    </row>
    <row r="138" spans="1:23" x14ac:dyDescent="0.2">
      <c r="A138" s="334" t="s">
        <v>95</v>
      </c>
      <c r="B138" s="45" t="s">
        <v>3</v>
      </c>
      <c r="M138"/>
      <c r="S138" s="116"/>
      <c r="T138" s="116"/>
    </row>
    <row r="139" spans="1:23" x14ac:dyDescent="0.2">
      <c r="A139" s="334" t="s">
        <v>96</v>
      </c>
      <c r="B139" s="45" t="s">
        <v>7</v>
      </c>
      <c r="L139" s="45" t="s">
        <v>635</v>
      </c>
      <c r="M139" s="2">
        <v>0.05</v>
      </c>
      <c r="N139" s="45" t="s">
        <v>678</v>
      </c>
      <c r="S139" s="116"/>
      <c r="T139" s="116"/>
      <c r="U139" s="165"/>
    </row>
    <row r="140" spans="1:23" x14ac:dyDescent="0.2">
      <c r="A140" s="334" t="s">
        <v>97</v>
      </c>
      <c r="B140" s="45" t="s">
        <v>3</v>
      </c>
      <c r="L140" s="45" t="s">
        <v>637</v>
      </c>
      <c r="M140" s="439">
        <v>-7.4999999999999997E-2</v>
      </c>
      <c r="N140" s="45" t="s">
        <v>675</v>
      </c>
      <c r="S140" s="116"/>
      <c r="T140" s="116"/>
      <c r="U140" s="164"/>
    </row>
    <row r="141" spans="1:23" x14ac:dyDescent="0.2">
      <c r="A141" s="334" t="s">
        <v>29</v>
      </c>
      <c r="B141" s="45" t="s">
        <v>3</v>
      </c>
      <c r="M141"/>
    </row>
    <row r="142" spans="1:23" x14ac:dyDescent="0.2">
      <c r="A142" s="334" t="s">
        <v>99</v>
      </c>
      <c r="B142" s="45" t="s">
        <v>3</v>
      </c>
      <c r="L142" s="45" t="s">
        <v>638</v>
      </c>
      <c r="M142" s="2">
        <v>-0.05</v>
      </c>
      <c r="N142" s="45" t="s">
        <v>676</v>
      </c>
      <c r="U142" s="164"/>
    </row>
    <row r="143" spans="1:23" x14ac:dyDescent="0.2">
      <c r="A143" s="334" t="s">
        <v>100</v>
      </c>
      <c r="B143" s="45" t="s">
        <v>3</v>
      </c>
    </row>
    <row r="144" spans="1:23" x14ac:dyDescent="0.2">
      <c r="A144" s="334" t="s">
        <v>101</v>
      </c>
      <c r="B144" s="45" t="s">
        <v>12</v>
      </c>
    </row>
    <row r="145" spans="1:13" x14ac:dyDescent="0.2">
      <c r="A145" s="334" t="s">
        <v>102</v>
      </c>
      <c r="B145" s="45" t="s">
        <v>3</v>
      </c>
    </row>
    <row r="146" spans="1:13" x14ac:dyDescent="0.2">
      <c r="A146" s="334" t="s">
        <v>103</v>
      </c>
      <c r="B146" s="45" t="s">
        <v>3</v>
      </c>
    </row>
    <row r="147" spans="1:13" x14ac:dyDescent="0.2">
      <c r="A147" s="334" t="s">
        <v>104</v>
      </c>
      <c r="B147" s="45" t="s">
        <v>3</v>
      </c>
      <c r="L147" s="116"/>
      <c r="M147" s="164"/>
    </row>
    <row r="148" spans="1:13" x14ac:dyDescent="0.2">
      <c r="A148" s="334" t="s">
        <v>335</v>
      </c>
      <c r="B148" s="45" t="s">
        <v>3</v>
      </c>
      <c r="L148" s="116"/>
    </row>
    <row r="149" spans="1:13" x14ac:dyDescent="0.2">
      <c r="A149" s="334" t="s">
        <v>349</v>
      </c>
      <c r="B149" s="45" t="s">
        <v>3</v>
      </c>
      <c r="L149" s="116"/>
      <c r="M149" s="164"/>
    </row>
    <row r="150" spans="1:13" x14ac:dyDescent="0.2">
      <c r="A150" s="334" t="s">
        <v>145</v>
      </c>
      <c r="B150" s="45" t="s">
        <v>3</v>
      </c>
    </row>
    <row r="151" spans="1:13" x14ac:dyDescent="0.2">
      <c r="A151" s="334" t="s">
        <v>507</v>
      </c>
      <c r="B151" s="45" t="s">
        <v>12</v>
      </c>
    </row>
    <row r="153" spans="1:13" x14ac:dyDescent="0.2">
      <c r="A153" s="334" t="s">
        <v>1074</v>
      </c>
    </row>
    <row r="154" spans="1:13" x14ac:dyDescent="0.2">
      <c r="A154" s="334" t="s">
        <v>2</v>
      </c>
      <c r="B154" s="45">
        <v>1</v>
      </c>
    </row>
    <row r="155" spans="1:13" x14ac:dyDescent="0.2">
      <c r="A155" s="334" t="s">
        <v>7</v>
      </c>
      <c r="B155" s="45">
        <v>2</v>
      </c>
    </row>
    <row r="156" spans="1:13" x14ac:dyDescent="0.2">
      <c r="A156" s="334" t="s">
        <v>3</v>
      </c>
      <c r="B156" s="45">
        <v>2</v>
      </c>
    </row>
    <row r="157" spans="1:13" x14ac:dyDescent="0.2">
      <c r="A157" s="334" t="s">
        <v>4</v>
      </c>
      <c r="B157" s="45">
        <v>12</v>
      </c>
    </row>
    <row r="159" spans="1:13" x14ac:dyDescent="0.2">
      <c r="A159" s="333" t="s">
        <v>1075</v>
      </c>
    </row>
    <row r="160" spans="1:13" x14ac:dyDescent="0.2">
      <c r="A160" s="334" t="s">
        <v>284</v>
      </c>
      <c r="B160" s="164">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activeCell="A5" sqref="A5"/>
    </sheetView>
  </sheetViews>
  <sheetFormatPr defaultRowHeight="19.5" customHeight="1" x14ac:dyDescent="0.2"/>
  <cols>
    <col min="1" max="1" width="15.7109375" style="381" bestFit="1" customWidth="1"/>
    <col min="2" max="2" width="13.85546875" style="303" customWidth="1"/>
    <col min="3" max="3" width="14.42578125" style="303" customWidth="1"/>
    <col min="4" max="4" width="14.140625" style="303" customWidth="1"/>
    <col min="5" max="7" width="14.140625" style="96" customWidth="1"/>
    <col min="8" max="9" width="14.140625" style="303" customWidth="1"/>
    <col min="10" max="23" width="7" style="303" customWidth="1"/>
    <col min="24" max="24" width="7" style="385" customWidth="1"/>
    <col min="25" max="26" width="7" style="303" customWidth="1"/>
    <col min="27" max="16384" width="9.140625" style="303"/>
  </cols>
  <sheetData>
    <row r="1" spans="1:27" s="352" customFormat="1" ht="19.5" customHeight="1" x14ac:dyDescent="0.2">
      <c r="A1" s="352" t="s">
        <v>288</v>
      </c>
      <c r="E1" s="353"/>
      <c r="F1" s="353"/>
      <c r="G1" s="353"/>
      <c r="X1" s="354"/>
    </row>
    <row r="2" spans="1:27" ht="19.5" customHeight="1" x14ac:dyDescent="0.2">
      <c r="A2" s="303"/>
      <c r="X2" s="355"/>
    </row>
    <row r="3" spans="1:27" s="352" customFormat="1" ht="19.5" customHeight="1" x14ac:dyDescent="0.2">
      <c r="A3" s="352" t="s">
        <v>36</v>
      </c>
      <c r="D3" s="352" t="s">
        <v>38</v>
      </c>
      <c r="E3" s="353"/>
      <c r="F3" s="353"/>
      <c r="G3" s="353"/>
      <c r="J3" s="352" t="s">
        <v>37</v>
      </c>
      <c r="X3" s="354"/>
    </row>
    <row r="4" spans="1:27" ht="87" customHeight="1" x14ac:dyDescent="0.2">
      <c r="A4" s="352" t="s">
        <v>28</v>
      </c>
      <c r="B4" s="352" t="s">
        <v>35</v>
      </c>
      <c r="C4" s="352" t="s">
        <v>780</v>
      </c>
      <c r="D4" s="352" t="s">
        <v>781</v>
      </c>
      <c r="E4" s="353" t="s">
        <v>782</v>
      </c>
      <c r="F4" s="353" t="s">
        <v>783</v>
      </c>
      <c r="G4" s="353" t="s">
        <v>784</v>
      </c>
      <c r="H4" s="356" t="s">
        <v>785</v>
      </c>
      <c r="I4" s="356" t="s">
        <v>236</v>
      </c>
      <c r="J4" s="441" t="s">
        <v>169</v>
      </c>
      <c r="K4" s="441" t="s">
        <v>105</v>
      </c>
      <c r="L4" s="441" t="s">
        <v>166</v>
      </c>
      <c r="M4" s="441" t="s">
        <v>107</v>
      </c>
      <c r="N4" s="441" t="s">
        <v>108</v>
      </c>
      <c r="O4" s="441" t="s">
        <v>109</v>
      </c>
      <c r="P4" s="441" t="s">
        <v>110</v>
      </c>
      <c r="Q4" s="441" t="s">
        <v>111</v>
      </c>
      <c r="R4" s="441" t="s">
        <v>112</v>
      </c>
      <c r="S4" s="441" t="s">
        <v>32</v>
      </c>
      <c r="T4" s="441" t="s">
        <v>31</v>
      </c>
      <c r="U4" s="442" t="s">
        <v>167</v>
      </c>
      <c r="V4" s="441" t="s">
        <v>168</v>
      </c>
      <c r="W4" s="441" t="s">
        <v>445</v>
      </c>
      <c r="X4" s="441" t="s">
        <v>495</v>
      </c>
      <c r="Y4" s="441" t="s">
        <v>496</v>
      </c>
      <c r="Z4" s="441" t="s">
        <v>533</v>
      </c>
      <c r="AA4" s="441" t="s">
        <v>1098</v>
      </c>
    </row>
    <row r="5" spans="1:27" s="363" customFormat="1" ht="19.5" customHeight="1" x14ac:dyDescent="0.2">
      <c r="A5" s="303" t="s">
        <v>89</v>
      </c>
      <c r="B5" s="357" t="s">
        <v>98</v>
      </c>
      <c r="C5" s="303" t="s">
        <v>249</v>
      </c>
      <c r="D5" s="358" t="s">
        <v>113</v>
      </c>
      <c r="E5" s="96">
        <v>3</v>
      </c>
      <c r="F5" s="96"/>
      <c r="G5" s="96">
        <v>275</v>
      </c>
      <c r="H5" s="303">
        <v>25</v>
      </c>
      <c r="I5" s="357">
        <v>5</v>
      </c>
      <c r="J5" s="359"/>
      <c r="K5" s="360"/>
      <c r="L5" s="360"/>
      <c r="M5" s="360">
        <v>0.05</v>
      </c>
      <c r="N5" s="360"/>
      <c r="O5" s="360"/>
      <c r="P5" s="360"/>
      <c r="Q5" s="360"/>
      <c r="R5" s="360"/>
      <c r="S5" s="360"/>
      <c r="T5" s="360"/>
      <c r="U5" s="360"/>
      <c r="V5" s="360"/>
      <c r="W5" s="96"/>
      <c r="X5" s="361"/>
      <c r="Y5" s="96"/>
      <c r="Z5" s="96"/>
      <c r="AA5" s="362"/>
    </row>
    <row r="6" spans="1:27" ht="19.5" customHeight="1" x14ac:dyDescent="0.2">
      <c r="A6" s="303" t="s">
        <v>89</v>
      </c>
      <c r="B6" s="357" t="s">
        <v>98</v>
      </c>
      <c r="C6" s="303" t="s">
        <v>249</v>
      </c>
      <c r="D6" s="358" t="s">
        <v>114</v>
      </c>
      <c r="F6" s="96">
        <v>3</v>
      </c>
      <c r="G6" s="96">
        <v>275</v>
      </c>
      <c r="H6" s="303">
        <v>15</v>
      </c>
      <c r="I6" s="357">
        <v>5</v>
      </c>
      <c r="J6" s="359"/>
      <c r="K6" s="360"/>
      <c r="L6" s="360"/>
      <c r="M6" s="360"/>
      <c r="N6" s="360"/>
      <c r="O6" s="360"/>
      <c r="P6" s="360"/>
      <c r="Q6" s="360"/>
      <c r="R6" s="360"/>
      <c r="S6" s="360"/>
      <c r="T6" s="360"/>
      <c r="U6" s="360"/>
      <c r="V6" s="360"/>
      <c r="W6" s="96"/>
      <c r="X6" s="361"/>
      <c r="Y6" s="96"/>
      <c r="Z6" s="96"/>
      <c r="AA6" s="362"/>
    </row>
    <row r="7" spans="1:27" ht="19.5" customHeight="1" x14ac:dyDescent="0.2">
      <c r="A7" s="303" t="s">
        <v>89</v>
      </c>
      <c r="B7" s="357" t="s">
        <v>98</v>
      </c>
      <c r="C7" s="303" t="s">
        <v>249</v>
      </c>
      <c r="D7" s="358" t="s">
        <v>115</v>
      </c>
      <c r="E7" s="96">
        <v>2</v>
      </c>
      <c r="F7" s="96">
        <v>6</v>
      </c>
      <c r="G7" s="96">
        <v>1000</v>
      </c>
      <c r="H7" s="303">
        <v>75</v>
      </c>
      <c r="I7" s="357">
        <f>1.8 * MIN(6, MAX(E7,F7)) + 0.45 * MIN(6, MIN(E7,F7)) + IF(E7&gt;6, (E7-6)*0.2) + IF(F7&gt;6, (F7-6)*0.2)</f>
        <v>11.700000000000001</v>
      </c>
      <c r="J7" s="359"/>
      <c r="K7" s="360"/>
      <c r="L7" s="360"/>
      <c r="M7" s="360"/>
      <c r="N7" s="360"/>
      <c r="O7" s="360"/>
      <c r="P7" s="360"/>
      <c r="Q7" s="360"/>
      <c r="R7" s="360"/>
      <c r="S7" s="360"/>
      <c r="T7" s="360"/>
      <c r="U7" s="360"/>
      <c r="V7" s="360"/>
      <c r="W7" s="96"/>
      <c r="X7" s="361"/>
      <c r="Y7" s="96"/>
      <c r="Z7" s="96"/>
      <c r="AA7" s="362"/>
    </row>
    <row r="8" spans="1:27" s="366" customFormat="1" ht="19.5" customHeight="1" x14ac:dyDescent="0.2">
      <c r="A8" s="303" t="s">
        <v>89</v>
      </c>
      <c r="B8" s="357" t="s">
        <v>98</v>
      </c>
      <c r="C8" s="303" t="s">
        <v>249</v>
      </c>
      <c r="D8" s="364" t="s">
        <v>116</v>
      </c>
      <c r="E8" s="365">
        <v>6</v>
      </c>
      <c r="F8" s="365">
        <v>3</v>
      </c>
      <c r="G8" s="365">
        <v>1200</v>
      </c>
      <c r="H8" s="366">
        <v>100</v>
      </c>
      <c r="I8" s="357">
        <f>1.8 * MIN(6, MAX(E8,F8)) + 0.45 * MIN(6, MIN(E8,F8)) + IF(E8&gt;6, (E8-6)*0.2) + IF(F8&gt;6, (F8-6)*0.2)</f>
        <v>12.15</v>
      </c>
      <c r="J8" s="367"/>
      <c r="K8" s="368"/>
      <c r="L8" s="368"/>
      <c r="M8" s="368"/>
      <c r="N8" s="368"/>
      <c r="O8" s="368"/>
      <c r="P8" s="368"/>
      <c r="Q8" s="368"/>
      <c r="R8" s="368"/>
      <c r="S8" s="368"/>
      <c r="T8" s="368"/>
      <c r="U8" s="368"/>
      <c r="V8" s="368"/>
      <c r="W8" s="365"/>
      <c r="X8" s="369"/>
      <c r="Y8" s="365"/>
      <c r="Z8" s="365"/>
      <c r="AA8" s="370"/>
    </row>
    <row r="9" spans="1:27" s="363" customFormat="1" ht="19.5" customHeight="1" x14ac:dyDescent="0.2">
      <c r="A9" s="363" t="s">
        <v>90</v>
      </c>
      <c r="B9" s="371" t="s">
        <v>30</v>
      </c>
      <c r="C9" s="363" t="s">
        <v>249</v>
      </c>
      <c r="D9" s="372" t="s">
        <v>1104</v>
      </c>
      <c r="E9" s="373">
        <v>3</v>
      </c>
      <c r="F9" s="373"/>
      <c r="G9" s="373">
        <v>325</v>
      </c>
      <c r="H9" s="363">
        <v>25</v>
      </c>
      <c r="I9" s="371">
        <v>5</v>
      </c>
      <c r="J9" s="374"/>
      <c r="K9" s="375"/>
      <c r="L9" s="375"/>
      <c r="M9" s="375"/>
      <c r="N9" s="375"/>
      <c r="O9" s="375"/>
      <c r="P9" s="375"/>
      <c r="Q9" s="375"/>
      <c r="R9" s="375"/>
      <c r="S9" s="375"/>
      <c r="T9" s="375"/>
      <c r="U9" s="375"/>
      <c r="V9" s="375"/>
      <c r="W9" s="96"/>
      <c r="X9" s="361"/>
      <c r="Y9" s="375"/>
      <c r="Z9" s="373"/>
      <c r="AA9" s="362"/>
    </row>
    <row r="10" spans="1:27" ht="19.5" customHeight="1" x14ac:dyDescent="0.2">
      <c r="A10" s="303" t="s">
        <v>90</v>
      </c>
      <c r="B10" s="357" t="s">
        <v>30</v>
      </c>
      <c r="C10" s="303" t="s">
        <v>249</v>
      </c>
      <c r="D10" s="358" t="s">
        <v>117</v>
      </c>
      <c r="F10" s="96">
        <v>3</v>
      </c>
      <c r="G10" s="96">
        <v>300</v>
      </c>
      <c r="H10" s="303">
        <v>15</v>
      </c>
      <c r="I10" s="357">
        <v>5</v>
      </c>
      <c r="J10" s="359"/>
      <c r="K10" s="360"/>
      <c r="L10" s="360"/>
      <c r="M10" s="360"/>
      <c r="N10" s="360"/>
      <c r="O10" s="360"/>
      <c r="P10" s="360"/>
      <c r="Q10" s="360"/>
      <c r="R10" s="360"/>
      <c r="S10" s="360"/>
      <c r="T10" s="360"/>
      <c r="U10" s="360"/>
      <c r="V10" s="360"/>
      <c r="W10" s="96"/>
      <c r="X10" s="361"/>
      <c r="Y10" s="96"/>
      <c r="Z10" s="96"/>
      <c r="AA10" s="362"/>
    </row>
    <row r="11" spans="1:27" ht="19.5" customHeight="1" x14ac:dyDescent="0.2">
      <c r="A11" s="303" t="s">
        <v>90</v>
      </c>
      <c r="B11" s="357" t="s">
        <v>30</v>
      </c>
      <c r="C11" s="303" t="s">
        <v>249</v>
      </c>
      <c r="D11" s="358" t="s">
        <v>118</v>
      </c>
      <c r="E11" s="96">
        <v>2</v>
      </c>
      <c r="F11" s="96">
        <v>5</v>
      </c>
      <c r="G11" s="96">
        <v>1000</v>
      </c>
      <c r="H11" s="303">
        <v>25</v>
      </c>
      <c r="I11" s="357">
        <f>1.8 * MIN(6, MAX(E11,F11)) + 0.45 * MIN(6, MIN(E11,F11)) + IF(E11&gt;6, (E11-6)*0.2) + IF(F11&gt;6, (F11-6)*0.2)</f>
        <v>9.9</v>
      </c>
      <c r="J11" s="359"/>
      <c r="K11" s="360"/>
      <c r="L11" s="360"/>
      <c r="M11" s="360"/>
      <c r="N11" s="360"/>
      <c r="O11" s="360"/>
      <c r="P11" s="360"/>
      <c r="Q11" s="360"/>
      <c r="R11" s="360"/>
      <c r="S11" s="360"/>
      <c r="T11" s="360"/>
      <c r="U11" s="360"/>
      <c r="V11" s="360"/>
      <c r="W11" s="96"/>
      <c r="X11" s="361"/>
      <c r="Y11" s="96"/>
      <c r="Z11" s="96"/>
      <c r="AA11" s="362"/>
    </row>
    <row r="12" spans="1:27" ht="19.5" customHeight="1" x14ac:dyDescent="0.2">
      <c r="A12" s="303" t="s">
        <v>90</v>
      </c>
      <c r="B12" s="357" t="s">
        <v>30</v>
      </c>
      <c r="C12" s="303" t="s">
        <v>249</v>
      </c>
      <c r="D12" s="358" t="s">
        <v>1105</v>
      </c>
      <c r="E12" s="96">
        <v>6</v>
      </c>
      <c r="F12" s="96">
        <v>3</v>
      </c>
      <c r="G12" s="96">
        <v>1150</v>
      </c>
      <c r="H12" s="303">
        <v>40</v>
      </c>
      <c r="I12" s="357">
        <f>1.8 * MIN(6, MAX(E12,F12)) + 0.45 * MIN(6, MIN(E12,F12)) + IF(E12&gt;6, (E12-6)*0.2) + IF(F12&gt;6, (F12-6)*0.2)</f>
        <v>12.15</v>
      </c>
      <c r="J12" s="359"/>
      <c r="K12" s="360"/>
      <c r="L12" s="360"/>
      <c r="M12" s="360"/>
      <c r="N12" s="360"/>
      <c r="O12" s="360"/>
      <c r="P12" s="360"/>
      <c r="Q12" s="360"/>
      <c r="R12" s="360"/>
      <c r="S12" s="360"/>
      <c r="T12" s="360"/>
      <c r="U12" s="360"/>
      <c r="V12" s="360"/>
      <c r="W12" s="365"/>
      <c r="X12" s="369"/>
      <c r="Y12" s="96"/>
      <c r="Z12" s="96"/>
      <c r="AA12" s="370"/>
    </row>
    <row r="13" spans="1:27" s="363" customFormat="1" ht="19.5" customHeight="1" x14ac:dyDescent="0.2">
      <c r="A13" s="363" t="s">
        <v>91</v>
      </c>
      <c r="B13" s="371" t="s">
        <v>98</v>
      </c>
      <c r="C13" s="363" t="s">
        <v>251</v>
      </c>
      <c r="D13" s="372" t="s">
        <v>119</v>
      </c>
      <c r="E13" s="373">
        <v>3</v>
      </c>
      <c r="F13" s="373"/>
      <c r="G13" s="373">
        <v>275</v>
      </c>
      <c r="H13" s="363">
        <v>25</v>
      </c>
      <c r="I13" s="371">
        <v>5</v>
      </c>
      <c r="J13" s="374">
        <v>7.4999999999999997E-2</v>
      </c>
      <c r="K13" s="375"/>
      <c r="L13" s="375"/>
      <c r="M13" s="375"/>
      <c r="N13" s="375"/>
      <c r="O13" s="375"/>
      <c r="P13" s="375">
        <v>0.1</v>
      </c>
      <c r="Q13" s="375"/>
      <c r="R13" s="375"/>
      <c r="S13" s="375"/>
      <c r="T13" s="375"/>
      <c r="U13" s="375"/>
      <c r="V13" s="375"/>
      <c r="W13" s="360">
        <v>0.15</v>
      </c>
      <c r="X13" s="361"/>
      <c r="Y13" s="373"/>
      <c r="Z13" s="373"/>
      <c r="AA13" s="362"/>
    </row>
    <row r="14" spans="1:27" ht="19.5" customHeight="1" x14ac:dyDescent="0.2">
      <c r="A14" s="303" t="s">
        <v>91</v>
      </c>
      <c r="B14" s="357" t="s">
        <v>98</v>
      </c>
      <c r="C14" s="303" t="s">
        <v>251</v>
      </c>
      <c r="D14" s="358" t="s">
        <v>120</v>
      </c>
      <c r="F14" s="96">
        <v>3</v>
      </c>
      <c r="G14" s="96">
        <v>350</v>
      </c>
      <c r="H14" s="303">
        <v>20</v>
      </c>
      <c r="I14" s="357">
        <v>5</v>
      </c>
      <c r="J14" s="359"/>
      <c r="K14" s="360"/>
      <c r="L14" s="360"/>
      <c r="M14" s="360"/>
      <c r="N14" s="360"/>
      <c r="O14" s="360"/>
      <c r="P14" s="360"/>
      <c r="Q14" s="360"/>
      <c r="R14" s="360"/>
      <c r="S14" s="360"/>
      <c r="T14" s="360"/>
      <c r="U14" s="360"/>
      <c r="V14" s="360"/>
      <c r="W14" s="96"/>
      <c r="X14" s="361"/>
      <c r="Y14" s="96"/>
      <c r="Z14" s="96"/>
      <c r="AA14" s="362"/>
    </row>
    <row r="15" spans="1:27" ht="19.5" customHeight="1" x14ac:dyDescent="0.2">
      <c r="A15" s="303" t="s">
        <v>91</v>
      </c>
      <c r="B15" s="357" t="s">
        <v>98</v>
      </c>
      <c r="C15" s="303" t="s">
        <v>251</v>
      </c>
      <c r="D15" s="358" t="s">
        <v>121</v>
      </c>
      <c r="E15" s="96">
        <v>4</v>
      </c>
      <c r="F15" s="96">
        <v>4.5</v>
      </c>
      <c r="G15" s="96">
        <v>850</v>
      </c>
      <c r="H15" s="303">
        <v>0</v>
      </c>
      <c r="I15" s="357">
        <f>1.8 * MIN(6, MAX(E15,F15)) + 0.45 * MIN(6, MIN(E15,F15)) + IF(E15&gt;6, (E15-6)*0.2) + IF(F15&gt;6, (F15-6)*0.2)</f>
        <v>9.9</v>
      </c>
      <c r="J15" s="359"/>
      <c r="K15" s="360"/>
      <c r="L15" s="360"/>
      <c r="M15" s="360"/>
      <c r="N15" s="360"/>
      <c r="O15" s="360"/>
      <c r="P15" s="360"/>
      <c r="Q15" s="360"/>
      <c r="R15" s="360"/>
      <c r="S15" s="360"/>
      <c r="T15" s="360"/>
      <c r="U15" s="360"/>
      <c r="V15" s="360"/>
      <c r="W15" s="96"/>
      <c r="X15" s="361"/>
      <c r="Y15" s="96"/>
      <c r="Z15" s="96"/>
      <c r="AA15" s="362"/>
    </row>
    <row r="16" spans="1:27" s="366" customFormat="1" ht="19.5" customHeight="1" x14ac:dyDescent="0.2">
      <c r="A16" s="366" t="s">
        <v>91</v>
      </c>
      <c r="B16" s="376" t="s">
        <v>98</v>
      </c>
      <c r="C16" s="366" t="s">
        <v>251</v>
      </c>
      <c r="D16" s="364" t="s">
        <v>122</v>
      </c>
      <c r="E16" s="365">
        <v>7</v>
      </c>
      <c r="F16" s="365">
        <v>2</v>
      </c>
      <c r="G16" s="365">
        <v>1250</v>
      </c>
      <c r="H16" s="366">
        <v>100</v>
      </c>
      <c r="I16" s="357">
        <f>1.8 * MIN(6, MAX(E16,F16)) + 0.45 * MIN(6, MIN(E16,F16)) + IF(E16&gt;6, (E16-6)*0.2) + IF(F16&gt;6, (F16-6)*0.2)</f>
        <v>11.9</v>
      </c>
      <c r="J16" s="367"/>
      <c r="K16" s="368"/>
      <c r="L16" s="368"/>
      <c r="M16" s="368"/>
      <c r="N16" s="368"/>
      <c r="O16" s="368"/>
      <c r="P16" s="368"/>
      <c r="Q16" s="368"/>
      <c r="R16" s="368"/>
      <c r="S16" s="368"/>
      <c r="T16" s="368"/>
      <c r="U16" s="368"/>
      <c r="V16" s="368"/>
      <c r="W16" s="365"/>
      <c r="X16" s="369"/>
      <c r="Y16" s="365"/>
      <c r="Z16" s="365"/>
      <c r="AA16" s="370"/>
    </row>
    <row r="17" spans="1:27" s="363" customFormat="1" ht="19.5" customHeight="1" x14ac:dyDescent="0.2">
      <c r="A17" s="363" t="s">
        <v>92</v>
      </c>
      <c r="B17" s="371" t="s">
        <v>98</v>
      </c>
      <c r="C17" s="363" t="s">
        <v>58</v>
      </c>
      <c r="D17" s="372" t="s">
        <v>123</v>
      </c>
      <c r="E17" s="373">
        <v>3</v>
      </c>
      <c r="F17" s="373"/>
      <c r="G17" s="373">
        <v>275</v>
      </c>
      <c r="H17" s="363">
        <v>25</v>
      </c>
      <c r="I17" s="371">
        <v>5</v>
      </c>
      <c r="J17" s="374">
        <v>-0.05</v>
      </c>
      <c r="K17" s="375"/>
      <c r="L17" s="375"/>
      <c r="M17" s="375"/>
      <c r="N17" s="375">
        <v>0.1</v>
      </c>
      <c r="O17" s="375"/>
      <c r="P17" s="375"/>
      <c r="Q17" s="375"/>
      <c r="R17" s="375"/>
      <c r="S17" s="375"/>
      <c r="T17" s="375">
        <v>0.05</v>
      </c>
      <c r="U17" s="375">
        <v>0.1</v>
      </c>
      <c r="V17" s="375">
        <v>0.1</v>
      </c>
      <c r="W17" s="96"/>
      <c r="X17" s="361">
        <v>0.1</v>
      </c>
      <c r="Y17" s="373"/>
      <c r="Z17" s="373"/>
      <c r="AA17" s="362"/>
    </row>
    <row r="18" spans="1:27" ht="19.5" customHeight="1" x14ac:dyDescent="0.2">
      <c r="A18" s="303" t="s">
        <v>92</v>
      </c>
      <c r="B18" s="357" t="s">
        <v>98</v>
      </c>
      <c r="C18" s="303" t="s">
        <v>58</v>
      </c>
      <c r="D18" s="358" t="s">
        <v>124</v>
      </c>
      <c r="F18" s="96">
        <v>4</v>
      </c>
      <c r="G18" s="96">
        <v>380</v>
      </c>
      <c r="H18" s="303">
        <v>10</v>
      </c>
      <c r="I18" s="357">
        <v>5</v>
      </c>
      <c r="J18" s="359"/>
      <c r="K18" s="360"/>
      <c r="L18" s="360"/>
      <c r="M18" s="360"/>
      <c r="N18" s="360"/>
      <c r="O18" s="360"/>
      <c r="P18" s="360"/>
      <c r="Q18" s="360"/>
      <c r="R18" s="360"/>
      <c r="S18" s="360"/>
      <c r="T18" s="360"/>
      <c r="U18" s="360"/>
      <c r="V18" s="360"/>
      <c r="W18" s="96"/>
      <c r="X18" s="361"/>
      <c r="Y18" s="96"/>
      <c r="Z18" s="96"/>
      <c r="AA18" s="362"/>
    </row>
    <row r="19" spans="1:27" ht="19.5" customHeight="1" x14ac:dyDescent="0.2">
      <c r="A19" s="303" t="s">
        <v>92</v>
      </c>
      <c r="B19" s="357" t="s">
        <v>98</v>
      </c>
      <c r="C19" s="303" t="s">
        <v>58</v>
      </c>
      <c r="D19" s="358" t="s">
        <v>125</v>
      </c>
      <c r="E19" s="96">
        <v>0</v>
      </c>
      <c r="F19" s="96">
        <v>4</v>
      </c>
      <c r="G19" s="96">
        <v>1150</v>
      </c>
      <c r="H19" s="303">
        <v>0</v>
      </c>
      <c r="I19" s="357">
        <f>1.8 * MIN(6, MAX(E19,F19)) + 0.45 * MIN(6, MIN(E19,F19)) + IF(E19&gt;6, (E19-6)*0.2) + IF(F19&gt;6, (F19-6)*0.2)</f>
        <v>7.2</v>
      </c>
      <c r="J19" s="359"/>
      <c r="K19" s="360"/>
      <c r="L19" s="360"/>
      <c r="M19" s="360"/>
      <c r="N19" s="360"/>
      <c r="O19" s="360"/>
      <c r="P19" s="360"/>
      <c r="Q19" s="360"/>
      <c r="R19" s="360"/>
      <c r="S19" s="360"/>
      <c r="T19" s="360"/>
      <c r="U19" s="360"/>
      <c r="V19" s="360"/>
      <c r="W19" s="96"/>
      <c r="X19" s="361"/>
      <c r="Y19" s="96"/>
      <c r="Z19" s="96"/>
      <c r="AA19" s="362"/>
    </row>
    <row r="20" spans="1:27" s="366" customFormat="1" ht="19.5" customHeight="1" x14ac:dyDescent="0.2">
      <c r="A20" s="366" t="s">
        <v>92</v>
      </c>
      <c r="B20" s="376" t="s">
        <v>98</v>
      </c>
      <c r="C20" s="366" t="s">
        <v>58</v>
      </c>
      <c r="D20" s="364" t="s">
        <v>126</v>
      </c>
      <c r="E20" s="365">
        <v>3</v>
      </c>
      <c r="F20" s="365">
        <v>1</v>
      </c>
      <c r="G20" s="365">
        <v>1100</v>
      </c>
      <c r="H20" s="366">
        <v>0</v>
      </c>
      <c r="I20" s="357">
        <f>1.8 * MIN(6, MAX(E20,F20)) + 0.45 * MIN(6, MIN(E20,F20)) + IF(E20&gt;6, (E20-6)*0.2) + IF(F20&gt;6, (F20-6)*0.2)</f>
        <v>5.8500000000000005</v>
      </c>
      <c r="J20" s="367"/>
      <c r="K20" s="368"/>
      <c r="L20" s="368"/>
      <c r="M20" s="368"/>
      <c r="N20" s="368"/>
      <c r="O20" s="368"/>
      <c r="P20" s="368"/>
      <c r="Q20" s="368"/>
      <c r="R20" s="368"/>
      <c r="S20" s="368"/>
      <c r="T20" s="368"/>
      <c r="U20" s="368"/>
      <c r="V20" s="368"/>
      <c r="W20" s="365"/>
      <c r="X20" s="369"/>
      <c r="Y20" s="365"/>
      <c r="Z20" s="365"/>
      <c r="AA20" s="370"/>
    </row>
    <row r="21" spans="1:27" s="363" customFormat="1" ht="19.5" customHeight="1" x14ac:dyDescent="0.2">
      <c r="A21" s="363" t="s">
        <v>93</v>
      </c>
      <c r="B21" s="371" t="s">
        <v>98</v>
      </c>
      <c r="C21" s="363" t="s">
        <v>250</v>
      </c>
      <c r="D21" s="372" t="s">
        <v>127</v>
      </c>
      <c r="E21" s="373">
        <v>3</v>
      </c>
      <c r="F21" s="373"/>
      <c r="G21" s="373">
        <v>275</v>
      </c>
      <c r="H21" s="363">
        <v>15</v>
      </c>
      <c r="I21" s="371">
        <v>5</v>
      </c>
      <c r="J21" s="374">
        <v>0.05</v>
      </c>
      <c r="K21" s="375"/>
      <c r="L21" s="375"/>
      <c r="M21" s="375"/>
      <c r="N21" s="375"/>
      <c r="O21" s="375"/>
      <c r="P21" s="375"/>
      <c r="Q21" s="375"/>
      <c r="R21" s="375">
        <v>-0.3</v>
      </c>
      <c r="S21" s="375"/>
      <c r="T21" s="375"/>
      <c r="U21" s="375">
        <v>0.3</v>
      </c>
      <c r="V21" s="375"/>
      <c r="W21" s="96"/>
      <c r="X21" s="361"/>
      <c r="Y21" s="373"/>
      <c r="Z21" s="373"/>
      <c r="AA21" s="362"/>
    </row>
    <row r="22" spans="1:27" ht="19.5" customHeight="1" x14ac:dyDescent="0.2">
      <c r="A22" s="303" t="s">
        <v>93</v>
      </c>
      <c r="B22" s="357" t="s">
        <v>98</v>
      </c>
      <c r="C22" s="303" t="s">
        <v>250</v>
      </c>
      <c r="D22" s="358" t="s">
        <v>128</v>
      </c>
      <c r="F22" s="96">
        <v>3</v>
      </c>
      <c r="G22" s="96">
        <v>300</v>
      </c>
      <c r="H22" s="303">
        <v>0</v>
      </c>
      <c r="I22" s="357">
        <v>5</v>
      </c>
      <c r="J22" s="359"/>
      <c r="K22" s="360"/>
      <c r="L22" s="360"/>
      <c r="M22" s="360"/>
      <c r="N22" s="360"/>
      <c r="O22" s="360"/>
      <c r="P22" s="360"/>
      <c r="Q22" s="360"/>
      <c r="R22" s="360"/>
      <c r="S22" s="360"/>
      <c r="T22" s="360"/>
      <c r="U22" s="360"/>
      <c r="V22" s="360"/>
      <c r="W22" s="96"/>
      <c r="X22" s="361"/>
      <c r="Y22" s="96"/>
      <c r="Z22" s="96"/>
      <c r="AA22" s="362"/>
    </row>
    <row r="23" spans="1:27" ht="19.5" customHeight="1" x14ac:dyDescent="0.2">
      <c r="A23" s="303" t="s">
        <v>93</v>
      </c>
      <c r="B23" s="357" t="s">
        <v>98</v>
      </c>
      <c r="C23" s="303" t="s">
        <v>250</v>
      </c>
      <c r="D23" s="358" t="s">
        <v>130</v>
      </c>
      <c r="E23" s="96">
        <v>2</v>
      </c>
      <c r="F23" s="96">
        <v>4</v>
      </c>
      <c r="G23" s="96">
        <v>900</v>
      </c>
      <c r="H23" s="303">
        <v>30</v>
      </c>
      <c r="I23" s="357">
        <v>8.1</v>
      </c>
      <c r="J23" s="359"/>
      <c r="K23" s="96"/>
      <c r="L23" s="96"/>
      <c r="M23" s="96"/>
      <c r="N23" s="96"/>
      <c r="O23" s="96"/>
      <c r="P23" s="96"/>
      <c r="Q23" s="360"/>
      <c r="R23" s="360"/>
      <c r="S23" s="360"/>
      <c r="T23" s="360"/>
      <c r="U23" s="360"/>
      <c r="V23" s="360"/>
      <c r="W23" s="96"/>
      <c r="X23" s="361"/>
      <c r="Y23" s="96"/>
      <c r="Z23" s="96"/>
      <c r="AA23" s="362"/>
    </row>
    <row r="24" spans="1:27" s="366" customFormat="1" ht="19.5" customHeight="1" x14ac:dyDescent="0.2">
      <c r="A24" s="366" t="s">
        <v>93</v>
      </c>
      <c r="B24" s="376" t="s">
        <v>98</v>
      </c>
      <c r="C24" s="366" t="s">
        <v>250</v>
      </c>
      <c r="D24" s="358" t="s">
        <v>129</v>
      </c>
      <c r="E24" s="96">
        <v>5</v>
      </c>
      <c r="F24" s="96">
        <v>3</v>
      </c>
      <c r="G24" s="96">
        <v>900</v>
      </c>
      <c r="H24" s="303">
        <v>25</v>
      </c>
      <c r="I24" s="357">
        <f>1.8 * MIN(6, MAX(E24,F24)) + 0.45 * MIN(6, MIN(E24,F24)) + IF(E24&gt;6, (E24-6)*0.2) + IF(F24&gt;6, (F24-6)*0.2)</f>
        <v>10.35</v>
      </c>
      <c r="J24" s="367"/>
      <c r="K24" s="368"/>
      <c r="L24" s="368"/>
      <c r="M24" s="368"/>
      <c r="N24" s="368"/>
      <c r="O24" s="368"/>
      <c r="P24" s="368"/>
      <c r="Q24" s="368"/>
      <c r="R24" s="368"/>
      <c r="S24" s="368"/>
      <c r="T24" s="368"/>
      <c r="U24" s="368"/>
      <c r="V24" s="368"/>
      <c r="W24" s="365"/>
      <c r="X24" s="369"/>
      <c r="Y24" s="365"/>
      <c r="Z24" s="365"/>
      <c r="AA24" s="370"/>
    </row>
    <row r="25" spans="1:27" s="363" customFormat="1" ht="19.5" customHeight="1" x14ac:dyDescent="0.2">
      <c r="A25" s="363" t="s">
        <v>94</v>
      </c>
      <c r="B25" s="371" t="s">
        <v>98</v>
      </c>
      <c r="C25" s="363" t="s">
        <v>251</v>
      </c>
      <c r="D25" s="372" t="s">
        <v>131</v>
      </c>
      <c r="E25" s="373">
        <v>4</v>
      </c>
      <c r="F25" s="373"/>
      <c r="G25" s="373">
        <v>200</v>
      </c>
      <c r="H25" s="363">
        <v>50</v>
      </c>
      <c r="I25" s="371">
        <v>5</v>
      </c>
      <c r="J25" s="374">
        <v>-0.05</v>
      </c>
      <c r="K25" s="375"/>
      <c r="L25" s="375"/>
      <c r="M25" s="375"/>
      <c r="N25" s="375"/>
      <c r="O25" s="375"/>
      <c r="P25" s="375"/>
      <c r="Q25" s="375">
        <v>0.05</v>
      </c>
      <c r="R25" s="375">
        <v>-0.2</v>
      </c>
      <c r="S25" s="375"/>
      <c r="T25" s="374">
        <v>7.4999999999999997E-2</v>
      </c>
      <c r="U25" s="375"/>
      <c r="V25" s="375"/>
      <c r="W25" s="96"/>
      <c r="X25" s="361"/>
      <c r="Y25" s="373"/>
      <c r="Z25" s="373"/>
      <c r="AA25" s="362"/>
    </row>
    <row r="26" spans="1:27" ht="19.5" customHeight="1" x14ac:dyDescent="0.2">
      <c r="A26" s="303" t="s">
        <v>94</v>
      </c>
      <c r="B26" s="357" t="s">
        <v>98</v>
      </c>
      <c r="C26" s="303" t="s">
        <v>251</v>
      </c>
      <c r="D26" s="358" t="s">
        <v>132</v>
      </c>
      <c r="F26" s="96">
        <v>3</v>
      </c>
      <c r="G26" s="96">
        <v>300</v>
      </c>
      <c r="H26" s="303">
        <v>5</v>
      </c>
      <c r="I26" s="357">
        <v>5</v>
      </c>
      <c r="J26" s="359"/>
      <c r="K26" s="360"/>
      <c r="L26" s="360"/>
      <c r="M26" s="360"/>
      <c r="N26" s="360"/>
      <c r="O26" s="360"/>
      <c r="P26" s="360"/>
      <c r="Q26" s="360"/>
      <c r="R26" s="360"/>
      <c r="S26" s="360"/>
      <c r="T26" s="360"/>
      <c r="U26" s="360"/>
      <c r="V26" s="360"/>
      <c r="W26" s="96"/>
      <c r="X26" s="361"/>
      <c r="Y26" s="96"/>
      <c r="Z26" s="96"/>
      <c r="AA26" s="362"/>
    </row>
    <row r="27" spans="1:27" ht="19.5" customHeight="1" x14ac:dyDescent="0.2">
      <c r="A27" s="303" t="s">
        <v>94</v>
      </c>
      <c r="B27" s="357" t="s">
        <v>98</v>
      </c>
      <c r="C27" s="303" t="s">
        <v>251</v>
      </c>
      <c r="D27" s="358" t="s">
        <v>133</v>
      </c>
      <c r="E27" s="96">
        <v>2</v>
      </c>
      <c r="F27" s="96">
        <v>4</v>
      </c>
      <c r="G27" s="96">
        <v>675</v>
      </c>
      <c r="H27" s="303">
        <v>330</v>
      </c>
      <c r="I27" s="357">
        <f>1.8 * MIN(6, MAX(E27,F27)) + 0.45 * MIN(6, MIN(E27,F27)) + IF(E27&gt;6, (E27-6)*0.2) + IF(F27&gt;6, (F27-6)*0.2)</f>
        <v>8.1</v>
      </c>
      <c r="J27" s="359"/>
      <c r="K27" s="360"/>
      <c r="L27" s="360"/>
      <c r="M27" s="360"/>
      <c r="N27" s="360"/>
      <c r="O27" s="360"/>
      <c r="P27" s="360"/>
      <c r="Q27" s="360"/>
      <c r="R27" s="360"/>
      <c r="S27" s="360"/>
      <c r="T27" s="360"/>
      <c r="U27" s="360"/>
      <c r="V27" s="360"/>
      <c r="W27" s="96"/>
      <c r="X27" s="361"/>
      <c r="Y27" s="96"/>
      <c r="Z27" s="96"/>
      <c r="AA27" s="362"/>
    </row>
    <row r="28" spans="1:27" s="366" customFormat="1" ht="19.5" customHeight="1" x14ac:dyDescent="0.2">
      <c r="A28" s="366" t="s">
        <v>94</v>
      </c>
      <c r="B28" s="376" t="s">
        <v>98</v>
      </c>
      <c r="C28" s="366" t="s">
        <v>251</v>
      </c>
      <c r="D28" s="364" t="s">
        <v>134</v>
      </c>
      <c r="E28" s="365">
        <v>6.5</v>
      </c>
      <c r="F28" s="365">
        <v>3</v>
      </c>
      <c r="G28" s="365">
        <v>750</v>
      </c>
      <c r="H28" s="366">
        <v>550</v>
      </c>
      <c r="I28" s="357">
        <f>1.8 * MIN(6, MAX(E28,F28)) + 0.45 * MIN(6, MIN(E28,F28)) + IF(E28&gt;6, (E28-6)*0.2) + IF(F28&gt;6, (F28-6)*0.2)</f>
        <v>12.25</v>
      </c>
      <c r="J28" s="367"/>
      <c r="K28" s="368"/>
      <c r="L28" s="368"/>
      <c r="M28" s="368"/>
      <c r="N28" s="368"/>
      <c r="O28" s="368"/>
      <c r="P28" s="368"/>
      <c r="Q28" s="368"/>
      <c r="R28" s="368"/>
      <c r="S28" s="368"/>
      <c r="T28" s="368"/>
      <c r="U28" s="368"/>
      <c r="V28" s="368"/>
      <c r="W28" s="365"/>
      <c r="X28" s="369"/>
      <c r="Y28" s="365"/>
      <c r="Z28" s="365"/>
      <c r="AA28" s="370"/>
    </row>
    <row r="29" spans="1:27" s="363" customFormat="1" ht="19.5" customHeight="1" x14ac:dyDescent="0.2">
      <c r="A29" s="363" t="s">
        <v>95</v>
      </c>
      <c r="B29" s="371" t="s">
        <v>98</v>
      </c>
      <c r="C29" s="363" t="s">
        <v>62</v>
      </c>
      <c r="D29" s="372" t="s">
        <v>135</v>
      </c>
      <c r="E29" s="373">
        <v>3</v>
      </c>
      <c r="F29" s="373"/>
      <c r="G29" s="373">
        <v>275</v>
      </c>
      <c r="H29" s="363">
        <v>0</v>
      </c>
      <c r="I29" s="371">
        <v>5</v>
      </c>
      <c r="J29" s="374"/>
      <c r="K29" s="375"/>
      <c r="L29" s="375"/>
      <c r="M29" s="375">
        <v>0.05</v>
      </c>
      <c r="N29" s="375">
        <v>-0.15</v>
      </c>
      <c r="O29" s="375"/>
      <c r="P29" s="375"/>
      <c r="Q29" s="375"/>
      <c r="R29" s="375"/>
      <c r="S29" s="375"/>
      <c r="T29" s="375">
        <v>0.05</v>
      </c>
      <c r="U29" s="375"/>
      <c r="V29" s="375"/>
      <c r="W29" s="96"/>
      <c r="X29" s="361"/>
      <c r="Y29" s="373"/>
      <c r="Z29" s="373"/>
      <c r="AA29" s="380">
        <v>0.05</v>
      </c>
    </row>
    <row r="30" spans="1:27" ht="19.5" customHeight="1" x14ac:dyDescent="0.2">
      <c r="A30" s="303" t="s">
        <v>95</v>
      </c>
      <c r="B30" s="357" t="s">
        <v>98</v>
      </c>
      <c r="C30" s="303" t="s">
        <v>62</v>
      </c>
      <c r="D30" s="358" t="s">
        <v>137</v>
      </c>
      <c r="F30" s="96">
        <v>3</v>
      </c>
      <c r="G30" s="96">
        <v>300</v>
      </c>
      <c r="H30" s="303">
        <v>0</v>
      </c>
      <c r="I30" s="357">
        <v>5</v>
      </c>
      <c r="J30" s="359"/>
      <c r="K30" s="360"/>
      <c r="L30" s="360"/>
      <c r="M30" s="360"/>
      <c r="N30" s="360"/>
      <c r="O30" s="360"/>
      <c r="P30" s="360"/>
      <c r="Q30" s="360"/>
      <c r="R30" s="360"/>
      <c r="S30" s="360"/>
      <c r="T30" s="360"/>
      <c r="U30" s="360"/>
      <c r="V30" s="360"/>
      <c r="W30" s="96"/>
      <c r="X30" s="361"/>
      <c r="Y30" s="96"/>
      <c r="Z30" s="96"/>
      <c r="AA30" s="362"/>
    </row>
    <row r="31" spans="1:27" ht="19.5" customHeight="1" x14ac:dyDescent="0.2">
      <c r="A31" s="303" t="s">
        <v>95</v>
      </c>
      <c r="B31" s="357" t="s">
        <v>98</v>
      </c>
      <c r="C31" s="303" t="s">
        <v>62</v>
      </c>
      <c r="D31" s="358" t="s">
        <v>138</v>
      </c>
      <c r="E31" s="96">
        <v>0</v>
      </c>
      <c r="F31" s="96">
        <v>7</v>
      </c>
      <c r="G31" s="96">
        <v>1350</v>
      </c>
      <c r="H31" s="303">
        <v>0</v>
      </c>
      <c r="I31" s="357">
        <v>11</v>
      </c>
      <c r="J31" s="359"/>
      <c r="K31" s="96"/>
      <c r="L31" s="96"/>
      <c r="M31" s="96"/>
      <c r="N31" s="96"/>
      <c r="O31" s="96"/>
      <c r="P31" s="96"/>
      <c r="Q31" s="360"/>
      <c r="R31" s="360"/>
      <c r="S31" s="360"/>
      <c r="T31" s="360"/>
      <c r="U31" s="360"/>
      <c r="V31" s="360"/>
      <c r="W31" s="96"/>
      <c r="X31" s="361"/>
      <c r="Y31" s="96"/>
      <c r="Z31" s="96"/>
      <c r="AA31" s="362"/>
    </row>
    <row r="32" spans="1:27" s="366" customFormat="1" ht="19.5" customHeight="1" x14ac:dyDescent="0.2">
      <c r="A32" s="366" t="s">
        <v>95</v>
      </c>
      <c r="B32" s="376" t="s">
        <v>98</v>
      </c>
      <c r="C32" s="366" t="s">
        <v>62</v>
      </c>
      <c r="D32" s="358" t="s">
        <v>136</v>
      </c>
      <c r="E32" s="96">
        <v>4</v>
      </c>
      <c r="F32" s="96">
        <v>2</v>
      </c>
      <c r="G32" s="96">
        <v>600</v>
      </c>
      <c r="H32" s="303">
        <v>0</v>
      </c>
      <c r="I32" s="357">
        <f>1.8 * MIN(6, MAX(E32,F32)) + 0.45 * MIN(6, MIN(E32,F32)) + IF(E32&gt;6, (E32-6)*0.2) + IF(F32&gt;6, (F32-6)*0.2)</f>
        <v>8.1</v>
      </c>
      <c r="J32" s="367"/>
      <c r="K32" s="368"/>
      <c r="L32" s="368"/>
      <c r="M32" s="368"/>
      <c r="N32" s="368"/>
      <c r="O32" s="368"/>
      <c r="P32" s="368"/>
      <c r="Q32" s="368"/>
      <c r="R32" s="368"/>
      <c r="S32" s="368"/>
      <c r="T32" s="368"/>
      <c r="U32" s="368"/>
      <c r="V32" s="368"/>
      <c r="W32" s="365"/>
      <c r="X32" s="369"/>
      <c r="Y32" s="365"/>
      <c r="Z32" s="365"/>
      <c r="AA32" s="370"/>
    </row>
    <row r="33" spans="1:27" s="363" customFormat="1" ht="19.5" customHeight="1" x14ac:dyDescent="0.2">
      <c r="A33" s="363" t="s">
        <v>96</v>
      </c>
      <c r="B33" s="371" t="s">
        <v>98</v>
      </c>
      <c r="C33" s="363" t="s">
        <v>58</v>
      </c>
      <c r="D33" s="372" t="s">
        <v>139</v>
      </c>
      <c r="E33" s="373">
        <v>3</v>
      </c>
      <c r="F33" s="373"/>
      <c r="G33" s="373">
        <v>275</v>
      </c>
      <c r="H33" s="363">
        <v>0</v>
      </c>
      <c r="I33" s="371">
        <v>5</v>
      </c>
      <c r="J33" s="374"/>
      <c r="K33" s="375"/>
      <c r="L33" s="375"/>
      <c r="M33" s="375">
        <v>0.1</v>
      </c>
      <c r="N33" s="375">
        <v>0.2</v>
      </c>
      <c r="O33" s="375"/>
      <c r="P33" s="375"/>
      <c r="Q33" s="375"/>
      <c r="R33" s="375"/>
      <c r="S33" s="375"/>
      <c r="T33" s="375"/>
      <c r="U33" s="375"/>
      <c r="V33" s="375"/>
      <c r="W33" s="96"/>
      <c r="X33" s="361"/>
      <c r="Y33" s="373"/>
      <c r="Z33" s="373"/>
      <c r="AA33" s="362"/>
    </row>
    <row r="34" spans="1:27" ht="19.5" customHeight="1" x14ac:dyDescent="0.2">
      <c r="A34" s="303" t="s">
        <v>96</v>
      </c>
      <c r="B34" s="357" t="s">
        <v>98</v>
      </c>
      <c r="C34" s="303" t="s">
        <v>58</v>
      </c>
      <c r="D34" s="358" t="s">
        <v>140</v>
      </c>
      <c r="F34" s="96">
        <v>3</v>
      </c>
      <c r="G34" s="96">
        <v>300</v>
      </c>
      <c r="H34" s="303">
        <v>0</v>
      </c>
      <c r="I34" s="357">
        <v>5</v>
      </c>
      <c r="J34" s="359"/>
      <c r="K34" s="360"/>
      <c r="L34" s="360"/>
      <c r="M34" s="360"/>
      <c r="N34" s="360"/>
      <c r="O34" s="360"/>
      <c r="P34" s="360"/>
      <c r="Q34" s="360"/>
      <c r="R34" s="360"/>
      <c r="S34" s="360"/>
      <c r="T34" s="360"/>
      <c r="U34" s="360"/>
      <c r="V34" s="360"/>
      <c r="W34" s="96"/>
      <c r="X34" s="361"/>
      <c r="Y34" s="96"/>
      <c r="Z34" s="96"/>
      <c r="AA34" s="362"/>
    </row>
    <row r="35" spans="1:27" ht="19.5" customHeight="1" x14ac:dyDescent="0.2">
      <c r="A35" s="303" t="s">
        <v>96</v>
      </c>
      <c r="B35" s="357" t="s">
        <v>98</v>
      </c>
      <c r="C35" s="303" t="s">
        <v>58</v>
      </c>
      <c r="D35" s="358" t="s">
        <v>141</v>
      </c>
      <c r="E35" s="96">
        <v>0</v>
      </c>
      <c r="F35" s="96">
        <v>3</v>
      </c>
      <c r="G35" s="96">
        <v>1050</v>
      </c>
      <c r="H35" s="303">
        <v>0</v>
      </c>
      <c r="I35" s="357">
        <f>1.8 * MIN(6, MAX(E35,F35)) + 0.45 * MIN(6, MIN(E35,F35)) + IF(E35&gt;6, (E35-6)*0.2) + IF(F35&gt;6, (F35-6)*0.2)</f>
        <v>5.4</v>
      </c>
      <c r="J35" s="359"/>
      <c r="K35" s="360"/>
      <c r="L35" s="360"/>
      <c r="M35" s="360"/>
      <c r="N35" s="360"/>
      <c r="O35" s="360"/>
      <c r="P35" s="360"/>
      <c r="Q35" s="360"/>
      <c r="R35" s="360"/>
      <c r="S35" s="360"/>
      <c r="T35" s="360"/>
      <c r="U35" s="360"/>
      <c r="V35" s="360"/>
      <c r="W35" s="96"/>
      <c r="X35" s="361"/>
      <c r="Y35" s="96"/>
      <c r="Z35" s="96"/>
      <c r="AA35" s="362"/>
    </row>
    <row r="36" spans="1:27" s="366" customFormat="1" ht="19.5" customHeight="1" x14ac:dyDescent="0.2">
      <c r="A36" s="366" t="s">
        <v>96</v>
      </c>
      <c r="B36" s="376" t="s">
        <v>98</v>
      </c>
      <c r="C36" s="366" t="s">
        <v>58</v>
      </c>
      <c r="D36" s="364" t="s">
        <v>142</v>
      </c>
      <c r="E36" s="365">
        <v>5.5</v>
      </c>
      <c r="F36" s="365">
        <v>2</v>
      </c>
      <c r="G36" s="365">
        <v>900</v>
      </c>
      <c r="H36" s="366">
        <v>20</v>
      </c>
      <c r="I36" s="357">
        <f>1.8 * MIN(6, MAX(E36,F36)) + 0.45 * MIN(6, MIN(E36,F36)) + IF(E36&gt;6, (E36-6)*0.2) + IF(F36&gt;6, (F36-6)*0.2)</f>
        <v>10.8</v>
      </c>
      <c r="J36" s="367"/>
      <c r="K36" s="368"/>
      <c r="L36" s="368"/>
      <c r="M36" s="368"/>
      <c r="N36" s="368"/>
      <c r="O36" s="368"/>
      <c r="P36" s="368"/>
      <c r="Q36" s="368"/>
      <c r="R36" s="368"/>
      <c r="S36" s="368"/>
      <c r="T36" s="368"/>
      <c r="U36" s="368"/>
      <c r="V36" s="368"/>
      <c r="W36" s="365"/>
      <c r="X36" s="369"/>
      <c r="Y36" s="365"/>
      <c r="Z36" s="365"/>
      <c r="AA36" s="370"/>
    </row>
    <row r="37" spans="1:27" s="363" customFormat="1" ht="19.5" customHeight="1" x14ac:dyDescent="0.2">
      <c r="A37" s="363" t="s">
        <v>97</v>
      </c>
      <c r="B37" s="371" t="s">
        <v>30</v>
      </c>
      <c r="C37" s="363" t="s">
        <v>250</v>
      </c>
      <c r="D37" s="372" t="s">
        <v>143</v>
      </c>
      <c r="E37" s="373">
        <v>3</v>
      </c>
      <c r="F37" s="373"/>
      <c r="G37" s="373">
        <v>325</v>
      </c>
      <c r="H37" s="363">
        <v>25</v>
      </c>
      <c r="I37" s="371">
        <v>5</v>
      </c>
      <c r="J37" s="374">
        <v>0.2</v>
      </c>
      <c r="K37" s="375"/>
      <c r="L37" s="375"/>
      <c r="M37" s="375"/>
      <c r="N37" s="375"/>
      <c r="O37" s="375"/>
      <c r="P37" s="375"/>
      <c r="Q37" s="375"/>
      <c r="R37" s="375"/>
      <c r="S37" s="375"/>
      <c r="T37" s="375"/>
      <c r="U37" s="375"/>
      <c r="V37" s="375"/>
      <c r="W37" s="360">
        <v>0.2</v>
      </c>
      <c r="X37" s="361"/>
      <c r="Y37" s="373"/>
      <c r="Z37" s="373"/>
      <c r="AA37" s="362"/>
    </row>
    <row r="38" spans="1:27" ht="19.5" customHeight="1" x14ac:dyDescent="0.2">
      <c r="A38" s="303" t="s">
        <v>97</v>
      </c>
      <c r="B38" s="357" t="s">
        <v>30</v>
      </c>
      <c r="C38" s="303" t="s">
        <v>250</v>
      </c>
      <c r="D38" s="358" t="s">
        <v>144</v>
      </c>
      <c r="F38" s="96">
        <v>3</v>
      </c>
      <c r="G38" s="96">
        <v>375</v>
      </c>
      <c r="H38" s="303">
        <v>15</v>
      </c>
      <c r="I38" s="357">
        <v>5</v>
      </c>
      <c r="J38" s="359"/>
      <c r="K38" s="360"/>
      <c r="L38" s="360"/>
      <c r="M38" s="360"/>
      <c r="N38" s="360"/>
      <c r="O38" s="360"/>
      <c r="P38" s="360"/>
      <c r="Q38" s="360"/>
      <c r="R38" s="360"/>
      <c r="S38" s="360"/>
      <c r="T38" s="360"/>
      <c r="U38" s="360"/>
      <c r="V38" s="360"/>
      <c r="W38" s="96"/>
      <c r="X38" s="361"/>
      <c r="Y38" s="96"/>
      <c r="Z38" s="96"/>
      <c r="AA38" s="362"/>
    </row>
    <row r="39" spans="1:27" ht="19.5" customHeight="1" x14ac:dyDescent="0.2">
      <c r="A39" s="303" t="s">
        <v>97</v>
      </c>
      <c r="B39" s="357" t="s">
        <v>30</v>
      </c>
      <c r="C39" s="303" t="s">
        <v>250</v>
      </c>
      <c r="D39" s="358" t="s">
        <v>361</v>
      </c>
      <c r="E39" s="96">
        <v>5</v>
      </c>
      <c r="F39" s="96">
        <v>3</v>
      </c>
      <c r="G39" s="96">
        <v>1050</v>
      </c>
      <c r="H39" s="303">
        <v>80</v>
      </c>
      <c r="I39" s="357">
        <f>1.8 * MIN(6, MAX(E39,F39)) + 0.45 * MIN(6, MIN(E39,F39)) + IF(E39&gt;6, (E39-6)*0.2) + IF(F39&gt;6, (F39-6)*0.2)</f>
        <v>10.35</v>
      </c>
      <c r="J39" s="359"/>
      <c r="K39" s="360"/>
      <c r="L39" s="360"/>
      <c r="M39" s="360"/>
      <c r="N39" s="360"/>
      <c r="O39" s="360"/>
      <c r="P39" s="360"/>
      <c r="Q39" s="360"/>
      <c r="R39" s="360"/>
      <c r="S39" s="360"/>
      <c r="T39" s="360"/>
      <c r="U39" s="360"/>
      <c r="V39" s="360"/>
      <c r="W39" s="96"/>
      <c r="X39" s="361"/>
      <c r="Y39" s="96"/>
      <c r="Z39" s="96"/>
      <c r="AA39" s="362"/>
    </row>
    <row r="40" spans="1:27" s="366" customFormat="1" ht="19.5" customHeight="1" x14ac:dyDescent="0.2">
      <c r="A40" s="366" t="s">
        <v>97</v>
      </c>
      <c r="B40" s="376" t="s">
        <v>30</v>
      </c>
      <c r="C40" s="366" t="s">
        <v>250</v>
      </c>
      <c r="D40" s="364" t="s">
        <v>146</v>
      </c>
      <c r="E40" s="365">
        <v>6</v>
      </c>
      <c r="F40" s="365">
        <v>2</v>
      </c>
      <c r="G40" s="365">
        <v>1275</v>
      </c>
      <c r="H40" s="366">
        <v>100</v>
      </c>
      <c r="I40" s="357">
        <f>1.8 * MIN(6, MAX(E40,F40)) + 0.45 * MIN(6, MIN(E40,F40)) + IF(E40&gt;6, (E40-6)*0.2) + IF(F40&gt;6, (F40-6)*0.2)</f>
        <v>11.700000000000001</v>
      </c>
      <c r="J40" s="367"/>
      <c r="K40" s="368"/>
      <c r="L40" s="368"/>
      <c r="M40" s="368"/>
      <c r="N40" s="368"/>
      <c r="O40" s="368"/>
      <c r="P40" s="368"/>
      <c r="Q40" s="368"/>
      <c r="R40" s="368"/>
      <c r="S40" s="368"/>
      <c r="T40" s="368"/>
      <c r="U40" s="368"/>
      <c r="V40" s="368"/>
      <c r="W40" s="365"/>
      <c r="X40" s="369"/>
      <c r="Y40" s="365"/>
      <c r="Z40" s="365"/>
      <c r="AA40" s="370"/>
    </row>
    <row r="41" spans="1:27" s="363" customFormat="1" ht="19.5" customHeight="1" x14ac:dyDescent="0.2">
      <c r="A41" s="363" t="s">
        <v>29</v>
      </c>
      <c r="B41" s="371" t="s">
        <v>30</v>
      </c>
      <c r="C41" s="363" t="s">
        <v>249</v>
      </c>
      <c r="D41" s="372" t="s">
        <v>39</v>
      </c>
      <c r="E41" s="373">
        <v>4</v>
      </c>
      <c r="F41" s="373"/>
      <c r="G41" s="373">
        <v>350</v>
      </c>
      <c r="H41" s="363">
        <v>25</v>
      </c>
      <c r="I41" s="371">
        <v>5</v>
      </c>
      <c r="J41" s="374">
        <v>-0.05</v>
      </c>
      <c r="K41" s="375"/>
      <c r="L41" s="375"/>
      <c r="M41" s="375"/>
      <c r="N41" s="375"/>
      <c r="O41" s="375"/>
      <c r="P41" s="375"/>
      <c r="Q41" s="375"/>
      <c r="R41" s="375">
        <v>0.05</v>
      </c>
      <c r="S41" s="375"/>
      <c r="T41" s="375">
        <v>0.05</v>
      </c>
      <c r="U41" s="375">
        <v>-0.1</v>
      </c>
      <c r="V41" s="375"/>
      <c r="W41" s="96"/>
      <c r="X41" s="361"/>
      <c r="Y41" s="373"/>
      <c r="Z41" s="373"/>
      <c r="AA41" s="362"/>
    </row>
    <row r="42" spans="1:27" ht="19.5" customHeight="1" x14ac:dyDescent="0.2">
      <c r="A42" s="303" t="s">
        <v>29</v>
      </c>
      <c r="B42" s="357" t="s">
        <v>30</v>
      </c>
      <c r="C42" s="303" t="s">
        <v>249</v>
      </c>
      <c r="D42" s="358" t="s">
        <v>40</v>
      </c>
      <c r="F42" s="96">
        <v>3</v>
      </c>
      <c r="G42" s="96">
        <v>300</v>
      </c>
      <c r="H42" s="303">
        <v>25</v>
      </c>
      <c r="I42" s="357">
        <v>5</v>
      </c>
      <c r="J42" s="359"/>
      <c r="K42" s="360"/>
      <c r="L42" s="360"/>
      <c r="M42" s="360"/>
      <c r="N42" s="360"/>
      <c r="O42" s="360"/>
      <c r="P42" s="360"/>
      <c r="Q42" s="360"/>
      <c r="R42" s="360"/>
      <c r="S42" s="360"/>
      <c r="T42" s="360"/>
      <c r="U42" s="360"/>
      <c r="V42" s="360"/>
      <c r="W42" s="96"/>
      <c r="X42" s="361"/>
      <c r="Y42" s="96"/>
      <c r="Z42" s="96"/>
      <c r="AA42" s="362"/>
    </row>
    <row r="43" spans="1:27" ht="19.5" customHeight="1" x14ac:dyDescent="0.2">
      <c r="A43" s="303" t="s">
        <v>29</v>
      </c>
      <c r="B43" s="357" t="s">
        <v>30</v>
      </c>
      <c r="C43" s="303" t="s">
        <v>249</v>
      </c>
      <c r="D43" s="358" t="s">
        <v>41</v>
      </c>
      <c r="E43" s="96">
        <v>5</v>
      </c>
      <c r="F43" s="96">
        <v>3</v>
      </c>
      <c r="G43" s="96">
        <v>1000</v>
      </c>
      <c r="H43" s="303">
        <v>100</v>
      </c>
      <c r="I43" s="357">
        <f>1.8 * MIN(6, MAX(E43,F43)) + 0.45 * MIN(6, MIN(E43,F43)) + IF(E43&gt;6, (E43-6)*0.2) + IF(F43&gt;6, (F43-6)*0.2)</f>
        <v>10.35</v>
      </c>
      <c r="J43" s="359"/>
      <c r="K43" s="360"/>
      <c r="L43" s="360"/>
      <c r="M43" s="360"/>
      <c r="N43" s="360"/>
      <c r="O43" s="360"/>
      <c r="P43" s="360"/>
      <c r="Q43" s="360"/>
      <c r="R43" s="360"/>
      <c r="S43" s="360"/>
      <c r="T43" s="360"/>
      <c r="U43" s="360"/>
      <c r="V43" s="360"/>
      <c r="W43" s="96"/>
      <c r="X43" s="361"/>
      <c r="Y43" s="96"/>
      <c r="Z43" s="96"/>
      <c r="AA43" s="362"/>
    </row>
    <row r="44" spans="1:27" s="366" customFormat="1" ht="19.5" customHeight="1" x14ac:dyDescent="0.2">
      <c r="A44" s="366" t="s">
        <v>29</v>
      </c>
      <c r="B44" s="376" t="s">
        <v>30</v>
      </c>
      <c r="C44" s="366" t="s">
        <v>249</v>
      </c>
      <c r="D44" s="364" t="s">
        <v>42</v>
      </c>
      <c r="E44" s="365">
        <v>7</v>
      </c>
      <c r="F44" s="365">
        <v>7</v>
      </c>
      <c r="G44" s="365">
        <v>1425</v>
      </c>
      <c r="H44" s="366">
        <v>150</v>
      </c>
      <c r="I44" s="357">
        <f>1.8 * MIN(6, MAX(E44,F44)) + 0.45 * MIN(6, MIN(E44,F44)) + IF(E44&gt;6, (E44-6)*0.2) + IF(F44&gt;6, (F44-6)*0.2)</f>
        <v>13.899999999999999</v>
      </c>
      <c r="J44" s="367"/>
      <c r="K44" s="368"/>
      <c r="L44" s="368"/>
      <c r="M44" s="368"/>
      <c r="N44" s="368"/>
      <c r="O44" s="368"/>
      <c r="P44" s="368"/>
      <c r="Q44" s="368"/>
      <c r="R44" s="368"/>
      <c r="S44" s="368"/>
      <c r="T44" s="368"/>
      <c r="U44" s="368"/>
      <c r="V44" s="368"/>
      <c r="W44" s="365"/>
      <c r="X44" s="369"/>
      <c r="Y44" s="365"/>
      <c r="Z44" s="365"/>
      <c r="AA44" s="370"/>
    </row>
    <row r="45" spans="1:27" s="363" customFormat="1" ht="19.5" customHeight="1" x14ac:dyDescent="0.2">
      <c r="A45" s="363" t="s">
        <v>99</v>
      </c>
      <c r="B45" s="371" t="s">
        <v>30</v>
      </c>
      <c r="C45" s="363" t="s">
        <v>248</v>
      </c>
      <c r="D45" s="372" t="s">
        <v>147</v>
      </c>
      <c r="E45" s="373">
        <v>4</v>
      </c>
      <c r="F45" s="373"/>
      <c r="G45" s="373">
        <v>460</v>
      </c>
      <c r="H45" s="363">
        <v>25</v>
      </c>
      <c r="I45" s="371">
        <v>5</v>
      </c>
      <c r="J45" s="374">
        <v>-0.05</v>
      </c>
      <c r="K45" s="375"/>
      <c r="L45" s="375"/>
      <c r="M45" s="375"/>
      <c r="N45" s="375"/>
      <c r="O45" s="375"/>
      <c r="P45" s="375"/>
      <c r="Q45" s="375">
        <v>0.05</v>
      </c>
      <c r="R45" s="375"/>
      <c r="S45" s="375"/>
      <c r="T45" s="375"/>
      <c r="U45" s="375"/>
      <c r="V45" s="375"/>
      <c r="W45" s="96"/>
      <c r="X45" s="361"/>
      <c r="Y45" s="373"/>
      <c r="Z45" s="373"/>
      <c r="AA45" s="362"/>
    </row>
    <row r="46" spans="1:27" ht="19.5" customHeight="1" x14ac:dyDescent="0.2">
      <c r="A46" s="303" t="s">
        <v>99</v>
      </c>
      <c r="B46" s="357" t="s">
        <v>30</v>
      </c>
      <c r="C46" s="303" t="s">
        <v>248</v>
      </c>
      <c r="D46" s="358" t="s">
        <v>148</v>
      </c>
      <c r="F46" s="96">
        <v>3</v>
      </c>
      <c r="G46" s="96">
        <v>300</v>
      </c>
      <c r="H46" s="303">
        <v>15</v>
      </c>
      <c r="I46" s="357">
        <v>5</v>
      </c>
      <c r="J46" s="359"/>
      <c r="K46" s="360"/>
      <c r="L46" s="360"/>
      <c r="M46" s="360"/>
      <c r="N46" s="360"/>
      <c r="O46" s="360"/>
      <c r="P46" s="360"/>
      <c r="Q46" s="360"/>
      <c r="R46" s="360"/>
      <c r="S46" s="360"/>
      <c r="T46" s="360"/>
      <c r="U46" s="360"/>
      <c r="V46" s="360"/>
      <c r="W46" s="96"/>
      <c r="X46" s="361"/>
      <c r="Y46" s="96"/>
      <c r="Z46" s="96"/>
      <c r="AA46" s="362"/>
    </row>
    <row r="47" spans="1:27" ht="19.5" customHeight="1" x14ac:dyDescent="0.2">
      <c r="A47" s="303" t="s">
        <v>99</v>
      </c>
      <c r="B47" s="357" t="s">
        <v>30</v>
      </c>
      <c r="C47" s="303" t="s">
        <v>248</v>
      </c>
      <c r="D47" s="358" t="s">
        <v>149</v>
      </c>
      <c r="E47" s="96">
        <v>0</v>
      </c>
      <c r="F47" s="96">
        <v>6</v>
      </c>
      <c r="G47" s="96">
        <v>1150</v>
      </c>
      <c r="H47" s="303">
        <v>60</v>
      </c>
      <c r="I47" s="357">
        <f>1.8 * MIN(6, MAX(E47,F47)) + 0.45 * MIN(6, MIN(E47,F47)) + IF(E47&gt;6, (E47-6)*0.2) + IF(F47&gt;6, (F47-6)*0.2)</f>
        <v>10.8</v>
      </c>
      <c r="J47" s="359"/>
      <c r="K47" s="360"/>
      <c r="L47" s="360"/>
      <c r="M47" s="360"/>
      <c r="N47" s="360"/>
      <c r="O47" s="360"/>
      <c r="P47" s="360"/>
      <c r="Q47" s="360"/>
      <c r="R47" s="360"/>
      <c r="S47" s="360"/>
      <c r="T47" s="360"/>
      <c r="U47" s="360"/>
      <c r="V47" s="360"/>
      <c r="W47" s="96"/>
      <c r="X47" s="361"/>
      <c r="Y47" s="96"/>
      <c r="Z47" s="96"/>
      <c r="AA47" s="362"/>
    </row>
    <row r="48" spans="1:27" s="366" customFormat="1" ht="19.5" customHeight="1" x14ac:dyDescent="0.2">
      <c r="A48" s="366" t="s">
        <v>99</v>
      </c>
      <c r="B48" s="376" t="s">
        <v>30</v>
      </c>
      <c r="C48" s="366" t="s">
        <v>248</v>
      </c>
      <c r="D48" s="364" t="s">
        <v>1099</v>
      </c>
      <c r="E48" s="365">
        <v>6.5</v>
      </c>
      <c r="F48" s="365">
        <v>2.5</v>
      </c>
      <c r="G48" s="365">
        <v>1200</v>
      </c>
      <c r="H48" s="366">
        <v>50</v>
      </c>
      <c r="I48" s="357">
        <f>1.8 * MIN(6, MAX(E48,F48)) + 0.45 * MIN(6, MIN(E48,F48)) + IF(E48&gt;6, (E48-6)*0.2) + IF(F48&gt;6, (F48-6)*0.2)</f>
        <v>12.025</v>
      </c>
      <c r="J48" s="367"/>
      <c r="K48" s="368"/>
      <c r="L48" s="368"/>
      <c r="M48" s="368"/>
      <c r="N48" s="368"/>
      <c r="O48" s="368"/>
      <c r="P48" s="368"/>
      <c r="Q48" s="368"/>
      <c r="R48" s="368"/>
      <c r="S48" s="368"/>
      <c r="T48" s="368"/>
      <c r="U48" s="368"/>
      <c r="V48" s="368"/>
      <c r="W48" s="365"/>
      <c r="X48" s="369"/>
      <c r="Y48" s="365"/>
      <c r="Z48" s="365"/>
      <c r="AA48" s="370"/>
    </row>
    <row r="49" spans="1:27" s="363" customFormat="1" ht="19.5" customHeight="1" x14ac:dyDescent="0.2">
      <c r="A49" s="363" t="s">
        <v>100</v>
      </c>
      <c r="B49" s="371" t="s">
        <v>30</v>
      </c>
      <c r="C49" s="363" t="s">
        <v>60</v>
      </c>
      <c r="D49" s="372" t="s">
        <v>1111</v>
      </c>
      <c r="E49" s="373">
        <v>2.5</v>
      </c>
      <c r="F49" s="373"/>
      <c r="G49" s="373">
        <v>225</v>
      </c>
      <c r="H49" s="363">
        <v>0</v>
      </c>
      <c r="I49" s="371">
        <v>5</v>
      </c>
      <c r="J49" s="374">
        <v>0.15</v>
      </c>
      <c r="K49" s="375"/>
      <c r="L49" s="375"/>
      <c r="M49" s="375"/>
      <c r="N49" s="375"/>
      <c r="O49" s="375">
        <v>0.1</v>
      </c>
      <c r="P49" s="375"/>
      <c r="Q49" s="375"/>
      <c r="R49" s="375">
        <v>-0.75</v>
      </c>
      <c r="S49" s="375"/>
      <c r="T49" s="375"/>
      <c r="U49" s="375"/>
      <c r="V49" s="375"/>
      <c r="W49" s="96"/>
      <c r="X49" s="361"/>
      <c r="Y49" s="373"/>
      <c r="Z49" s="373"/>
      <c r="AA49" s="362"/>
    </row>
    <row r="50" spans="1:27" ht="19.5" customHeight="1" x14ac:dyDescent="0.2">
      <c r="A50" s="303" t="s">
        <v>100</v>
      </c>
      <c r="B50" s="357" t="s">
        <v>30</v>
      </c>
      <c r="C50" s="303" t="s">
        <v>60</v>
      </c>
      <c r="D50" s="358" t="s">
        <v>151</v>
      </c>
      <c r="F50" s="96">
        <v>2.5</v>
      </c>
      <c r="G50" s="96">
        <v>225</v>
      </c>
      <c r="H50" s="303">
        <v>0</v>
      </c>
      <c r="I50" s="357">
        <v>5</v>
      </c>
      <c r="J50" s="359"/>
      <c r="K50" s="360"/>
      <c r="L50" s="360"/>
      <c r="M50" s="360"/>
      <c r="N50" s="360"/>
      <c r="O50" s="360"/>
      <c r="P50" s="360"/>
      <c r="Q50" s="360"/>
      <c r="R50" s="360"/>
      <c r="S50" s="360"/>
      <c r="T50" s="360"/>
      <c r="U50" s="360"/>
      <c r="V50" s="360"/>
      <c r="W50" s="96"/>
      <c r="X50" s="361"/>
      <c r="Y50" s="96"/>
      <c r="Z50" s="96"/>
      <c r="AA50" s="362"/>
    </row>
    <row r="51" spans="1:27" ht="19.5" customHeight="1" x14ac:dyDescent="0.2">
      <c r="A51" s="303" t="s">
        <v>100</v>
      </c>
      <c r="B51" s="357" t="s">
        <v>30</v>
      </c>
      <c r="C51" s="303" t="s">
        <v>60</v>
      </c>
      <c r="D51" s="358" t="s">
        <v>152</v>
      </c>
      <c r="E51" s="96">
        <v>2</v>
      </c>
      <c r="F51" s="96">
        <v>4</v>
      </c>
      <c r="G51" s="96">
        <v>860</v>
      </c>
      <c r="H51" s="303">
        <v>0</v>
      </c>
      <c r="I51" s="357">
        <f>1.8 * MIN(6, MAX(E51,F51)) + 0.45 * MIN(6, MIN(E51,F51)) + IF(E51&gt;6, (E51-6)*0.2) + IF(F51&gt;6, (F51-6)*0.2)</f>
        <v>8.1</v>
      </c>
      <c r="J51" s="359"/>
      <c r="K51" s="360"/>
      <c r="L51" s="360"/>
      <c r="M51" s="360"/>
      <c r="N51" s="360"/>
      <c r="O51" s="360"/>
      <c r="P51" s="360"/>
      <c r="Q51" s="360"/>
      <c r="R51" s="360"/>
      <c r="S51" s="360"/>
      <c r="T51" s="360"/>
      <c r="U51" s="360"/>
      <c r="V51" s="360"/>
      <c r="W51" s="96"/>
      <c r="X51" s="361"/>
      <c r="Y51" s="96"/>
      <c r="Z51" s="96"/>
      <c r="AA51" s="362"/>
    </row>
    <row r="52" spans="1:27" s="366" customFormat="1" ht="19.5" customHeight="1" x14ac:dyDescent="0.2">
      <c r="A52" s="366" t="s">
        <v>100</v>
      </c>
      <c r="B52" s="376" t="s">
        <v>30</v>
      </c>
      <c r="C52" s="366" t="s">
        <v>60</v>
      </c>
      <c r="D52" s="364" t="s">
        <v>380</v>
      </c>
      <c r="E52" s="365">
        <v>4</v>
      </c>
      <c r="F52" s="365">
        <v>3</v>
      </c>
      <c r="G52" s="365">
        <v>1000</v>
      </c>
      <c r="H52" s="366">
        <v>0</v>
      </c>
      <c r="I52" s="357">
        <f>1.8 * MIN(6, MAX(E52,F52)) + 0.45 * MIN(6, MIN(E52,F52)) + IF(E52&gt;6, (E52-6)*0.2) + IF(F52&gt;6, (F52-6)*0.2)</f>
        <v>8.5500000000000007</v>
      </c>
      <c r="J52" s="367"/>
      <c r="K52" s="368"/>
      <c r="L52" s="368"/>
      <c r="M52" s="368"/>
      <c r="N52" s="368"/>
      <c r="O52" s="368"/>
      <c r="P52" s="368"/>
      <c r="Q52" s="368"/>
      <c r="R52" s="368"/>
      <c r="S52" s="368"/>
      <c r="T52" s="368"/>
      <c r="U52" s="368"/>
      <c r="V52" s="368"/>
      <c r="W52" s="365"/>
      <c r="X52" s="369"/>
      <c r="Y52" s="365"/>
      <c r="Z52" s="365"/>
      <c r="AA52" s="370"/>
    </row>
    <row r="53" spans="1:27" s="363" customFormat="1" ht="19.5" customHeight="1" x14ac:dyDescent="0.2">
      <c r="A53" s="363" t="s">
        <v>101</v>
      </c>
      <c r="B53" s="371" t="s">
        <v>98</v>
      </c>
      <c r="C53" s="363" t="s">
        <v>60</v>
      </c>
      <c r="D53" s="372" t="s">
        <v>153</v>
      </c>
      <c r="E53" s="373">
        <v>3</v>
      </c>
      <c r="F53" s="373"/>
      <c r="G53" s="373">
        <v>300</v>
      </c>
      <c r="H53" s="363">
        <v>10</v>
      </c>
      <c r="I53" s="371">
        <v>5</v>
      </c>
      <c r="J53" s="374"/>
      <c r="K53" s="375"/>
      <c r="L53" s="375"/>
      <c r="M53" s="375"/>
      <c r="N53" s="375"/>
      <c r="O53" s="375">
        <v>0.15</v>
      </c>
      <c r="P53" s="375"/>
      <c r="Q53" s="375"/>
      <c r="R53" s="375">
        <v>-0.9</v>
      </c>
      <c r="S53" s="375"/>
      <c r="T53" s="375"/>
      <c r="U53" s="375"/>
      <c r="V53" s="375"/>
      <c r="W53" s="96"/>
      <c r="X53" s="361"/>
      <c r="Y53" s="373"/>
      <c r="Z53" s="373"/>
      <c r="AA53" s="362"/>
    </row>
    <row r="54" spans="1:27" ht="19.5" customHeight="1" x14ac:dyDescent="0.2">
      <c r="A54" s="303" t="s">
        <v>101</v>
      </c>
      <c r="B54" s="357" t="s">
        <v>98</v>
      </c>
      <c r="C54" s="303" t="s">
        <v>60</v>
      </c>
      <c r="D54" s="358" t="s">
        <v>1100</v>
      </c>
      <c r="F54" s="96">
        <v>3</v>
      </c>
      <c r="G54" s="96">
        <v>300</v>
      </c>
      <c r="H54" s="303">
        <v>10</v>
      </c>
      <c r="I54" s="357">
        <v>5</v>
      </c>
      <c r="J54" s="359"/>
      <c r="K54" s="360"/>
      <c r="L54" s="360"/>
      <c r="M54" s="360"/>
      <c r="N54" s="360"/>
      <c r="O54" s="360"/>
      <c r="P54" s="360"/>
      <c r="Q54" s="360"/>
      <c r="R54" s="360"/>
      <c r="S54" s="360"/>
      <c r="T54" s="360"/>
      <c r="U54" s="360"/>
      <c r="V54" s="360"/>
      <c r="W54" s="96"/>
      <c r="X54" s="361"/>
      <c r="Y54" s="96"/>
      <c r="Z54" s="96"/>
      <c r="AA54" s="362"/>
    </row>
    <row r="55" spans="1:27" ht="19.5" customHeight="1" x14ac:dyDescent="0.2">
      <c r="A55" s="303" t="s">
        <v>101</v>
      </c>
      <c r="B55" s="357" t="s">
        <v>98</v>
      </c>
      <c r="C55" s="303" t="s">
        <v>60</v>
      </c>
      <c r="D55" s="358" t="s">
        <v>1101</v>
      </c>
      <c r="E55" s="96">
        <v>3</v>
      </c>
      <c r="F55" s="96">
        <v>5</v>
      </c>
      <c r="G55" s="96">
        <v>1000</v>
      </c>
      <c r="H55" s="303">
        <v>30</v>
      </c>
      <c r="I55" s="357">
        <f>1.8 * MIN(6, MAX(E55,F55)) + 0.45 * MIN(6, MIN(E55,F55)) + IF(E55&gt;6, (E55-6)*0.2) + IF(F55&gt;6, (F55-6)*0.2)</f>
        <v>10.35</v>
      </c>
      <c r="J55" s="359"/>
      <c r="K55" s="360"/>
      <c r="L55" s="360"/>
      <c r="M55" s="360"/>
      <c r="N55" s="360"/>
      <c r="O55" s="360"/>
      <c r="P55" s="360"/>
      <c r="Q55" s="360"/>
      <c r="R55" s="360"/>
      <c r="S55" s="360"/>
      <c r="T55" s="360"/>
      <c r="U55" s="360"/>
      <c r="V55" s="360"/>
      <c r="W55" s="96"/>
      <c r="X55" s="361"/>
      <c r="Y55" s="96"/>
      <c r="Z55" s="96"/>
      <c r="AA55" s="362"/>
    </row>
    <row r="56" spans="1:27" s="366" customFormat="1" ht="19.5" customHeight="1" x14ac:dyDescent="0.2">
      <c r="A56" s="366" t="s">
        <v>101</v>
      </c>
      <c r="B56" s="376" t="s">
        <v>98</v>
      </c>
      <c r="C56" s="366" t="s">
        <v>60</v>
      </c>
      <c r="D56" s="364" t="s">
        <v>1102</v>
      </c>
      <c r="E56" s="365">
        <v>6</v>
      </c>
      <c r="F56" s="365">
        <v>0</v>
      </c>
      <c r="G56" s="365">
        <v>1150</v>
      </c>
      <c r="H56" s="366">
        <v>40</v>
      </c>
      <c r="I56" s="357">
        <f>1.8 * MIN(6, MAX(E56,F56)) + 0.45 * MIN(6, MIN(E56,F56)) + IF(E56&gt;6, (E56-6)*0.2) + IF(F56&gt;6, (F56-6)*0.2)</f>
        <v>10.8</v>
      </c>
      <c r="J56" s="367"/>
      <c r="K56" s="368"/>
      <c r="L56" s="368"/>
      <c r="M56" s="368"/>
      <c r="N56" s="368"/>
      <c r="O56" s="368"/>
      <c r="P56" s="368"/>
      <c r="Q56" s="368"/>
      <c r="R56" s="368"/>
      <c r="S56" s="368"/>
      <c r="T56" s="368"/>
      <c r="U56" s="368"/>
      <c r="V56" s="368"/>
      <c r="W56" s="365"/>
      <c r="X56" s="369"/>
      <c r="Y56" s="365"/>
      <c r="Z56" s="365"/>
      <c r="AA56" s="370"/>
    </row>
    <row r="57" spans="1:27" s="363" customFormat="1" ht="19.5" customHeight="1" x14ac:dyDescent="0.2">
      <c r="A57" s="363" t="s">
        <v>102</v>
      </c>
      <c r="B57" s="371" t="s">
        <v>30</v>
      </c>
      <c r="C57" s="363" t="s">
        <v>248</v>
      </c>
      <c r="D57" s="372" t="s">
        <v>154</v>
      </c>
      <c r="E57" s="373">
        <v>3</v>
      </c>
      <c r="F57" s="373"/>
      <c r="G57" s="373">
        <v>325</v>
      </c>
      <c r="H57" s="363">
        <v>25</v>
      </c>
      <c r="I57" s="371">
        <v>5</v>
      </c>
      <c r="J57" s="374">
        <v>0.1</v>
      </c>
      <c r="K57" s="375"/>
      <c r="L57" s="375"/>
      <c r="M57" s="375"/>
      <c r="N57" s="375"/>
      <c r="O57" s="375"/>
      <c r="P57" s="375"/>
      <c r="Q57" s="375"/>
      <c r="R57" s="375"/>
      <c r="S57" s="374">
        <v>0.05</v>
      </c>
      <c r="T57" s="375"/>
      <c r="U57" s="375"/>
      <c r="V57" s="375"/>
      <c r="W57" s="96"/>
      <c r="X57" s="361"/>
      <c r="Y57" s="373"/>
      <c r="Z57" s="373"/>
      <c r="AA57" s="362"/>
    </row>
    <row r="58" spans="1:27" ht="19.5" customHeight="1" x14ac:dyDescent="0.2">
      <c r="A58" s="303" t="s">
        <v>102</v>
      </c>
      <c r="B58" s="357" t="s">
        <v>30</v>
      </c>
      <c r="C58" s="303" t="s">
        <v>248</v>
      </c>
      <c r="D58" s="358" t="s">
        <v>155</v>
      </c>
      <c r="F58" s="96">
        <v>3</v>
      </c>
      <c r="G58" s="96">
        <v>250</v>
      </c>
      <c r="H58" s="303">
        <v>0</v>
      </c>
      <c r="I58" s="357">
        <v>5</v>
      </c>
      <c r="J58" s="359"/>
      <c r="K58" s="360"/>
      <c r="L58" s="360"/>
      <c r="M58" s="360"/>
      <c r="N58" s="360"/>
      <c r="O58" s="360"/>
      <c r="P58" s="360"/>
      <c r="Q58" s="360"/>
      <c r="R58" s="360"/>
      <c r="S58" s="360"/>
      <c r="T58" s="360"/>
      <c r="U58" s="360"/>
      <c r="V58" s="360"/>
      <c r="W58" s="96"/>
      <c r="X58" s="361"/>
      <c r="Y58" s="96"/>
      <c r="Z58" s="96"/>
      <c r="AA58" s="362"/>
    </row>
    <row r="59" spans="1:27" ht="19.5" customHeight="1" x14ac:dyDescent="0.2">
      <c r="A59" s="303" t="s">
        <v>102</v>
      </c>
      <c r="B59" s="357" t="s">
        <v>30</v>
      </c>
      <c r="C59" s="303" t="s">
        <v>248</v>
      </c>
      <c r="D59" s="358" t="s">
        <v>156</v>
      </c>
      <c r="E59" s="96">
        <v>3</v>
      </c>
      <c r="F59" s="96">
        <v>4</v>
      </c>
      <c r="G59" s="96">
        <v>850</v>
      </c>
      <c r="H59" s="303">
        <v>55</v>
      </c>
      <c r="I59" s="357">
        <f>1.8 * MIN(6, MAX(E59,F59)) + 0.45 * MIN(6, MIN(E59,F59)) + IF(E59&gt;6, (E59-6)*0.2) + IF(F59&gt;6, (F59-6)*0.2)</f>
        <v>8.5500000000000007</v>
      </c>
      <c r="J59" s="359"/>
      <c r="K59" s="360"/>
      <c r="L59" s="360"/>
      <c r="M59" s="360"/>
      <c r="N59" s="360"/>
      <c r="O59" s="360"/>
      <c r="P59" s="360"/>
      <c r="Q59" s="360"/>
      <c r="R59" s="360"/>
      <c r="S59" s="360"/>
      <c r="T59" s="360"/>
      <c r="U59" s="360"/>
      <c r="V59" s="360"/>
      <c r="W59" s="96"/>
      <c r="X59" s="361"/>
      <c r="Y59" s="96"/>
      <c r="Z59" s="96"/>
      <c r="AA59" s="362"/>
    </row>
    <row r="60" spans="1:27" s="366" customFormat="1" ht="19.5" customHeight="1" x14ac:dyDescent="0.2">
      <c r="A60" s="366" t="s">
        <v>102</v>
      </c>
      <c r="B60" s="376" t="s">
        <v>30</v>
      </c>
      <c r="C60" s="366" t="s">
        <v>248</v>
      </c>
      <c r="D60" s="364" t="s">
        <v>157</v>
      </c>
      <c r="E60" s="365">
        <v>6</v>
      </c>
      <c r="F60" s="365">
        <v>0</v>
      </c>
      <c r="G60" s="365">
        <v>1100</v>
      </c>
      <c r="H60" s="366">
        <v>110</v>
      </c>
      <c r="I60" s="357">
        <f>1.8 * MIN(6, MAX(E60,F60)) + 0.45 * MIN(6, MIN(E60,F60)) + IF(E60&gt;6, (E60-6)*0.2) + IF(F60&gt;6, (F60-6)*0.2)</f>
        <v>10.8</v>
      </c>
      <c r="J60" s="367"/>
      <c r="K60" s="368"/>
      <c r="L60" s="368"/>
      <c r="M60" s="368"/>
      <c r="N60" s="368"/>
      <c r="O60" s="368"/>
      <c r="P60" s="368"/>
      <c r="Q60" s="368"/>
      <c r="R60" s="368"/>
      <c r="S60" s="368"/>
      <c r="T60" s="368"/>
      <c r="U60" s="368"/>
      <c r="V60" s="368"/>
      <c r="W60" s="365"/>
      <c r="X60" s="369"/>
      <c r="Y60" s="365"/>
      <c r="Z60" s="365"/>
      <c r="AA60" s="370"/>
    </row>
    <row r="61" spans="1:27" s="363" customFormat="1" ht="19.5" customHeight="1" x14ac:dyDescent="0.2">
      <c r="A61" s="363" t="s">
        <v>103</v>
      </c>
      <c r="B61" s="371" t="s">
        <v>30</v>
      </c>
      <c r="C61" s="363" t="s">
        <v>250</v>
      </c>
      <c r="D61" s="372" t="s">
        <v>158</v>
      </c>
      <c r="E61" s="373">
        <v>2</v>
      </c>
      <c r="F61" s="373"/>
      <c r="G61" s="373">
        <v>245</v>
      </c>
      <c r="H61" s="363">
        <v>20</v>
      </c>
      <c r="I61" s="371">
        <v>5</v>
      </c>
      <c r="J61" s="374">
        <v>0.4</v>
      </c>
      <c r="K61" s="375">
        <v>0.2</v>
      </c>
      <c r="L61" s="375"/>
      <c r="M61" s="375"/>
      <c r="N61" s="375"/>
      <c r="O61" s="375"/>
      <c r="P61" s="375"/>
      <c r="Q61" s="375"/>
      <c r="R61" s="375">
        <v>-0.3</v>
      </c>
      <c r="S61" s="375"/>
      <c r="T61" s="375"/>
      <c r="U61" s="375">
        <v>-0.1</v>
      </c>
      <c r="V61" s="375">
        <v>-0.1</v>
      </c>
      <c r="W61" s="96"/>
      <c r="X61" s="361"/>
      <c r="Y61" s="373"/>
      <c r="Z61" s="373"/>
      <c r="AA61" s="362"/>
    </row>
    <row r="62" spans="1:27" ht="19.5" customHeight="1" x14ac:dyDescent="0.2">
      <c r="A62" s="303" t="s">
        <v>103</v>
      </c>
      <c r="B62" s="357" t="s">
        <v>30</v>
      </c>
      <c r="C62" s="303" t="s">
        <v>250</v>
      </c>
      <c r="D62" s="358" t="s">
        <v>159</v>
      </c>
      <c r="F62" s="96">
        <v>2</v>
      </c>
      <c r="G62" s="96">
        <v>250</v>
      </c>
      <c r="H62" s="303">
        <v>20</v>
      </c>
      <c r="I62" s="357">
        <v>5</v>
      </c>
      <c r="J62" s="359"/>
      <c r="K62" s="360"/>
      <c r="L62" s="360"/>
      <c r="M62" s="360"/>
      <c r="N62" s="360"/>
      <c r="O62" s="360"/>
      <c r="P62" s="360"/>
      <c r="Q62" s="360"/>
      <c r="R62" s="360"/>
      <c r="S62" s="360"/>
      <c r="T62" s="360"/>
      <c r="U62" s="360"/>
      <c r="V62" s="360"/>
      <c r="W62" s="96"/>
      <c r="X62" s="361"/>
      <c r="Y62" s="96"/>
      <c r="Z62" s="96"/>
      <c r="AA62" s="362"/>
    </row>
    <row r="63" spans="1:27" ht="19.5" customHeight="1" x14ac:dyDescent="0.2">
      <c r="A63" s="303" t="s">
        <v>103</v>
      </c>
      <c r="B63" s="357" t="s">
        <v>30</v>
      </c>
      <c r="C63" s="303" t="s">
        <v>250</v>
      </c>
      <c r="D63" s="358" t="s">
        <v>160</v>
      </c>
      <c r="E63" s="96">
        <v>0</v>
      </c>
      <c r="F63" s="96">
        <v>3</v>
      </c>
      <c r="G63" s="96">
        <v>960</v>
      </c>
      <c r="H63" s="303">
        <v>0</v>
      </c>
      <c r="I63" s="357">
        <f>1.8 * MIN(6, MAX(E63,F63)) + 0.45 * MIN(6, MIN(E63,F63)) + IF(E63&gt;6, (E63-6)*0.2) + IF(F63&gt;6, (F63-6)*0.2)</f>
        <v>5.4</v>
      </c>
      <c r="J63" s="359"/>
      <c r="K63" s="360"/>
      <c r="L63" s="360"/>
      <c r="M63" s="360"/>
      <c r="N63" s="360"/>
      <c r="O63" s="360"/>
      <c r="P63" s="360"/>
      <c r="Q63" s="360"/>
      <c r="R63" s="360"/>
      <c r="S63" s="360"/>
      <c r="T63" s="360"/>
      <c r="U63" s="360"/>
      <c r="V63" s="360"/>
      <c r="W63" s="96"/>
      <c r="X63" s="361"/>
      <c r="Y63" s="96"/>
      <c r="Z63" s="96"/>
      <c r="AA63" s="362"/>
    </row>
    <row r="64" spans="1:27" s="366" customFormat="1" ht="19.5" customHeight="1" x14ac:dyDescent="0.2">
      <c r="A64" s="366" t="s">
        <v>103</v>
      </c>
      <c r="B64" s="376" t="s">
        <v>30</v>
      </c>
      <c r="C64" s="366" t="s">
        <v>250</v>
      </c>
      <c r="D64" s="364" t="s">
        <v>161</v>
      </c>
      <c r="E64" s="365">
        <v>3</v>
      </c>
      <c r="F64" s="365">
        <v>2</v>
      </c>
      <c r="G64" s="365">
        <v>875</v>
      </c>
      <c r="H64" s="366">
        <v>55</v>
      </c>
      <c r="I64" s="357">
        <f>1.8 * MIN(6, MAX(E64,F64)) + 0.45 * MIN(6, MIN(E64,F64)) + IF(E64&gt;6, (E64-6)*0.2) + IF(F64&gt;6, (F64-6)*0.2)</f>
        <v>6.3000000000000007</v>
      </c>
      <c r="J64" s="367"/>
      <c r="K64" s="368"/>
      <c r="L64" s="368"/>
      <c r="M64" s="368"/>
      <c r="N64" s="368"/>
      <c r="O64" s="368"/>
      <c r="P64" s="368"/>
      <c r="Q64" s="368"/>
      <c r="R64" s="368"/>
      <c r="S64" s="368"/>
      <c r="T64" s="368"/>
      <c r="U64" s="368"/>
      <c r="V64" s="368"/>
      <c r="W64" s="365"/>
      <c r="X64" s="369"/>
      <c r="Y64" s="365"/>
      <c r="Z64" s="365"/>
      <c r="AA64" s="370"/>
    </row>
    <row r="65" spans="1:27" s="363" customFormat="1" ht="19.5" customHeight="1" x14ac:dyDescent="0.2">
      <c r="A65" s="363" t="s">
        <v>104</v>
      </c>
      <c r="B65" s="371" t="s">
        <v>30</v>
      </c>
      <c r="C65" s="363" t="s">
        <v>62</v>
      </c>
      <c r="D65" s="372" t="s">
        <v>162</v>
      </c>
      <c r="E65" s="373">
        <v>3</v>
      </c>
      <c r="F65" s="373"/>
      <c r="G65" s="373">
        <v>275</v>
      </c>
      <c r="H65" s="363">
        <v>0</v>
      </c>
      <c r="I65" s="371">
        <v>5</v>
      </c>
      <c r="J65" s="374">
        <v>0.05</v>
      </c>
      <c r="K65" s="375"/>
      <c r="L65" s="375"/>
      <c r="M65" s="375"/>
      <c r="N65" s="375"/>
      <c r="O65" s="375"/>
      <c r="P65" s="375"/>
      <c r="Q65" s="375"/>
      <c r="R65" s="375">
        <v>-0.15</v>
      </c>
      <c r="S65" s="375"/>
      <c r="T65" s="375"/>
      <c r="U65" s="375">
        <v>0.1</v>
      </c>
      <c r="V65" s="375"/>
      <c r="W65" s="96"/>
      <c r="X65" s="361"/>
      <c r="Y65" s="373"/>
      <c r="Z65" s="373"/>
      <c r="AA65" s="362"/>
    </row>
    <row r="66" spans="1:27" ht="19.5" customHeight="1" x14ac:dyDescent="0.2">
      <c r="A66" s="303" t="s">
        <v>104</v>
      </c>
      <c r="B66" s="357" t="s">
        <v>30</v>
      </c>
      <c r="C66" s="303" t="s">
        <v>62</v>
      </c>
      <c r="D66" s="358" t="s">
        <v>163</v>
      </c>
      <c r="F66" s="96">
        <v>3</v>
      </c>
      <c r="G66" s="96">
        <v>275</v>
      </c>
      <c r="H66" s="303">
        <v>0</v>
      </c>
      <c r="I66" s="357">
        <v>5</v>
      </c>
      <c r="J66" s="359"/>
      <c r="K66" s="360"/>
      <c r="L66" s="360"/>
      <c r="M66" s="360"/>
      <c r="N66" s="360"/>
      <c r="O66" s="360"/>
      <c r="P66" s="360"/>
      <c r="Q66" s="360"/>
      <c r="R66" s="360"/>
      <c r="S66" s="360"/>
      <c r="T66" s="360"/>
      <c r="U66" s="360"/>
      <c r="V66" s="360"/>
      <c r="W66" s="96"/>
      <c r="X66" s="361"/>
      <c r="Y66" s="96"/>
      <c r="Z66" s="96"/>
      <c r="AA66" s="362"/>
    </row>
    <row r="67" spans="1:27" ht="19.5" customHeight="1" x14ac:dyDescent="0.2">
      <c r="A67" s="303" t="s">
        <v>104</v>
      </c>
      <c r="B67" s="357" t="s">
        <v>30</v>
      </c>
      <c r="C67" s="303" t="s">
        <v>62</v>
      </c>
      <c r="D67" s="358" t="s">
        <v>164</v>
      </c>
      <c r="E67" s="96">
        <v>4</v>
      </c>
      <c r="F67" s="96">
        <v>4</v>
      </c>
      <c r="G67" s="96">
        <v>900</v>
      </c>
      <c r="H67" s="303">
        <v>0</v>
      </c>
      <c r="I67" s="357">
        <f>1.8 * MIN(6, MAX(E67,F67)) + 0.45 * MIN(6, MIN(E67,F67)) + IF(E67&gt;6, (E67-6)*0.2) + IF(F67&gt;6, (F67-6)*0.2)</f>
        <v>9</v>
      </c>
      <c r="J67" s="359"/>
      <c r="K67" s="360"/>
      <c r="L67" s="360"/>
      <c r="M67" s="360"/>
      <c r="N67" s="360"/>
      <c r="O67" s="360"/>
      <c r="P67" s="360"/>
      <c r="Q67" s="360"/>
      <c r="R67" s="360"/>
      <c r="S67" s="360"/>
      <c r="T67" s="360"/>
      <c r="U67" s="360"/>
      <c r="V67" s="360"/>
      <c r="W67" s="96"/>
      <c r="X67" s="361"/>
      <c r="Y67" s="96"/>
      <c r="Z67" s="96"/>
      <c r="AA67" s="362"/>
    </row>
    <row r="68" spans="1:27" s="366" customFormat="1" ht="19.5" customHeight="1" x14ac:dyDescent="0.2">
      <c r="A68" s="366" t="s">
        <v>104</v>
      </c>
      <c r="B68" s="376" t="s">
        <v>30</v>
      </c>
      <c r="C68" s="366" t="s">
        <v>62</v>
      </c>
      <c r="D68" s="364" t="s">
        <v>165</v>
      </c>
      <c r="E68" s="365">
        <v>6</v>
      </c>
      <c r="F68" s="365">
        <v>2</v>
      </c>
      <c r="G68" s="365">
        <v>1050</v>
      </c>
      <c r="H68" s="366">
        <v>0</v>
      </c>
      <c r="I68" s="376">
        <f>1.8 * MIN(6, MAX(E68,F68)) + 0.45 * MIN(6, MIN(E68,F68)) + IF(E68&gt;6, (E68-6)*0.2) + IF(F68&gt;6, (F68-6)*0.2)</f>
        <v>11.700000000000001</v>
      </c>
      <c r="J68" s="367"/>
      <c r="K68" s="368"/>
      <c r="L68" s="368"/>
      <c r="M68" s="368"/>
      <c r="N68" s="368"/>
      <c r="O68" s="368"/>
      <c r="P68" s="368"/>
      <c r="Q68" s="368"/>
      <c r="R68" s="368"/>
      <c r="S68" s="368"/>
      <c r="T68" s="368"/>
      <c r="U68" s="368"/>
      <c r="V68" s="368"/>
      <c r="W68" s="365"/>
      <c r="X68" s="369"/>
      <c r="Y68" s="365"/>
      <c r="Z68" s="365"/>
      <c r="AA68" s="370"/>
    </row>
    <row r="69" spans="1:27" s="363" customFormat="1" ht="19.5" customHeight="1" x14ac:dyDescent="0.2">
      <c r="A69" s="363" t="s">
        <v>335</v>
      </c>
      <c r="B69" s="371" t="s">
        <v>30</v>
      </c>
      <c r="C69" s="363" t="s">
        <v>251</v>
      </c>
      <c r="D69" s="372" t="s">
        <v>336</v>
      </c>
      <c r="E69" s="373">
        <v>3</v>
      </c>
      <c r="F69" s="373"/>
      <c r="G69" s="373">
        <v>300</v>
      </c>
      <c r="H69" s="363">
        <v>0</v>
      </c>
      <c r="I69" s="371">
        <v>5</v>
      </c>
      <c r="J69" s="374"/>
      <c r="K69" s="375"/>
      <c r="L69" s="375">
        <v>0.05</v>
      </c>
      <c r="M69" s="375"/>
      <c r="N69" s="375">
        <v>-0.1</v>
      </c>
      <c r="O69" s="375"/>
      <c r="P69" s="375"/>
      <c r="Q69" s="375"/>
      <c r="R69" s="375">
        <v>-0.5</v>
      </c>
      <c r="S69" s="375"/>
      <c r="T69" s="375"/>
      <c r="U69" s="375"/>
      <c r="V69" s="375"/>
      <c r="W69" s="96"/>
      <c r="X69" s="361"/>
      <c r="Y69" s="373"/>
      <c r="Z69" s="373"/>
      <c r="AA69" s="362"/>
    </row>
    <row r="70" spans="1:27" ht="19.5" customHeight="1" x14ac:dyDescent="0.2">
      <c r="A70" s="303" t="s">
        <v>335</v>
      </c>
      <c r="B70" s="357" t="s">
        <v>30</v>
      </c>
      <c r="C70" s="303" t="s">
        <v>251</v>
      </c>
      <c r="D70" s="358" t="s">
        <v>337</v>
      </c>
      <c r="F70" s="96">
        <v>3</v>
      </c>
      <c r="G70" s="96">
        <v>350</v>
      </c>
      <c r="H70" s="303">
        <v>25</v>
      </c>
      <c r="I70" s="357">
        <v>5</v>
      </c>
      <c r="J70" s="359"/>
      <c r="K70" s="360"/>
      <c r="L70" s="360"/>
      <c r="M70" s="360"/>
      <c r="N70" s="360"/>
      <c r="O70" s="360"/>
      <c r="P70" s="360"/>
      <c r="Q70" s="360"/>
      <c r="R70" s="360"/>
      <c r="S70" s="360"/>
      <c r="T70" s="360"/>
      <c r="U70" s="360"/>
      <c r="V70" s="360"/>
      <c r="W70" s="96"/>
      <c r="X70" s="361"/>
      <c r="Y70" s="96"/>
      <c r="Z70" s="96"/>
      <c r="AA70" s="362"/>
    </row>
    <row r="71" spans="1:27" ht="19.5" customHeight="1" x14ac:dyDescent="0.2">
      <c r="A71" s="303" t="s">
        <v>335</v>
      </c>
      <c r="B71" s="357" t="s">
        <v>30</v>
      </c>
      <c r="C71" s="303" t="s">
        <v>251</v>
      </c>
      <c r="D71" s="358" t="s">
        <v>338</v>
      </c>
      <c r="E71" s="96">
        <v>3</v>
      </c>
      <c r="F71" s="96">
        <v>3</v>
      </c>
      <c r="G71" s="96">
        <v>950</v>
      </c>
      <c r="H71" s="303">
        <v>100</v>
      </c>
      <c r="I71" s="357">
        <f>1.8 * MIN(6, MAX(E71,F71)) + 0.45 * MIN(6, MIN(E71,F71)) + IF(E71&gt;6, (E71-6)*0.2) + IF(F71&gt;6, (F71-6)*0.2)</f>
        <v>6.75</v>
      </c>
      <c r="J71" s="359"/>
      <c r="K71" s="360"/>
      <c r="L71" s="360"/>
      <c r="M71" s="360"/>
      <c r="N71" s="360"/>
      <c r="O71" s="360"/>
      <c r="P71" s="360"/>
      <c r="Q71" s="360"/>
      <c r="R71" s="360"/>
      <c r="S71" s="360"/>
      <c r="T71" s="360"/>
      <c r="U71" s="360"/>
      <c r="V71" s="360"/>
      <c r="W71" s="96"/>
      <c r="X71" s="361"/>
      <c r="Y71" s="96"/>
      <c r="Z71" s="96"/>
      <c r="AA71" s="362"/>
    </row>
    <row r="72" spans="1:27" s="366" customFormat="1" ht="19.5" customHeight="1" x14ac:dyDescent="0.2">
      <c r="A72" s="366" t="s">
        <v>335</v>
      </c>
      <c r="B72" s="376" t="s">
        <v>30</v>
      </c>
      <c r="C72" s="366" t="s">
        <v>251</v>
      </c>
      <c r="D72" s="364" t="s">
        <v>339</v>
      </c>
      <c r="E72" s="365">
        <v>4</v>
      </c>
      <c r="F72" s="365">
        <v>2</v>
      </c>
      <c r="G72" s="365">
        <v>1100</v>
      </c>
      <c r="H72" s="366">
        <v>0</v>
      </c>
      <c r="I72" s="376">
        <f>1.8 * MIN(6, MAX(E72,F72)) + 0.45 * MIN(6, MIN(E72,F72)) + IF(E72&gt;6, (E72-6)*0.2) + IF(F72&gt;6, (F72-6)*0.2)</f>
        <v>8.1</v>
      </c>
      <c r="J72" s="367"/>
      <c r="K72" s="368"/>
      <c r="L72" s="368"/>
      <c r="M72" s="368"/>
      <c r="N72" s="368"/>
      <c r="O72" s="368"/>
      <c r="P72" s="368"/>
      <c r="Q72" s="368"/>
      <c r="R72" s="368"/>
      <c r="S72" s="368"/>
      <c r="T72" s="368"/>
      <c r="U72" s="368"/>
      <c r="V72" s="368"/>
      <c r="W72" s="365"/>
      <c r="X72" s="369"/>
      <c r="Y72" s="365"/>
      <c r="Z72" s="365"/>
      <c r="AA72" s="370"/>
    </row>
    <row r="73" spans="1:27" ht="19.5" customHeight="1" x14ac:dyDescent="0.2">
      <c r="A73" s="363" t="s">
        <v>349</v>
      </c>
      <c r="B73" s="371" t="s">
        <v>98</v>
      </c>
      <c r="C73" s="363" t="s">
        <v>248</v>
      </c>
      <c r="D73" s="372" t="s">
        <v>343</v>
      </c>
      <c r="E73" s="373">
        <v>3</v>
      </c>
      <c r="F73" s="373"/>
      <c r="G73" s="373">
        <v>300</v>
      </c>
      <c r="H73" s="363">
        <v>0</v>
      </c>
      <c r="I73" s="371">
        <v>5</v>
      </c>
      <c r="J73" s="374">
        <v>0.05</v>
      </c>
      <c r="K73" s="375"/>
      <c r="L73" s="375"/>
      <c r="M73" s="375"/>
      <c r="N73" s="375">
        <v>-0.1</v>
      </c>
      <c r="O73" s="375"/>
      <c r="P73" s="375"/>
      <c r="Q73" s="375">
        <v>0.15</v>
      </c>
      <c r="R73" s="375"/>
      <c r="S73" s="375"/>
      <c r="T73" s="375"/>
      <c r="U73" s="375"/>
      <c r="V73" s="375"/>
      <c r="W73" s="96"/>
      <c r="X73" s="361"/>
      <c r="Y73" s="440">
        <v>-0.1</v>
      </c>
      <c r="Z73" s="96"/>
      <c r="AA73" s="380">
        <v>0.05</v>
      </c>
    </row>
    <row r="74" spans="1:27" ht="19.5" customHeight="1" x14ac:dyDescent="0.2">
      <c r="A74" s="303" t="s">
        <v>349</v>
      </c>
      <c r="B74" s="357" t="s">
        <v>98</v>
      </c>
      <c r="C74" s="303" t="s">
        <v>248</v>
      </c>
      <c r="D74" s="358" t="s">
        <v>344</v>
      </c>
      <c r="F74" s="96">
        <v>3</v>
      </c>
      <c r="G74" s="96">
        <v>300</v>
      </c>
      <c r="H74" s="303">
        <v>0</v>
      </c>
      <c r="I74" s="357">
        <v>5</v>
      </c>
      <c r="J74" s="359"/>
      <c r="K74" s="360"/>
      <c r="L74" s="360"/>
      <c r="M74" s="360"/>
      <c r="N74" s="360"/>
      <c r="O74" s="360"/>
      <c r="P74" s="360"/>
      <c r="Q74" s="360"/>
      <c r="R74" s="360"/>
      <c r="S74" s="360"/>
      <c r="T74" s="360"/>
      <c r="U74" s="360"/>
      <c r="V74" s="360"/>
      <c r="W74" s="96"/>
      <c r="X74" s="361"/>
      <c r="Y74" s="96"/>
      <c r="Z74" s="96"/>
      <c r="AA74" s="362"/>
    </row>
    <row r="75" spans="1:27" ht="19.5" customHeight="1" x14ac:dyDescent="0.2">
      <c r="A75" s="303" t="s">
        <v>349</v>
      </c>
      <c r="B75" s="357" t="s">
        <v>98</v>
      </c>
      <c r="C75" s="303" t="s">
        <v>248</v>
      </c>
      <c r="D75" s="358" t="s">
        <v>345</v>
      </c>
      <c r="E75" s="96">
        <v>0</v>
      </c>
      <c r="F75" s="96">
        <v>4.5</v>
      </c>
      <c r="G75" s="96">
        <v>925</v>
      </c>
      <c r="H75" s="303">
        <v>0</v>
      </c>
      <c r="I75" s="357">
        <f>1.8 * MIN(6, MAX(E75,F75)) + 0.45 * MIN(6, MIN(E75,F75)) + IF(E75&gt;6, (E75-6)*0.2) + IF(F75&gt;6, (F75-6)*0.2)</f>
        <v>8.1</v>
      </c>
      <c r="J75" s="359"/>
      <c r="K75" s="360"/>
      <c r="L75" s="360"/>
      <c r="M75" s="360"/>
      <c r="N75" s="360"/>
      <c r="O75" s="360"/>
      <c r="P75" s="360"/>
      <c r="Q75" s="360"/>
      <c r="R75" s="360"/>
      <c r="S75" s="360"/>
      <c r="T75" s="360"/>
      <c r="U75" s="360"/>
      <c r="V75" s="360"/>
      <c r="W75" s="96"/>
      <c r="X75" s="361"/>
      <c r="Y75" s="96"/>
      <c r="Z75" s="96"/>
      <c r="AA75" s="362"/>
    </row>
    <row r="76" spans="1:27" ht="19.5" customHeight="1" x14ac:dyDescent="0.2">
      <c r="A76" s="366" t="s">
        <v>349</v>
      </c>
      <c r="B76" s="376" t="s">
        <v>98</v>
      </c>
      <c r="C76" s="366" t="s">
        <v>248</v>
      </c>
      <c r="D76" s="364" t="s">
        <v>346</v>
      </c>
      <c r="E76" s="365">
        <v>5</v>
      </c>
      <c r="F76" s="365">
        <v>3</v>
      </c>
      <c r="G76" s="365">
        <v>950</v>
      </c>
      <c r="H76" s="366">
        <v>0</v>
      </c>
      <c r="I76" s="376">
        <f>1.8 * MIN(6, MAX(E76,F76)) + 0.45 * MIN(6, MIN(E76,F76)) + IF(E76&gt;6, (E76-6)*0.2) + IF(F76&gt;6, (F76-6)*0.2)</f>
        <v>10.35</v>
      </c>
      <c r="J76" s="367"/>
      <c r="K76" s="368"/>
      <c r="L76" s="368"/>
      <c r="M76" s="368"/>
      <c r="N76" s="368"/>
      <c r="O76" s="368"/>
      <c r="P76" s="368"/>
      <c r="Q76" s="368"/>
      <c r="R76" s="368"/>
      <c r="S76" s="368"/>
      <c r="T76" s="368"/>
      <c r="U76" s="368"/>
      <c r="V76" s="368"/>
      <c r="W76" s="365"/>
      <c r="X76" s="369"/>
      <c r="Y76" s="365"/>
      <c r="Z76" s="96"/>
      <c r="AA76" s="370"/>
    </row>
    <row r="77" spans="1:27" ht="19.5" customHeight="1" x14ac:dyDescent="0.2">
      <c r="A77" s="363" t="s">
        <v>145</v>
      </c>
      <c r="B77" s="371" t="s">
        <v>30</v>
      </c>
      <c r="C77" s="377" t="s">
        <v>58</v>
      </c>
      <c r="D77" s="363" t="s">
        <v>362</v>
      </c>
      <c r="E77" s="373">
        <v>3.5</v>
      </c>
      <c r="F77" s="373"/>
      <c r="G77" s="373">
        <v>330</v>
      </c>
      <c r="H77" s="363">
        <v>20</v>
      </c>
      <c r="I77" s="371">
        <v>5</v>
      </c>
      <c r="J77" s="374"/>
      <c r="K77" s="375"/>
      <c r="L77" s="375"/>
      <c r="M77" s="375"/>
      <c r="N77" s="375">
        <v>0.5</v>
      </c>
      <c r="O77" s="375"/>
      <c r="P77" s="375"/>
      <c r="Q77" s="375"/>
      <c r="R77" s="375"/>
      <c r="S77" s="375"/>
      <c r="T77" s="375"/>
      <c r="U77" s="375"/>
      <c r="V77" s="375"/>
      <c r="W77" s="96"/>
      <c r="X77" s="361"/>
      <c r="Y77" s="96"/>
      <c r="Z77" s="373"/>
      <c r="AA77" s="362"/>
    </row>
    <row r="78" spans="1:27" ht="19.5" customHeight="1" x14ac:dyDescent="0.2">
      <c r="A78" s="303" t="s">
        <v>145</v>
      </c>
      <c r="B78" s="357" t="s">
        <v>30</v>
      </c>
      <c r="C78" s="378" t="s">
        <v>58</v>
      </c>
      <c r="D78" s="303" t="s">
        <v>331</v>
      </c>
      <c r="F78" s="96">
        <v>3</v>
      </c>
      <c r="G78" s="96">
        <v>300</v>
      </c>
      <c r="H78" s="303">
        <v>0</v>
      </c>
      <c r="I78" s="357">
        <v>5</v>
      </c>
      <c r="J78" s="359"/>
      <c r="K78" s="360"/>
      <c r="L78" s="360"/>
      <c r="M78" s="360"/>
      <c r="N78" s="360"/>
      <c r="O78" s="360"/>
      <c r="P78" s="360"/>
      <c r="Q78" s="360"/>
      <c r="R78" s="360"/>
      <c r="S78" s="360"/>
      <c r="T78" s="360"/>
      <c r="U78" s="360"/>
      <c r="V78" s="360"/>
      <c r="W78" s="96"/>
      <c r="X78" s="361"/>
      <c r="Y78" s="96"/>
      <c r="Z78" s="96"/>
      <c r="AA78" s="362"/>
    </row>
    <row r="79" spans="1:27" ht="19.5" customHeight="1" x14ac:dyDescent="0.2">
      <c r="A79" s="303" t="s">
        <v>145</v>
      </c>
      <c r="B79" s="357" t="s">
        <v>30</v>
      </c>
      <c r="C79" s="378" t="s">
        <v>58</v>
      </c>
      <c r="D79" s="303" t="s">
        <v>381</v>
      </c>
      <c r="E79" s="96">
        <v>0</v>
      </c>
      <c r="F79" s="96">
        <v>5</v>
      </c>
      <c r="G79" s="96">
        <v>975</v>
      </c>
      <c r="H79" s="303">
        <v>0</v>
      </c>
      <c r="I79" s="357">
        <f>1.8 * MIN(6, MAX(E79,F79)) + 0.45 * MIN(6, MIN(E79,F79)) + IF(E79&gt;6, (E79-6)*0.2) + IF(F79&gt;6, (F79-6)*0.2)</f>
        <v>9</v>
      </c>
      <c r="J79" s="359"/>
      <c r="K79" s="360"/>
      <c r="L79" s="360"/>
      <c r="M79" s="360"/>
      <c r="N79" s="360"/>
      <c r="O79" s="360"/>
      <c r="P79" s="360"/>
      <c r="Q79" s="360"/>
      <c r="R79" s="360"/>
      <c r="S79" s="360"/>
      <c r="T79" s="360"/>
      <c r="U79" s="360"/>
      <c r="V79" s="360"/>
      <c r="W79" s="96"/>
      <c r="X79" s="361"/>
      <c r="Y79" s="96"/>
      <c r="Z79" s="96"/>
      <c r="AA79" s="362"/>
    </row>
    <row r="80" spans="1:27" ht="19.5" customHeight="1" x14ac:dyDescent="0.2">
      <c r="A80" s="366" t="s">
        <v>145</v>
      </c>
      <c r="B80" s="376" t="s">
        <v>30</v>
      </c>
      <c r="C80" s="379" t="s">
        <v>58</v>
      </c>
      <c r="D80" s="366" t="s">
        <v>363</v>
      </c>
      <c r="E80" s="365">
        <v>4</v>
      </c>
      <c r="F80" s="365">
        <v>3</v>
      </c>
      <c r="G80" s="365">
        <v>1150</v>
      </c>
      <c r="H80" s="366">
        <v>100</v>
      </c>
      <c r="I80" s="376">
        <f>1.8 * MIN(6, MAX(E80,F80)) + 0.45 * MIN(6, MIN(E80,F80)) + IF(E80&gt;6, (E80-6)*0.2) + IF(F80&gt;6, (F80-6)*0.2)</f>
        <v>8.5500000000000007</v>
      </c>
      <c r="J80" s="367"/>
      <c r="K80" s="368"/>
      <c r="L80" s="368"/>
      <c r="M80" s="368"/>
      <c r="N80" s="368"/>
      <c r="O80" s="368"/>
      <c r="P80" s="368"/>
      <c r="Q80" s="368"/>
      <c r="R80" s="368"/>
      <c r="S80" s="368"/>
      <c r="T80" s="368"/>
      <c r="U80" s="368"/>
      <c r="V80" s="368"/>
      <c r="W80" s="365"/>
      <c r="X80" s="369"/>
      <c r="Y80" s="365"/>
      <c r="Z80" s="365"/>
      <c r="AA80" s="370"/>
    </row>
    <row r="81" spans="1:27" ht="19.5" customHeight="1" x14ac:dyDescent="0.2">
      <c r="A81" s="363" t="s">
        <v>507</v>
      </c>
      <c r="B81" s="371" t="s">
        <v>30</v>
      </c>
      <c r="C81" s="377" t="s">
        <v>60</v>
      </c>
      <c r="D81" s="363" t="s">
        <v>428</v>
      </c>
      <c r="E81" s="373">
        <v>3</v>
      </c>
      <c r="F81" s="373"/>
      <c r="G81" s="373">
        <v>300</v>
      </c>
      <c r="H81" s="363">
        <v>0</v>
      </c>
      <c r="I81" s="371">
        <v>5</v>
      </c>
      <c r="J81" s="374"/>
      <c r="K81" s="375"/>
      <c r="L81" s="375"/>
      <c r="M81" s="375"/>
      <c r="N81" s="375"/>
      <c r="O81" s="375">
        <v>0.1</v>
      </c>
      <c r="P81" s="375"/>
      <c r="Q81" s="375"/>
      <c r="R81" s="375">
        <v>-0.2</v>
      </c>
      <c r="S81" s="375"/>
      <c r="T81" s="375"/>
      <c r="U81" s="375"/>
      <c r="V81" s="375"/>
      <c r="W81" s="96"/>
      <c r="X81" s="361"/>
      <c r="Y81" s="96"/>
      <c r="Z81" s="360">
        <v>0.1</v>
      </c>
      <c r="AA81" s="380"/>
    </row>
    <row r="82" spans="1:27" ht="19.5" customHeight="1" x14ac:dyDescent="0.2">
      <c r="A82" s="303" t="s">
        <v>507</v>
      </c>
      <c r="B82" s="357" t="s">
        <v>30</v>
      </c>
      <c r="C82" s="378" t="s">
        <v>60</v>
      </c>
      <c r="D82" s="303" t="s">
        <v>429</v>
      </c>
      <c r="F82" s="96">
        <v>3</v>
      </c>
      <c r="G82" s="96">
        <v>325</v>
      </c>
      <c r="H82" s="303">
        <v>8</v>
      </c>
      <c r="I82" s="357">
        <v>5</v>
      </c>
      <c r="J82" s="359"/>
      <c r="K82" s="360"/>
      <c r="L82" s="360"/>
      <c r="M82" s="360"/>
      <c r="N82" s="360"/>
      <c r="O82" s="360"/>
      <c r="P82" s="360"/>
      <c r="Q82" s="360"/>
      <c r="R82" s="360"/>
      <c r="S82" s="360"/>
      <c r="T82" s="360"/>
      <c r="U82" s="360"/>
      <c r="V82" s="360"/>
      <c r="W82" s="96"/>
      <c r="X82" s="361"/>
      <c r="Y82" s="96"/>
      <c r="Z82" s="96"/>
      <c r="AA82" s="362"/>
    </row>
    <row r="83" spans="1:27" ht="19.5" customHeight="1" x14ac:dyDescent="0.2">
      <c r="A83" s="303" t="s">
        <v>507</v>
      </c>
      <c r="B83" s="357" t="s">
        <v>30</v>
      </c>
      <c r="C83" s="378" t="s">
        <v>60</v>
      </c>
      <c r="D83" s="303" t="s">
        <v>430</v>
      </c>
      <c r="E83" s="96">
        <v>0</v>
      </c>
      <c r="F83" s="96">
        <v>3</v>
      </c>
      <c r="G83" s="96">
        <v>975</v>
      </c>
      <c r="H83" s="303">
        <v>25</v>
      </c>
      <c r="I83" s="357">
        <f>1.8 * MIN(6, MAX(E83,F83)) + 0.45 * MIN(6, MIN(E83,F83)) + IF(E83&gt;6, (E83-6)*0.2) + IF(F83&gt;6, (F83-6)*0.2)</f>
        <v>5.4</v>
      </c>
      <c r="J83" s="359"/>
      <c r="K83" s="360"/>
      <c r="L83" s="360"/>
      <c r="M83" s="360"/>
      <c r="N83" s="360"/>
      <c r="O83" s="360"/>
      <c r="P83" s="360"/>
      <c r="Q83" s="360"/>
      <c r="R83" s="360"/>
      <c r="S83" s="360"/>
      <c r="T83" s="360"/>
      <c r="U83" s="360"/>
      <c r="V83" s="360"/>
      <c r="W83" s="96"/>
      <c r="X83" s="361"/>
      <c r="Y83" s="96"/>
      <c r="Z83" s="96"/>
      <c r="AA83" s="362"/>
    </row>
    <row r="84" spans="1:27" ht="19.5" customHeight="1" x14ac:dyDescent="0.2">
      <c r="A84" s="303" t="s">
        <v>507</v>
      </c>
      <c r="B84" s="357" t="s">
        <v>30</v>
      </c>
      <c r="C84" s="378" t="s">
        <v>60</v>
      </c>
      <c r="D84" s="303" t="s">
        <v>431</v>
      </c>
      <c r="E84" s="96">
        <v>5</v>
      </c>
      <c r="F84" s="96">
        <v>2</v>
      </c>
      <c r="G84" s="96">
        <v>970</v>
      </c>
      <c r="H84" s="303">
        <v>0</v>
      </c>
      <c r="I84" s="357">
        <f>1.8 * MIN(6, MAX(E84,F84)) + 0.45 * MIN(6, MIN(E84,F84)) + IF(E84&gt;6, (E84-6)*0.2) + IF(F84&gt;6, (F84-6)*0.2)</f>
        <v>9.9</v>
      </c>
      <c r="J84" s="359"/>
      <c r="K84" s="360"/>
      <c r="L84" s="360"/>
      <c r="M84" s="360"/>
      <c r="N84" s="360"/>
      <c r="O84" s="360"/>
      <c r="P84" s="360"/>
      <c r="Q84" s="360"/>
      <c r="R84" s="360"/>
      <c r="S84" s="360"/>
      <c r="T84" s="360"/>
      <c r="U84" s="360"/>
      <c r="V84" s="360"/>
      <c r="W84" s="96"/>
      <c r="X84" s="361"/>
      <c r="Y84" s="96"/>
      <c r="Z84" s="96"/>
      <c r="AA84" s="362"/>
    </row>
    <row r="85" spans="1:27" ht="19.5" customHeight="1" x14ac:dyDescent="0.2">
      <c r="A85" s="381" t="s">
        <v>786</v>
      </c>
      <c r="B85" s="357" t="s">
        <v>786</v>
      </c>
      <c r="C85" s="378" t="s">
        <v>786</v>
      </c>
      <c r="D85" s="63" t="s">
        <v>73</v>
      </c>
      <c r="G85" s="96">
        <v>500</v>
      </c>
      <c r="I85" s="357"/>
      <c r="J85" s="359"/>
      <c r="K85" s="360"/>
      <c r="L85" s="360"/>
      <c r="M85" s="360"/>
      <c r="N85" s="360"/>
      <c r="O85" s="360"/>
      <c r="P85" s="360"/>
      <c r="Q85" s="360"/>
      <c r="R85" s="360"/>
      <c r="S85" s="360"/>
      <c r="T85" s="360"/>
      <c r="U85" s="360"/>
      <c r="V85" s="360"/>
      <c r="W85" s="96"/>
      <c r="X85" s="382"/>
      <c r="Y85" s="96"/>
      <c r="Z85" s="96"/>
      <c r="AA85" s="362"/>
    </row>
    <row r="86" spans="1:27" ht="19.5" customHeight="1" x14ac:dyDescent="0.2">
      <c r="A86" s="381" t="s">
        <v>786</v>
      </c>
      <c r="B86" s="357" t="s">
        <v>786</v>
      </c>
      <c r="C86" s="378" t="s">
        <v>786</v>
      </c>
      <c r="D86" s="63" t="s">
        <v>187</v>
      </c>
      <c r="G86" s="96">
        <v>500</v>
      </c>
      <c r="I86" s="357"/>
      <c r="J86" s="359"/>
      <c r="K86" s="360"/>
      <c r="L86" s="360"/>
      <c r="M86" s="360"/>
      <c r="N86" s="360"/>
      <c r="O86" s="360"/>
      <c r="P86" s="360"/>
      <c r="Q86" s="360"/>
      <c r="R86" s="360"/>
      <c r="S86" s="360"/>
      <c r="T86" s="360"/>
      <c r="U86" s="360"/>
      <c r="V86" s="360"/>
      <c r="W86" s="96"/>
      <c r="X86" s="382"/>
      <c r="Y86" s="96"/>
      <c r="Z86" s="96"/>
      <c r="AA86" s="362"/>
    </row>
    <row r="87" spans="1:27" ht="19.5" customHeight="1" x14ac:dyDescent="0.2">
      <c r="A87" s="381" t="s">
        <v>786</v>
      </c>
      <c r="B87" s="357" t="s">
        <v>786</v>
      </c>
      <c r="C87" s="378" t="s">
        <v>786</v>
      </c>
      <c r="D87" s="63" t="s">
        <v>188</v>
      </c>
      <c r="G87" s="96">
        <v>1000</v>
      </c>
      <c r="H87" s="96" t="s">
        <v>254</v>
      </c>
      <c r="I87" s="357"/>
      <c r="J87" s="359"/>
      <c r="K87" s="360"/>
      <c r="L87" s="360"/>
      <c r="M87" s="360"/>
      <c r="N87" s="360"/>
      <c r="O87" s="360"/>
      <c r="P87" s="360"/>
      <c r="Q87" s="360"/>
      <c r="R87" s="360"/>
      <c r="S87" s="360"/>
      <c r="T87" s="360"/>
      <c r="U87" s="360"/>
      <c r="V87" s="360"/>
      <c r="W87" s="96"/>
      <c r="X87" s="382"/>
      <c r="Y87" s="96"/>
      <c r="Z87" s="96"/>
      <c r="AA87" s="362"/>
    </row>
    <row r="88" spans="1:27" ht="19.5" customHeight="1" x14ac:dyDescent="0.2">
      <c r="C88" s="383"/>
      <c r="J88" s="384"/>
      <c r="K88" s="384"/>
      <c r="L88" s="384"/>
      <c r="M88" s="384"/>
      <c r="N88" s="384"/>
      <c r="O88" s="384"/>
      <c r="P88" s="384"/>
      <c r="Q88" s="384"/>
      <c r="R88" s="384"/>
      <c r="S88" s="384"/>
      <c r="T88" s="384"/>
      <c r="U88" s="384"/>
      <c r="V88" s="384"/>
    </row>
    <row r="89" spans="1:27" ht="19.5" customHeight="1" x14ac:dyDescent="0.2">
      <c r="A89" s="381" t="s">
        <v>89</v>
      </c>
      <c r="B89" s="303">
        <v>5</v>
      </c>
      <c r="C89" s="383"/>
      <c r="D89" s="303" t="s">
        <v>366</v>
      </c>
      <c r="J89" s="384"/>
      <c r="K89" s="384"/>
      <c r="L89" s="384"/>
      <c r="M89" s="384"/>
      <c r="N89" s="384"/>
      <c r="O89" s="384"/>
      <c r="P89" s="384"/>
      <c r="Q89" s="384"/>
      <c r="R89" s="384"/>
      <c r="S89" s="384"/>
      <c r="T89" s="384"/>
      <c r="U89" s="384"/>
      <c r="V89" s="384"/>
    </row>
    <row r="90" spans="1:27" ht="19.5" customHeight="1" x14ac:dyDescent="0.2">
      <c r="A90" s="381" t="s">
        <v>90</v>
      </c>
      <c r="B90" s="303">
        <v>9</v>
      </c>
      <c r="C90" s="383"/>
      <c r="D90" s="303">
        <v>1</v>
      </c>
      <c r="J90" s="384"/>
      <c r="K90" s="384"/>
      <c r="L90" s="384"/>
      <c r="M90" s="384"/>
      <c r="N90" s="384"/>
      <c r="O90" s="384"/>
      <c r="P90" s="384"/>
      <c r="Q90" s="384"/>
      <c r="R90" s="384"/>
      <c r="S90" s="384"/>
      <c r="T90" s="384"/>
      <c r="U90" s="384"/>
      <c r="V90" s="384"/>
    </row>
    <row r="91" spans="1:27" ht="19.5" customHeight="1" x14ac:dyDescent="0.2">
      <c r="A91" s="381" t="s">
        <v>91</v>
      </c>
      <c r="B91" s="303">
        <v>13</v>
      </c>
      <c r="C91" s="383"/>
      <c r="D91" s="303">
        <v>2</v>
      </c>
      <c r="J91" s="384"/>
      <c r="K91" s="384"/>
      <c r="L91" s="384"/>
      <c r="M91" s="384"/>
      <c r="N91" s="384"/>
      <c r="O91" s="384"/>
      <c r="P91" s="384"/>
      <c r="Q91" s="384"/>
      <c r="R91" s="384"/>
      <c r="S91" s="384"/>
      <c r="T91" s="384"/>
      <c r="U91" s="384"/>
      <c r="V91" s="384"/>
    </row>
    <row r="92" spans="1:27" ht="19.5" customHeight="1" x14ac:dyDescent="0.2">
      <c r="A92" s="381" t="s">
        <v>92</v>
      </c>
      <c r="B92" s="303">
        <v>17</v>
      </c>
      <c r="C92" s="383"/>
      <c r="D92" s="303">
        <v>3</v>
      </c>
      <c r="J92" s="384"/>
      <c r="K92" s="384"/>
      <c r="L92" s="384"/>
      <c r="M92" s="384"/>
      <c r="N92" s="384"/>
      <c r="O92" s="384"/>
      <c r="P92" s="384"/>
      <c r="Q92" s="384"/>
      <c r="R92" s="384"/>
      <c r="S92" s="384"/>
      <c r="T92" s="384"/>
      <c r="U92" s="384"/>
      <c r="V92" s="384"/>
    </row>
    <row r="93" spans="1:27" ht="19.5" customHeight="1" x14ac:dyDescent="0.2">
      <c r="A93" s="381" t="s">
        <v>93</v>
      </c>
      <c r="B93" s="303">
        <v>21</v>
      </c>
      <c r="C93" s="383"/>
      <c r="D93" s="303">
        <v>4</v>
      </c>
      <c r="J93" s="384"/>
      <c r="K93" s="384"/>
      <c r="L93" s="384"/>
      <c r="M93" s="384"/>
      <c r="N93" s="384"/>
      <c r="O93" s="384"/>
      <c r="P93" s="384"/>
      <c r="Q93" s="384"/>
      <c r="R93" s="384"/>
      <c r="S93" s="384"/>
      <c r="T93" s="384"/>
      <c r="U93" s="384"/>
      <c r="V93" s="384"/>
    </row>
    <row r="94" spans="1:27" ht="19.5" customHeight="1" x14ac:dyDescent="0.2">
      <c r="A94" s="381" t="s">
        <v>94</v>
      </c>
      <c r="B94" s="303">
        <v>25</v>
      </c>
      <c r="C94" s="383"/>
      <c r="D94" s="303">
        <v>5</v>
      </c>
      <c r="J94" s="384"/>
      <c r="K94" s="384"/>
      <c r="L94" s="384"/>
      <c r="M94" s="384"/>
      <c r="N94" s="384"/>
      <c r="O94" s="384"/>
      <c r="P94" s="384"/>
      <c r="Q94" s="384"/>
      <c r="R94" s="384"/>
      <c r="S94" s="384"/>
      <c r="T94" s="384"/>
      <c r="U94" s="384"/>
      <c r="V94" s="384"/>
    </row>
    <row r="95" spans="1:27" ht="19.5" customHeight="1" x14ac:dyDescent="0.2">
      <c r="A95" s="381" t="s">
        <v>95</v>
      </c>
      <c r="B95" s="303">
        <v>29</v>
      </c>
      <c r="C95" s="383"/>
      <c r="D95" s="303">
        <v>6</v>
      </c>
      <c r="J95" s="384"/>
      <c r="K95" s="384"/>
      <c r="L95" s="384"/>
      <c r="M95" s="384"/>
      <c r="N95" s="384"/>
      <c r="O95" s="384"/>
      <c r="P95" s="384"/>
      <c r="Q95" s="384"/>
      <c r="R95" s="384"/>
      <c r="S95" s="384"/>
      <c r="T95" s="384"/>
      <c r="U95" s="384"/>
      <c r="V95" s="384"/>
    </row>
    <row r="96" spans="1:27" ht="19.5" customHeight="1" x14ac:dyDescent="0.2">
      <c r="A96" s="381" t="s">
        <v>96</v>
      </c>
      <c r="B96" s="303">
        <v>33</v>
      </c>
      <c r="C96" s="383"/>
      <c r="J96" s="384"/>
      <c r="K96" s="384"/>
      <c r="L96" s="384"/>
      <c r="M96" s="384"/>
      <c r="N96" s="384"/>
      <c r="O96" s="384"/>
      <c r="P96" s="384"/>
      <c r="Q96" s="384"/>
      <c r="R96" s="384"/>
      <c r="S96" s="384"/>
      <c r="T96" s="384"/>
      <c r="U96" s="384"/>
      <c r="V96" s="384"/>
    </row>
    <row r="97" spans="1:22" ht="19.5" customHeight="1" x14ac:dyDescent="0.2">
      <c r="A97" s="381" t="s">
        <v>97</v>
      </c>
      <c r="B97" s="303">
        <v>37</v>
      </c>
      <c r="C97" s="383"/>
      <c r="J97" s="384"/>
      <c r="K97" s="384"/>
      <c r="L97" s="384"/>
      <c r="M97" s="384"/>
      <c r="N97" s="384"/>
      <c r="O97" s="384"/>
      <c r="P97" s="384"/>
      <c r="Q97" s="384"/>
      <c r="R97" s="384"/>
      <c r="S97" s="384"/>
      <c r="T97" s="384"/>
      <c r="U97" s="384"/>
      <c r="V97" s="384"/>
    </row>
    <row r="98" spans="1:22" ht="19.5" customHeight="1" x14ac:dyDescent="0.2">
      <c r="A98" s="381" t="s">
        <v>29</v>
      </c>
      <c r="B98" s="303">
        <v>41</v>
      </c>
      <c r="C98" s="383"/>
      <c r="J98" s="384"/>
      <c r="K98" s="384"/>
      <c r="L98" s="384"/>
      <c r="M98" s="384"/>
      <c r="N98" s="384"/>
      <c r="O98" s="384"/>
      <c r="P98" s="384"/>
      <c r="Q98" s="384"/>
      <c r="R98" s="384"/>
      <c r="S98" s="384"/>
      <c r="T98" s="384"/>
      <c r="U98" s="384"/>
      <c r="V98" s="384"/>
    </row>
    <row r="99" spans="1:22" ht="19.5" customHeight="1" x14ac:dyDescent="0.2">
      <c r="A99" s="381" t="s">
        <v>99</v>
      </c>
      <c r="B99" s="303">
        <v>45</v>
      </c>
      <c r="C99" s="383"/>
      <c r="J99" s="384"/>
      <c r="K99" s="384"/>
      <c r="L99" s="384"/>
      <c r="M99" s="384"/>
      <c r="N99" s="384"/>
      <c r="O99" s="384"/>
      <c r="P99" s="384"/>
      <c r="Q99" s="384"/>
      <c r="R99" s="384"/>
      <c r="S99" s="384"/>
      <c r="T99" s="384"/>
      <c r="U99" s="384"/>
      <c r="V99" s="384"/>
    </row>
    <row r="100" spans="1:22" ht="19.5" customHeight="1" x14ac:dyDescent="0.2">
      <c r="A100" s="381" t="s">
        <v>100</v>
      </c>
      <c r="B100" s="303">
        <v>49</v>
      </c>
      <c r="C100" s="383"/>
      <c r="J100" s="384"/>
      <c r="K100" s="384"/>
      <c r="L100" s="384"/>
      <c r="M100" s="384"/>
      <c r="N100" s="384"/>
      <c r="O100" s="384"/>
      <c r="P100" s="384"/>
      <c r="Q100" s="384"/>
      <c r="R100" s="384"/>
      <c r="S100" s="384"/>
      <c r="T100" s="384"/>
      <c r="U100" s="384"/>
      <c r="V100" s="384"/>
    </row>
    <row r="101" spans="1:22" ht="19.5" customHeight="1" x14ac:dyDescent="0.2">
      <c r="A101" s="381" t="s">
        <v>101</v>
      </c>
      <c r="B101" s="303">
        <v>53</v>
      </c>
      <c r="C101" s="383"/>
      <c r="J101" s="384"/>
      <c r="K101" s="384"/>
      <c r="L101" s="384"/>
      <c r="M101" s="384"/>
      <c r="N101" s="384"/>
      <c r="O101" s="384"/>
      <c r="P101" s="384"/>
      <c r="Q101" s="384"/>
      <c r="R101" s="384"/>
      <c r="S101" s="384"/>
      <c r="T101" s="384"/>
      <c r="U101" s="384"/>
      <c r="V101" s="384"/>
    </row>
    <row r="102" spans="1:22" ht="19.5" customHeight="1" x14ac:dyDescent="0.2">
      <c r="A102" s="381" t="s">
        <v>102</v>
      </c>
      <c r="B102" s="303">
        <v>57</v>
      </c>
      <c r="C102" s="383"/>
      <c r="J102" s="384"/>
      <c r="K102" s="384"/>
      <c r="L102" s="384"/>
      <c r="M102" s="384"/>
      <c r="N102" s="384"/>
      <c r="O102" s="384"/>
      <c r="P102" s="384"/>
      <c r="Q102" s="384"/>
      <c r="R102" s="384"/>
      <c r="S102" s="384"/>
      <c r="T102" s="384"/>
      <c r="U102" s="384"/>
      <c r="V102" s="384"/>
    </row>
    <row r="103" spans="1:22" ht="19.5" customHeight="1" x14ac:dyDescent="0.2">
      <c r="A103" s="381" t="s">
        <v>103</v>
      </c>
      <c r="B103" s="303">
        <v>61</v>
      </c>
      <c r="J103" s="384"/>
      <c r="K103" s="384"/>
      <c r="L103" s="384"/>
      <c r="M103" s="384"/>
      <c r="N103" s="384"/>
      <c r="O103" s="384"/>
      <c r="P103" s="384"/>
      <c r="Q103" s="384"/>
      <c r="R103" s="384"/>
      <c r="S103" s="384"/>
      <c r="T103" s="384"/>
      <c r="U103" s="384"/>
      <c r="V103" s="384"/>
    </row>
    <row r="104" spans="1:22" ht="19.5" customHeight="1" x14ac:dyDescent="0.2">
      <c r="A104" s="381" t="s">
        <v>104</v>
      </c>
      <c r="B104" s="303">
        <v>65</v>
      </c>
      <c r="J104" s="384"/>
      <c r="K104" s="384"/>
      <c r="L104" s="384"/>
      <c r="M104" s="384"/>
      <c r="N104" s="384"/>
      <c r="O104" s="384"/>
      <c r="P104" s="384"/>
      <c r="Q104" s="384"/>
      <c r="R104" s="384"/>
      <c r="S104" s="384"/>
      <c r="T104" s="384"/>
      <c r="U104" s="384"/>
      <c r="V104" s="384"/>
    </row>
    <row r="105" spans="1:22" ht="19.5" customHeight="1" x14ac:dyDescent="0.2">
      <c r="A105" s="381" t="s">
        <v>335</v>
      </c>
      <c r="B105" s="303">
        <v>69</v>
      </c>
      <c r="J105" s="384"/>
      <c r="K105" s="384"/>
      <c r="L105" s="384"/>
      <c r="M105" s="384"/>
      <c r="N105" s="384"/>
      <c r="O105" s="384"/>
      <c r="P105" s="384"/>
      <c r="Q105" s="384"/>
      <c r="R105" s="384"/>
      <c r="S105" s="384"/>
      <c r="T105" s="384"/>
      <c r="U105" s="384"/>
      <c r="V105" s="384"/>
    </row>
    <row r="106" spans="1:22" ht="19.5" customHeight="1" x14ac:dyDescent="0.2">
      <c r="A106" s="381" t="s">
        <v>349</v>
      </c>
      <c r="B106" s="303">
        <v>73</v>
      </c>
      <c r="J106" s="384"/>
      <c r="K106" s="384"/>
      <c r="L106" s="384"/>
      <c r="M106" s="384"/>
      <c r="N106" s="384"/>
      <c r="O106" s="384"/>
      <c r="P106" s="384"/>
      <c r="Q106" s="384"/>
      <c r="R106" s="384"/>
      <c r="S106" s="384"/>
      <c r="T106" s="384"/>
      <c r="U106" s="384"/>
      <c r="V106" s="384"/>
    </row>
    <row r="107" spans="1:22" ht="19.5" customHeight="1" x14ac:dyDescent="0.2">
      <c r="A107" s="381" t="s">
        <v>145</v>
      </c>
      <c r="B107" s="303">
        <v>77</v>
      </c>
      <c r="J107" s="384"/>
      <c r="K107" s="384"/>
      <c r="L107" s="384"/>
      <c r="M107" s="384"/>
      <c r="N107" s="384"/>
      <c r="O107" s="384"/>
      <c r="P107" s="384"/>
      <c r="Q107" s="384"/>
      <c r="R107" s="384"/>
      <c r="S107" s="384"/>
      <c r="T107" s="384"/>
      <c r="U107" s="384"/>
      <c r="V107" s="384"/>
    </row>
    <row r="108" spans="1:22" ht="19.5" customHeight="1" x14ac:dyDescent="0.2">
      <c r="A108" s="381" t="s">
        <v>507</v>
      </c>
      <c r="B108" s="303">
        <v>81</v>
      </c>
      <c r="J108" s="384"/>
      <c r="K108" s="384"/>
      <c r="L108" s="384"/>
      <c r="M108" s="384"/>
      <c r="N108" s="384"/>
      <c r="O108" s="384"/>
      <c r="P108" s="384"/>
      <c r="Q108" s="384"/>
      <c r="R108" s="384"/>
      <c r="S108" s="384"/>
      <c r="T108" s="384"/>
      <c r="U108" s="384"/>
      <c r="V108" s="384"/>
    </row>
    <row r="109" spans="1:22" ht="19.5" customHeight="1" x14ac:dyDescent="0.2">
      <c r="J109" s="384"/>
      <c r="K109" s="384"/>
      <c r="L109" s="384"/>
      <c r="M109" s="384"/>
      <c r="N109" s="384"/>
      <c r="O109" s="384"/>
      <c r="P109" s="384"/>
      <c r="Q109" s="384"/>
      <c r="R109" s="384"/>
      <c r="S109" s="384"/>
      <c r="T109" s="384"/>
      <c r="U109" s="384"/>
      <c r="V109" s="384"/>
    </row>
    <row r="110" spans="1:22" ht="19.5" customHeight="1" x14ac:dyDescent="0.2">
      <c r="J110" s="384"/>
      <c r="K110" s="384"/>
      <c r="L110" s="384"/>
      <c r="M110" s="384"/>
      <c r="N110" s="384"/>
      <c r="O110" s="384"/>
      <c r="P110" s="384"/>
      <c r="Q110" s="384"/>
      <c r="R110" s="384"/>
      <c r="S110" s="384"/>
      <c r="T110" s="384"/>
      <c r="U110" s="384"/>
      <c r="V110" s="384"/>
    </row>
    <row r="111" spans="1:22" ht="19.5" customHeight="1" x14ac:dyDescent="0.2">
      <c r="J111" s="384"/>
      <c r="K111" s="384"/>
      <c r="L111" s="384"/>
      <c r="M111" s="384"/>
      <c r="N111" s="384"/>
      <c r="O111" s="384"/>
      <c r="P111" s="384"/>
      <c r="Q111" s="384"/>
      <c r="R111" s="384"/>
      <c r="S111" s="384"/>
      <c r="T111" s="384"/>
      <c r="U111" s="384"/>
      <c r="V111" s="384"/>
    </row>
    <row r="112" spans="1:22" ht="19.5" customHeight="1" x14ac:dyDescent="0.2">
      <c r="J112" s="384"/>
      <c r="K112" s="384"/>
      <c r="L112" s="384"/>
      <c r="M112" s="384"/>
      <c r="N112" s="384"/>
      <c r="O112" s="384"/>
      <c r="P112" s="384"/>
      <c r="Q112" s="384"/>
      <c r="R112" s="384"/>
      <c r="S112" s="384"/>
      <c r="T112" s="384"/>
      <c r="U112" s="384"/>
      <c r="V112" s="384"/>
    </row>
    <row r="113" spans="10:22" ht="19.5" customHeight="1" x14ac:dyDescent="0.2">
      <c r="J113" s="384"/>
      <c r="K113" s="384"/>
      <c r="L113" s="384"/>
      <c r="M113" s="384"/>
      <c r="N113" s="384"/>
      <c r="O113" s="384"/>
      <c r="P113" s="384"/>
      <c r="Q113" s="384"/>
      <c r="R113" s="384"/>
      <c r="S113" s="384"/>
      <c r="T113" s="384"/>
      <c r="U113" s="384"/>
      <c r="V113" s="384"/>
    </row>
    <row r="114" spans="10:22" ht="19.5" customHeight="1" x14ac:dyDescent="0.2">
      <c r="J114" s="384"/>
      <c r="K114" s="384"/>
      <c r="L114" s="384"/>
      <c r="M114" s="384"/>
      <c r="N114" s="384"/>
      <c r="O114" s="384"/>
      <c r="P114" s="384"/>
      <c r="Q114" s="384"/>
      <c r="R114" s="384"/>
      <c r="S114" s="384"/>
      <c r="T114" s="384"/>
      <c r="U114" s="384"/>
      <c r="V114" s="384"/>
    </row>
    <row r="115" spans="10:22" ht="19.5" customHeight="1" x14ac:dyDescent="0.2">
      <c r="J115" s="384"/>
      <c r="K115" s="384"/>
      <c r="L115" s="384"/>
      <c r="M115" s="384"/>
      <c r="N115" s="384"/>
      <c r="O115" s="384"/>
      <c r="P115" s="384"/>
      <c r="Q115" s="384"/>
      <c r="R115" s="384"/>
      <c r="S115" s="384"/>
      <c r="T115" s="384"/>
      <c r="U115" s="384"/>
      <c r="V115" s="384"/>
    </row>
    <row r="116" spans="10:22" ht="19.5" customHeight="1" x14ac:dyDescent="0.2">
      <c r="J116" s="384"/>
      <c r="K116" s="384"/>
      <c r="L116" s="384"/>
      <c r="M116" s="384"/>
      <c r="N116" s="384"/>
      <c r="O116" s="384"/>
      <c r="P116" s="384"/>
      <c r="Q116" s="384"/>
      <c r="R116" s="384"/>
      <c r="S116" s="384"/>
      <c r="T116" s="384"/>
      <c r="U116" s="384"/>
      <c r="V116" s="384"/>
    </row>
    <row r="117" spans="10:22" ht="19.5" customHeight="1" x14ac:dyDescent="0.2">
      <c r="J117" s="384"/>
      <c r="K117" s="384"/>
      <c r="L117" s="384"/>
      <c r="M117" s="384"/>
      <c r="N117" s="384"/>
      <c r="O117" s="384"/>
      <c r="P117" s="384"/>
      <c r="Q117" s="384"/>
      <c r="R117" s="384"/>
      <c r="S117" s="384"/>
      <c r="T117" s="384"/>
      <c r="U117" s="384"/>
      <c r="V117" s="384"/>
    </row>
    <row r="118" spans="10:22" ht="19.5" customHeight="1" x14ac:dyDescent="0.2">
      <c r="J118" s="384"/>
      <c r="K118" s="384"/>
      <c r="L118" s="384"/>
      <c r="M118" s="384"/>
      <c r="N118" s="384"/>
      <c r="O118" s="384"/>
      <c r="P118" s="384"/>
      <c r="Q118" s="384"/>
      <c r="R118" s="384"/>
      <c r="S118" s="384"/>
      <c r="T118" s="384"/>
      <c r="U118" s="384"/>
      <c r="V118" s="384"/>
    </row>
    <row r="119" spans="10:22" ht="19.5" customHeight="1" x14ac:dyDescent="0.2">
      <c r="J119" s="384"/>
      <c r="K119" s="384"/>
      <c r="L119" s="384"/>
      <c r="M119" s="384"/>
      <c r="N119" s="384"/>
      <c r="O119" s="384"/>
      <c r="P119" s="384"/>
      <c r="Q119" s="384"/>
      <c r="R119" s="384"/>
      <c r="S119" s="384"/>
      <c r="T119" s="384"/>
      <c r="U119" s="384"/>
      <c r="V119" s="384"/>
    </row>
    <row r="120" spans="10:22" ht="19.5" customHeight="1" x14ac:dyDescent="0.2">
      <c r="J120" s="384"/>
      <c r="K120" s="384"/>
      <c r="L120" s="384"/>
      <c r="M120" s="384"/>
      <c r="N120" s="384"/>
      <c r="O120" s="384"/>
      <c r="P120" s="384"/>
      <c r="Q120" s="384"/>
      <c r="R120" s="384"/>
      <c r="S120" s="384"/>
      <c r="T120" s="384"/>
      <c r="U120" s="384"/>
      <c r="V120" s="384"/>
    </row>
    <row r="121" spans="10:22" ht="19.5" customHeight="1" x14ac:dyDescent="0.2">
      <c r="J121" s="384"/>
      <c r="K121" s="384"/>
      <c r="L121" s="384"/>
      <c r="M121" s="384"/>
      <c r="N121" s="384"/>
      <c r="O121" s="384"/>
      <c r="P121" s="384"/>
      <c r="Q121" s="384"/>
      <c r="R121" s="384"/>
      <c r="S121" s="384"/>
      <c r="T121" s="384"/>
      <c r="U121" s="384"/>
      <c r="V121" s="384"/>
    </row>
    <row r="122" spans="10:22" ht="19.5" customHeight="1" x14ac:dyDescent="0.2">
      <c r="J122" s="384"/>
      <c r="K122" s="384"/>
      <c r="L122" s="384"/>
      <c r="M122" s="384"/>
      <c r="N122" s="384"/>
      <c r="O122" s="384"/>
      <c r="P122" s="384"/>
      <c r="Q122" s="384"/>
      <c r="R122" s="384"/>
      <c r="S122" s="384"/>
      <c r="T122" s="384"/>
      <c r="U122" s="384"/>
      <c r="V122" s="384"/>
    </row>
    <row r="123" spans="10:22" ht="19.5" customHeight="1" x14ac:dyDescent="0.2">
      <c r="J123" s="384"/>
      <c r="K123" s="384"/>
      <c r="L123" s="384"/>
      <c r="M123" s="384"/>
      <c r="N123" s="384"/>
      <c r="O123" s="384"/>
      <c r="P123" s="384"/>
      <c r="Q123" s="384"/>
      <c r="R123" s="384"/>
      <c r="S123" s="384"/>
      <c r="T123" s="384"/>
      <c r="U123" s="384"/>
      <c r="V123" s="384"/>
    </row>
    <row r="124" spans="10:22" ht="19.5" customHeight="1" x14ac:dyDescent="0.2">
      <c r="J124" s="384"/>
      <c r="K124" s="384"/>
      <c r="L124" s="384"/>
      <c r="M124" s="384"/>
      <c r="N124" s="384"/>
      <c r="O124" s="384"/>
      <c r="P124" s="384"/>
      <c r="Q124" s="384"/>
      <c r="R124" s="384"/>
      <c r="S124" s="384"/>
      <c r="T124" s="384"/>
      <c r="U124" s="384"/>
      <c r="V124" s="384"/>
    </row>
    <row r="125" spans="10:22" ht="19.5" customHeight="1" x14ac:dyDescent="0.2">
      <c r="J125" s="384"/>
      <c r="K125" s="384"/>
      <c r="L125" s="384"/>
      <c r="M125" s="384"/>
      <c r="N125" s="384"/>
      <c r="O125" s="384"/>
      <c r="P125" s="384"/>
      <c r="Q125" s="384"/>
      <c r="R125" s="384"/>
      <c r="S125" s="384"/>
      <c r="T125" s="384"/>
      <c r="U125" s="384"/>
      <c r="V125" s="384"/>
    </row>
    <row r="126" spans="10:22" ht="19.5" customHeight="1" x14ac:dyDescent="0.2">
      <c r="J126" s="384"/>
      <c r="K126" s="384"/>
      <c r="L126" s="384"/>
      <c r="M126" s="384"/>
      <c r="N126" s="384"/>
      <c r="O126" s="384"/>
      <c r="P126" s="384"/>
      <c r="Q126" s="384"/>
      <c r="R126" s="384"/>
      <c r="S126" s="384"/>
      <c r="T126" s="384"/>
      <c r="U126" s="384"/>
      <c r="V126" s="384"/>
    </row>
    <row r="127" spans="10:22" ht="19.5" customHeight="1" x14ac:dyDescent="0.2">
      <c r="J127" s="384"/>
      <c r="K127" s="384"/>
      <c r="L127" s="384"/>
      <c r="M127" s="384"/>
      <c r="N127" s="384"/>
      <c r="O127" s="384"/>
      <c r="P127" s="384"/>
      <c r="Q127" s="384"/>
      <c r="R127" s="384"/>
      <c r="S127" s="384"/>
      <c r="T127" s="384"/>
      <c r="U127" s="384"/>
      <c r="V127" s="384"/>
    </row>
    <row r="128" spans="10:22" ht="19.5" customHeight="1" x14ac:dyDescent="0.2">
      <c r="J128" s="384"/>
      <c r="K128" s="384"/>
      <c r="L128" s="384"/>
      <c r="M128" s="384"/>
      <c r="N128" s="384"/>
      <c r="O128" s="384"/>
      <c r="P128" s="384"/>
      <c r="Q128" s="384"/>
      <c r="R128" s="384"/>
      <c r="S128" s="384"/>
      <c r="T128" s="384"/>
      <c r="U128" s="384"/>
      <c r="V128" s="384"/>
    </row>
    <row r="129" spans="10:22" ht="19.5" customHeight="1" x14ac:dyDescent="0.2">
      <c r="J129" s="384"/>
      <c r="K129" s="384"/>
      <c r="L129" s="384"/>
      <c r="M129" s="384"/>
      <c r="N129" s="384"/>
      <c r="O129" s="384"/>
      <c r="P129" s="384"/>
      <c r="Q129" s="384"/>
      <c r="R129" s="384"/>
      <c r="S129" s="384"/>
      <c r="T129" s="384"/>
      <c r="U129" s="384"/>
      <c r="V129" s="384"/>
    </row>
    <row r="130" spans="10:22" ht="19.5" customHeight="1" x14ac:dyDescent="0.2">
      <c r="J130" s="384"/>
      <c r="K130" s="384"/>
      <c r="L130" s="384"/>
      <c r="M130" s="384"/>
      <c r="N130" s="384"/>
      <c r="O130" s="384"/>
      <c r="P130" s="384"/>
      <c r="Q130" s="384"/>
      <c r="R130" s="384"/>
      <c r="S130" s="384"/>
      <c r="T130" s="384"/>
      <c r="U130" s="384"/>
      <c r="V130" s="384"/>
    </row>
    <row r="131" spans="10:22" ht="19.5" customHeight="1" x14ac:dyDescent="0.2">
      <c r="J131" s="384"/>
      <c r="K131" s="384"/>
      <c r="L131" s="384"/>
      <c r="M131" s="384"/>
      <c r="N131" s="384"/>
      <c r="O131" s="384"/>
      <c r="P131" s="384"/>
      <c r="Q131" s="384"/>
      <c r="R131" s="384"/>
      <c r="S131" s="384"/>
      <c r="T131" s="384"/>
      <c r="U131" s="384"/>
      <c r="V131" s="384"/>
    </row>
    <row r="132" spans="10:22" ht="19.5" customHeight="1" x14ac:dyDescent="0.2">
      <c r="J132" s="384"/>
      <c r="K132" s="384"/>
      <c r="L132" s="384"/>
      <c r="M132" s="384"/>
      <c r="N132" s="384"/>
      <c r="O132" s="384"/>
      <c r="P132" s="384"/>
      <c r="Q132" s="384"/>
      <c r="R132" s="384"/>
      <c r="S132" s="384"/>
      <c r="T132" s="384"/>
      <c r="U132" s="384"/>
      <c r="V132" s="384"/>
    </row>
    <row r="133" spans="10:22" ht="19.5" customHeight="1" x14ac:dyDescent="0.2">
      <c r="J133" s="384"/>
      <c r="K133" s="384"/>
      <c r="L133" s="384"/>
      <c r="M133" s="384"/>
      <c r="N133" s="384"/>
      <c r="O133" s="384"/>
      <c r="P133" s="384"/>
      <c r="Q133" s="384"/>
      <c r="R133" s="384"/>
      <c r="S133" s="384"/>
      <c r="T133" s="384"/>
      <c r="U133" s="384"/>
      <c r="V133" s="384"/>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240</v>
      </c>
      <c r="C2" s="3" t="s">
        <v>291</v>
      </c>
      <c r="D2" s="3" t="s">
        <v>292</v>
      </c>
      <c r="E2" s="3" t="s">
        <v>243</v>
      </c>
      <c r="F2" s="3" t="s">
        <v>242</v>
      </c>
      <c r="G2" s="3"/>
      <c r="H2" s="3"/>
      <c r="I2" s="3" t="s">
        <v>241</v>
      </c>
      <c r="J2" s="3" t="s">
        <v>244</v>
      </c>
      <c r="K2" s="11"/>
    </row>
    <row r="3" spans="2:11" ht="13.5" thickBot="1" x14ac:dyDescent="0.25">
      <c r="B3" s="7" t="s">
        <v>379</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246</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247</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289</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290</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3" t="s">
        <v>446</v>
      </c>
      <c r="I18" s="503"/>
      <c r="J18" s="503"/>
      <c r="K18" s="504"/>
    </row>
    <row r="20" spans="1:14" ht="13.5" thickBot="1" x14ac:dyDescent="0.25">
      <c r="H20" s="1"/>
      <c r="I20" s="1"/>
      <c r="L20" t="s">
        <v>438</v>
      </c>
    </row>
    <row r="21" spans="1:14" ht="13.5" thickBot="1" x14ac:dyDescent="0.25">
      <c r="E21" t="s">
        <v>302</v>
      </c>
      <c r="F21" s="34">
        <v>0.125</v>
      </c>
      <c r="H21" s="1"/>
      <c r="I21" s="1"/>
      <c r="J21" t="s">
        <v>439</v>
      </c>
      <c r="K21" t="s">
        <v>440</v>
      </c>
      <c r="L21" s="33">
        <v>0.3</v>
      </c>
      <c r="M21" t="s">
        <v>441</v>
      </c>
    </row>
    <row r="22" spans="1:14" x14ac:dyDescent="0.2">
      <c r="A22" s="21" t="s">
        <v>99</v>
      </c>
      <c r="B22" s="3" t="s">
        <v>30</v>
      </c>
      <c r="C22" s="31"/>
      <c r="D22" s="3" t="s">
        <v>147</v>
      </c>
      <c r="E22" s="3">
        <v>4</v>
      </c>
      <c r="G22" s="3">
        <v>325</v>
      </c>
      <c r="H22" s="3">
        <v>25</v>
      </c>
      <c r="I22" s="11">
        <v>5</v>
      </c>
      <c r="J22" s="1"/>
      <c r="K22" s="1">
        <f>(K29-K28-K27)*C22</f>
        <v>0</v>
      </c>
      <c r="M22" s="1">
        <f>J22*F22*(1+L21)</f>
        <v>0</v>
      </c>
    </row>
    <row r="23" spans="1:14" x14ac:dyDescent="0.2">
      <c r="A23" s="19"/>
      <c r="C23" s="23">
        <f>1-C24</f>
        <v>0.5</v>
      </c>
      <c r="D23" t="s">
        <v>148</v>
      </c>
      <c r="F23">
        <v>3</v>
      </c>
      <c r="G23">
        <v>300</v>
      </c>
      <c r="H23">
        <v>15</v>
      </c>
      <c r="I23" s="8">
        <v>5</v>
      </c>
      <c r="J23" s="1">
        <f>K23/I23</f>
        <v>6412.7</v>
      </c>
      <c r="K23" s="1">
        <f>(K29-K28-K27)*C23</f>
        <v>32063.5</v>
      </c>
      <c r="M23" s="1">
        <f>J23*F23*(1+L21)</f>
        <v>25009.53</v>
      </c>
    </row>
    <row r="24" spans="1:14" x14ac:dyDescent="0.2">
      <c r="A24" s="19"/>
      <c r="C24" s="23">
        <v>0.5</v>
      </c>
      <c r="D24" t="s">
        <v>149</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150</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436</v>
      </c>
      <c r="J27" s="27">
        <v>1250</v>
      </c>
      <c r="K27" s="1">
        <f>J27*25</f>
        <v>31250</v>
      </c>
      <c r="M27" s="35">
        <f>SUM(M22:M26)</f>
        <v>52425.504910394266</v>
      </c>
      <c r="N27" t="s">
        <v>441</v>
      </c>
    </row>
    <row r="28" spans="1:14" ht="13.5" thickBot="1" x14ac:dyDescent="0.25">
      <c r="H28" s="1"/>
      <c r="I28" s="1" t="s">
        <v>437</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450</v>
      </c>
    </row>
    <row r="32" spans="1:14" ht="13.5" thickBot="1" x14ac:dyDescent="0.25">
      <c r="H32" s="1"/>
      <c r="I32" s="1"/>
      <c r="J32" t="s">
        <v>439</v>
      </c>
      <c r="K32" t="s">
        <v>440</v>
      </c>
      <c r="L32" s="33">
        <v>0.2</v>
      </c>
      <c r="M32" t="s">
        <v>441</v>
      </c>
      <c r="N32" t="s">
        <v>452</v>
      </c>
    </row>
    <row r="33" spans="1:14" x14ac:dyDescent="0.2">
      <c r="A33" s="21" t="s">
        <v>97</v>
      </c>
      <c r="B33" s="11" t="s">
        <v>30</v>
      </c>
      <c r="C33" s="31"/>
      <c r="D33" s="9" t="s">
        <v>143</v>
      </c>
      <c r="E33" s="3">
        <v>3</v>
      </c>
      <c r="F33" s="3"/>
      <c r="G33" s="3">
        <v>325</v>
      </c>
      <c r="H33" s="3">
        <v>25</v>
      </c>
      <c r="I33" s="11">
        <v>5</v>
      </c>
      <c r="J33" s="1"/>
      <c r="K33" s="1">
        <f>(K40-K39-K38)*C33</f>
        <v>0</v>
      </c>
      <c r="M33" s="1"/>
      <c r="N33" s="1"/>
    </row>
    <row r="34" spans="1:14" x14ac:dyDescent="0.2">
      <c r="A34" s="19"/>
      <c r="B34" s="8"/>
      <c r="C34" s="23">
        <f>1-C36</f>
        <v>0.4</v>
      </c>
      <c r="D34" s="7" t="s">
        <v>144</v>
      </c>
      <c r="F34">
        <v>3</v>
      </c>
      <c r="G34">
        <v>375</v>
      </c>
      <c r="H34">
        <v>15</v>
      </c>
      <c r="I34" s="8">
        <v>5</v>
      </c>
      <c r="J34" s="1">
        <f>K34/I34</f>
        <v>14126</v>
      </c>
      <c r="K34" s="1">
        <f>(K40-K39-K38)*C34</f>
        <v>70630</v>
      </c>
      <c r="M34" s="37">
        <f>J34*F34*(1+L32)</f>
        <v>50853.599999999999</v>
      </c>
      <c r="N34" s="1"/>
    </row>
    <row r="35" spans="1:14" x14ac:dyDescent="0.2">
      <c r="A35" s="19"/>
      <c r="B35" s="8"/>
      <c r="C35" s="23"/>
      <c r="D35" s="7" t="s">
        <v>361</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146</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436</v>
      </c>
      <c r="J38" s="27">
        <v>2337</v>
      </c>
      <c r="K38" s="1">
        <f>J38*25</f>
        <v>58425</v>
      </c>
      <c r="M38" s="35"/>
      <c r="N38" s="35"/>
    </row>
    <row r="39" spans="1:14" ht="13.5" thickBot="1" x14ac:dyDescent="0.25">
      <c r="H39" s="1"/>
      <c r="I39" s="1" t="s">
        <v>451</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291</v>
      </c>
      <c r="D51" s="3" t="s">
        <v>292</v>
      </c>
      <c r="E51" s="3" t="s">
        <v>243</v>
      </c>
      <c r="F51" s="3" t="s">
        <v>242</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321</vt:i4>
      </vt:variant>
    </vt:vector>
  </HeadingPairs>
  <TitlesOfParts>
    <vt:vector size="336"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2022-09-10T04:44:02Z</dcterms:modified>
</cp:coreProperties>
</file>