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2E804F6B-71B3-4960-A32B-F2D4133AB15F}"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Overview!$B$68</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4"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BL13" i="5" a="1"/>
  <c r="BL13" i="5" s="1"/>
  <c r="AF9" i="9"/>
  <c r="J4" i="2"/>
  <c r="AE9" i="9"/>
  <c r="AI9" i="9"/>
  <c r="AC9" i="9"/>
  <c r="AC4" i="1"/>
  <c r="AB4" i="1"/>
  <c r="O7" i="1" l="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D26" i="4"/>
  <c r="D28" i="4"/>
  <c r="D27" i="4"/>
  <c r="A25" i="4"/>
  <c r="A24" i="4"/>
  <c r="A23" i="4"/>
  <c r="O8" i="1" l="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D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O9" i="1" l="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49" i="4"/>
  <c r="D5" i="12"/>
  <c r="F4" i="12"/>
  <c r="E4" i="12" s="1"/>
  <c r="O7" i="2"/>
  <c r="K22" i="12"/>
  <c r="K25" i="12"/>
  <c r="K33" i="12"/>
  <c r="J4" i="12"/>
  <c r="D66" i="4"/>
  <c r="A34" i="6"/>
  <c r="I35" i="4"/>
  <c r="I36" i="4"/>
  <c r="A35" i="6"/>
  <c r="I8" i="12"/>
  <c r="J7" i="12"/>
  <c r="F1" i="14"/>
  <c r="O10" i="1" l="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7" i="4"/>
  <c r="CH18" i="8"/>
  <c r="CH19" i="8"/>
  <c r="J8" i="12"/>
  <c r="I9" i="12"/>
  <c r="O11" i="1" l="1"/>
  <c r="BP6" i="5"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8" i="4"/>
  <c r="I10" i="12"/>
  <c r="J9" i="12"/>
  <c r="E18" i="4"/>
  <c r="O12" i="1" l="1"/>
  <c r="BL19" i="5"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O13" i="1" l="1"/>
  <c r="BL20" i="5"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AG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O14" i="1" l="1"/>
  <c r="BL21" i="5" a="1"/>
  <c r="BL21" i="5" s="1"/>
  <c r="BZ4" i="8"/>
  <c r="CQ4" i="8" s="1"/>
  <c r="CR4" i="8" s="1"/>
  <c r="BK5" i="8"/>
  <c r="BL5" i="8"/>
  <c r="AP5" i="5"/>
  <c r="BI5" i="8"/>
  <c r="BJ5" i="8"/>
  <c r="BG5" i="8"/>
  <c r="BH5" i="8"/>
  <c r="BF5" i="8"/>
  <c r="AC5" i="10"/>
  <c r="X5" i="10" s="1"/>
  <c r="AO5" i="5"/>
  <c r="AM5" i="5"/>
  <c r="AN5" i="5"/>
  <c r="AS9" i="5"/>
  <c r="D4" i="2"/>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O15" i="1" l="1"/>
  <c r="BL22" i="5"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G6" i="7" s="1"/>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O16" i="1" l="1"/>
  <c r="BL23" i="5"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AG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O17" i="1" l="1"/>
  <c r="BL24" i="5"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AG8" i="7" s="1"/>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O18" i="1" l="1"/>
  <c r="BL25" i="5"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G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O19" i="1" l="1"/>
  <c r="BL26" i="5"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G10" i="7" s="1"/>
  <c r="AI10" i="7" s="1"/>
  <c r="CC10" i="8"/>
  <c r="CS10" i="8" s="1"/>
  <c r="BT10" i="8"/>
  <c r="CJ10" i="8" s="1"/>
  <c r="CN10" i="8" s="1"/>
  <c r="BV10" i="8"/>
  <c r="B11" i="9"/>
  <c r="W11" i="9" s="1"/>
  <c r="AB11" i="8"/>
  <c r="BM11" i="8" s="1"/>
  <c r="B11" i="7"/>
  <c r="AE11" i="7" s="1"/>
  <c r="AG11" i="7" s="1"/>
  <c r="AI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O20" i="1" l="1"/>
  <c r="BL27" i="5"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O21" i="1" l="1"/>
  <c r="BL28" i="5"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O22" i="1" l="1"/>
  <c r="BL29" i="5"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AG13" i="7" s="1"/>
  <c r="AI13" i="7" s="1"/>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O23" i="1" l="1"/>
  <c r="BL30" i="5"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G14" i="7" s="1"/>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O24" i="1" l="1"/>
  <c r="BL31" i="5"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O25" i="1" l="1"/>
  <c r="BL32" i="5"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AG16" i="7" s="1"/>
  <c r="Q16" i="7"/>
  <c r="V19" i="2"/>
  <c r="AC18" i="1"/>
  <c r="DA18" i="5"/>
  <c r="DG18" i="5" s="1" a="1"/>
  <c r="DG18" i="5" s="1"/>
  <c r="DI19" i="5"/>
  <c r="AB19" i="1"/>
  <c r="AE28" i="9"/>
  <c r="AI28" i="9"/>
  <c r="AC90" i="9"/>
  <c r="B12" i="14"/>
  <c r="S21" i="2"/>
  <c r="P22" i="2"/>
  <c r="N22" i="2"/>
  <c r="R22" i="2"/>
  <c r="Q21" i="2"/>
  <c r="P23" i="2"/>
  <c r="J23" i="10"/>
  <c r="M22" i="2"/>
  <c r="O23" i="2"/>
  <c r="O26" i="1" l="1"/>
  <c r="BL33" i="5"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AG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O27" i="1" l="1"/>
  <c r="BL34" i="5"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G18" i="7" s="1"/>
  <c r="AI18" i="7" s="1"/>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O28" i="1" l="1"/>
  <c r="BL35" i="5"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O29" i="1" l="1"/>
  <c r="BL36" i="5"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G21" i="7" s="1"/>
  <c r="AI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G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O30" i="1" l="1"/>
  <c r="BL37" i="5"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O31" i="1" l="1"/>
  <c r="BL38" i="5"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AG22" i="7" s="1"/>
  <c r="Q22" i="7"/>
  <c r="C25" i="5"/>
  <c r="AC24" i="1"/>
  <c r="DA24" i="5"/>
  <c r="DG24" i="5" s="1" a="1"/>
  <c r="DG24" i="5" s="1"/>
  <c r="AB25" i="1"/>
  <c r="DI25" i="5"/>
  <c r="AE34" i="9"/>
  <c r="AI34" i="9"/>
  <c r="AC96" i="9"/>
  <c r="B20" i="14"/>
  <c r="N10" i="1"/>
  <c r="S27" i="2"/>
  <c r="N28" i="2"/>
  <c r="R28" i="2"/>
  <c r="Q27" i="2"/>
  <c r="P29" i="2"/>
  <c r="J29" i="10"/>
  <c r="O29" i="2"/>
  <c r="M28" i="2"/>
  <c r="O32" i="1" l="1"/>
  <c r="BL39" i="5"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O33" i="1" l="1"/>
  <c r="BL40" i="5"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O34" i="1" l="1"/>
  <c r="BL41" i="5"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AG25" i="7" s="1"/>
  <c r="AI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O35" i="1" l="1"/>
  <c r="BL42" i="5"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E28" i="1"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AG26" i="7" s="1"/>
  <c r="C29" i="5"/>
  <c r="AC28" i="1"/>
  <c r="DA28" i="5"/>
  <c r="DG28" i="5" s="1" a="1"/>
  <c r="DG28" i="5" s="1"/>
  <c r="DI29" i="5"/>
  <c r="AB29" i="1"/>
  <c r="AE38" i="9"/>
  <c r="AI38" i="9"/>
  <c r="AC100" i="9"/>
  <c r="B24" i="14"/>
  <c r="N14" i="1"/>
  <c r="S31" i="2"/>
  <c r="N32" i="2"/>
  <c r="R32" i="2"/>
  <c r="Q31" i="2"/>
  <c r="O33" i="2"/>
  <c r="J33" i="10"/>
  <c r="P33" i="2"/>
  <c r="M32" i="2"/>
  <c r="O36" i="1" l="1"/>
  <c r="BL43" i="5"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W28" i="8"/>
  <c r="AI28" i="5"/>
  <c r="B28" i="9"/>
  <c r="W28" i="9" s="1"/>
  <c r="A28" i="11"/>
  <c r="V29" i="2"/>
  <c r="AE27" i="7"/>
  <c r="AG27" i="7" s="1"/>
  <c r="Q27" i="7"/>
  <c r="C30" i="5"/>
  <c r="AC29" i="1"/>
  <c r="DA29" i="5"/>
  <c r="DG29" i="5" s="1" a="1"/>
  <c r="DG29" i="5" s="1"/>
  <c r="AB30" i="1"/>
  <c r="DI30" i="5"/>
  <c r="AE39" i="9"/>
  <c r="AI39" i="9"/>
  <c r="AC101" i="9"/>
  <c r="N15" i="1"/>
  <c r="S32" i="2"/>
  <c r="N33" i="2"/>
  <c r="R33" i="2"/>
  <c r="Q32" i="2"/>
  <c r="J34" i="10"/>
  <c r="P34" i="2"/>
  <c r="O34" i="2"/>
  <c r="M33" i="2"/>
  <c r="O37" i="1" l="1"/>
  <c r="BL44" i="5"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G28" i="7" s="1"/>
  <c r="Q28" i="7"/>
  <c r="AB31" i="1"/>
  <c r="DI31" i="5"/>
  <c r="C31" i="5"/>
  <c r="AC30" i="1"/>
  <c r="DA30" i="5"/>
  <c r="DG30" i="5" s="1" a="1"/>
  <c r="DG30" i="5" s="1"/>
  <c r="AE40" i="9"/>
  <c r="AI40" i="9"/>
  <c r="AC102" i="9"/>
  <c r="N16" i="1"/>
  <c r="S33" i="2"/>
  <c r="N34" i="2"/>
  <c r="R34" i="2"/>
  <c r="Q33" i="2"/>
  <c r="M34" i="2"/>
  <c r="J35" i="10"/>
  <c r="O35" i="2"/>
  <c r="P35" i="2"/>
  <c r="O38" i="1" l="1"/>
  <c r="BL45" i="5"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O39" i="1" l="1"/>
  <c r="BL46" i="5"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O40" i="1" l="1"/>
  <c r="BL47" i="5"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AG32" i="7" s="1"/>
  <c r="AI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O41" i="1" l="1"/>
  <c r="BL48" i="5"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O42" i="1" l="1"/>
  <c r="BL49" i="5"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O43" i="1" l="1"/>
  <c r="BL50" i="5"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G34" i="7" s="1"/>
  <c r="Q34" i="7"/>
  <c r="AB37" i="1"/>
  <c r="DI37" i="5"/>
  <c r="C37" i="5"/>
  <c r="AC36" i="1"/>
  <c r="DA36" i="5"/>
  <c r="DG36" i="5" s="1" a="1"/>
  <c r="DG36" i="5" s="1"/>
  <c r="AE46" i="9"/>
  <c r="AI46" i="9"/>
  <c r="AC108" i="9"/>
  <c r="N22" i="1"/>
  <c r="S39" i="2"/>
  <c r="N40" i="2"/>
  <c r="R40" i="2"/>
  <c r="Q39" i="2"/>
  <c r="O41" i="2"/>
  <c r="P41" i="2"/>
  <c r="J41" i="10"/>
  <c r="M40" i="2"/>
  <c r="O44" i="1" l="1"/>
  <c r="BL51" i="5"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AI34" i="7"/>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O45" i="1" l="1"/>
  <c r="BL52" i="5"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G37" i="7" s="1"/>
  <c r="AI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AG36" i="7" s="1"/>
  <c r="Q36" i="7"/>
  <c r="AB39" i="1"/>
  <c r="DI39" i="5"/>
  <c r="C39" i="5"/>
  <c r="AC38" i="1"/>
  <c r="DA38" i="5"/>
  <c r="DG38" i="5" s="1" a="1"/>
  <c r="DG38" i="5" s="1"/>
  <c r="AE48" i="9"/>
  <c r="AI48" i="9"/>
  <c r="AC110" i="9"/>
  <c r="N24" i="1"/>
  <c r="S41" i="2"/>
  <c r="N42" i="2"/>
  <c r="R42" i="2"/>
  <c r="Q41" i="2"/>
  <c r="O43" i="2"/>
  <c r="J43" i="10"/>
  <c r="P43" i="2"/>
  <c r="M42" i="2"/>
  <c r="O46" i="1" l="1"/>
  <c r="BL53" i="5"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O47" i="1" l="1"/>
  <c r="BL54" i="5"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CZ41" i="5"/>
  <c r="AB41" i="1"/>
  <c r="DI41" i="5"/>
  <c r="V41" i="2"/>
  <c r="AC40" i="1"/>
  <c r="DA40" i="5"/>
  <c r="DG40" i="5" s="1" a="1"/>
  <c r="DG40" i="5" s="1"/>
  <c r="AE50" i="9"/>
  <c r="AI50" i="9"/>
  <c r="AC112" i="9"/>
  <c r="N26" i="1"/>
  <c r="S43" i="2"/>
  <c r="N44" i="2"/>
  <c r="R44" i="2"/>
  <c r="Q43" i="2"/>
  <c r="O45" i="2"/>
  <c r="J45" i="10"/>
  <c r="P45" i="2"/>
  <c r="M44" i="2"/>
  <c r="O48" i="1" l="1"/>
  <c r="BL55" i="5"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G39" i="7" s="1"/>
  <c r="AI39" i="7" s="1"/>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DG41" i="5" s="1" a="1"/>
  <c r="DG41" i="5" s="1"/>
  <c r="AB42" i="1"/>
  <c r="DI42" i="5"/>
  <c r="AE51" i="9"/>
  <c r="AI51" i="9"/>
  <c r="AC113" i="9"/>
  <c r="N27" i="1"/>
  <c r="S44" i="2"/>
  <c r="N45" i="2"/>
  <c r="R45" i="2"/>
  <c r="Q44" i="2"/>
  <c r="P46" i="2"/>
  <c r="O46" i="2"/>
  <c r="J46" i="10"/>
  <c r="M45" i="2"/>
  <c r="O49" i="1" l="1"/>
  <c r="BL56" i="5"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AG40" i="7" s="1"/>
  <c r="AI40" i="7" s="1"/>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O50" i="1" l="1"/>
  <c r="BL57" i="5"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G41" i="7" s="1"/>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O51" i="1" l="1"/>
  <c r="BL58" i="5"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AG42" i="7" s="1"/>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O52" i="1" l="1"/>
  <c r="BL59" i="5"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G43" i="7" s="1"/>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O53" i="1" l="1"/>
  <c r="BL60" i="5"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G44" i="7" s="1"/>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O54" i="1" l="1"/>
  <c r="BL61" i="5"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G45" i="7" s="1"/>
  <c r="Q45" i="7"/>
  <c r="AB48" i="1"/>
  <c r="DI48" i="5"/>
  <c r="J48" i="2"/>
  <c r="AC47" i="1"/>
  <c r="DA47" i="5"/>
  <c r="DG47" i="5" s="1" a="1"/>
  <c r="DG47" i="5" s="1"/>
  <c r="AE57" i="9"/>
  <c r="AI57" i="9"/>
  <c r="AC119" i="9"/>
  <c r="N33" i="1"/>
  <c r="S50" i="2"/>
  <c r="N51" i="2"/>
  <c r="R51" i="2"/>
  <c r="Q50" i="2"/>
  <c r="M51" i="2"/>
  <c r="O52" i="2"/>
  <c r="P52" i="2"/>
  <c r="J52" i="10"/>
  <c r="O55" i="1" l="1"/>
  <c r="BL62" i="5"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AG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O56" i="1" l="1"/>
  <c r="BL63" i="5"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G47" i="7" s="1"/>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O57" i="1" l="1"/>
  <c r="BL64" i="5"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AG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O58" i="1" l="1"/>
  <c r="BL65" i="5"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G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O59" i="1" l="1"/>
  <c r="BL66" i="5"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O60" i="1" l="1"/>
  <c r="BL67" i="5"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O61" i="1" l="1"/>
  <c r="BL68" i="5"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AG52" i="7" s="1"/>
  <c r="Q52" i="7"/>
  <c r="V54" i="2"/>
  <c r="C55" i="5"/>
  <c r="AC54" i="1"/>
  <c r="DA54" i="5"/>
  <c r="DG54" i="5" s="1" a="1"/>
  <c r="DG54" i="5" s="1"/>
  <c r="AB55" i="1"/>
  <c r="DI55" i="5"/>
  <c r="AE64" i="9"/>
  <c r="AI64" i="9"/>
  <c r="AC126" i="9"/>
  <c r="N40" i="1"/>
  <c r="S57" i="2"/>
  <c r="N58" i="2"/>
  <c r="R58" i="2"/>
  <c r="Q57" i="2"/>
  <c r="J59" i="10"/>
  <c r="P59" i="2"/>
  <c r="O59" i="2"/>
  <c r="M58" i="2"/>
  <c r="O62" i="1" l="1"/>
  <c r="BL69" i="5"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G53" i="7" s="1"/>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O63" i="1" l="1"/>
  <c r="BL70" i="5"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AG54" i="7" s="1"/>
  <c r="Q54" i="7"/>
  <c r="J57" i="2"/>
  <c r="AC56" i="1"/>
  <c r="DA56" i="5"/>
  <c r="DG56" i="5" s="1" a="1"/>
  <c r="DG56" i="5" s="1"/>
  <c r="AB57" i="1"/>
  <c r="DI57" i="5"/>
  <c r="AE66" i="9"/>
  <c r="AI66" i="9"/>
  <c r="AC128" i="9"/>
  <c r="N42" i="1"/>
  <c r="S59" i="2"/>
  <c r="N60" i="2"/>
  <c r="R60" i="2"/>
  <c r="Q59" i="2"/>
  <c r="O61" i="2"/>
  <c r="J61" i="10"/>
  <c r="P61" i="2"/>
  <c r="M60" i="2"/>
  <c r="O64" i="1" l="1"/>
  <c r="BL71" i="5"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G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O65" i="1" l="1"/>
  <c r="AP56" i="5"/>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AG56" i="7" s="1"/>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O66" i="1" l="1"/>
  <c r="BL73" i="5"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B60" i="1"/>
  <c r="DI60" i="5"/>
  <c r="V60" i="2"/>
  <c r="AC59" i="1"/>
  <c r="DA59" i="5"/>
  <c r="DG59" i="5" s="1" a="1"/>
  <c r="DG59" i="5" s="1"/>
  <c r="AE69" i="9"/>
  <c r="AI69" i="9"/>
  <c r="AC131" i="9"/>
  <c r="N45" i="1"/>
  <c r="S62" i="2"/>
  <c r="N63" i="2"/>
  <c r="R63" i="2"/>
  <c r="Q62" i="2"/>
  <c r="O64" i="2"/>
  <c r="J64" i="10"/>
  <c r="P64" i="2"/>
  <c r="M63" i="2"/>
  <c r="O67" i="1" l="1"/>
  <c r="BL74" i="5"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AG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O68" i="1" l="1"/>
  <c r="BL75" i="5"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O69" i="1" l="1"/>
  <c r="BL76" i="5"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AG60" i="7" s="1"/>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O70" i="1" l="1"/>
  <c r="BL77" i="5"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O71" i="1" l="1"/>
  <c r="BL78" i="5"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AG62" i="7" s="1"/>
  <c r="Q62" i="7"/>
  <c r="C65" i="5"/>
  <c r="AC64" i="1"/>
  <c r="DA64" i="5"/>
  <c r="DG64" i="5" s="1" a="1"/>
  <c r="DG64" i="5" s="1"/>
  <c r="AB65" i="1"/>
  <c r="DI65" i="5"/>
  <c r="AE74" i="9"/>
  <c r="AI74" i="9"/>
  <c r="AC136" i="9"/>
  <c r="N50" i="1"/>
  <c r="S67" i="2"/>
  <c r="N68" i="2"/>
  <c r="R68" i="2"/>
  <c r="Q67" i="2"/>
  <c r="J69" i="10"/>
  <c r="M68" i="2"/>
  <c r="O69" i="2"/>
  <c r="P69" i="2"/>
  <c r="O72" i="1" l="1"/>
  <c r="O61" i="8"/>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AG63" i="7" s="1"/>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O73" i="1" l="1"/>
  <c r="BL80" i="5"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AG64" i="7" s="1"/>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O74" i="1" l="1"/>
  <c r="BL81" i="5"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AG66" i="7" s="1"/>
  <c r="AI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O75" i="1" l="1"/>
  <c r="BL82" i="5"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O76" i="1" l="1"/>
  <c r="BL83" i="5"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AG67" i="7" s="1"/>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O77" i="1" l="1"/>
  <c r="BL84" i="5"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AE136" i="1"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AG68" i="7" s="1"/>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O78" i="1" l="1"/>
  <c r="BL85" i="5"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AG70" i="7" s="1"/>
  <c r="AI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O79" i="1" l="1"/>
  <c r="BL86" i="5"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O80" i="1" l="1"/>
  <c r="BL87" i="5" a="1"/>
  <c r="BL87" i="5" s="1"/>
  <c r="BS71" i="8"/>
  <c r="BY71" i="8" s="1"/>
  <c r="BO71" i="8"/>
  <c r="BK71" i="8"/>
  <c r="BL71" i="8"/>
  <c r="BI71" i="8"/>
  <c r="BJ71" i="8"/>
  <c r="BG71" i="8"/>
  <c r="BH71" i="8"/>
  <c r="BF71" i="8"/>
  <c r="AP71" i="5"/>
  <c r="AC71" i="10"/>
  <c r="X71" i="10" s="1"/>
  <c r="AO71" i="5"/>
  <c r="AM71" i="5"/>
  <c r="AN71" i="5"/>
  <c r="CK70" i="8"/>
  <c r="CL70" i="8" s="1"/>
  <c r="CU70" i="8"/>
  <c r="AM75" i="1"/>
  <c r="AS75" i="5"/>
  <c r="E79" i="8"/>
  <c r="E53" i="4"/>
  <c r="B41" i="4" s="1"/>
  <c r="AH75" i="11"/>
  <c r="E55" i="4"/>
  <c r="DF74" i="5"/>
  <c r="E58" i="4"/>
  <c r="E50" i="4"/>
  <c r="E59" i="4"/>
  <c r="E64" i="4"/>
  <c r="AK75" i="11"/>
  <c r="DB74" i="5"/>
  <c r="E56" i="4"/>
  <c r="AR76" i="8"/>
  <c r="AD76"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AG72" i="7" s="1"/>
  <c r="AI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G71" i="7" s="1"/>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6" i="4"/>
  <c r="N77" i="2"/>
  <c r="C36" i="4"/>
  <c r="R77" i="2"/>
  <c r="Q76" i="2"/>
  <c r="B44" i="4"/>
  <c r="M77" i="2"/>
  <c r="B35" i="4"/>
  <c r="O78" i="2"/>
  <c r="D87" i="4"/>
  <c r="J78" i="10"/>
  <c r="P78" i="2"/>
  <c r="O81" i="1" l="1"/>
  <c r="BL88" i="5"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8" i="4"/>
  <c r="E57" i="4"/>
  <c r="AD77" i="8"/>
  <c r="AR77" i="8"/>
  <c r="DH75" i="5"/>
  <c r="E62"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AG73" i="7" s="1"/>
  <c r="AI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5" i="4"/>
  <c r="C88" i="4"/>
  <c r="M78" i="2"/>
  <c r="J79" i="10"/>
  <c r="O79" i="2"/>
  <c r="P79" i="2"/>
  <c r="O82" i="1" l="1"/>
  <c r="BZ72" i="8"/>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E60"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49" i="4"/>
  <c r="AH43" i="5"/>
  <c r="BU43" i="5"/>
  <c r="AE85" i="9"/>
  <c r="AI85" i="9"/>
  <c r="B43" i="2"/>
  <c r="B43" i="1"/>
  <c r="BG43" i="1" s="1"/>
  <c r="B53" i="14"/>
  <c r="N61" i="1"/>
  <c r="S78" i="2"/>
  <c r="N79" i="2"/>
  <c r="R79" i="2"/>
  <c r="Q78" i="2"/>
  <c r="M79" i="2"/>
  <c r="J80" i="10"/>
  <c r="P80" i="2"/>
  <c r="O80" i="2"/>
  <c r="O83" i="1" l="1"/>
  <c r="CY72" i="8"/>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AG75" i="7" s="1"/>
  <c r="AI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G74" i="7" s="1"/>
  <c r="J76" i="2"/>
  <c r="C76" i="5"/>
  <c r="F76" i="5" s="1"/>
  <c r="CZ77" i="5"/>
  <c r="BW74" i="8"/>
  <c r="CM74" i="8" s="1"/>
  <c r="BT74" i="8"/>
  <c r="BU74" i="8"/>
  <c r="BV74" i="8"/>
  <c r="BX74" i="8"/>
  <c r="CO74" i="8" s="1"/>
  <c r="CP74" i="8" s="1"/>
  <c r="CC74" i="8"/>
  <c r="CS74" i="8" s="1"/>
  <c r="C77" i="5"/>
  <c r="AC76" i="1"/>
  <c r="E52" i="4"/>
  <c r="DA76" i="5"/>
  <c r="DG76" i="5" s="1" a="1"/>
  <c r="DG76" i="5" s="1"/>
  <c r="E66" i="4" s="1"/>
  <c r="AB77" i="1"/>
  <c r="DI77" i="5"/>
  <c r="AE86" i="9"/>
  <c r="AI86" i="9"/>
  <c r="L55" i="11"/>
  <c r="AS55" i="8"/>
  <c r="B60" i="14"/>
  <c r="N62" i="1"/>
  <c r="S79" i="2"/>
  <c r="N80" i="2"/>
  <c r="R80" i="2"/>
  <c r="Q79" i="2"/>
  <c r="O81" i="2"/>
  <c r="P81" i="2"/>
  <c r="J81" i="10"/>
  <c r="M80" i="2"/>
  <c r="O84" i="1" l="1"/>
  <c r="BL91" i="5"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85" i="1" l="1"/>
  <c r="BL92" i="5"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0" i="4"/>
  <c r="F68" i="4"/>
  <c r="I49" i="4"/>
  <c r="J49" i="4" s="1"/>
  <c r="F55" i="4"/>
  <c r="F57" i="4"/>
  <c r="F59" i="4"/>
  <c r="F62" i="4"/>
  <c r="C79" i="4" s="1"/>
  <c r="B24" i="4" s="1"/>
  <c r="C37"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G76" i="7" s="1"/>
  <c r="Q76" i="7"/>
  <c r="M29" i="7" s="1"/>
  <c r="J79" i="2"/>
  <c r="AC78" i="1"/>
  <c r="DA78" i="5"/>
  <c r="DG78" i="5" s="1" a="1"/>
  <c r="DG78" i="5" s="1"/>
  <c r="AB79" i="1"/>
  <c r="DI79" i="5"/>
  <c r="AE88" i="9"/>
  <c r="AI88" i="9"/>
  <c r="L35" i="11"/>
  <c r="AS35" i="8"/>
  <c r="D76" i="4"/>
  <c r="C25" i="4" s="1"/>
  <c r="D78" i="4"/>
  <c r="C76" i="4"/>
  <c r="D75" i="4"/>
  <c r="D80" i="4"/>
  <c r="B71" i="14"/>
  <c r="N64" i="1"/>
  <c r="S81" i="2"/>
  <c r="N82" i="2"/>
  <c r="R82" i="2"/>
  <c r="Q81" i="2"/>
  <c r="O83" i="2"/>
  <c r="P83" i="2"/>
  <c r="J83" i="10"/>
  <c r="M82" i="2"/>
  <c r="O86" i="1" l="1"/>
  <c r="B25" i="4"/>
  <c r="C38" i="4" s="1"/>
  <c r="BL93" i="5" a="1"/>
  <c r="BL93" i="5" s="1"/>
  <c r="F35"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G77" i="7" s="1"/>
  <c r="AI77" i="7" s="1"/>
  <c r="AA76" i="11"/>
  <c r="AK76" i="1" s="1"/>
  <c r="Z76" i="11"/>
  <c r="AD76" i="11"/>
  <c r="AI76" i="1" s="1"/>
  <c r="N77" i="11"/>
  <c r="AC76" i="11"/>
  <c r="T76" i="8" s="1"/>
  <c r="G35"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G78" i="7" s="1"/>
  <c r="AI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C24" i="4" s="1"/>
  <c r="AQ76" i="5"/>
  <c r="I60"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O87" i="1" l="1"/>
  <c r="BL94" i="5" a="1"/>
  <c r="BL94" i="5" s="1"/>
  <c r="F38" i="4"/>
  <c r="H38" i="4" s="1"/>
  <c r="R4" i="8"/>
  <c r="F36" i="4"/>
  <c r="H36" i="4" s="1"/>
  <c r="F37" i="4"/>
  <c r="H37"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5"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39" i="4"/>
  <c r="I47" i="4" s="1"/>
  <c r="O88" i="1" l="1"/>
  <c r="BL95" i="5" a="1"/>
  <c r="BL95" i="5" s="1"/>
  <c r="O77" i="8"/>
  <c r="F39" i="4"/>
  <c r="I48"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N79" i="7"/>
  <c r="BD80" i="8"/>
  <c r="BP80" i="8" s="1"/>
  <c r="BE80" i="8"/>
  <c r="BN80" i="8" s="1"/>
  <c r="AF91" i="9"/>
  <c r="B54"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AG79" i="7" s="1"/>
  <c r="Q79" i="7"/>
  <c r="DI82" i="5"/>
  <c r="AB82" i="1"/>
  <c r="V82" i="2"/>
  <c r="AC81" i="1"/>
  <c r="DA81" i="5"/>
  <c r="DG81" i="5" s="1" a="1"/>
  <c r="DG81" i="5" s="1"/>
  <c r="AE91" i="9"/>
  <c r="AI91" i="9"/>
  <c r="N67" i="1"/>
  <c r="S84" i="2"/>
  <c r="N85" i="2"/>
  <c r="R85" i="2"/>
  <c r="Q84" i="2"/>
  <c r="P86" i="2"/>
  <c r="O86" i="2"/>
  <c r="J86" i="10"/>
  <c r="M85" i="2"/>
  <c r="O89" i="1" l="1"/>
  <c r="BL96" i="5"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O90" i="1" l="1"/>
  <c r="BL97" i="5"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G81" i="7" s="1"/>
  <c r="AR80" i="5"/>
  <c r="B80" i="14"/>
  <c r="AI80" i="7"/>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O91" i="1" l="1"/>
  <c r="BL98" i="5"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O92" i="1" l="1"/>
  <c r="BL99" i="5"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G83" i="7" s="1"/>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O93" i="1" l="1"/>
  <c r="BL100" i="5"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AG84" i="7" s="1"/>
  <c r="Q84" i="7"/>
  <c r="C87" i="5"/>
  <c r="AC86" i="1"/>
  <c r="DA86" i="5"/>
  <c r="DG86" i="5" s="1" a="1"/>
  <c r="DG86" i="5" s="1"/>
  <c r="DI87" i="5"/>
  <c r="AB87" i="1"/>
  <c r="AE96" i="9"/>
  <c r="AI96" i="9"/>
  <c r="N72" i="1"/>
  <c r="S89" i="2"/>
  <c r="N90" i="2"/>
  <c r="R90" i="2"/>
  <c r="Q89" i="2"/>
  <c r="J91" i="10"/>
  <c r="P91" i="2"/>
  <c r="M90" i="2"/>
  <c r="O91" i="2"/>
  <c r="O94" i="1" l="1"/>
  <c r="BL101" i="5"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O95" i="1" l="1"/>
  <c r="BL102" i="5"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AG86" i="7" s="1"/>
  <c r="V89" i="2"/>
  <c r="AC88" i="1"/>
  <c r="DA88" i="5"/>
  <c r="DG88" i="5" s="1" a="1"/>
  <c r="DG88" i="5" s="1"/>
  <c r="AB89" i="1"/>
  <c r="DI89" i="5"/>
  <c r="AE98" i="9"/>
  <c r="AI98" i="9"/>
  <c r="N74" i="1"/>
  <c r="S91" i="2"/>
  <c r="N92" i="2"/>
  <c r="R92" i="2"/>
  <c r="Q91" i="2"/>
  <c r="P93" i="2"/>
  <c r="O93" i="2"/>
  <c r="M92" i="2"/>
  <c r="J93" i="10"/>
  <c r="O96" i="1" l="1"/>
  <c r="BL103" i="5"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O97" i="1" l="1"/>
  <c r="BL104" i="5"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AG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O98" i="1" l="1"/>
  <c r="BL105" i="5"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AG89" i="7" s="1"/>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4" i="4"/>
  <c r="N77" i="1"/>
  <c r="S94" i="2"/>
  <c r="N95" i="2"/>
  <c r="R95" i="2"/>
  <c r="Q94" i="2"/>
  <c r="O96" i="2"/>
  <c r="J96" i="10"/>
  <c r="P96" i="2"/>
  <c r="M95" i="2"/>
  <c r="O99" i="1" l="1"/>
  <c r="BL106" i="5"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AG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O100" i="1" l="1"/>
  <c r="BL107" i="5"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O101" i="1" l="1"/>
  <c r="BL108" i="5"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G93" i="7" s="1"/>
  <c r="AI93" i="7" s="1"/>
  <c r="A93" i="10"/>
  <c r="AA93" i="10" s="1"/>
  <c r="A93" i="11"/>
  <c r="N93" i="11" s="1"/>
  <c r="AW93" i="5"/>
  <c r="AI93" i="5"/>
  <c r="AJ93" i="5"/>
  <c r="DA93" i="8"/>
  <c r="DB93" i="8" s="1"/>
  <c r="E93" i="1"/>
  <c r="CF93" i="8"/>
  <c r="AV93" i="5"/>
  <c r="AB93" i="8"/>
  <c r="BM93" i="8" s="1"/>
  <c r="BE93" i="8"/>
  <c r="BN93" i="8" s="1"/>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AG92" i="7" s="1"/>
  <c r="CD92" i="8"/>
  <c r="CT92" i="8" s="1"/>
  <c r="CU92" i="8" s="1"/>
  <c r="V94" i="2"/>
  <c r="CZ95" i="5"/>
  <c r="J94" i="2"/>
  <c r="V95" i="2"/>
  <c r="AC94" i="1"/>
  <c r="DA94" i="5"/>
  <c r="DG94" i="5" s="1" a="1"/>
  <c r="DG94" i="5" s="1"/>
  <c r="AB95" i="1"/>
  <c r="DI95" i="5"/>
  <c r="AE104" i="9"/>
  <c r="AI104" i="9"/>
  <c r="N80" i="1"/>
  <c r="S97" i="2"/>
  <c r="N98" i="2"/>
  <c r="R98" i="2"/>
  <c r="Q97" i="2"/>
  <c r="M98" i="2"/>
  <c r="J99" i="10"/>
  <c r="P99" i="2"/>
  <c r="O99" i="2"/>
  <c r="O102" i="1" l="1"/>
  <c r="BL109" i="5"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O103" i="1" l="1"/>
  <c r="BL110" i="5"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O104" i="1" l="1"/>
  <c r="BL111" i="5"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G95" i="7" s="1"/>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O105" i="1" l="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G97" i="7" s="1"/>
  <c r="AI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O106" i="1" l="1"/>
  <c r="BL113" i="5"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O107" i="1" l="1"/>
  <c r="BL114" i="5"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AG98" i="7" s="1"/>
  <c r="AI98" i="7" s="1"/>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O108" i="1" l="1"/>
  <c r="BL115" i="5"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AG100" i="7" s="1"/>
  <c r="AI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AG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O109" i="1" l="1"/>
  <c r="O98" i="8"/>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O110" i="1" l="1"/>
  <c r="BL117" i="5"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G102" i="7" s="1"/>
  <c r="AI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O111" i="1" l="1"/>
  <c r="BL118" i="5"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O112" i="1" l="1"/>
  <c r="BL119" i="5"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G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O113" i="1" l="1"/>
  <c r="BL120" i="5"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AG104" i="7" s="1"/>
  <c r="AI104" i="7" s="1"/>
  <c r="CC104" i="8"/>
  <c r="CS104" i="8" s="1"/>
  <c r="CU104" i="8" s="1"/>
  <c r="D105" i="9"/>
  <c r="N104" i="7"/>
  <c r="AB105" i="8"/>
  <c r="BM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O114" i="1" l="1"/>
  <c r="BL121" i="5"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O115" i="1" l="1"/>
  <c r="BL122" i="5"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O116" i="1" l="1"/>
  <c r="BL123" i="5"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G108" i="7" s="1"/>
  <c r="AI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O117" i="1" l="1"/>
  <c r="BL124" i="5"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O118" i="1" l="1"/>
  <c r="BL125" i="5"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G109" i="7" s="1"/>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O119" i="1" l="1"/>
  <c r="BL126" i="5"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O120" i="1" l="1"/>
  <c r="BL127" i="5"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AG112" i="7" s="1"/>
  <c r="AI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O121" i="1" l="1"/>
  <c r="BL128" i="5"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O122" i="1" l="1"/>
  <c r="BL129" i="5"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G113" i="7" s="1"/>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O123" i="1" l="1"/>
  <c r="BL130" i="5"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O124" i="1" l="1"/>
  <c r="BL131" i="5"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G116" i="7" s="1"/>
  <c r="AI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O125" i="1" l="1"/>
  <c r="BL132" i="5"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G117" i="7" s="1"/>
  <c r="AI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O126" i="1" l="1"/>
  <c r="BL133" i="5"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O127" i="1" l="1"/>
  <c r="BL134" i="5"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G119" i="7" s="1"/>
  <c r="AI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AG118" i="7" s="1"/>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O128" i="1" l="1"/>
  <c r="BY118" i="8"/>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G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O129" i="1" l="1"/>
  <c r="O118" i="8"/>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G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O130" i="1" l="1"/>
  <c r="AK125" i="1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O131" i="1" l="1"/>
  <c r="BY121" i="8"/>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G122" i="7" s="1"/>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O132" i="1" l="1"/>
  <c r="O121" i="8"/>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O133" i="1" l="1"/>
  <c r="BY123" i="8"/>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O134" i="1" l="1"/>
  <c r="AP125" i="5"/>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O135" i="1" l="1"/>
  <c r="BY125" i="8"/>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AG126" i="7" s="1"/>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O136" i="1" l="1"/>
  <c r="O125" i="8"/>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AG127" i="7" s="1"/>
  <c r="Q127" i="7"/>
  <c r="AR126" i="5"/>
  <c r="AB130" i="1"/>
  <c r="DI130" i="5"/>
  <c r="V130" i="2"/>
  <c r="AC129" i="1"/>
  <c r="DA129" i="5"/>
  <c r="DG129" i="5" s="1" a="1"/>
  <c r="DG129" i="5" s="1"/>
  <c r="N115" i="1"/>
  <c r="S132" i="2"/>
  <c r="N133" i="2"/>
  <c r="R133" i="2"/>
  <c r="Q132" i="2"/>
  <c r="M133" i="2"/>
  <c r="J134" i="10"/>
  <c r="P134" i="2"/>
  <c r="O134" i="2"/>
  <c r="AP128" i="5" l="1"/>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G128" i="7" s="1"/>
  <c r="AR127" i="5"/>
  <c r="V131" i="2"/>
  <c r="AC130" i="1"/>
  <c r="DA130" i="5"/>
  <c r="DG130" i="5" s="1" a="1"/>
  <c r="DG130" i="5" s="1"/>
  <c r="AB131" i="1"/>
  <c r="DI131" i="5"/>
  <c r="N116" i="1"/>
  <c r="S133" i="2"/>
  <c r="N134" i="2"/>
  <c r="R134" i="2"/>
  <c r="Q133" i="2"/>
  <c r="O135" i="2"/>
  <c r="P135" i="2"/>
  <c r="J135" i="10"/>
  <c r="M134" i="2"/>
  <c r="BZ128" i="8" l="1"/>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AG129" i="7" s="1"/>
  <c r="Q129" i="7"/>
  <c r="AR128" i="5"/>
  <c r="O128" i="8"/>
  <c r="AB132" i="1"/>
  <c r="DI132" i="5"/>
  <c r="AC131" i="1"/>
  <c r="DA131" i="5"/>
  <c r="DG131" i="5" s="1" a="1"/>
  <c r="DG131" i="5" s="1"/>
  <c r="N117" i="1"/>
  <c r="S134" i="2"/>
  <c r="N135" i="2"/>
  <c r="R135" i="2"/>
  <c r="Q134" i="2"/>
  <c r="M135" i="2"/>
  <c r="O136" i="2"/>
  <c r="J136" i="10"/>
  <c r="P136" i="2"/>
  <c r="BY129" i="8" l="1"/>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AG130" i="7" s="1"/>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29" i="8" l="1"/>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AG131" i="7" s="1"/>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DG133" i="5" l="1"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AG132" i="7" s="1"/>
  <c r="BT132" i="8"/>
  <c r="BT133" i="5"/>
  <c r="E133" i="1"/>
  <c r="BW132" i="8"/>
  <c r="CM132" i="8" s="1"/>
  <c r="BU132" i="8"/>
  <c r="BV132" i="8"/>
  <c r="CC132" i="8"/>
  <c r="CS132" i="8" s="1"/>
  <c r="W133" i="8"/>
  <c r="AB133" i="8"/>
  <c r="BM133" i="8" s="1"/>
  <c r="A133" i="10"/>
  <c r="AA133" i="10" s="1"/>
  <c r="AW133" i="5"/>
  <c r="B133" i="7"/>
  <c r="AE133" i="7" s="1"/>
  <c r="AG133" i="7" s="1"/>
  <c r="F134" i="5"/>
  <c r="B135" i="10"/>
  <c r="D135" i="7"/>
  <c r="G136" i="5"/>
  <c r="CZ136" i="5" s="1"/>
  <c r="B135" i="5"/>
  <c r="V135" i="2"/>
  <c r="C135" i="5"/>
  <c r="AB136" i="1"/>
  <c r="DI136" i="5"/>
  <c r="J136" i="2"/>
  <c r="AC135" i="1"/>
  <c r="DA135" i="5"/>
  <c r="N121" i="1"/>
  <c r="BY132" i="8" l="1"/>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AI132" i="7"/>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AG134" i="7" s="1"/>
  <c r="CD134" i="8"/>
  <c r="CT134" i="8" s="1"/>
  <c r="AV135" i="5"/>
  <c r="F136" i="5"/>
  <c r="BZ134" i="8"/>
  <c r="AA1269" i="14"/>
  <c r="AA1270" i="14" s="1"/>
  <c r="N123" i="1"/>
  <c r="O133" i="8" l="1"/>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G135" i="7" s="1"/>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BZ135" i="8" l="1"/>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BZ136" i="8" l="1"/>
  <c r="CQ136" i="8" s="1"/>
  <c r="CR136" i="8" s="1"/>
  <c r="I61" i="4"/>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U6" i="2" s="1"/>
  <c r="AB6" i="7"/>
  <c r="AJ6" i="7" s="1"/>
  <c r="W5" i="2" l="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U13" i="2" s="1"/>
  <c r="E13" i="2"/>
  <c r="L13" i="2" s="1"/>
  <c r="AB13" i="7"/>
  <c r="AJ13" i="7" s="1"/>
  <c r="BL51" i="1"/>
  <c r="V51" i="1"/>
  <c r="K52" i="1" s="1"/>
  <c r="AR52" i="1" s="1"/>
  <c r="C51" i="9"/>
  <c r="W12" i="2" l="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U16" i="2" s="1"/>
  <c r="AT16" i="8"/>
  <c r="AB16" i="7"/>
  <c r="AJ16" i="7" s="1"/>
  <c r="BL70" i="1"/>
  <c r="V70" i="1"/>
  <c r="K71" i="1" s="1"/>
  <c r="AR71" i="1" s="1"/>
  <c r="C70" i="9"/>
  <c r="W15" i="2" l="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U26" i="2" s="1"/>
  <c r="V126" i="1"/>
  <c r="K127" i="1" s="1"/>
  <c r="AR127" i="1" s="1"/>
  <c r="BL126" i="1"/>
  <c r="C126" i="9"/>
  <c r="W25" i="2" l="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s="1"/>
  <c r="W26" i="2" l="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s="1"/>
  <c r="W27" i="2" l="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s="1"/>
  <c r="W28" i="2" l="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s="1"/>
  <c r="W32" i="2" l="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U34" i="2" s="1"/>
  <c r="AB34" i="7"/>
  <c r="AJ34" i="7" s="1"/>
  <c r="E34" i="2"/>
  <c r="L34" i="2" s="1"/>
  <c r="W33" i="2" l="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U35" i="2" s="1"/>
  <c r="AB35" i="7"/>
  <c r="AJ35" i="7" s="1"/>
  <c r="W34" i="2" l="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s="1"/>
  <c r="W36" i="2" l="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s="1"/>
  <c r="W39" i="2" l="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U46" i="2" s="1"/>
  <c r="AT46" i="8"/>
  <c r="W45" i="2" l="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U47" i="2" s="1"/>
  <c r="AB47" i="7"/>
  <c r="AJ47" i="7" s="1"/>
  <c r="W46" i="2" l="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U48" i="2" s="1"/>
  <c r="AB48" i="7"/>
  <c r="AJ48" i="7" s="1"/>
  <c r="W47" i="2" l="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U51" i="2" s="1"/>
  <c r="E51" i="2"/>
  <c r="L51" i="2" s="1"/>
  <c r="W50" i="2" l="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U53" i="2" s="1"/>
  <c r="AB53" i="7"/>
  <c r="AJ53" i="7" s="1"/>
  <c r="W52" i="2" l="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s="1"/>
  <c r="W55" i="2" l="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U57" i="2" s="1"/>
  <c r="AT57" i="8"/>
  <c r="W56" i="2" l="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U59" i="2" s="1"/>
  <c r="AB59" i="7"/>
  <c r="AJ59" i="7" s="1"/>
  <c r="W58" i="2" l="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U61" i="2" s="1"/>
  <c r="AB61" i="7"/>
  <c r="AJ61" i="7" s="1"/>
  <c r="W60" i="2" l="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U62" i="2" s="1"/>
  <c r="AB62" i="7"/>
  <c r="AJ62" i="7" s="1"/>
  <c r="W61" i="2" l="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s="1"/>
  <c r="W62" i="2" l="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U64" i="2" s="1"/>
  <c r="AB64" i="7"/>
  <c r="AJ64" i="7" s="1"/>
  <c r="M28" i="7"/>
  <c r="W63" i="2" l="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s="1"/>
  <c r="W65" i="2" l="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s="1"/>
  <c r="W69" i="2" l="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s="1"/>
  <c r="W75" i="2" l="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U79" i="2" s="1"/>
  <c r="AT79" i="8"/>
  <c r="W78" i="2" l="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U80" i="2" s="1"/>
  <c r="AB80" i="7"/>
  <c r="AJ80" i="7" s="1"/>
  <c r="W79" i="2" l="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U81" i="2" s="1"/>
  <c r="AB81" i="7"/>
  <c r="AJ81" i="7" s="1"/>
  <c r="W80" i="2" l="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U82" i="2" s="1"/>
  <c r="AB82" i="7"/>
  <c r="AJ82" i="7" s="1"/>
  <c r="W81" i="2" l="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U85" i="2" s="1"/>
  <c r="AT85" i="8"/>
  <c r="W84" i="2" l="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U86" i="2" s="1"/>
  <c r="AB86" i="7"/>
  <c r="AJ86" i="7" s="1"/>
  <c r="W85" i="2" l="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U87" i="2" s="1"/>
  <c r="AT87" i="8"/>
  <c r="W86" i="2" l="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s="1"/>
  <c r="W88" i="2" l="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U90" i="2" s="1"/>
  <c r="AB90" i="7"/>
  <c r="AJ90" i="7" s="1"/>
  <c r="W89" i="2" l="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U91" i="2" s="1"/>
  <c r="AB91" i="7"/>
  <c r="AJ91" i="7" s="1"/>
  <c r="W90" i="2" l="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U93" i="2" s="1"/>
  <c r="AB93" i="7"/>
  <c r="AJ93" i="7" s="1"/>
  <c r="W92" i="2" l="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U96" i="2" s="1"/>
  <c r="E96" i="2"/>
  <c r="L96" i="2" s="1"/>
  <c r="W95" i="2" l="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U97" i="2" s="1"/>
  <c r="AT97" i="8"/>
  <c r="W96" i="2" l="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U98" i="2" s="1"/>
  <c r="AT98" i="8"/>
  <c r="W97" i="2" l="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U100" i="2" s="1"/>
  <c r="AT100" i="8"/>
  <c r="W99" i="2" l="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U104" i="2" s="1"/>
  <c r="AB104" i="7"/>
  <c r="AJ104" i="7" s="1"/>
  <c r="W103" i="2" l="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U105" i="2" s="1"/>
  <c r="AT105" i="8"/>
  <c r="W104" i="2" l="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s="1"/>
  <c r="W106" i="2" l="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s="1"/>
  <c r="W107" i="2" l="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s="1"/>
  <c r="W109" i="2" l="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U114" i="2" s="1"/>
  <c r="AT114" i="8"/>
  <c r="W113" i="2" l="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s="1"/>
  <c r="W114" i="2" l="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U116" i="2" s="1"/>
  <c r="AT116" i="8"/>
  <c r="W115" i="2" l="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U119" i="2" s="1"/>
  <c r="E119" i="2"/>
  <c r="L119" i="2" s="1"/>
  <c r="W118" i="2" l="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AJ121" i="7"/>
  <c r="W120" i="2"/>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s="1"/>
  <c r="W121" i="2" l="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U124" i="2" s="1"/>
  <c r="AT124" i="8"/>
  <c r="W123" i="2" l="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U126" i="2" s="1"/>
  <c r="E126" i="2"/>
  <c r="L126" i="2" s="1"/>
  <c r="AJ126" i="7" l="1"/>
  <c r="W125" i="2"/>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U127" i="2" s="1"/>
  <c r="AB127" i="7"/>
  <c r="AJ127" i="7" s="1"/>
  <c r="W126" i="2" l="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U129" i="2" s="1"/>
  <c r="AT129" i="8"/>
  <c r="W128" i="2" l="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U131" i="2" s="1"/>
  <c r="AT131" i="8"/>
  <c r="W130" i="2" l="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U133" i="2" s="1"/>
  <c r="AT133" i="8"/>
  <c r="W132" i="2" l="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P5" i="1" s="1"/>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6" i="1" l="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<sst xmlns="http://schemas.openxmlformats.org/spreadsheetml/2006/main" count="2903" uniqueCount="1113">
  <si>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</si>
  <si>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</si>
  <si>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</si>
  <si>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</si>
  <si>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</si>
  <si>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</si>
  <si>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</si>
  <si>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</si>
  <si>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</si>
  <si>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</si>
  <si>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</si>
  <si>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</si>
  <si>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</si>
  <si>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</si>
  <si>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</si>
  <si>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</si>
  <si>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</si>
  <si>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</si>
  <si>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</si>
  <si>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</si>
  <si>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</si>
  <si>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</si>
  <si>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</si>
  <si>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</si>
  <si>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</si>
  <si>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</si>
  <si>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</si>
  <si>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</si>
  <si>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</si>
  <si>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</si>
  <si>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</si>
  <si>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</si>
  <si>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</si>
  <si>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</si>
  <si>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</si>
  <si>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</si>
  <si>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</si>
  <si>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</si>
  <si>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</si>
  <si>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</si>
  <si>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</si>
  <si>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</si>
  <si>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</si>
  <si>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</si>
  <si>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</si>
  <si>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</si>
  <si>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</si>
  <si>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</si>
  <si>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</si>
  <si>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</si>
  <si>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</si>
  <si>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</si>
  <si>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</si>
  <si>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</si>
  <si>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</si>
  <si>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</si>
  <si>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</si>
  <si>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</si>
  <si>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</si>
  <si>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</si>
  <si>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</si>
  <si>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</si>
  <si>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</si>
  <si>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</si>
  <si>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</si>
  <si>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</si>
  <si>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</si>
  <si>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</si>
  <si>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</si>
  <si>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</si>
  <si>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</si>
  <si>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</si>
  <si>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</si>
  <si>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</si>
  <si>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</si>
  <si>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</si>
  <si>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</si>
  <si>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</si>
  <si>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</si>
  <si>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</si>
  <si>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</si>
  <si>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</si>
  <si>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</si>
  <si>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</si>
  <si>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</si>
  <si>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</si>
  <si>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</si>
  <si>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</si>
  <si>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</si>
  <si>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</si>
  <si>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</si>
  <si>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</si>
  <si>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</si>
  <si>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</si>
  <si>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</si>
  <si>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</si>
  <si>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</si>
  <si>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</si>
  <si>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</si>
  <si>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</si>
  <si>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</si>
  <si>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</si>
  <si>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</si>
  <si>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</si>
  <si>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</si>
  <si>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</si>
  <si>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</si>
  <si>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</si>
  <si>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</si>
  <si>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</si>
  <si>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</si>
  <si>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</si>
  <si>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</si>
  <si>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</si>
  <si>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</si>
  <si>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</si>
  <si>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</si>
  <si>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</si>
  <si>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</si>
  <si>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</si>
  <si>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</si>
  <si>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</si>
  <si>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</si>
  <si>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</si>
  <si>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</si>
  <si>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</si>
  <si>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</si>
  <si>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</si>
  <si>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</si>
  <si>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</si>
  <si>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</si>
  <si>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</si>
  <si>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</si>
  <si>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</si>
  <si>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</si>
  <si>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</si>
  <si>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</si>
  <si>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</si>
  <si>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</si>
  <si>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</si>
  <si>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</si>
  <si>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</si>
  <si>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</si>
  <si>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</si>
  <si>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</si>
  <si>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</si>
  <si>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</si>
  <si>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</si>
  <si>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</si>
  <si>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</si>
  <si>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</si>
  <si>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</si>
  <si>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</si>
  <si>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</si>
  <si>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</si>
  <si>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</si>
  <si>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</si>
  <si>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</si>
  <si>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</si>
  <si>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</si>
  <si>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</si>
  <si>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</si>
  <si>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</si>
  <si>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</si>
  <si>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</si>
  <si>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</si>
  <si>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</si>
  <si>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</si>
  <si>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</si>
  <si>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</si>
  <si>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</si>
  <si>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</si>
  <si>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</si>
  <si>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</si>
  <si>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</si>
  <si>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</si>
  <si>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</si>
  <si>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</si>
  <si>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</si>
  <si>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</si>
  <si>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</si>
  <si>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</si>
  <si>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</si>
  <si>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</si>
  <si>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</si>
  <si>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</si>
  <si>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</si>
  <si>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</si>
  <si>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</si>
  <si>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</si>
  <si>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</si>
  <si>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</si>
  <si>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</si>
  <si>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</si>
  <si>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</si>
  <si>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</si>
  <si>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</si>
  <si>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</si>
  <si>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</si>
  <si>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</si>
  <si>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</si>
  <si>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</si>
  <si>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</si>
  <si>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</si>
  <si>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</si>
  <si>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</si>
  <si>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</si>
  <si>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</si>
  <si>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</si>
  <si>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</si>
  <si>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</si>
  <si>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</si>
  <si>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</si>
  <si>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</si>
  <si>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</si>
  <si>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</si>
  <si>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</si>
  <si>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</si>
  <si>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</si>
  <si>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</si>
  <si>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</si>
  <si>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</si>
  <si>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</si>
  <si>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</si>
  <si>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</si>
  <si>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</si>
  <si>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</si>
  <si>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</si>
  <si>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</si>
  <si>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</si>
  <si>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</si>
  <si>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</si>
  <si>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</si>
  <si>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</si>
  <si>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</si>
  <si>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</si>
  <si>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</si>
  <si>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</si>
  <si>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</si>
  <si>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</si>
  <si>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</si>
  <si>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</si>
  <si>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</si>
  <si>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</si>
  <si>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</si>
  <si>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</si>
  <si>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</si>
  <si>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</si>
  <si>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</si>
  <si>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</si>
  <si>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</si>
  <si>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</si>
  <si>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</si>
  <si>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</si>
  <si>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</si>
  <si>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</si>
  <si>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</si>
  <si>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</si>
  <si>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</si>
  <si>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</si>
  <si>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</si>
  <si>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</si>
  <si>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</si>
  <si>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</si>
  <si>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</si>
  <si>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</si>
  <si>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</si>
  <si>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</si>
  <si>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</si>
  <si>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</si>
  <si>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</si>
  <si>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</si>
  <si>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</si>
  <si>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</si>
  <si>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</si>
  <si>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</si>
  <si>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</si>
  <si>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</si>
  <si>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</si>
  <si>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</si>
  <si>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</si>
  <si>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</si>
  <si>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</si>
  <si>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</si>
  <si>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</si>
  <si>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</si>
  <si>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</si>
  <si>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</si>
  <si>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</si>
  <si>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</si>
  <si>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</si>
  <si>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</si>
  <si>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</si>
  <si>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</si>
  <si>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</si>
  <si>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</si>
  <si>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</si>
  <si>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</si>
  <si>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</si>
  <si>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</si>
  <si>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</si>
  <si>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</si>
  <si>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</si>
  <si>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</si>
  <si>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</si>
  <si>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</si>
  <si>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</si>
  <si>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</si>
  <si>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</si>
  <si>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</si>
  <si>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</si>
  <si>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</si>
  <si>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</si>
  <si>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</si>
  <si>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</si>
  <si>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</si>
  <si>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</si>
  <si>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</si>
  <si>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</si>
  <si>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</si>
  <si>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</si>
  <si>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</si>
  <si>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</si>
  <si>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</si>
  <si>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</si>
  <si>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</si>
  <si>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</si>
  <si>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</si>
  <si>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</si>
  <si>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</si>
  <si>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</si>
  <si>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</si>
  <si>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</si>
  <si>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</si>
  <si>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</si>
  <si>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</si>
  <si>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</si>
  <si>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</si>
  <si>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</si>
  <si>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</si>
  <si>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</si>
  <si>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</si>
  <si>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</si>
  <si>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</si>
  <si>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</si>
  <si>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</si>
  <si>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</si>
  <si>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</si>
  <si>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</si>
  <si>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</si>
  <si>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</si>
  <si>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</si>
  <si>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</si>
  <si>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</si>
  <si>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</si>
  <si>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</si>
  <si>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</si>
  <si>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</si>
  <si>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</si>
  <si>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</si>
  <si>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</si>
  <si>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</si>
  <si>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</si>
  <si>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</si>
  <si>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</si>
  <si>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</si>
  <si>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</si>
  <si>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</si>
  <si>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</si>
  <si>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</si>
  <si>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</si>
  <si>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</si>
  <si>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</si>
  <si>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</si>
  <si>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</si>
  <si>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</si>
  <si>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</si>
  <si>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</si>
  <si>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</si>
  <si>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</si>
  <si>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</si>
  <si>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</si>
  <si>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</si>
  <si>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</si>
  <si>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</si>
  <si>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</si>
  <si>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</si>
  <si>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</si>
  <si>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</si>
  <si>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</si>
  <si>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</si>
  <si>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</si>
  <si>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</si>
  <si>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</si>
  <si>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</si>
  <si>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</si>
  <si>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</si>
  <si>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</si>
  <si>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</si>
  <si>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</si>
  <si>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</si>
  <si>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</si>
  <si>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</si>
  <si>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</si>
  <si>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</si>
  <si>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</si>
  <si>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</si>
  <si>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</si>
  <si>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</si>
  <si>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</si>
  <si>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</si>
  <si>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</si>
  <si>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</si>
  <si>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</si>
  <si>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</si>
  <si>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</si>
  <si>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</si>
  <si>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</si>
  <si>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</si>
  <si>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</si>
  <si>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</si>
  <si>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</si>
  <si>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</si>
  <si>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</si>
  <si>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</si>
  <si>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</si>
  <si>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</si>
  <si>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</si>
  <si>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</si>
  <si>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</si>
  <si>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</si>
  <si>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</si>
  <si>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</si>
  <si>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</si>
  <si>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</si>
  <si>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</si>
  <si>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</si>
  <si>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</si>
  <si>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</si>
  <si>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</si>
  <si>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</si>
  <si>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</si>
  <si>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</si>
  <si>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</si>
  <si>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</si>
  <si>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</si>
  <si>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</si>
  <si>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</si>
  <si>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</si>
  <si>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</si>
  <si>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</si>
  <si>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</si>
  <si>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</si>
  <si>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</si>
  <si>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</si>
  <si>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</si>
  <si>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</si>
  <si>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</si>
  <si>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</si>
  <si>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</si>
  <si>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</si>
  <si>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</si>
  <si>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</si>
  <si>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</si>
  <si>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</si>
  <si>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</si>
  <si>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</si>
  <si>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</si>
  <si>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</si>
  <si>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</si>
  <si>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</si>
  <si>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</si>
  <si>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</si>
  <si>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</si>
  <si>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</si>
  <si>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</si>
  <si>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</si>
  <si>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</si>
  <si>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</si>
  <si>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</si>
  <si>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</si>
  <si>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</si>
  <si>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</si>
  <si>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</si>
  <si>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</si>
  <si>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</si>
  <si>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</si>
  <si>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</si>
  <si>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</si>
  <si>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</si>
  <si>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</si>
  <si>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</si>
  <si>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</si>
  <si>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</si>
  <si>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</si>
  <si>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</si>
  <si>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</si>
  <si>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</si>
  <si>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</si>
  <si>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</si>
  <si>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</si>
  <si>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</si>
  <si>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</si>
  <si>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</si>
  <si>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</si>
  <si>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</si>
  <si>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</si>
  <si>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</si>
  <si>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</si>
  <si>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</si>
  <si>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</si>
  <si>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</si>
  <si>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</si>
  <si>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</si>
  <si>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</si>
  <si>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</si>
  <si>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</si>
  <si>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</si>
  <si>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</si>
  <si>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</si>
  <si>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</si>
  <si>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</si>
  <si>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</si>
  <si>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</si>
  <si>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</si>
  <si>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</si>
  <si>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</si>
  <si>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</si>
  <si>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</si>
  <si>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</si>
  <si>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</si>
  <si>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</si>
  <si>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</si>
  <si>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</si>
  <si>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</si>
  <si>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</si>
  <si>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</si>
  <si>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</si>
  <si>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</si>
  <si>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</si>
  <si>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</si>
  <si>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</si>
  <si>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</si>
  <si>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</si>
  <si>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</si>
  <si>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</si>
  <si>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</si>
  <si>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</si>
  <si>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</si>
  <si>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</si>
  <si>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</si>
  <si>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</si>
  <si>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</si>
  <si>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</si>
  <si>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</si>
  <si>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</si>
  <si>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</si>
  <si>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</si>
  <si>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</si>
  <si>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</si>
  <si>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</si>
  <si>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</si>
  <si>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</si>
  <si>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</si>
  <si>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</si>
  <si>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</si>
  <si>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</si>
  <si>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</si>
  <si>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</si>
  <si>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</si>
  <si>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</si>
  <si>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</si>
  <si>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</si>
  <si>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</si>
  <si>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</si>
  <si>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</si>
  <si>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</si>
  <si>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</si>
  <si>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</si>
  <si>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</si>
  <si>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</si>
  <si>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</si>
  <si>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</si>
  <si>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</si>
  <si>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</si>
  <si>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</si>
  <si>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</si>
  <si>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</si>
  <si>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</si>
  <si>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</si>
  <si>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</si>
  <si>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</si>
  <si>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</si>
  <si>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</si>
  <si>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</si>
  <si>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</si>
  <si>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</si>
  <si>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</si>
  <si>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</si>
  <si>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</si>
  <si>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</si>
  <si>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</si>
  <si>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</si>
  <si>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</si>
  <si>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</si>
  <si>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</si>
  <si>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</si>
  <si>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</si>
  <si>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</si>
  <si>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</si>
  <si>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</si>
  <si>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</si>
  <si>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</si>
  <si>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</si>
  <si>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</si>
  <si>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</si>
  <si>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</si>
  <si>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</si>
  <si>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</si>
  <si>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</si>
  <si>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</si>
  <si>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</si>
  <si>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</si>
  <si>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</si>
  <si>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</si>
  <si>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</si>
  <si>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</si>
  <si>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</si>
  <si>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</si>
  <si>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</si>
  <si>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</si>
  <si>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</si>
  <si>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</si>
  <si>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</si>
  <si>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</si>
  <si>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</si>
  <si>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</si>
  <si>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</si>
  <si>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</si>
  <si>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</si>
  <si>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</si>
  <si>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</si>
  <si>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</si>
  <si>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</si>
  <si>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</si>
  <si>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</si>
  <si>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</si>
  <si>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</si>
  <si>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</si>
  <si>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</si>
  <si>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</si>
  <si>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</si>
  <si>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</si>
  <si>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</si>
  <si>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</si>
  <si>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</si>
  <si>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</si>
  <si>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</si>
  <si>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</si>
  <si>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</si>
  <si>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</si>
  <si>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</si>
  <si>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</si>
  <si>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</si>
  <si>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</si>
  <si>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</si>
  <si>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</si>
  <si>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</si>
  <si>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</si>
  <si>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</si>
  <si>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</si>
  <si>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</si>
  <si>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</si>
  <si>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</si>
  <si>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</si>
  <si>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</si>
  <si>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</si>
  <si>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</si>
  <si>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</si>
  <si>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</si>
  <si>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</si>
  <si>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</si>
  <si>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</si>
  <si>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</si>
  <si>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</si>
  <si>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</si>
  <si>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</si>
  <si>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</si>
  <si>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</si>
  <si>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</si>
  <si>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</si>
  <si>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</si>
  <si>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</si>
  <si>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</si>
  <si>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</si>
  <si>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</si>
  <si>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</si>
  <si>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</si>
  <si>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</si>
  <si>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</si>
  <si>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</si>
  <si>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</si>
  <si>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</si>
  <si>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</si>
  <si>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</si>
  <si>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</si>
  <si>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</si>
  <si>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</si>
  <si>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</si>
  <si>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</si>
  <si>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</si>
  <si>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</si>
  <si>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</si>
  <si>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</si>
  <si>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</si>
  <si>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</si>
  <si>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</si>
  <si>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</si>
  <si>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</si>
  <si>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</si>
  <si>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</si>
  <si>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</si>
  <si>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</si>
  <si>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</si>
  <si>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</si>
  <si>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</si>
  <si>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</si>
  <si>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</si>
  <si>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</si>
  <si>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</si>
  <si>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</si>
  <si>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</si>
  <si>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</si>
  <si>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</si>
  <si>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</si>
  <si>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</si>
  <si>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</si>
  <si>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</si>
  <si>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</si>
  <si>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</si>
  <si>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</si>
  <si>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</si>
  <si>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</si>
  <si>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</si>
  <si>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</si>
  <si>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</si>
  <si>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</si>
  <si>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</si>
  <si>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</si>
  <si>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</si>
  <si>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</si>
  <si>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</si>
  <si>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</si>
  <si>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</si>
  <si>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</si>
  <si>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</si>
  <si>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</si>
  <si>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</si>
  <si>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</si>
  <si>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</si>
  <si>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</si>
  <si>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</si>
  <si>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</si>
  <si>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</si>
  <si>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</si>
  <si>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</si>
  <si>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</si>
  <si>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</si>
  <si>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</si>
  <si>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</si>
  <si>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</si>
  <si>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</si>
  <si>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</si>
  <si>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</si>
  <si>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</si>
  <si>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</si>
  <si>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</si>
  <si>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</si>
  <si>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</si>
  <si>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</si>
  <si>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</si>
  <si>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</si>
  <si>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</si>
  <si>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</si>
  <si>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</si>
  <si>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</si>
  <si>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</si>
  <si>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</si>
  <si>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</si>
  <si>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</si>
  <si>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</si>
  <si>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</si>
  <si>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</si>
  <si>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</si>
  <si>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</si>
  <si>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</si>
  <si>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</si>
  <si>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</si>
  <si>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</si>
  <si>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</si>
  <si>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</si>
  <si>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</si>
  <si>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</si>
  <si>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</si>
  <si>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</si>
  <si>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</si>
  <si>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</si>
  <si>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</si>
  <si>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</si>
  <si>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</si>
  <si>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</si>
  <si>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</si>
  <si>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</si>
  <si>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</si>
  <si>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</si>
  <si>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</si>
  <si>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</si>
  <si>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</si>
  <si>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</si>
  <si>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</si>
  <si>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</si>
  <si>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</si>
  <si>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</si>
  <si>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</si>
  <si>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</si>
  <si>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</si>
  <si>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</si>
  <si>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</si>
  <si>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</si>
  <si>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</si>
  <si>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</si>
  <si>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</si>
  <si>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</si>
  <si>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</si>
  <si>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</si>
  <si>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</si>
  <si>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</si>
  <si>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</si>
  <si>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</si>
  <si>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</si>
  <si>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</si>
  <si>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</si>
  <si>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</si>
  <si>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</si>
  <si>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</si>
  <si>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</si>
  <si>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</si>
  <si>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</si>
  <si>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</si>
  <si>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</si>
  <si>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</si>
  <si>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</si>
  <si>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</si>
  <si>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</si>
  <si>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</si>
  <si>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</si>
  <si>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</si>
  <si>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</si>
  <si>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</si>
  <si>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</si>
  <si>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</si>
  <si>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</si>
  <si>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</si>
  <si>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</si>
  <si>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</si>
  <si>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</si>
  <si>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</si>
  <si>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</si>
  <si>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</si>
  <si>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</si>
  <si>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</si>
  <si>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</si>
  <si>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</si>
  <si>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</si>
  <si>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</si>
  <si>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</si>
  <si>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</si>
  <si>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</si>
  <si>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</si>
  <si>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</si>
  <si>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</si>
  <si>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</si>
  <si>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</si>
  <si>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</si>
  <si>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</si>
  <si>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</si>
  <si>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</si>
  <si>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</si>
  <si>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</si>
  <si>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</si>
  <si>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</si>
  <si>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</si>
  <si>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</si>
  <si>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</si>
  <si>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</si>
  <si>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</si>
  <si>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</si>
  <si>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</si>
  <si>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</si>
  <si>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</si>
  <si>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</si>
  <si>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</si>
  <si>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</si>
  <si>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</si>
  <si>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</si>
  <si>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</si>
  <si>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</si>
  <si>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</si>
  <si>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</si>
  <si>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</si>
  <si>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</si>
  <si>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</si>
  <si>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</si>
  <si>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</si>
  <si>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</si>
  <si>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</si>
  <si>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</si>
  <si>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</si>
  <si>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</si>
  <si>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</si>
  <si>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</si>
  <si>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</si>
  <si>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</si>
  <si>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</si>
  <si>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</si>
  <si>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</si>
  <si>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</si>
  <si>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</si>
  <si>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</si>
  <si>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</si>
  <si>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</si>
  <si>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</si>
  <si>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</si>
  <si>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</si>
  <si>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</si>
  <si>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</si>
  <si>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</si>
  <si>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</si>
  <si>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</si>
  <si>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</si>
  <si>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</si>
  <si>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</si>
  <si>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</si>
  <si>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</si>
  <si>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</si>
  <si>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</si>
  <si>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</si>
  <si>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</si>
  <si>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</si>
  <si>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</si>
  <si>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</si>
  <si>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</si>
  <si>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</si>
  <si>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</si>
  <si>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</si>
  <si>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</si>
  <si>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</si>
  <si>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</si>
  <si>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</si>
  <si>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</si>
  <si>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</si>
  <si>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</si>
  <si>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</si>
  <si>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</si>
  <si>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</si>
  <si>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</si>
  <si>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</si>
  <si>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</si>
  <si>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</si>
  <si>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</si>
  <si>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</si>
  <si>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</si>
  <si>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</si>
  <si>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</si>
  <si>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</si>
  <si>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</si>
  <si>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</si>
  <si>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</si>
  <si>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</si>
  <si>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</si>
  <si>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</si>
  <si>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</si>
  <si>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</si>
  <si>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</si>
  <si>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</si>
  <si>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</si>
  <si>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</si>
  <si>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</si>
  <si>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</si>
  <si>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</si>
  <si>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</si>
  <si>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</si>
  <si>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</si>
  <si>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</si>
  <si>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</si>
  <si>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</si>
  <si>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</si>
  <si>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</si>
  <si>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</si>
  <si>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</si>
  <si>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</si>
  <si>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</si>
  <si>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</si>
  <si>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</si>
  <si>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</si>
  <si>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</si>
  <si>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</si>
  <si>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</si>
  <si>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</si>
  <si>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</si>
  <si>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</si>
  <si>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</si>
  <si>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</si>
  <si>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</si>
  <si>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</si>
  <si>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</si>
  <si>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</si>
  <si>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</si>
  <si>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</si>
  <si>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</si>
  <si>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</si>
  <si>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</si>
  <si>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</si>
  <si>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</si>
  <si>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</si>
  <si>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</si>
  <si>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</si>
  <si>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</si>
  <si>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</si>
  <si>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</si>
  <si>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</si>
  <si>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</si>
  <si>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</si>
  <si>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</si>
  <si>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</si>
  <si>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</si>
  <si>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</si>
  <si>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</si>
  <si>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</si>
  <si>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</si>
  <si>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</si>
  <si>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</si>
  <si>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</si>
  <si>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</si>
  <si>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</si>
  <si>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</si>
  <si>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</si>
  <si>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</si>
  <si>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</si>
  <si>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</si>
  <si>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</si>
  <si>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</si>
  <si>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</si>
  <si>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</si>
  <si>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</si>
  <si>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</si>
  <si>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</si>
  <si>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</si>
  <si>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</si>
  <si>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</si>
  <si>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</si>
  <si>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</si>
  <si>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</si>
  <si>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</si>
  <si>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</si>
  <si>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</si>
  <si>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</si>
  <si>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</si>
  <si>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</si>
  <si>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</si>
  <si>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</si>
  <si>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</si>
  <si>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</si>
  <si>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</si>
  <si>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</si>
  <si>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</si>
  <si>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</si>
  <si>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</si>
  <si>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</si>
  <si>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</si>
  <si>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</si>
  <si>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</si>
  <si>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</si>
  <si>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</si>
  <si>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</si>
  <si>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</si>
  <si>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</si>
  <si>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</si>
  <si>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</si>
  <si>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</si>
  <si>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</si>
  <si>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</si>
  <si>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</si>
  <si>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</si>
  <si>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</si>
  <si>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</si>
  <si>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</si>
  <si>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</si>
  <si>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</si>
  <si>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</si>
  <si>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</si>
  <si>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</si>
  <si>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</si>
  <si>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</si>
  <si>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</si>
  <si>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</si>
  <si>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</si>
  <si>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</si>
  <si>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</si>
  <si>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</si>
  <si>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OD Round 25</t>
  </si>
  <si>
    <t>Schools</t>
  </si>
  <si>
    <t>RP/school%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</si>
</sst>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2">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ont>
        <strike val="0"/>
        <outline val="0"/>
        <shadow val="0"/>
        <u val="none"/>
        <vertAlign val="baseline"/>
        <sz val="10"/>
        <color auto="1"/>
        <name val="Arial"/>
        <family val="2"/>
        <scheme val="none"/>
      </font>
      <numFmt numFmtId="3" formatCode="#,##0"/>
      <fill>
        <patternFill patternType="none">
          <fgColor indexed="64"/>
          <bgColor auto="1"/>
        </patternFill>
      </fill>
    </dxf>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3" dataDxfId="922">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21">
      <calculatedColumnFormula>_xlfn.SINGLE(INDEX(TblRaces[],MATCH(race,TblRaces[Race],0),4))</calculatedColumnFormula>
    </tableColumn>
    <tableColumn id="2" xr3:uid="{00000000-0010-0000-0000-000002000000}" name="Offense" dataDxfId="920">
      <calculatedColumnFormula>_xlfn.IFNA(INDEX(TblRaces[],MATCH(TblUnits[[#This Row],[Unit Names]],TblRaces[Unitname],0),5),"")</calculatedColumnFormula>
    </tableColumn>
    <tableColumn id="3" xr3:uid="{00000000-0010-0000-0000-000003000000}" name="Defense" dataDxfId="919">
      <calculatedColumnFormula>_xlfn.IFNA(INDEX(TblRaces[],MATCH(TblUnits[[#This Row],[Unit Names]],TblRaces[Unitname],0),6),"")</calculatedColumnFormula>
    </tableColumn>
    <tableColumn id="4" xr3:uid="{00000000-0010-0000-0000-000004000000}" name="Platinum" dataDxfId="918">
      <calculatedColumnFormula>_xlfn.IFNA(INDEX(TblRaces[],MATCH(TblUnits[[#This Row],[Unit Names]],TblRaces[Unitname],0),7),"")</calculatedColumnFormula>
    </tableColumn>
    <tableColumn id="5" xr3:uid="{00000000-0010-0000-0000-000005000000}" name="Ore" dataDxfId="917">
      <calculatedColumnFormula>_xlfn.IFNA(INDEX(TblRaces[],MATCH(TblUnits[[#This Row],[Unit Names]],TblRaces[Unitname],0),8),"")</calculatedColumnFormula>
    </tableColumn>
    <tableColumn id="6" xr3:uid="{00000000-0010-0000-0000-000006000000}" name="Networth" dataDxfId="916">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5" dataDxfId="913" headerRowBorderDxfId="914" tableBorderDxfId="912">
  <autoFilter ref="H14:I31" xr:uid="{6EDA5300-DB26-4799-A5D1-5432AC102827}">
    <filterColumn colId="0" hiddenButton="1"/>
    <filterColumn colId="1" hiddenButton="1"/>
  </autoFilter>
  <tableColumns count="2">
    <tableColumn id="1" xr3:uid="{C93253AD-A598-462C-985D-E538FB5404AF}" name="Race Bonuses" dataDxfId="911"/>
    <tableColumn id="2" xr3:uid="{7301230A-1354-4459-BA19-9D8AE9608978}" name="Bonus" dataDxfId="910"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09" dataDxfId="908" tableBorderDxfId="907">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6"/>
    <tableColumn id="2" xr3:uid="{F7BA9D3F-F979-435F-AF55-B8562C7F08C8}" name=" " dataDxfId="905"/>
    <tableColumn id="3" xr3:uid="{C661B1D0-1EAD-42B7-889A-9265EA75CB1D}" name="Offense" dataDxfId="904"/>
    <tableColumn id="4" xr3:uid="{594F8FE6-285D-432D-AB90-DE26655C8963}" name="Bonus" dataDxfId="903"/>
    <tableColumn id="5" xr3:uid="{1A4EBEB0-1016-4D5D-920D-08D8AD7AFC97}" name="OP Mod" dataDxfId="902"/>
    <tableColumn id="6" xr3:uid="{0A455978-2417-4AD7-8969-95433ADAC6F4}" name="Defense" dataDxfId="901"/>
    <tableColumn id="7" xr3:uid="{3C4FEC10-2BEB-4EC0-AA98-F67CC8DBE5B5}" name="DP Bonus" dataDxfId="900"/>
    <tableColumn id="8" xr3:uid="{9CE669CC-5E7B-4E7B-8FFE-265EB626E935}" name="DP Mod" dataDxfId="899"/>
    <tableColumn id="9" xr3:uid="{7DE0C022-18E9-48B5-8835-9B63E8CC1CDF}" name="." dataDxfId="898"/>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897" dataDxfId="895" headerRowBorderDxfId="896" tableBorderDxfId="894">
  <autoFilter ref="H46:J50" xr:uid="{86CCA094-2F84-4D6A-BB34-AED37B4839D4}">
    <filterColumn colId="0" hiddenButton="1"/>
    <filterColumn colId="1" hiddenButton="1"/>
    <filterColumn colId="2" hiddenButton="1"/>
  </autoFilter>
  <tableColumns count="3">
    <tableColumn id="1" xr3:uid="{E0152EC7-4145-4063-BAB4-B6301A014F4B}" name="Type" dataDxfId="893"/>
    <tableColumn id="2" xr3:uid="{FAE1A1FE-F8EC-48F0-A8AF-ADF4B1F44E93}" name="Raw" dataDxfId="892"/>
    <tableColumn id="3" xr3:uid="{AFD4C97E-F124-4CC9-8087-32A6EB65C3D5}" name="Modded" dataDxfId="891"/>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90" dataDxfId="888" headerRowBorderDxfId="889" tableBorderDxfId="887">
  <autoFilter ref="H53:J56" xr:uid="{4A95BFF0-5AE4-4064-BA31-9F687E8E34BD}">
    <filterColumn colId="0" hiddenButton="1"/>
    <filterColumn colId="1" hiddenButton="1"/>
    <filterColumn colId="2" hiddenButton="1"/>
  </autoFilter>
  <tableColumns count="3">
    <tableColumn id="1" xr3:uid="{ACCDFB1C-E1AE-4F10-BB67-59F2B9780D01}" name="Hour" dataDxfId="886"/>
    <tableColumn id="2" xr3:uid="{277A266C-0AEF-4864-99C7-1E807FF68978}" name="Amount" dataDxfId="885"/>
    <tableColumn id="3" xr3:uid="{DD724D20-8039-4E15-A45D-F535D999ED97}" name="Without Training" dataDxfId="884"/>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83" dataDxfId="882" totalsRowDxfId="880" tableBorderDxfId="881">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79" totalsRowDxfId="878"/>
    <tableColumn id="2" xr3:uid="{739DBC51-BC77-4631-B107-088DC25245EB}" name="Amount" totalsRowFunction="sum" dataDxfId="877" totalsRowDxfId="876"/>
    <tableColumn id="3" xr3:uid="{41BF49B0-731E-480A-A25D-802B4380182E}" name="Relative" totalsRowFunction="custom" totalsRowDxfId="875"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4" dataDxfId="873" tableBorderDxfId="872">
  <autoFilter ref="D45:F68" xr:uid="{6C8ACB43-975F-416A-A510-CF883452891C}">
    <filterColumn colId="0" hiddenButton="1"/>
    <filterColumn colId="1" hiddenButton="1"/>
    <filterColumn colId="2" hiddenButton="1"/>
  </autoFilter>
  <tableColumns count="3">
    <tableColumn id="1" xr3:uid="{97F6A0D7-4C71-45E8-A9DA-F3DBEC3693D1}" name="Acres" dataDxfId="871"/>
    <tableColumn id="2" xr3:uid="{70370623-AE12-4AC1-B3BC-5FA6F33097E0}" name=" " dataDxfId="870"/>
    <tableColumn id="3" xr3:uid="{76F2AA18-B160-4225-A8AB-03D1370169AB}" name="   " dataDxfId="869"/>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8" dataDxfId="866" headerRowBorderDxfId="867" tableBorderDxfId="865">
  <autoFilter ref="D14:E18" xr:uid="{AF658822-94AE-4FD8-9D6D-E660E1B5C629}">
    <filterColumn colId="0" hiddenButton="1"/>
    <filterColumn colId="1" hiddenButton="1"/>
  </autoFilter>
  <tableColumns count="2">
    <tableColumn id="1" xr3:uid="{EFD90BA2-CBAC-4BDB-9434-40FB9C2485F4}" name="Date&amp;Time" dataDxfId="864"/>
    <tableColumn id="2" xr3:uid="{CCEF9A0F-7383-4941-A440-9E2452942487}" name="." dataDxfId="863"/>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2" dataDxfId="861" totalsRowDxfId="86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9" totalsRowDxfId="858">
      <calculatedColumnFormula>TblRezone[[#This Row],[Hour]]</calculatedColumnFormula>
    </tableColumn>
    <tableColumn id="2" xr3:uid="{7657952B-D9DB-46FC-BD8D-612DECDC04FD}" name="Time" dataDxfId="857" totalsRowDxfId="856">
      <calculatedColumnFormula>TblImps[[#This Row],[Time]]</calculatedColumnFormula>
    </tableColumn>
    <tableColumn id="3" xr3:uid="{767542B9-4E58-42E2-85BA-5C1DB6108363}" name="Peasants" dataDxfId="855" totalsRowDxfId="854">
      <calculatedColumnFormula>OFFSET(TblPop[[#This Row],[Peasants]],-1,0)+OFFSET(TblPop[[#This Row],[Net Peasant]],-1,0)+TblMili[[#This Row],[Release Draft]]</calculatedColumnFormula>
    </tableColumn>
    <tableColumn id="4" xr3:uid="{F5DC2705-5767-4AD0-A2E0-E36086D164C0}" name="Military" dataDxfId="853" totalsRowDxfId="852">
      <calculatedColumnFormula>TblMili[[#This Row],[Military]]</calculatedColumnFormula>
    </tableColumn>
    <tableColumn id="5" xr3:uid="{57E397CE-6C2C-48AE-9B2E-52E14099EAFC}" name="Draftees" dataDxfId="851" totalsRowDxfId="850">
      <calculatedColumnFormula>TblMili[[#This Row],[Draftees]]</calculatedColumnFormula>
    </tableColumn>
    <tableColumn id="6" xr3:uid="{7339086D-8AEE-45A5-B78D-EA6FDBA34E10}" name="Total" dataDxfId="849" totalsRowDxfId="848">
      <calculatedColumnFormula>TblPop[[#This Row],[Peasants]]+TblPop[[#This Row],[Military]]</calculatedColumnFormula>
    </tableColumn>
    <tableColumn id="7" xr3:uid="{75D92B6D-F4CA-42F7-80B3-4BF8A336E69C}" name="Military%" dataDxfId="847" totalsRowDxfId="846" dataCellStyle="Percent">
      <calculatedColumnFormula>TblPop[[#This Row],[Military]]/TblPop[[#This Row],[Total]]</calculatedColumnFormula>
    </tableColumn>
    <tableColumn id="8" xr3:uid="{257C6438-3205-4A45-9F91-ACD066CD59E8}" name="Employed" dataDxfId="845" totalsRowDxfId="844" dataCellStyle="Percent">
      <calculatedColumnFormula>MIN(TblPop[[#This Row],[Peasants]],TblPop[[#This Row],[Jobs]])</calculatedColumnFormula>
    </tableColumn>
    <tableColumn id="9" xr3:uid="{B05B6937-2C12-476B-B555-2A8ED6FF34EF}" name="Employment" dataDxfId="843" totalsRowDxfId="842" dataCellStyle="Percent">
      <calculatedColumnFormula>MIN(OFFSET(TblPop[[#This Row],[Jobs]],1,0)/TblPop[[#This Row],[Peasants]],1)</calculatedColumnFormula>
    </tableColumn>
    <tableColumn id="10" xr3:uid="{AD7F9BB7-A630-4BBB-AFEA-37B907196778}" name="Jobs" dataDxfId="841" totalsRowDxfId="84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9" totalsRowDxfId="838" dataCellStyle="Percent"/>
    <tableColumn id="12" xr3:uid="{2EEFBFF9-40A4-412F-8FEC-C2F4799A06E6}" name=" Draftees" dataDxfId="837" totalsRowDxfId="836">
      <calculatedColumnFormula>TblPop[[#This Row],[Draftees]]</calculatedColumnFormula>
    </tableColumn>
    <tableColumn id="13" xr3:uid="{43729A62-E847-4DBB-BC42-62B1FB3DA7A5}" name="Unit 1" dataDxfId="835" totalsRowDxfId="834">
      <calculatedColumnFormula>TblMili[[#This Row],[Unit 1]]</calculatedColumnFormula>
    </tableColumn>
    <tableColumn id="14" xr3:uid="{C7A024F4-2376-4871-897D-90BEBEBC78B7}" name="Unit 2" dataDxfId="833" totalsRowDxfId="832">
      <calculatedColumnFormula>TblMili[[#This Row],[Unit 2]]</calculatedColumnFormula>
    </tableColumn>
    <tableColumn id="15" xr3:uid="{93EC8730-4D26-4E19-ADAA-3ED5C943F257}" name="Unit 3" dataDxfId="831" totalsRowDxfId="830">
      <calculatedColumnFormula>TblMili[[#This Row],[Unit 3]]</calculatedColumnFormula>
    </tableColumn>
    <tableColumn id="16" xr3:uid="{1A382ACC-9ED2-4A5E-BEE3-781B1DBCF186}" name="Unit 4" dataDxfId="829" totalsRowDxfId="828">
      <calculatedColumnFormula>TblMili[[#This Row],[Unit 4]]</calculatedColumnFormula>
    </tableColumn>
    <tableColumn id="17" xr3:uid="{491D1C19-D1B1-48C7-8FC6-BE77B7CD2635}" name="Spies" dataDxfId="827" totalsRowDxfId="826">
      <calculatedColumnFormula>TblMili[[#This Row],[Spies]]</calculatedColumnFormula>
    </tableColumn>
    <tableColumn id="18" xr3:uid="{1AF95FC5-21CD-41AC-A69F-CF5E9AF4AB85}" name="Wizards" dataDxfId="825" totalsRowDxfId="824">
      <calculatedColumnFormula>TblMili[[#This Row],[Wizards]]</calculatedColumnFormula>
    </tableColumn>
    <tableColumn id="19" xr3:uid="{C157D21E-FD58-4F24-A070-1819A7E2DA97}" name="Archmage" dataDxfId="823" totalsRowDxfId="822">
      <calculatedColumnFormula>TblMili[[#This Row],[Archmages]]</calculatedColumnFormula>
    </tableColumn>
    <tableColumn id="20" xr3:uid="{6BBFB632-E92F-4F29-AE3D-534C8288C615}" name=".." dataDxfId="821" totalsRowDxfId="820"/>
    <tableColumn id="21" xr3:uid="{59CAD00B-A8EE-455B-A015-E17ADF56A7B2}" name="Net max" dataDxfId="0" totalsRowDxfId="819">
      <calculatedColumnFormula>ROUND(TblPop[[#This Row],[Raw max]]*(1+TblPop[[#This Row],[Max pop]]),0)+MIN(TblPop[[#This Row],[Military]]-TblPop[[#This Row],[Draftees]]-SUM(TblMili[[#This Row],[Train Unit 1]:[Train Arch]]),ROUND(barracks_size*(1 + Production!O4/100*prestige_pop_multiplier),0)*TblConstr[[#This Row],[Tot Bar]])</calculatedColumnFormula>
    </tableColumn>
    <tableColumn id="22" xr3:uid="{B78869DE-CFE3-4F3A-B8C6-9B9A53295B32}" name="Raw max" dataDxfId="818" totalsRowDxfId="81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16" totalsRowDxfId="81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14" totalsRowDxfId="813">
      <calculatedColumnFormula>ROUND(TblPop[[#This Row],[Raw Birth]]*(1+TblPop[[#This Row],[Growth]]),0)</calculatedColumnFormula>
    </tableColumn>
    <tableColumn id="25" xr3:uid="{26E60E7F-6DA3-49EF-99E8-26A0DAD2D630}" name="Raw Birth" dataDxfId="812" totalsRowDxfId="811">
      <calculatedColumnFormula>(TblPop[[#This Row],[Peasants]]-TblPop[[#This Row],[Draft Growth]])*raw_pop_growth</calculatedColumnFormula>
    </tableColumn>
    <tableColumn id="26" xr3:uid="{6E1274BE-772F-4747-A295-D51601B4FE11}" name="Draft Growth" dataDxfId="810" totalsRowDxfId="809">
      <calculatedColumnFormula>IF(TblPop[[#This Row],[Military%]]&lt;TblMili[[#This Row],[Draftrate]],ROUND(TblPop[[#This Row],[Peasants]]*Constants!$B$53,0), 0)</calculatedColumnFormula>
    </tableColumn>
    <tableColumn id="27" xr3:uid="{858CE2A0-AC9E-46FE-9A70-AED1578889CB}" name="...." dataDxfId="808" totalsRowDxfId="807"/>
    <tableColumn id="28" xr3:uid="{B271B9C7-94D1-498F-9FBB-69DF5F1BCE3F}" name="Growth" dataDxfId="806" totalsRowDxfId="805"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804" totalsRowDxfId="803"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(Construction!AZ5+Construction!BX5)*(alch_plat+(Magic!AL4&gt;0)*alchemist_flame_bonus)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calculatedColumnFormula>
    </tableColumn>
    <tableColumn id="31" xr3:uid="{1FCC3E78-11E8-4286-A9C0-F9F5FA32B54A}" name="Raw Ore/hr" dataDxfId="768">
      <calculatedColumnFormula>OFFSET(TblConstr[[#This Row],[Tot OM]],1,0)*om_ore+IF(race="Dwarf",ROUNDDOWN(TblMili[[#This Row],[Unit 2]]/2,0),)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Row],[Towers]]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Military!$CH$25*TblMili[[#This Row],[Sec. rec. Cost]]</calculatedColumnFormula>
    </tableColumn>
    <tableColumn id="48" xr3:uid="{3C88EFC6-8DA5-40ED-A97A-2AAFD0B3B6AD}" name="Expenses Mana" dataDxfId="751">
      <calculatedColumnFormula>TblMagic[[#This Row],[Mana cost]] + Military!$CH$26*TblMili[[#This Row],[Sec. rec. Cost]]</calculatedColumnFormula>
    </tableColumn>
    <tableColumn id="49" xr3:uid="{1E4E3815-206F-4A61-AE33-CA14E995FDCB}" name="Expenses Ore" dataDxfId="750">
      <calculatedColumnFormula>Military!$CH$24*TblMili[[#This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33" dataDxfId="731" totalsRowDxfId="729" headerRowBorderDxfId="732" tableBorderDxfId="73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28" totalsRowDxfId="727">
      <calculatedColumnFormula>TblRezone[[#This Row],[Hour]]</calculatedColumnFormula>
    </tableColumn>
    <tableColumn id="1" xr3:uid="{16A4A80A-781E-4E74-BC12-3B194ED2F6BF}" name="Barren" dataDxfId="726" totalsRowDxfId="725">
      <calculatedColumnFormula>SUM(TblConstr[[#This Row],[Plain]:[Water]])</calculatedColumnFormula>
    </tableColumn>
    <tableColumn id="2" xr3:uid="{F83194BF-B786-4A33-B371-25BE7289AC68}" name="Buildings" dataDxfId="724" totalsRowDxfId="723">
      <calculatedColumnFormula>SUM(TblConstr[[#This Row],[Tot Hom]:[Tot Doc]])</calculatedColumnFormula>
    </tableColumn>
    <tableColumn id="3" xr3:uid="{343846C5-19E9-4357-B5DD-B105ACEC8C2C}" name="Incoming" dataDxfId="722" totalsRowDxfId="721"/>
    <tableColumn id="4" xr3:uid="{A20911DB-7155-4794-AD46-07AAD44BDAFE}" name="." dataDxfId="720" totalsRowDxfId="719"/>
    <tableColumn id="5" xr3:uid="{279706A5-BDE6-4F21-9D4E-93DD796722CB}" name="Land" dataDxfId="718" totalsRowDxfId="717">
      <calculatedColumnFormula>TblConstr[[#This Row],[Barren]]+TblConstr[[#This Row],[Buildings]]+TblConstr[[#This Row],[Incoming]]</calculatedColumnFormula>
    </tableColumn>
    <tableColumn id="6" xr3:uid="{8D16C913-6FBB-42B5-890E-7AA3F7D780F3}" name="Plain" dataDxfId="716" totalsRowDxfId="715">
      <calculatedColumnFormula>OFFSET(TblConstr[[#This Row],[Plain]],-1,0)+TblConstr[[#This Row],[Ch_Plain]]</calculatedColumnFormula>
    </tableColumn>
    <tableColumn id="7" xr3:uid="{ECABDC59-2CFA-4924-832F-64BD947684FE}" name="Forest" dataDxfId="714" totalsRowDxfId="713">
      <calculatedColumnFormula>OFFSET(TblConstr[[#This Row],[Forest]],-1,0)+TblConstr[[#This Row],[Ch_Forest]]</calculatedColumnFormula>
    </tableColumn>
    <tableColumn id="8" xr3:uid="{AD888BC9-7B2A-431B-912B-F76B183C4BC2}" name="Mountain" dataDxfId="712" totalsRowDxfId="711">
      <calculatedColumnFormula>OFFSET(TblConstr[[#This Row],[Mountain]],-1,0)+TblConstr[[#This Row],[Ch_Mountain]]</calculatedColumnFormula>
    </tableColumn>
    <tableColumn id="9" xr3:uid="{B9F107CC-9E87-47F0-9669-7B4E32869962}" name="Hill" dataDxfId="710" totalsRowDxfId="709">
      <calculatedColumnFormula>OFFSET(TblConstr[[#This Row],[Hill]],-1,0)+TblConstr[[#This Row],[Ch_Hill]]</calculatedColumnFormula>
    </tableColumn>
    <tableColumn id="10" xr3:uid="{8067675A-D7AC-461C-B5B4-B2FDA278D46E}" name="Swamp" dataDxfId="708" totalsRowDxfId="707">
      <calculatedColumnFormula>OFFSET(TblConstr[[#This Row],[Swamp]],-1,0)+TblConstr[[#This Row],[Ch_Swamp]]</calculatedColumnFormula>
    </tableColumn>
    <tableColumn id="11" xr3:uid="{F6E4B820-D719-41FF-A537-55FE6AFBAF0E}" name="Cavern" dataDxfId="706" totalsRowDxfId="705">
      <calculatedColumnFormula>OFFSET(TblConstr[[#This Row],[Cavern]],-1,0)+TblConstr[[#This Row],[Ch_Cavern]]</calculatedColumnFormula>
    </tableColumn>
    <tableColumn id="12" xr3:uid="{54552E9E-E771-4104-87F6-20952C6A2D90}" name="Water" dataDxfId="704" totalsRowDxfId="703">
      <calculatedColumnFormula>OFFSET(TblConstr[[#This Row],[Water]],-1,0)+TblConstr[[#This Row],[Ch_Water]]</calculatedColumnFormula>
    </tableColumn>
    <tableColumn id="112" xr3:uid="{68F0FBE6-EBED-4B66-81D6-A19DB934C48D}" name="Hour  " dataDxfId="702" totalsRowDxfId="701">
      <calculatedColumnFormula>TblRezone[[#This Row],[Hour]]</calculatedColumnFormula>
    </tableColumn>
    <tableColumn id="14" xr3:uid="{6A739C2B-FED1-46DE-A6EC-2761E132E225}" name="Hom" dataDxfId="700" totalsRowDxfId="699"/>
    <tableColumn id="15" xr3:uid="{E50EB7D2-A060-4B91-920B-B3335EF23400}" name="Alc" dataDxfId="698" totalsRowDxfId="697"/>
    <tableColumn id="16" xr3:uid="{E3F8F390-578A-46F4-8079-68503504AE5A}" name="Far" dataDxfId="696" totalsRowDxfId="695"/>
    <tableColumn id="17" xr3:uid="{CC502929-3E3E-483C-AA45-1E8DC6E6F788}" name="Smi" dataDxfId="694" totalsRowDxfId="693"/>
    <tableColumn id="18" xr3:uid="{2849017C-83D2-48CF-BAFC-E8180F6B87B3}" name="Mas" dataDxfId="692" totalsRowDxfId="691"/>
    <tableColumn id="19" xr3:uid="{902080F0-045E-460C-8A94-D28082F0684A}" name="Ly" dataDxfId="690" totalsRowDxfId="689"/>
    <tableColumn id="20" xr3:uid="{74F11359-7A83-40C9-8D72-4E7342A4C5F6}" name="Hav" dataDxfId="688" totalsRowDxfId="687"/>
    <tableColumn id="21" xr3:uid="{2F4CD982-1BA1-4887-BEEF-D1CEDDFDCD98}" name="OM" dataDxfId="686" totalsRowDxfId="685"/>
    <tableColumn id="22" xr3:uid="{8FB86139-1373-407A-B799-7C5D49EF3A26}" name="GN" dataDxfId="684" totalsRowDxfId="683"/>
    <tableColumn id="23" xr3:uid="{283576BE-DC2F-4C4A-B83A-40303ED03A64}" name="Fac" dataDxfId="682" totalsRowDxfId="681"/>
    <tableColumn id="24" xr3:uid="{5CFB0CBF-3773-41F6-9B86-E1678AA28900}" name="GT" dataDxfId="680" totalsRowDxfId="679"/>
    <tableColumn id="25" xr3:uid="{19E4F682-9015-4478-9312-A3022D1FEEE9}" name="Bar" dataDxfId="678" totalsRowDxfId="677"/>
    <tableColumn id="26" xr3:uid="{013252D4-D385-4331-9170-92B5C8BB4C64}" name="Shr" dataDxfId="676" totalsRowDxfId="675"/>
    <tableColumn id="27" xr3:uid="{D4B27941-E688-419F-8B6F-B73F6CF2AB5B}" name="Tow" dataDxfId="674" totalsRowDxfId="673"/>
    <tableColumn id="28" xr3:uid="{17047BB4-364B-45DB-830B-858C7BD30B39}" name="Tem" dataDxfId="672" totalsRowDxfId="671"/>
    <tableColumn id="29" xr3:uid="{8910E8E2-8D7F-45E2-8559-CB4F40D25EB8}" name="WG" dataDxfId="670" totalsRowDxfId="669"/>
    <tableColumn id="30" xr3:uid="{BDAAD77D-88DB-4E61-9C07-44CAE4913F4B}" name="DM" dataDxfId="668" totalsRowDxfId="667"/>
    <tableColumn id="31" xr3:uid="{BFDB5F50-9A23-4E21-AEF0-8F150174C5D9}" name="Sch" dataDxfId="666" totalsRowDxfId="665"/>
    <tableColumn id="32" xr3:uid="{F4596035-B7F8-4B94-9B36-37B190EBF2F5}" name="Doc" dataDxfId="664" totalsRowDxfId="663"/>
    <tableColumn id="33" xr3:uid="{B506678F-5C96-41A2-B16E-01903002457C}" name="time" dataDxfId="662" totalsRowDxfId="661">
      <calculatedColumnFormula>TblImps[[#This Row],[Time]]</calculatedColumnFormula>
    </tableColumn>
    <tableColumn id="34" xr3:uid="{BBF9E4A7-4AD1-4256-838E-84E222A5E5B5}" name="Facs -DB" dataDxfId="660" totalsRowDxfId="659" dataCellStyle="Percent">
      <calculatedColumnFormula>MIN(25%,(TblConstr[[#This Row],[Tot Fac]]+TblConstr[[#This Row],[Dest Fac]])/(TblConstr[[#This Row],[Land]]-TblExplore[[#This Row],[Land Bonus]]*20))</calculatedColumnFormula>
    </tableColumn>
    <tableColumn id="35" xr3:uid="{CE9651FB-E7AA-4AC3-9369-D03ACA26B669}" name="Facs DB" dataDxfId="658" totalsRowDxfId="657" dataCellStyle="Percent">
      <calculatedColumnFormula>MIN(25%,(TblConstr[[#This Row],[Tot Fac]]+TblConstr[[#This Row],[Dest Fac]])/TblConstr[[#This Row],[Land]])</calculatedColumnFormula>
    </tableColumn>
    <tableColumn id="36" xr3:uid="{09991F89-DEAA-4698-A25A-D13F6565EDD4}" name="Platinum" dataDxfId="656" totalsRowDxfId="655">
      <calculatedColumnFormula>TblProd[[#This Row],[Platinum]]</calculatedColumnFormula>
    </tableColumn>
    <tableColumn id="37" xr3:uid="{98B47891-EB31-4D7F-8AC4-80255A877681}" name="Lumber" dataDxfId="654" totalsRowDxfId="653">
      <calculatedColumnFormula>TblProd[[#This Row],[Lumber]]</calculatedColumnFormula>
    </tableColumn>
    <tableColumn id="38" xr3:uid="{4BCC987F-ABDB-4939-B66E-9E39DDB56076}" name="CPA Platinum -DB" dataDxfId="652" totalsRowDxfId="65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50" totalsRowDxfId="64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48" totalsRowDxfId="64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46" totalsRowDxfId="64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44" totalsRowDxfId="643">
      <calculatedColumnFormula>TblConstr[[#This Row],[build -db]]*TblConstr[[#This Row],[CPA Platinum -DB]] + TblConstr[[#This Row],[build db]]*TblConstr[[#This Row],[CPA Platinum DB]]</calculatedColumnFormula>
    </tableColumn>
    <tableColumn id="43" xr3:uid="{F2E3CBCF-A243-4043-87E8-17546293A159}" name="Total Lum Cost" dataDxfId="642" totalsRowDxfId="641">
      <calculatedColumnFormula>TblConstr[[#This Row],[build -db]]*TblConstr[[#This Row],[CPA Lumber -DB]]+TblConstr[[#This Row],[build db]]*TblConstr[[#This Row],[CPA Lumber DB]]</calculatedColumnFormula>
    </tableColumn>
    <tableColumn id="44" xr3:uid="{119F0A26-AFE5-4C99-86DF-E2019D697B1F}" name="build -db" dataDxfId="640" totalsRowDxfId="63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38" totalsRowDxfId="63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36" totalsRowDxfId="635"/>
    <tableColumn id="47" xr3:uid="{2AB27BA8-C2B6-44FC-89D1-B8C469C03A31}" name="RCPA Platinum " dataDxfId="634" totalsRowDxfId="633">
      <calculatedColumnFormula>ROUND((MAX(TblConstr[[#This Row],[Buildings]],250,0.75*TblConstr[[#This Row],[Land]])-250) * 1.53 + 850,0)</calculatedColumnFormula>
    </tableColumn>
    <tableColumn id="48" xr3:uid="{745E4D31-3689-4F62-A15B-2D5399E746CA}" name="RCPA Lumber" dataDxfId="632" totalsRowDxfId="631">
      <calculatedColumnFormula>ROUND((MAX(TblConstr[[#This Row],[Buildings]],250,0.75*TblConstr[[#This Row],[Land]])-250) * 0.35+87.5,0)</calculatedColumnFormula>
    </tableColumn>
    <tableColumn id="49" xr3:uid="{619C112A-EE5A-4710-AF52-5843FF4DB054}" name="…" dataDxfId="630" totalsRowDxfId="629"/>
    <tableColumn id="50" xr3:uid="{F2846ED2-FD2C-4B82-8D89-DEC4D6C89C45}" name="Tot Hom" dataDxfId="628" totalsRowDxfId="627">
      <calculatedColumnFormula array="1">IF(TblConstr[[#This Row],[Hour]:[Hour]]&gt;12,OFFSET(TblConstr[[#This Row],[Hom]],-12,0),0)+OFFSET(TblConstr[[#This Row],[Tot Hom]],-1,0)-TblConstr[[#This Row],[Dest Hom]]</calculatedColumnFormula>
    </tableColumn>
    <tableColumn id="51" xr3:uid="{3A820279-E5AD-460C-8EA2-56927C664532}" name="Tot Alc" dataDxfId="626" totalsRowDxfId="625">
      <calculatedColumnFormula array="1">IF(TblConstr[[#This Row],[Hour]:[Hour]]&gt;12,OFFSET(TblConstr[[#This Row],[Alc]],-12,0),0)+OFFSET(TblConstr[[#This Row],[Tot Alc]],-1,0)-TblConstr[[#This Row],[Dest Alc]]</calculatedColumnFormula>
    </tableColumn>
    <tableColumn id="52" xr3:uid="{2F201F1F-E604-470C-A21C-EF43882A5460}" name="Tot Farm" dataDxfId="624" totalsRowDxfId="623">
      <calculatedColumnFormula array="1">IF(TblConstr[[#This Row],[Hour]:[Hour]]&gt;12,OFFSET(TblConstr[[#This Row],[Far]],-12,0),0)+OFFSET(TblConstr[[#This Row],[Tot Farm]],-1,0)-TblConstr[[#This Row],[Dest Farm]]</calculatedColumnFormula>
    </tableColumn>
    <tableColumn id="53" xr3:uid="{CF25F1ED-4CEE-4702-9FD7-472555CAE1E7}" name="Tot Smi" dataDxfId="622" totalsRowDxfId="621">
      <calculatedColumnFormula array="1">IF(TblConstr[[#This Row],[Hour]:[Hour]]&gt;12,OFFSET(TblConstr[[#This Row],[Smi]],-12,0),0)+OFFSET(TblConstr[[#This Row],[Tot Smi]],-1,0)-TblConstr[[#This Row],[Dest Smi]]</calculatedColumnFormula>
    </tableColumn>
    <tableColumn id="54" xr3:uid="{AA2380E5-3483-49DB-91B7-F7447D6C17A7}" name="Tot Mas" dataDxfId="620" totalsRowDxfId="619">
      <calculatedColumnFormula array="1">IF(TblConstr[[#This Row],[Hour]:[Hour]]&gt;12,OFFSET(TblConstr[[#This Row],[Mas]],-12,0),0)+OFFSET(TblConstr[[#This Row],[Tot Mas]],-1,0)-TblConstr[[#This Row],[Dest Mas]]</calculatedColumnFormula>
    </tableColumn>
    <tableColumn id="55" xr3:uid="{9983477D-EC22-4053-88C9-D53436C89351}" name="Tot Ly" dataDxfId="618" totalsRowDxfId="617">
      <calculatedColumnFormula array="1">IF(TblConstr[[#This Row],[Hour]:[Hour]]&gt;12,OFFSET(TblConstr[[#This Row],[Ly]],-12,0),0)+OFFSET(TblConstr[[#This Row],[Tot Ly]],-1,0)-TblConstr[[#This Row],[Dest Ly]]</calculatedColumnFormula>
    </tableColumn>
    <tableColumn id="56" xr3:uid="{0A8A610F-D674-4772-9EB7-EC610164DF60}" name="Tot Hav" dataDxfId="616" totalsRowDxfId="615">
      <calculatedColumnFormula array="1">IF(TblConstr[[#This Row],[Hour]:[Hour]]&gt;12,OFFSET(TblConstr[[#This Row],[Hav]],-12,0),0)+OFFSET(TblConstr[[#This Row],[Tot Hav]],-1,0)-TblConstr[[#This Row],[Dest Hav]]</calculatedColumnFormula>
    </tableColumn>
    <tableColumn id="57" xr3:uid="{40570349-3AA5-42B4-9820-CC736C2D1B3D}" name="Tot OM" dataDxfId="614" totalsRowDxfId="613">
      <calculatedColumnFormula array="1">IF(TblConstr[[#This Row],[Hour]:[Hour]]&gt;12,OFFSET(TblConstr[[#This Row],[OM]],-12,0),0)+OFFSET(TblConstr[[#This Row],[Tot OM]],-1,0)-TblConstr[[#This Row],[Dest OM]]</calculatedColumnFormula>
    </tableColumn>
    <tableColumn id="58" xr3:uid="{D7C1895E-C93F-4CEE-BB20-88F13C3DA864}" name="Tot GN" dataDxfId="612" totalsRowDxfId="611">
      <calculatedColumnFormula array="1">IF(TblConstr[[#This Row],[Hour]:[Hour]]&gt;12,OFFSET(TblConstr[[#This Row],[GN]],-12,0),0)+OFFSET(TblConstr[[#This Row],[Tot GN]],-1,0)-TblConstr[[#This Row],[Dest GN]]</calculatedColumnFormula>
    </tableColumn>
    <tableColumn id="59" xr3:uid="{6C106580-CB33-4C2F-8B4D-856AC68AA85B}" name="Tot Fac" dataDxfId="610" totalsRowDxfId="609">
      <calculatedColumnFormula array="1">IF(TblConstr[[#This Row],[Hour]:[Hour]]&gt;12,OFFSET(TblConstr[[#This Row],[Fac]],-12,0),0)+OFFSET(TblConstr[[#This Row],[Tot Fac]],-1,0)-TblConstr[[#This Row],[Dest Fac]]</calculatedColumnFormula>
    </tableColumn>
    <tableColumn id="60" xr3:uid="{D3A39C76-EE6D-4C40-B64E-12EE496ACF75}" name="Tot GT" dataDxfId="608" totalsRowDxfId="607">
      <calculatedColumnFormula array="1">IF(TblConstr[[#This Row],[Hour]:[Hour]]&gt;12,OFFSET(TblConstr[[#This Row],[GT]],-12,0),0)+OFFSET(TblConstr[[#This Row],[Tot GT]],-1,0)-TblConstr[[#This Row],[Dest GT]]</calculatedColumnFormula>
    </tableColumn>
    <tableColumn id="61" xr3:uid="{3C88629E-DBB8-4626-8826-42DE21B8CCF3}" name="Tot Bar" dataDxfId="606" totalsRowDxfId="605">
      <calculatedColumnFormula array="1">IF(TblConstr[[#This Row],[Hour]:[Hour]]&gt;12,OFFSET(TblConstr[[#This Row],[Bar]],-12,0),0)+OFFSET(TblConstr[[#This Row],[Tot Bar]],-1,0)-TblConstr[[#This Row],[Dest Bar]]</calculatedColumnFormula>
    </tableColumn>
    <tableColumn id="62" xr3:uid="{9B339DEA-0599-4758-9D02-2BCE3EA7ACC3}" name="Tot Shr" dataDxfId="604" totalsRowDxfId="603">
      <calculatedColumnFormula array="1">IF(TblConstr[[#This Row],[Hour]:[Hour]]&gt;12,OFFSET(TblConstr[[#This Row],[Shr]],-12,0),0)+OFFSET(TblConstr[[#This Row],[Tot Shr]],-1,0)-TblConstr[[#This Row],[Dest Shr]]</calculatedColumnFormula>
    </tableColumn>
    <tableColumn id="63" xr3:uid="{BC8AAD30-881D-4FF0-9567-7FF1D9791913}" name="Tot Tow" dataDxfId="602" totalsRowDxfId="601">
      <calculatedColumnFormula array="1">IF(TblConstr[[#This Row],[Hour]:[Hour]]&gt;12,OFFSET(TblConstr[[#This Row],[Tow]],-12,0),0)+OFFSET(TblConstr[[#This Row],[Tot Tow]],-1,0)-TblConstr[[#This Row],[Dest Tow]]</calculatedColumnFormula>
    </tableColumn>
    <tableColumn id="64" xr3:uid="{59A3F80D-5052-4FDF-AF65-62DB182FD6A6}" name="Tot Tem" dataDxfId="600" totalsRowDxfId="599">
      <calculatedColumnFormula array="1">IF(TblConstr[[#This Row],[Hour]:[Hour]]&gt;12,OFFSET(TblConstr[[#This Row],[Tem]],-12,0),0)+OFFSET(TblConstr[[#This Row],[Tot Tem]],-1,0)-TblConstr[[#This Row],[Dest Tem]]</calculatedColumnFormula>
    </tableColumn>
    <tableColumn id="65" xr3:uid="{00A352BB-E75B-4E3F-AC3D-1D0DC0813148}" name="Tot WG" dataDxfId="598" totalsRowDxfId="597">
      <calculatedColumnFormula array="1">IF(TblConstr[[#This Row],[Hour]:[Hour]]&gt;12,OFFSET(TblConstr[[#This Row],[WG]],-12,0),0)+OFFSET(TblConstr[[#This Row],[Tot WG]],-1,0)-TblConstr[[#This Row],[Dest WG]]</calculatedColumnFormula>
    </tableColumn>
    <tableColumn id="66" xr3:uid="{AC79E3B7-8BF6-4AEF-AACC-9BCCADEEE9EC}" name="Tot DM" dataDxfId="596" totalsRowDxfId="595">
      <calculatedColumnFormula array="1">IF(TblConstr[[#This Row],[Hour]:[Hour]]&gt;12,OFFSET(TblConstr[[#This Row],[DM]],-12,0),0)+OFFSET(TblConstr[[#This Row],[Tot DM]],-1,0)-TblConstr[[#This Row],[Dest DM]]</calculatedColumnFormula>
    </tableColumn>
    <tableColumn id="67" xr3:uid="{0CFFF054-0F8D-4B14-9366-77ABD3382DE4}" name="Tot Sch" dataDxfId="594" totalsRowDxfId="593">
      <calculatedColumnFormula array="1">IF(TblConstr[[#This Row],[Hour]:[Hour]]&gt;12,OFFSET(TblConstr[[#This Row],[Sch]],-12,0),0)+OFFSET(TblConstr[[#This Row],[Tot Sch]],-1,0)-TblConstr[[#This Row],[Dest Sch]]</calculatedColumnFormula>
    </tableColumn>
    <tableColumn id="68" xr3:uid="{EEBD7864-CCF1-4E52-A4D7-93474D156483}" name="Tot Doc" dataDxfId="592" totalsRowDxfId="591">
      <calculatedColumnFormula array="1">IF(TblConstr[[#This Row],[Hour]:[Hour]]&gt;12,OFFSET(TblConstr[[#This Row],[Doc]],-12,0),0)+OFFSET(TblConstr[[#This Row],[Tot Doc]],-1,0)-TblConstr[[#This Row],[Dest Doc]]</calculatedColumnFormula>
    </tableColumn>
    <tableColumn id="69" xr3:uid="{9CB7D1EC-8231-4E29-AF89-78480EAACCBE}" name="…." dataDxfId="590" totalsRowDxfId="589"/>
    <tableColumn id="70" xr3:uid="{8AB60EC6-2503-4C64-93B5-EF0A15817646}" name="….." dataDxfId="588" totalsRowDxfId="587"/>
    <tableColumn id="71" xr3:uid="{E322C618-2AF7-4E39-8C00-05DB78D1E3E1}" name="Land (2)" dataDxfId="586" totalsRowDxfId="585">
      <calculatedColumnFormula>TblConstr[[#This Row],[Land]]</calculatedColumnFormula>
    </tableColumn>
    <tableColumn id="72" xr3:uid="{03634B5C-154E-4AC8-80E1-BA13BC9D96CD}" name="Time (2)" dataDxfId="584" totalsRowDxfId="583">
      <calculatedColumnFormula>TblImps[[#This Row],[Time]]</calculatedColumnFormula>
    </tableColumn>
    <tableColumn id="73" xr3:uid="{B2BF9056-6EBE-4C01-A8BD-B72B49E563E4}" name="…..." dataDxfId="582" totalsRowDxfId="581"/>
    <tableColumn id="74" xr3:uid="{E1DF0DF3-108E-4B1D-AD0D-B0438E0119B4}" name="Dest Hom" dataDxfId="580" totalsRowDxfId="579"/>
    <tableColumn id="75" xr3:uid="{E9A56C16-CD83-4CF4-801D-3F07F7F4410E}" name="Dest Alc" dataDxfId="578" totalsRowDxfId="577"/>
    <tableColumn id="76" xr3:uid="{83CFBDA2-FADE-4B08-B33E-9C2E9F9BF768}" name="Dest Farm" dataDxfId="576" totalsRowDxfId="575"/>
    <tableColumn id="77" xr3:uid="{19187257-0444-44F4-9D3D-6D0323F40019}" name="Dest Smi" dataDxfId="574" totalsRowDxfId="573"/>
    <tableColumn id="78" xr3:uid="{868AFE18-6FA1-48AB-ABF5-2F2AEFE5F988}" name="Dest Mas" dataDxfId="572" totalsRowDxfId="571"/>
    <tableColumn id="79" xr3:uid="{177B6B53-2F11-4209-8387-13A45749227F}" name="Dest Ly" dataDxfId="570" totalsRowDxfId="569"/>
    <tableColumn id="80" xr3:uid="{7546C506-76A9-4C40-A0E7-9A9D9E5AABE5}" name="Dest Hav" dataDxfId="568" totalsRowDxfId="567"/>
    <tableColumn id="81" xr3:uid="{ADDB86A6-E781-4DBE-8117-6F690916DDFA}" name="Dest OM" dataDxfId="566" totalsRowDxfId="565"/>
    <tableColumn id="82" xr3:uid="{B9BF98EC-18BF-465D-9531-8B38D89E91A0}" name="Dest GN" dataDxfId="564" totalsRowDxfId="563"/>
    <tableColumn id="83" xr3:uid="{E7A6D253-F3B2-42C8-99DD-B144C58FC0C5}" name="Dest Fac" dataDxfId="562" totalsRowDxfId="561"/>
    <tableColumn id="84" xr3:uid="{17104BBD-FC27-4D10-B29C-0273D3241FF4}" name="Dest GT" dataDxfId="560" totalsRowDxfId="559"/>
    <tableColumn id="85" xr3:uid="{99559D62-4D78-440A-98FE-DEBB129B435F}" name="Dest Bar" dataDxfId="558" totalsRowDxfId="557"/>
    <tableColumn id="86" xr3:uid="{9B2EEB8C-2FE8-47EE-A3E2-DC10DB45C7AB}" name="Dest Shr" dataDxfId="556" totalsRowDxfId="555"/>
    <tableColumn id="87" xr3:uid="{514D2AAA-E6E3-475E-9F65-8C732A78896D}" name="Dest Tow" dataDxfId="554" totalsRowDxfId="553"/>
    <tableColumn id="88" xr3:uid="{FAB7F148-62FD-4A01-9E52-E72AB5D98A80}" name="Dest Tem" dataDxfId="552" totalsRowDxfId="551"/>
    <tableColumn id="89" xr3:uid="{51F0AAF8-EA25-41BB-8274-29128D8E9309}" name="Dest WG" dataDxfId="550" totalsRowDxfId="549"/>
    <tableColumn id="90" xr3:uid="{B5DD0E4A-F9DA-46DF-AC1D-4C082F96D4FD}" name="Dest DM" dataDxfId="548" totalsRowDxfId="547"/>
    <tableColumn id="91" xr3:uid="{8374E536-FAFB-4695-B2E9-40E6A61A9D8E}" name="Dest Sch" dataDxfId="546" totalsRowDxfId="545"/>
    <tableColumn id="92" xr3:uid="{AB6E075B-E076-40E6-B2ED-7DBD5C2545B9}" name="Dest Doc" dataDxfId="544" totalsRowDxfId="543"/>
    <tableColumn id="93" xr3:uid="{A4B6EEF5-D4D4-4B9E-B020-F892CB1DC5F1}" name="…...." dataDxfId="542" totalsRowDxfId="541"/>
    <tableColumn id="94" xr3:uid="{A8785F66-A063-4182-BB5F-F2E489C44B8C}" name="Ch_Plain" dataDxfId="540" totalsRowDxfId="53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38" totalsRowDxfId="53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36" totalsRowDxfId="53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34" totalsRowDxfId="53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32" totalsRowDxfId="53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30" totalsRowDxfId="52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28" totalsRowDxfId="52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26" totalsRowDxfId="525">
      <calculatedColumnFormula>IF(Explore!S4=1,20) - TblConstr[[#This Row],[Hom]] + TblConstr[[#This Row],[Dest Hom]]</calculatedColumnFormula>
    </tableColumn>
    <tableColumn id="102" xr3:uid="{A18B5339-7B5E-4FF1-B44C-54D91E2619B1}" name="…....." dataDxfId="524" totalsRowDxfId="523"/>
    <tableColumn id="103" xr3:uid="{4E3EEDB6-D8CB-4DA1-AC9F-29019C9A6FFC}" name="Total Plain" dataDxfId="522" totalsRowDxfId="521"/>
    <tableColumn id="104" xr3:uid="{669C7BA0-B3F2-47DA-B10D-81C2466FF6F3}" name="Total Forest" dataDxfId="520" totalsRowDxfId="519"/>
    <tableColumn id="105" xr3:uid="{B6EE778A-6E52-44FF-8691-B86F1650C2C2}" name="Total Mountain" dataDxfId="518" totalsRowDxfId="517"/>
    <tableColumn id="106" xr3:uid="{5FF89BD6-7921-4110-AD96-EA8B54555F1C}" name="Total Hill" dataDxfId="516" totalsRowDxfId="515"/>
    <tableColumn id="107" xr3:uid="{F920559E-5C73-4899-BC53-A9BA9E7DFC0C}" name="Total Swamp" dataDxfId="514" totalsRowDxfId="513"/>
    <tableColumn id="108" xr3:uid="{6462BCCF-F375-4DEC-B000-637E1187AA5E}" name="Total Cavern" dataDxfId="512" totalsRowDxfId="511"/>
    <tableColumn id="109" xr3:uid="{D966B8E0-E2CD-4374-AF05-B86C330B3BD4}" name="Total Water" dataDxfId="510" totalsRowDxfId="509"/>
    <tableColumn id="110" xr3:uid="{170A4E12-F563-448F-8964-EB5CA71BA3AF}" name="Homeland" dataDxfId="508" totalsRowDxfId="50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06" totalsRowDxfId="505"/>
    <tableColumn id="114" xr3:uid="{EDC1B5E1-1E93-4946-BEC7-453EF5B18C9F}" name="Farms" dataDxfId="504" totalsRowDxfId="503">
      <calculatedColumnFormula>MAX(BA4-BA3,0)</calculatedColumnFormula>
    </tableColumn>
    <tableColumn id="115" xr3:uid="{1D02A65C-E8F6-4B66-A5EB-3699A9BE61C5}" name="Docks" totalsRowFunction="sum" dataDxfId="502" totalsRowDxfId="50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00" dataDxfId="499" tableBorderDxfId="498">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97">
      <calculatedColumnFormula>TblRezone[[#This Row],[Hour]]</calculatedColumnFormula>
    </tableColumn>
    <tableColumn id="2" xr3:uid="{DFB120B6-BC70-4091-A005-99D4961CB538}" name="Land" dataDxfId="496">
      <calculatedColumnFormula>TblConstr[[#This Row],[Land]]</calculatedColumnFormula>
    </tableColumn>
    <tableColumn id="3" xr3:uid="{05C32193-1764-4A8E-B877-789E51BD1927}" name="." dataDxfId="495"/>
    <tableColumn id="4" xr3:uid="{2DBA3229-29BD-4F1F-B6CD-9E822C9071D7}" name="Plains" dataDxfId="494">
      <calculatedColumnFormula>TblConstr[[#This Row],[Plain]]</calculatedColumnFormula>
    </tableColumn>
    <tableColumn id="5" xr3:uid="{3D1FE633-D61E-4157-92AE-5E68F0C48770}" name="Forest" dataDxfId="493">
      <calculatedColumnFormula>TblConstr[[#This Row],[Forest]]</calculatedColumnFormula>
    </tableColumn>
    <tableColumn id="6" xr3:uid="{D9ABEDC6-9211-428A-B587-3CA9C3BF9744}" name="Mountn" dataDxfId="492">
      <calculatedColumnFormula>TblConstr[[#This Row],[Mountain]]</calculatedColumnFormula>
    </tableColumn>
    <tableColumn id="7" xr3:uid="{190BAA64-9D9E-4080-878D-BF035387620E}" name="Hills" dataDxfId="491">
      <calculatedColumnFormula>TblConstr[[#This Row],[Hill]]</calculatedColumnFormula>
    </tableColumn>
    <tableColumn id="8" xr3:uid="{812744CE-DEB7-4A8A-8374-CD5852E8C168}" name="Swamp" dataDxfId="490">
      <calculatedColumnFormula>TblConstr[[#This Row],[Swamp]]</calculatedColumnFormula>
    </tableColumn>
    <tableColumn id="9" xr3:uid="{96D79F63-015A-4655-975B-A1C99185A034}" name="Caverns" dataDxfId="489">
      <calculatedColumnFormula>TblConstr[[#This Row],[Cavern]]</calculatedColumnFormula>
    </tableColumn>
    <tableColumn id="10" xr3:uid="{607DA3E5-8D4A-44F4-A35C-DDAF32BE627C}" name="Water" dataDxfId="488">
      <calculatedColumnFormula>TblConstr[[#This Row],[Water]]</calculatedColumnFormula>
    </tableColumn>
    <tableColumn id="11" xr3:uid="{12EC2AC2-5FD3-4D82-8C37-DB70DCC56DC2}" name="Column2" dataDxfId="487"/>
    <tableColumn id="12" xr3:uid="{B171FE82-C8DE-44A1-89CE-409ED8DDD9D4}" name="Column3" dataDxfId="486"/>
    <tableColumn id="13" xr3:uid="{8C0085EE-E99F-4C98-9D66-144A50E3623C}" name="Column4" dataDxfId="485"/>
    <tableColumn id="14" xr3:uid="{5686D8FB-FF86-4148-AF9E-C03A97A84AF3}" name="Smithies" dataDxfId="484" dataCellStyle="Percent">
      <calculatedColumnFormula>TblMili[[#This Row],[Smithies]]</calculatedColumnFormula>
    </tableColumn>
    <tableColumn id="15" xr3:uid="{A0DC0A41-1987-4EE6-99BA-624DB6ACB9BF}" name="Employm." dataDxfId="483" dataCellStyle="Percent">
      <calculatedColumnFormula>TblPop[[#This Row],[Employment]]</calculatedColumnFormula>
    </tableColumn>
    <tableColumn id="16" xr3:uid="{7B85DEA6-C72D-4EAB-B18F-155B3A80E27B}" name="Popul." dataDxfId="482" dataCellStyle="Percent">
      <calculatedColumnFormula>TblImps[[#This Row],[Population]]</calculatedColumnFormula>
    </tableColumn>
    <tableColumn id="17" xr3:uid="{0BE33934-A790-4489-A3A2-E553E3C4AAEE}" name="Land (2)" dataDxfId="481">
      <calculatedColumnFormula>TblExplore[[#This Row],[Land]]</calculatedColumnFormula>
    </tableColumn>
    <tableColumn id="18" xr3:uid="{1EE849E8-6296-4479-BDA2-30E4622212E0}" name="Hour (2)" dataDxfId="480">
      <calculatedColumnFormula>TblExplore[[#This Row],[Hour]]</calculatedColumnFormula>
    </tableColumn>
    <tableColumn id="19" xr3:uid="{802EC67C-58E0-4E2B-9471-52B76B3F516A}" name="Land Bonus" dataDxfId="479"/>
    <tableColumn id="20" xr3:uid="{B1DC4E54-695A-4FE1-A303-67B047732E38}" name="Plains Explore" dataDxfId="478"/>
    <tableColumn id="21" xr3:uid="{28A63039-E9F4-4C91-BC61-38AFA90CBBA3}" name="Forest Explore" dataDxfId="477"/>
    <tableColumn id="22" xr3:uid="{52A3F218-67B7-4353-9DCD-90E402F80D3A}" name="Mountain Explore" dataDxfId="476"/>
    <tableColumn id="23" xr3:uid="{CADD78BB-1A84-4EF1-B568-74D7A7333BED}" name="Hill Explore" dataDxfId="475"/>
    <tableColumn id="24" xr3:uid="{86B12DCD-5E50-4631-800C-3D06D0C8407F}" name="Swamp Explore" dataDxfId="474"/>
    <tableColumn id="25" xr3:uid="{41A3F8D1-C19F-4B01-A125-BD6C5BE75F1D}" name="Cavern Explore" dataDxfId="473"/>
    <tableColumn id="26" xr3:uid="{DD83E77E-8C71-44A7-BF29-B8595544CC0D}" name="Water Explore" dataDxfId="472"/>
    <tableColumn id="27" xr3:uid="{6F68BDB2-663F-44CE-A108-1184CFBBBFB9}" name="Time" dataDxfId="471">
      <calculatedColumnFormula>TblImps[[#This Row],[Real time]]</calculatedColumnFormula>
    </tableColumn>
    <tableColumn id="28" xr3:uid="{0FBA88C1-4190-4A95-897B-20B88A072234}" name="Draftees" dataDxfId="470">
      <calculatedColumnFormula>TblMili[[#This Row],[Draftees]]</calculatedColumnFormula>
    </tableColumn>
    <tableColumn id="29" xr3:uid="{4EFD1992-02FD-4356-A327-EBEED01908DD}" name="Platinum" dataDxfId="469">
      <calculatedColumnFormula>TblProd[[#This Row],[Platinum]]</calculatedColumnFormula>
    </tableColumn>
    <tableColumn id="30" xr3:uid="{3D9A7B33-B273-4A01-8F7D-822B1BEB344B}" name=".." dataDxfId="468"/>
    <tableColumn id="31" xr3:uid="{EDB0F070-B31D-4B00-90A6-0A190E3CA80B}" name="Land-DB" dataDxfId="467">
      <calculatedColumnFormula>TblExplore[[#This Row],[Land]]-TblExplore[[#This Row],[Land Bonus]]*20</calculatedColumnFormula>
    </tableColumn>
    <tableColumn id="32" xr3:uid="{B94D1074-50E9-44F1-8957-6BE450DE4BF0}" name="Plat/acre" dataDxfId="466">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65">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64">
      <calculatedColumnFormula>SUM(TblExplore[[#This Row],[Plains Explore]:[Water Explore]])*TblExplore[[#This Row],[Plat/acre]]</calculatedColumnFormula>
    </tableColumn>
    <tableColumn id="35" xr3:uid="{61575F8F-5343-43C9-858D-AF8501368779}" name="Draftees (2)" dataDxfId="463">
      <calculatedColumnFormula>SUM(TblExplore[[#This Row],[Plains Explore]:[Water Explore]])*TblExplore[[#This Row],[Draftees/acre]]</calculatedColumnFormula>
    </tableColumn>
    <tableColumn id="36" xr3:uid="{BD4C2C0C-7F81-4BE8-9828-9CFCFFAFF394}" name="Max Explore" dataDxfId="462">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61" dataDxfId="460" tableBorderDxfId="45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58">
      <calculatedColumnFormula>TblConstr[[#This Row],[Land]]</calculatedColumnFormula>
    </tableColumn>
    <tableColumn id="2" xr3:uid="{09D3C0EB-2481-406C-ABC2-3B9FE0683D68}" name="Plains" dataDxfId="457">
      <calculatedColumnFormula>TblConstr[[#This Row],[Plain]]</calculatedColumnFormula>
    </tableColumn>
    <tableColumn id="3" xr3:uid="{E95763D4-88E5-487A-9912-CB5FED512375}" name="Forest" dataDxfId="456">
      <calculatedColumnFormula>TblConstr[[#This Row],[Forest]]</calculatedColumnFormula>
    </tableColumn>
    <tableColumn id="4" xr3:uid="{62B2173B-885E-48E7-B615-089739267B8E}" name="Mountains" dataDxfId="455">
      <calculatedColumnFormula>TblConstr[[#This Row],[Mountain]]</calculatedColumnFormula>
    </tableColumn>
    <tableColumn id="5" xr3:uid="{4FA61465-41A2-4497-AB2D-7B63B7113E12}" name="Hills" dataDxfId="454">
      <calculatedColumnFormula>TblConstr[[#This Row],[Hill]]</calculatedColumnFormula>
    </tableColumn>
    <tableColumn id="6" xr3:uid="{FC27A0D5-6BB5-414B-8DEB-98AD07E7EBFF}" name="Swamp" dataDxfId="453">
      <calculatedColumnFormula>TblConstr[[#This Row],[Swamp]]</calculatedColumnFormula>
    </tableColumn>
    <tableColumn id="7" xr3:uid="{E95EDCE9-4D0A-4F4F-80D0-F52A495BDAE2}" name="Caverns" dataDxfId="452">
      <calculatedColumnFormula>TblConstr[[#This Row],[Cavern]]</calculatedColumnFormula>
    </tableColumn>
    <tableColumn id="8" xr3:uid="{4D162EFF-D831-41C8-9A17-B9113296E43B}" name="Water" dataDxfId="451">
      <calculatedColumnFormula>TblConstr[[#This Row],[Water]]</calculatedColumnFormula>
    </tableColumn>
    <tableColumn id="9" xr3:uid="{D55A4201-089D-415F-8D4D-3ECCCB36C63A}" name="." dataDxfId="450"/>
    <tableColumn id="10" xr3:uid="{DD5BAECA-959B-44B4-BFE4-04100EF42CEE}" name="Hour" dataDxfId="449">
      <calculatedColumnFormula>J3+1</calculatedColumnFormula>
    </tableColumn>
    <tableColumn id="11" xr3:uid="{BBC04AC2-481C-43B9-8F7E-DA11BD9865DF}" name="Time" dataDxfId="448">
      <calculatedColumnFormula>TblImps[[#This Row],[Real time]]</calculatedColumnFormula>
    </tableColumn>
    <tableColumn id="12" xr3:uid="{D6C776EF-706C-4E21-B5A7-00C9AD08F8F2}" name="Plains Rezone" dataDxfId="447"/>
    <tableColumn id="13" xr3:uid="{8517A176-425D-4D28-9953-4EC1AA93C82D}" name="Forest Rezone" dataDxfId="446"/>
    <tableColumn id="14" xr3:uid="{6C6986FB-4B34-4620-9F5C-E204CA007C29}" name="Mountain Rezone" dataDxfId="445"/>
    <tableColumn id="15" xr3:uid="{A238C8DA-37C8-4B93-BDB9-803627A51455}" name="Hill Rezone" dataDxfId="444"/>
    <tableColumn id="16" xr3:uid="{6F93D167-46BB-49F9-99E2-4FE4FA89F6F6}" name="Swamp Rezone" dataDxfId="443"/>
    <tableColumn id="17" xr3:uid="{2891557D-037E-43FE-B080-6B5406778FAE}" name="Cavern Rezone" dataDxfId="442"/>
    <tableColumn id="18" xr3:uid="{C6630C4B-97F3-4512-833F-587ADB90804D}" name="Water Rezone" dataDxfId="441"/>
    <tableColumn id="19" xr3:uid="{71938840-BA0F-4F0E-90C2-866B3EEED32E}" name="Total acres" dataDxfId="440">
      <calculatedColumnFormula>SUMIF(TblRezone[[#This Row],[Plains Rezone]:[Water Rezone]],"&gt;0")</calculatedColumnFormula>
    </tableColumn>
    <tableColumn id="20" xr3:uid="{A48C796B-764B-4744-95D2-0DB5292F5562}" name="Ok?" dataDxfId="439">
      <calculatedColumnFormula>IF(SUM(TblRezone[[#This Row],[Plains Rezone]:[Water Rezone]])=0,"Ok","Nope")</calculatedColumnFormula>
    </tableColumn>
    <tableColumn id="21" xr3:uid="{2EBFAAC1-440A-44F3-A930-C229C35B9BD3}" name=".." dataDxfId="438"/>
    <tableColumn id="22" xr3:uid="{2020F260-8DB5-44E6-A131-B44D79AF6B62}" name="Platinum" dataDxfId="437">
      <calculatedColumnFormula>TblProd[[#This Row],[Platinum]]</calculatedColumnFormula>
    </tableColumn>
    <tableColumn id="23" xr3:uid="{81A5A213-A750-4DD5-8456-6B104D493CA4}" name="…" dataDxfId="436"/>
    <tableColumn id="24" xr3:uid="{8EF28125-DA30-4482-ADE4-2B916A90CAD2}" name="Plat/acre" dataDxfId="43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34">
      <calculatedColumnFormula>TblRezone[[#This Row],[Total acres]]*TblRezone[[#This Row],[Plat/acre]]</calculatedColumnFormula>
    </tableColumn>
    <tableColumn id="26" xr3:uid="{685D7DEA-DD3C-4385-BEC6-C5DBEEE6B44D}" name="…." dataDxfId="433"/>
    <tableColumn id="27" xr3:uid="{44BE000A-0846-46D4-B9B4-8728EC5881AB}" name="Plat/acre*" dataDxfId="432">
      <calculatedColumnFormula>250+0.6*(TblRezone[[#This Row],[Land]]-250)</calculatedColumnFormula>
    </tableColumn>
    <tableColumn id="28" xr3:uid="{3AFBA97F-9340-4669-BF68-67D7B351BBD4}" name="….." dataDxfId="431"/>
    <tableColumn id="29" xr3:uid="{D8C9DC04-80EE-49BF-BEDB-6FEC536A5F93}" name="Facs" dataDxfId="43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429" dataDxfId="427" headerRowBorderDxfId="428" tableBorderDxfId="426">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425">
      <calculatedColumnFormula>TblRezone[[#This Row],[Hour]]</calculatedColumnFormula>
    </tableColumn>
    <tableColumn id="2" xr3:uid="{EAC413AF-EC0E-4C34-B6C3-F5AE2181B0A0}" name="Military" dataDxfId="424">
      <calculatedColumnFormula>SUM(TblMili[[#This Row],[Unit 1]:[Archmages]])+SUM(TblMili[[#This Row],[Train Unit 1]:[Train Unit 4]])+TblMili[[#This Row],[Draftees]]</calculatedColumnFormula>
    </tableColumn>
    <tableColumn id="3" xr3:uid="{B9847F02-8883-462E-B245-62A25138A973}" name="Military%" dataDxfId="423">
      <calculatedColumnFormula>TblPop[[#This Row],[Military%]]</calculatedColumnFormula>
    </tableColumn>
    <tableColumn id="4" xr3:uid="{873B66D3-9A4C-4CF2-ADD1-BF3696F9A721}" name="." dataDxfId="422"/>
    <tableColumn id="5" xr3:uid="{FC5A3C7C-0387-4B98-9BB7-AC3A387EAFF0}" name="Unit 1" dataDxfId="421">
      <calculatedColumnFormula>OFFSET(TblMili[[#This Row],[Unit 1]],-1,0) - TblMili[[#This Row],[Release Unit 1]]</calculatedColumnFormula>
    </tableColumn>
    <tableColumn id="6" xr3:uid="{A8BE2C9D-1318-46BD-B50B-D87014E90395}" name="Unit 2" dataDxfId="420">
      <calculatedColumnFormula>OFFSET(TblMili[[#This Row],[Unit 2]],-1,0)-TblMili[[#This Row],[Release Unit 2]]</calculatedColumnFormula>
    </tableColumn>
    <tableColumn id="7" xr3:uid="{49487FD4-4EF4-4722-A4A4-FCC0DD98F9F2}" name="Unit 3" dataDxfId="419">
      <calculatedColumnFormula>OFFSET(TblMili[[#This Row],[Unit 3]],-1,0)-TblMili[[#This Row],[Release Unit 3]]</calculatedColumnFormula>
    </tableColumn>
    <tableColumn id="8" xr3:uid="{739E7790-2960-445C-A5B2-C6064A881CDF}" name="Unit 4" dataDxfId="418">
      <calculatedColumnFormula>OFFSET(TblMili[[#This Row],[Unit 4]],-1,0)-TblMili[[#This Row],[Release Unit 4]]</calculatedColumnFormula>
    </tableColumn>
    <tableColumn id="9" xr3:uid="{0DB25EC0-D296-415A-BF65-DA60D7174CD2}" name="Spies" dataDxfId="417">
      <calculatedColumnFormula>OFFSET(TblMili[[#This Row],[Spies]],-1,0)-TblMili[[#This Row],[Release Spies]]</calculatedColumnFormula>
    </tableColumn>
    <tableColumn id="10" xr3:uid="{1B32AEAE-0DB3-4DD4-8543-1BD37596FD6C}" name="Wizards" dataDxfId="416">
      <calculatedColumnFormula>OFFSET(TblMili[[#This Row],[Wizards]],-1,0)-TblMili[[#This Row],[Release Wizards]]-TblMili[[#This Row],[Train Arch]]</calculatedColumnFormula>
    </tableColumn>
    <tableColumn id="11" xr3:uid="{ED512AF5-16B2-421C-BF95-07157DB57B9D}" name="Archmages" dataDxfId="415">
      <calculatedColumnFormula>OFFSET(TblMili[[#This Row],[Archmages]],-1,0)-TblMili[[#This Row],[Release Arch]]</calculatedColumnFormula>
    </tableColumn>
    <tableColumn id="12" xr3:uid="{CADE9B79-5861-46C5-8C69-B19C0F0551CF}" name=".." dataDxfId="414"/>
    <tableColumn id="13" xr3:uid="{18901E43-A967-4D1C-A56F-B4449A6C28E5}" name="Networth" dataDxfId="413">
      <calculatedColumnFormula>TblProd[[#This Row],[Networth]]</calculatedColumnFormula>
    </tableColumn>
    <tableColumn id="14" xr3:uid="{2F50B0FF-1C90-493E-BE67-86AFE22B6059}" name="…" dataDxfId="412"/>
    <tableColumn id="15" xr3:uid="{800A8F5F-B777-4995-AD6F-4DF929E0A477}" name="Raw" dataDxfId="411">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410">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409">
      <calculatedColumnFormula>TblMili[[#This Row],[Raw]]*(1+TblMili[[#This Row],[Mods_Off]])</calculatedColumnFormula>
    </tableColumn>
    <tableColumn id="18" xr3:uid="{49AD1BCC-C9BC-46CD-8B38-93838D61E9DD}" name="Non Draft" dataDxfId="408">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07">
      <calculatedColumnFormula>TblMili[[#This Row],[Non Draft]]+TblMili[[#This Row],[Draftees]]</calculatedColumnFormula>
    </tableColumn>
    <tableColumn id="20" xr3:uid="{C64B2C83-F9B3-427D-8326-C6954139623D}" name="Mods_Def" dataDxfId="406">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405" dataCellStyle="Comma">
      <calculatedColumnFormula>TblMili[[#This Row],[Non Draft]] * (1 + TblMili[[#This Row],[Mods_Def]])</calculatedColumnFormula>
    </tableColumn>
    <tableColumn id="22" xr3:uid="{EA8914C0-CD98-4E5C-A923-EA0F9E30F1EA}" name="Draft (mod)" dataDxfId="404">
      <calculatedColumnFormula>TblMili[[#This Row],[Draft]] * (1 + TblMili[[#This Row],[Mods_Def]])</calculatedColumnFormula>
    </tableColumn>
    <tableColumn id="23" xr3:uid="{EAC9356D-CE42-4256-BB93-BF208B480555}" name="Land" dataDxfId="403">
      <calculatedColumnFormula>TblConstr[[#This Row],[Land]]</calculatedColumnFormula>
    </tableColumn>
    <tableColumn id="24" xr3:uid="{D4A87242-2EDC-47D9-8CA4-84D822469E1B}" name="Set" dataDxfId="402"/>
    <tableColumn id="25" xr3:uid="{448088C9-E1C1-47E6-9443-BE83ECC5C2F2}" name="Draftrate" dataDxfId="401" dataCellStyle="Percent">
      <calculatedColumnFormula>IF(TblMili[[#This Row],[Set]]&lt;&gt;"",TblMili[[#This Row],[Set]],OFFSET(TblMili[[#This Row],[Draftrate]],-1,0))</calculatedColumnFormula>
    </tableColumn>
    <tableColumn id="26" xr3:uid="{EE8F6844-A68F-416E-B5A0-7B6FA4C5DE98}" name="Draftees" dataDxfId="400">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99"/>
    <tableColumn id="28" xr3:uid="{0B20A7CE-7BB6-4469-889B-DF744233C462}" name="Smithies" dataDxfId="398" dataCellStyle="Percent">
      <calculatedColumnFormula>(TblConstr[[#This Row],[Tot Smi]]+TblConstr[[#This Row],[Dest Smi]])/(TblConstr[[#This Row],[Land]]-TblExplore[[#This Row],[Land Bonus]]*20)</calculatedColumnFormula>
    </tableColumn>
    <tableColumn id="29" xr3:uid="{A03A8504-EBEF-4639-9EE4-238592848C94}" name="….." dataDxfId="397"/>
    <tableColumn id="30" xr3:uid="{4B521A36-EE77-42BE-850C-0D858F3717A6}" name="Hour (2)" dataDxfId="396">
      <calculatedColumnFormula>TblMili[[#This Row],[Hour]]</calculatedColumnFormula>
    </tableColumn>
    <tableColumn id="31" xr3:uid="{D44FE507-2C86-49D9-BC07-83C7B27BB255}" name="Time" dataDxfId="395">
      <calculatedColumnFormula>TblExplore[[#This Row],[Time]]</calculatedColumnFormula>
    </tableColumn>
    <tableColumn id="32" xr3:uid="{0DAD6AB9-2259-4821-8771-37863F1ED4CC}" name="Train Unit 1" dataDxfId="394"/>
    <tableColumn id="33" xr3:uid="{0E43B866-578B-4060-84D1-01656CB368A4}" name="Train Unit 2" dataDxfId="393"/>
    <tableColumn id="34" xr3:uid="{3AAC979B-4FF3-4EFF-8F6E-BD28BBE2B8BD}" name="Train Unit 3" dataDxfId="392"/>
    <tableColumn id="35" xr3:uid="{EC6B8083-BC72-4376-9760-2275CF62C1A6}" name="Train Unit 4" dataDxfId="391"/>
    <tableColumn id="36" xr3:uid="{DE15CA92-2C69-4205-88B3-DE37F5AAF9A6}" name="Train Spies" dataDxfId="390"/>
    <tableColumn id="37" xr3:uid="{97770C71-624D-4E73-A8AD-D79927F45908}" name="Train Wiz" dataDxfId="389"/>
    <tableColumn id="38" xr3:uid="{4E456233-AA67-4D90-9179-339EBD335F62}" name="Train Arch" dataDxfId="388"/>
    <tableColumn id="39" xr3:uid="{29C90460-5421-4EA7-A4CB-BDA1C40BF8A1}" name="…..." dataDxfId="387"/>
    <tableColumn id="40" xr3:uid="{2C04ED42-9AAF-4375-A8D4-18DA4B397FAA}" name="Platinum" dataDxfId="386">
      <calculatedColumnFormula>TblProd[[#This Row],[Platinum]]</calculatedColumnFormula>
    </tableColumn>
    <tableColumn id="41" xr3:uid="{122C6EDE-4C24-4A3C-9FA2-6A7942348604}" name="Secondary recource" dataDxfId="385">
      <calculatedColumnFormula>INDEX(TblProd[[#Headers],[Lumber]]:TblProd[[#This Row],[Ore]],COUNTA(TblProd[[#Headers],[Lumber]]:TblProd[[#This Row],[Lumber]]),MATCH(Military!$AO$2,TblProd[[#Headers],[Lumber]:[Ore]],0))</calculatedColumnFormula>
    </tableColumn>
    <tableColumn id="42" xr3:uid="{AD4D72D1-3860-48CA-B3DA-ADFB8307154A}" name="Plat Cost" dataDxfId="38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8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82">
      <calculatedColumnFormula>TblMili[[#This Row],[Hour]]</calculatedColumnFormula>
    </tableColumn>
    <tableColumn id="45" xr3:uid="{20B1F70F-03BF-43F5-9126-6B2FF45FE149}" name="Time " dataDxfId="381">
      <calculatedColumnFormula>TblMili[[#This Row],[Time]]</calculatedColumnFormula>
    </tableColumn>
    <tableColumn id="46" xr3:uid="{32831987-A30D-4329-BB1C-DB47E6B77B54}" name="Draftees22" dataDxfId="380">
      <calculatedColumnFormula>TblMili[[#This Row],[Draftees]]</calculatedColumnFormula>
    </tableColumn>
    <tableColumn id="47" xr3:uid="{7EBE7BE4-37D1-4B52-B049-F9BE4ABBBADC}" name="Release Draft" dataDxfId="379"/>
    <tableColumn id="48" xr3:uid="{C3BB0EE7-6180-4099-B663-EFA3F1503DB3}" name="Release Unit 1" dataDxfId="378"/>
    <tableColumn id="49" xr3:uid="{EDF7E463-807D-4CE2-B63E-18766260768C}" name="Release Unit 2" dataDxfId="377"/>
    <tableColumn id="50" xr3:uid="{A1BE9DD8-455A-4FAA-8154-5BB2D1A53261}" name="Release Unit 3" dataDxfId="376"/>
    <tableColumn id="51" xr3:uid="{4FE1D56E-EA47-4DF6-B5A4-E78C1D5F5774}" name="Release Unit 4" dataDxfId="375"/>
    <tableColumn id="52" xr3:uid="{F0F9CB78-BA40-4031-AC17-0AB88B159B60}" name="Release Spies" dataDxfId="374"/>
    <tableColumn id="53" xr3:uid="{3CC7AC8A-814F-42C4-B491-A6DFD7A4A93E}" name="Release Wizards" dataDxfId="373"/>
    <tableColumn id="54" xr3:uid="{BCB616C3-3465-4473-B27B-B25584160E71}" name="Release Arch" dataDxfId="372"/>
    <tableColumn id="55" xr3:uid="{6B6EC03F-2A6A-47EB-A7F1-0DFE335A330A}" name="Column31" dataDxfId="371"/>
    <tableColumn id="56" xr3:uid="{71F6F49D-CD22-4E5F-BBB5-61150307312C}" name="WG's" dataDxfId="370">
      <calculatedColumnFormula>TblConstr[[#This Row],[Tot WG]]/TblConstr[[#This Row],[Land]]</calculatedColumnFormula>
    </tableColumn>
    <tableColumn id="57" xr3:uid="{B8AC3F70-AED4-4E5E-9FFD-FF94CB39B791}" name="FH's" dataDxfId="369">
      <calculatedColumnFormula>TblConstr[[#This Row],[Tot Hav]]/TblConstr[[#This Row],[Land]]</calculatedColumnFormula>
    </tableColumn>
    <tableColumn id="58" xr3:uid="{140FE3B0-18E6-43AA-A625-E817354E2D53}" name="OP Plat" dataDxfId="36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67">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6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65">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6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63">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6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61">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60">
      <calculatedColumnFormula>ROUNDUP((1-MIN(ROUND(fh_spy_cost_red*TblMili[[#This Row],[FH''s]],4),fh_spy_cost_cap)+ tech_1_9*TblTech[[#This Row],[1-9]] + tech_9_1*TblTech[[#This Row],[9-1]])*spy_plat,0)</calculatedColumnFormula>
    </tableColumn>
    <tableColumn id="67" xr3:uid="{CDB40042-773A-4CE1-B670-B62BC884A947}" name="Wizzies cost" dataDxfId="359">
      <calculatedColumnFormula>ROUNDUP((1-MIN(ROUND(wg_wiz_cost_bonus*TblMili[[#This Row],[WG''s]],4),wg_wiz_cost_cap) + tech_1_9_2*TblTech[[#This Row],[1-9]] + tech_9_1_2*TblTech[[#This Row],[9-1]])*wizard_plat,0)</calculatedColumnFormula>
    </tableColumn>
    <tableColumn id="68" xr3:uid="{1053234A-AE18-4A82-94FC-D94692087DE3}" name="AMs cost" dataDxfId="358">
      <calculatedColumnFormula>ROUNDUP((1-MIN(ROUND(wg_wiz_cost_bonus*TblMili[[#This Row],[WG''s]],4),wg_wiz_cost_cap) + tech_1_9_2*TblTech[[#This Row],[1-9]] + tech_9_1_2*TblTech[[#This Row],[9-1]])*archmage_plat,0)</calculatedColumnFormula>
    </tableColumn>
    <tableColumn id="69" xr3:uid="{9D11DA92-CF6B-4838-B51B-494833977486}" name="…2" dataDxfId="357"/>
    <tableColumn id="70" xr3:uid="{1F713D65-CE26-4E75-AF9C-1E2610D02FB6}" name="Hill" dataDxfId="356">
      <calculatedColumnFormula>TblConstr[[#This Row],[Homeland]]/TblConstr[[#This Row],[Land]]</calculatedColumnFormula>
    </tableColumn>
    <tableColumn id="71" xr3:uid="{FBD620E0-8F97-4BED-916D-A8962B459E13}" name="WG" dataDxfId="355">
      <calculatedColumnFormula>TblMili[[#This Row],[WG''s]]</calculatedColumnFormula>
    </tableColumn>
    <tableColumn id="72" xr3:uid="{0F482B90-6164-42A0-AC1A-EB6CBE2239E0}" name="Mystic" dataDxfId="354">
      <calculatedColumnFormula>IF(mystic_cap="none",TblMili[[#This Row],[Hill]]/mystic_bonus,MIN(mystic_cap,TblMili[[#This Row],[Hill]]/mystic_bonus))</calculatedColumnFormula>
    </tableColumn>
    <tableColumn id="73" xr3:uid="{2FD25056-5068-463F-8553-3D2CFBDBD80D}" name="Druid (op)" dataDxfId="353">
      <calculatedColumnFormula>IF(druid_op_cap="none",TblMili[[#This Row],[Hill]]/druid_op_bonus,MIN(druid_op_cap,TblMili[[#This Row],[Hill]]/druid_op_bonus))</calculatedColumnFormula>
    </tableColumn>
    <tableColumn id="74" xr3:uid="{53018DF3-E735-41C7-A3D0-8E634866C57E}" name="Druid (dp)" dataDxfId="352">
      <calculatedColumnFormula>IF(druid_dp_cap="none",TblMili[[#This Row],[Hill]]/druid_dp_bonus,MIN(druid_dp_cap,TblMili[[#This Row],[Hill]]/druid_dp_bonus))</calculatedColumnFormula>
    </tableColumn>
    <tableColumn id="75" xr3:uid="{7F4EE74D-9905-4DF0-A5F6-DDC9D0115356}" name="Dryad" dataDxfId="351">
      <calculatedColumnFormula>MIN(dryad_cap,TblMili[[#This Row],[Hill]]/dryad_bonus)</calculatedColumnFormula>
    </tableColumn>
    <tableColumn id="76" xr3:uid="{E7F9826C-05CD-49D4-95DF-ECCD467D1341}" name="Rockapult" dataDxfId="350">
      <calculatedColumnFormula>MIN(rocka_cap,TblMili[[#This Row],[Hill]]/rocka_bonus)</calculatedColumnFormula>
    </tableColumn>
    <tableColumn id="77" xr3:uid="{A26FFF73-DC56-4E66-8A0E-51A9C837AE8D}" name="Adept" dataDxfId="349">
      <calculatedColumnFormula>MIN(adept_op_cap,TblMili[[#This Row],[WG]]/adept_op_bonus)</calculatedColumnFormula>
    </tableColumn>
    <tableColumn id="78" xr3:uid="{A5F9372F-5EBA-4E5A-AB3F-5A786DE5FEB0}" name="Column35" dataDxfId="348">
      <calculatedColumnFormula>MIN(adept_dp_cap,TblMili[[#This Row],[WG]]/adept_dp_bonus)</calculatedColumnFormula>
    </tableColumn>
    <tableColumn id="79" xr3:uid="{FF50DABE-A375-4222-848D-9C4D1D0FC999}" name="Beasts" dataDxfId="347">
      <calculatedColumnFormula>MIN(TblMili[[#This Row],[Unit 3]],TblMili[[#This Row],[Unit 4]])*2</calculatedColumnFormula>
    </tableColumn>
    <tableColumn id="80" xr3:uid="{FFCDA044-2FD9-4119-B82B-7914D887B7F4}" name="Overlords" dataDxfId="346">
      <calculatedColumnFormula>MIN(TblMili[[#This Row],[Unit 1]],TblMili[[#This Row],[Unit 4]])*2</calculatedColumnFormula>
    </tableColumn>
    <tableColumn id="81" xr3:uid="{00DE2C4D-2323-42A0-B749-2FB5F4E28DBF}" name="Frost Mage" dataDxfId="345">
      <calculatedColumnFormula>MIN(frost_mage_cap,TblMili[[#This Row],[Hill]]/frost_mage_bonus)</calculatedColumnFormula>
    </tableColumn>
    <tableColumn id="82" xr3:uid="{BB055F70-3593-48E8-A32F-2C3BC4E6D218}" name="Ice Elemental" dataDxfId="344">
      <calculatedColumnFormula>MIN(ice_elem_cap,TblMili[[#This Row],[Raw (2)]]*ice_elem_bonus)</calculatedColumnFormula>
    </tableColumn>
    <tableColumn id="83" xr3:uid="{1158BE59-7C9D-4D41-AE99-4249CB18E29F}" name="Orc" dataDxfId="343">
      <calculatedColumnFormula>MIN(bone_breaker_cap,250/bone_breaker_bonus)</calculatedColumnFormula>
    </tableColumn>
    <tableColumn id="84" xr3:uid="{76252BAC-90E5-49A7-B5F9-E399F71EA45D}" name="Nox" dataDxfId="342">
      <calculatedColumnFormula>MIN(nox_nightshade_cap,TblConstr[[#This Row],[Homeland]]/TblConstr[[#This Row],[Land]]/nox_nightshade_swamp_bonus)</calculatedColumnFormula>
    </tableColumn>
    <tableColumn id="85" xr3:uid="{1DFCAA2E-8651-447E-895D-82655A45DF53}" name="Column36" dataDxfId="341"/>
    <tableColumn id="86" xr3:uid="{2B117F31-500F-4EF5-A943-EA4E7192FD0F}" name="Column37" dataDxfId="340"/>
    <tableColumn id="87" xr3:uid="{F3D20B86-D78F-4794-87F9-C555822D3041}" name="Column38" dataDxfId="339"/>
    <tableColumn id="88" xr3:uid="{BDEF093C-2660-4215-8999-F98F4344DFB8}" name="Mystic bonus" dataDxfId="338">
      <calculatedColumnFormula>MIN(6,TblMili[[#This Row],[Mystic]]+Races!$F$19)*1.8 +  IF(TblMili[[#This Row],[Mystic]]+Races!$F$19&gt;6,(TblMili[[#This Row],[Mystic]]+Races!$F$19-6)*0.2,0) - Races!$I$19</calculatedColumnFormula>
    </tableColumn>
    <tableColumn id="89" xr3:uid="{46F4DC63-3122-4751-919D-25DE59A7EF66}" name="Druid bonus" dataDxfId="33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36">
      <calculatedColumnFormula>TblMili[[#This Row],[Mystic bonus]]*TblMili[[#This Row],[Unit 3]]+TblMili[[#This Row],[Druid bonus]]*TblMili[[#This Row],[Unit 4]]</calculatedColumnFormula>
    </tableColumn>
    <tableColumn id="91" xr3:uid="{4EE98187-D861-41F7-99BA-17048C4D8D34}" name="Dryad bonus" dataDxfId="335">
      <calculatedColumnFormula>MIN(6,TblMili[[#This Row],[Dryad]]+Races!$F$35)*1.8 +  IF(TblMili[[#This Row],[Dryad]]+Races!$F$35&gt;6,(TblMili[[#This Row],[Dryad]]+Races!$F$35-6)*0.2,0) - Races!$I$19</calculatedColumnFormula>
    </tableColumn>
    <tableColumn id="92" xr3:uid="{4D0FBA77-63EB-4AF7-AA3C-BF4D432786D2}" name="Sylvan bonus" dataDxfId="334">
      <calculatedColumnFormula>sylvan*(TblMili[[#This Row],[Mystic bonus]]*TblMili[[#This Row],[Unit 3]])</calculatedColumnFormula>
    </tableColumn>
    <tableColumn id="93" xr3:uid="{9CB7A2CE-8BEC-402B-B1F0-5A1153673E45}" name="Rockapult bonus" dataDxfId="33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32">
      <calculatedColumnFormula>gnome*(TblMili[[#This Row],[Rockapult bonus]]*TblMili[[#This Row],[Unit 3]])</calculatedColumnFormula>
    </tableColumn>
    <tableColumn id="95" xr3:uid="{A02C2188-BFCD-4178-8B64-B969D4D2D97B}" name="Adept bonus" dataDxfId="331">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330">
      <calculatedColumnFormula>dark_elf*(TblMili[[#This Row],[Adept bonus]]*TblMili[[#This Row],[Unit 3]])</calculatedColumnFormula>
    </tableColumn>
    <tableColumn id="97" xr3:uid="{19730E51-BC55-444F-8E03-4B3A51C0E3D8}" name="Frost Mage bonus" dataDxfId="32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2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27">
      <calculatedColumnFormula>TblMili[[#This Row],[Frost Mage bonus]]*TblMili[[#This Row],[Unit 3]]+TblMili[[#This Row],[Ice Elemental bonus]]*TblMili[[#This Row],[Unit 4]]</calculatedColumnFormula>
    </tableColumn>
    <tableColumn id="100" xr3:uid="{A2072E36-3982-4B78-93F1-3B2C7DD41EB6}" name="Column46" dataDxfId="326"/>
    <tableColumn id="101" xr3:uid="{AA2C19ED-CD7C-4497-8949-4735D8380A50}" name="Column47" dataDxfId="325"/>
    <tableColumn id="102" xr3:uid="{045A1C5D-FFD7-4F37-8C55-3E1C6325D69C}" name="Column48" dataDxfId="324"/>
    <tableColumn id="103" xr3:uid="{CA1D4487-36A8-42BE-AAE8-1C025B923059}" name="Networth (2)" dataDxfId="32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322"/>
    <tableColumn id="105" xr3:uid="{628D592A-8396-4FB0-BFC1-BC7CA81586EE}" name="Raw (2)" dataDxfId="321">
      <calculatedColumnFormula>(TblMili[[#This Row],[Wizards]]+2*TblMili[[#This Row],[Archmages]])/TblConstr[[#This Row],[Land]]</calculatedColumnFormula>
    </tableColumn>
    <tableColumn id="106" xr3:uid="{016BFDB0-CD57-41C0-AF17-CB540C2E962C}" name="Modded (2)" dataDxfId="32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319" dataDxfId="317" headerRowBorderDxfId="318" tableBorderDxfId="316">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315">
      <calculatedColumnFormula>TblRezone[[#This Row],[Hour]]</calculatedColumnFormula>
    </tableColumn>
    <tableColumn id="2" xr3:uid="{E160E2FF-C983-4A55-B03E-684BAA5D56D7}" name="Land" dataDxfId="314">
      <calculatedColumnFormula>TblConstr[[#This Row],[Land]]</calculatedColumnFormula>
    </tableColumn>
    <tableColumn id="3" xr3:uid="{CEA3931F-9B77-4317-A7C7-C5D0214A12BA}" name="Mana" dataDxfId="313">
      <calculatedColumnFormula>TblProd[[#This Row],[Mana]]</calculatedColumnFormula>
    </tableColumn>
    <tableColumn id="4" xr3:uid="{D383CA2D-65F3-4634-A1DD-E4ECA1CC96C8}" name="Wiz str" dataDxfId="31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11">
      <calculatedColumnFormula>OFFSET(TblMagic[[#This Row],[Time]],-1,0)+1/24</calculatedColumnFormula>
    </tableColumn>
    <tableColumn id="6" xr3:uid="{6625E0CA-37E1-457D-817F-784FA6A7A47B}" name="Pop" dataDxfId="310">
      <calculatedColumnFormula>TblImps[[#This Row],[Population]]</calculatedColumnFormula>
    </tableColumn>
    <tableColumn id="7" xr3:uid="{74B4A440-273D-4100-B1BC-91171D1D20B6}" name="Gaia's Watch" dataDxfId="309"/>
    <tableColumn id="8" xr3:uid="{43E4A01F-74F7-4C30-9D8A-3079A04763B9}" name="Mining Strength" dataDxfId="308"/>
    <tableColumn id="9" xr3:uid="{1A92950C-8F89-409E-9002-FCC57F75ADE0}" name="Ares Call" dataDxfId="307"/>
    <tableColumn id="10" xr3:uid="{A04C0737-02D0-4DAA-B9D7-324E3D59498C}" name="Midas Touch" dataDxfId="306"/>
    <tableColumn id="11" xr3:uid="{028D46F5-0AAD-49F8-AC48-D5E2C41FD4C2}" name="Harmony" dataDxfId="305"/>
    <tableColumn id="12" xr3:uid="{42548E68-C2D5-44CD-99FA-6AD40E64E185}" name="Miner's Sight" dataDxfId="304"/>
    <tableColumn id="13" xr3:uid="{D64F8C18-3DBE-4D7A-8AA3-C35E04DD6CAC}" name="Mechanical Genius" dataDxfId="303"/>
    <tableColumn id="14" xr3:uid="{0165862E-59ED-45FB-BD5A-0C7DCAA39217}" name="Frenzy" dataDxfId="302"/>
    <tableColumn id="15" xr3:uid="{762B30AD-670D-48C3-94F1-2BA1DC4089CC}" name="Killing Rage / Bloodrage" dataDxfId="301"/>
    <tableColumn id="16" xr3:uid="{0162EA56-857C-4157-A7AB-4D90C9EA47F1}" name="Gaia's Blessing" dataDxfId="300"/>
    <tableColumn id="17" xr3:uid="{6D83302D-974B-4742-8BDA-D99BB673F6D7}" name="Howling" dataDxfId="299"/>
    <tableColumn id="18" xr3:uid="{081EE08A-AA95-4648-9376-F68D04887352}" name="Blizzard" dataDxfId="298"/>
    <tableColumn id="19" xr3:uid="{3BCC0361-67FB-4576-8296-8E91F374A4A4}" name="Alchemists Flame" dataDxfId="297"/>
    <tableColumn id="20" xr3:uid="{CFB1AFFE-0570-4E81-B96B-5EE870CC5038}" name="Nightfall / Crusade" dataDxfId="296"/>
    <tableColumn id="21" xr3:uid="{4F53D2F5-E2E8-4AEE-975D-5B925FA589B0}" name="Useless spell" dataDxfId="295"/>
    <tableColumn id="22" xr3:uid="{E7040239-1040-4E8C-8EEB-3D517AC825BD}" name="." dataDxfId="294"/>
    <tableColumn id="23" xr3:uid="{8F45EE21-92D1-4622-B103-16B477DF630B}" name="Mana cost" dataDxfId="293">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92">
      <calculatedColumnFormula>SUMIF(TblMagic[[#This Row],[Gaia''s Watch]:[Useless spell]],1)*0.05</calculatedColumnFormula>
    </tableColumn>
    <tableColumn id="25" xr3:uid="{2466DF86-89FE-4172-9850-F9FBAE56839D}" name=".." dataDxfId="291"/>
    <tableColumn id="26" xr3:uid="{F8559349-C288-4EC3-B38A-23771E549D1D}" name="Active Gaia's Watch" dataDxfId="290">
      <calculatedColumnFormula>IF(TblMagic[[#This Row],[Gaia''s Watch]],12,IF(OFFSET(TblMagic[[#This Row],[Active Gaia''s Watch]],-1,0)&gt;0,OFFSET(TblMagic[[#This Row],[Active Gaia''s Watch]],-1,0)-1,0))</calculatedColumnFormula>
    </tableColumn>
    <tableColumn id="27" xr3:uid="{00F45689-4686-422F-8E94-89C18992B261}" name="Active Mining Strength" dataDxfId="28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88">
      <calculatedColumnFormula>IF(TblMagic[[#This Row],[Ares Call]],12,IF(OFFSET(TblMagic[[#This Row],[Active Ares Call]],-1,0)&gt;0,OFFSET(TblMagic[[#This Row],[Active Ares Call]],-1,0)-1,0))</calculatedColumnFormula>
    </tableColumn>
    <tableColumn id="29" xr3:uid="{BCC9ACB6-69AC-4DA1-B07D-F4802162CEF5}" name="Active Midas Touch" dataDxfId="287">
      <calculatedColumnFormula>IF(TblMagic[[#This Row],[Midas Touch]],12,IF(OFFSET(TblMagic[[#This Row],[Active Midas Touch]],-1,0)&gt;0,OFFSET(TblMagic[[#This Row],[Active Midas Touch]],-1,0)-1,0))</calculatedColumnFormula>
    </tableColumn>
    <tableColumn id="30" xr3:uid="{D13DA239-CC1B-41FD-A41B-68906B10F262}" name="Active Harmony" dataDxfId="286">
      <calculatedColumnFormula>IF(TblMagic[[#This Row],[Harmony]],12,IF(OFFSET(TblMagic[[#This Row],[Active Harmony]],-1,0)&gt;0,OFFSET(TblMagic[[#This Row],[Active Harmony]],-1,0)-1,0))</calculatedColumnFormula>
    </tableColumn>
    <tableColumn id="31" xr3:uid="{10D4FEA0-0AA8-4F31-8F5A-8576AE611BDA}" name="Active Miner's Sight" dataDxfId="28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8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83">
      <calculatedColumnFormula>IF(TblMagic[[#This Row],[Frenzy]],12,IF(OFFSET(TblMagic[[#This Row],[Active Frenzy]],-1,0)&gt;0,OFFSET(TblMagic[[#This Row],[Active Frenzy]],-1,0)-1,0))</calculatedColumnFormula>
    </tableColumn>
    <tableColumn id="34" xr3:uid="{3460E27B-FD4A-47FC-A87F-BAFED0FCC033}" name="Active Warsong / Killing Rage / Bloodrage" dataDxfId="282">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81">
      <calculatedColumnFormula>IF(TblMagic[[#This Row],[Gaia''s Blessing]],12,IF(OFFSET(TblMagic[[#This Row],[Active Gaia''s Blessing]],-1,0)&gt;0,OFFSET(TblMagic[[#This Row],[Active Gaia''s Blessing]],-1,0)-1,0))</calculatedColumnFormula>
    </tableColumn>
    <tableColumn id="36" xr3:uid="{DB2BE469-2BE3-4333-BFBC-C2857399E743}" name="Active Howling" dataDxfId="280">
      <calculatedColumnFormula>IF(TblMagic[[#This Row],[Howling]],12,IF(OFFSET(TblMagic[[#This Row],[Active Howling]],-1,0)&gt;0,OFFSET(TblMagic[[#This Row],[Active Howling]],-1,0)-1,0))</calculatedColumnFormula>
    </tableColumn>
    <tableColumn id="37" xr3:uid="{F5838FA3-8068-44AA-A6A2-758F46E5F78D}" name="Active Blizzard" dataDxfId="279">
      <calculatedColumnFormula>IF(TblMagic[[#This Row],[Blizzard]],12,IF(OFFSET(TblMagic[[#This Row],[Active Blizzard]],-1,0)&gt;0,OFFSET(TblMagic[[#This Row],[Active Blizzard]],-1,0)-1,0))</calculatedColumnFormula>
    </tableColumn>
    <tableColumn id="38" xr3:uid="{11215FCC-A994-4C4E-835C-F365C4B7BDF8}" name="Active Alchemists Flame" dataDxfId="27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77">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76" dataDxfId="27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74">
      <calculatedColumnFormula>TblRezone[[#This Row],[Hour]]</calculatedColumnFormula>
    </tableColumn>
    <tableColumn id="3" xr3:uid="{DA4A1ACF-68D6-4564-BB1C-C3C3172606A1}" name="Land" dataDxfId="273">
      <calculatedColumnFormula>TblExplore[[#This Row],[Land-DB]]</calculatedColumnFormula>
    </tableColumn>
    <tableColumn id="4" xr3:uid="{05D0DCAF-595D-47DB-9D6C-DB4A543CF655}" name="Techpoints" dataDxfId="272">
      <calculatedColumnFormula>TblProd[[#This Row],[Techpoints]]</calculatedColumnFormula>
    </tableColumn>
    <tableColumn id="5" xr3:uid="{B8D24105-AE76-4A7C-9D26-589CB9891ED4}" name="Cost" dataDxfId="271">
      <calculatedColumnFormula>TblProd[[#This Row],[Required]]</calculatedColumnFormula>
    </tableColumn>
    <tableColumn id="93" xr3:uid="{2ABEB4AB-3FE9-4283-8DD1-DADEE729E1F4}" name="." dataDxfId="270"/>
    <tableColumn id="9" xr3:uid="{94ADF196-65A4-42D5-B9F1-902A2448736A}" name="Activate @ hour" dataDxfId="269"/>
    <tableColumn id="10" xr3:uid="{41EC03BC-D935-4DB1-9358-D7E68CB11DA3}" name="Number" dataDxfId="268"/>
    <tableColumn id="19" xr3:uid="{8781F361-D9CA-4DDC-83D1-8F9FCDC61FD4}" name="Tech name" dataDxfId="267"/>
    <tableColumn id="11" xr3:uid="{ED497BC4-A3FE-4968-980C-41E3E397E8F1}" name="Gains" dataDxfId="266"/>
    <tableColumn id="20" xr3:uid="{B66F94F3-B0AC-4CC0-9E7C-4CF7E4C92EEE}" name=".." dataDxfId="265"/>
    <tableColumn id="21" xr3:uid="{4775993E-7C72-4134-8A78-3FB7DCE45728}" name="…" dataDxfId="264">
      <calculatedColumnFormula>IF(TblTech[[#This Row],[Sum of tech]]&lt;&gt;OFFSET(TblTech[[#This Row],[Sum of tech]],-1,0),1,0)</calculatedColumnFormula>
    </tableColumn>
    <tableColumn id="22" xr3:uid="{DFF59F63-FD6B-45DE-9EEF-3899A7D747EF}" name="Sum of tech" dataDxfId="263">
      <calculatedColumnFormula>COUNTIF(TblTech[[#This Row],[1-1]:[11-1]],1)</calculatedColumnFormula>
    </tableColumn>
    <tableColumn id="23" xr3:uid="{26B2ED42-21EF-41D3-8431-65B8DCB84C2C}" name="1-1" dataDxfId="262">
      <calculatedColumnFormula array="1">IF(AND(M$2&lt;&gt;0,TblTech[[#This Row],[Hour]:[Hour]]&gt;=M$2),1,0)</calculatedColumnFormula>
    </tableColumn>
    <tableColumn id="24" xr3:uid="{50258140-FB02-4B3A-8985-9EF35792D437}" name="1-2" dataDxfId="261">
      <calculatedColumnFormula array="1">IF(AND(N$2&lt;&gt;0,TblTech[[#This Row],[Hour]:[Hour]]&gt;=N$2),1,0)</calculatedColumnFormula>
    </tableColumn>
    <tableColumn id="25" xr3:uid="{7124BFDC-5B72-4806-BD66-A9B40B96E890}" name="1-3" dataDxfId="260">
      <calculatedColumnFormula array="1">IF(AND(O$2&lt;&gt;0,TblTech[[#This Row],[Hour]:[Hour]]&gt;=O$2),1,0)</calculatedColumnFormula>
    </tableColumn>
    <tableColumn id="26" xr3:uid="{7F0A139B-B30E-4409-9274-8016025EA227}" name="1-4" dataDxfId="259">
      <calculatedColumnFormula array="1">IF(AND(P$2&lt;&gt;0,TblTech[[#This Row],[Hour]:[Hour]]&gt;=P$2),1,0)</calculatedColumnFormula>
    </tableColumn>
    <tableColumn id="27" xr3:uid="{29B9EAE2-227D-4807-9E41-445565CAAFF7}" name="1-5" dataDxfId="258">
      <calculatedColumnFormula array="1">IF(AND(Q$2&lt;&gt;0,TblTech[[#This Row],[Hour]:[Hour]]&gt;=Q$2),1,0)</calculatedColumnFormula>
    </tableColumn>
    <tableColumn id="28" xr3:uid="{43587F1E-C217-44F9-817A-0114F7F48D02}" name="1-6" dataDxfId="257">
      <calculatedColumnFormula array="1">IF(AND(R$2&lt;&gt;0,TblTech[[#This Row],[Hour]:[Hour]]&gt;=R$2),1,0)</calculatedColumnFormula>
    </tableColumn>
    <tableColumn id="29" xr3:uid="{0524F9E6-09EC-4986-B7A6-35B925952E60}" name="1-7" dataDxfId="256">
      <calculatedColumnFormula array="1">IF(AND(S$2&lt;&gt;0,TblTech[[#This Row],[Hour]:[Hour]]&gt;=S$2),1,0)</calculatedColumnFormula>
    </tableColumn>
    <tableColumn id="30" xr3:uid="{188B6808-99A1-4A91-A689-87097F62C1C1}" name="1-8" dataDxfId="255">
      <calculatedColumnFormula array="1">IF(AND(T$2&lt;&gt;0,TblTech[[#This Row],[Hour]:[Hour]]&gt;=T$2),1,0)</calculatedColumnFormula>
    </tableColumn>
    <tableColumn id="31" xr3:uid="{DC02C18F-47C9-4A23-8F34-9E02A677D29B}" name="1-9" dataDxfId="254">
      <calculatedColumnFormula array="1">IF(AND(U$2&lt;&gt;0,TblTech[[#This Row],[Hour]:[Hour]]&gt;=U$2),1,0)</calculatedColumnFormula>
    </tableColumn>
    <tableColumn id="32" xr3:uid="{21B6A564-7028-4932-914B-F32A59CAEC67}" name="1-10" dataDxfId="253">
      <calculatedColumnFormula array="1">IF(AND(V$2&lt;&gt;0,TblTech[[#This Row],[Hour]:[Hour]]&gt;=V$2),1,0)</calculatedColumnFormula>
    </tableColumn>
    <tableColumn id="33" xr3:uid="{BE08B152-511E-4680-AD58-AFCC2777EE65}" name="1-11" dataDxfId="252">
      <calculatedColumnFormula array="1">IF(AND(W$2&lt;&gt;0,TblTech[[#This Row],[Hour]:[Hour]]&gt;=W$2),1,0)</calculatedColumnFormula>
    </tableColumn>
    <tableColumn id="34" xr3:uid="{F0B67B28-DF8B-4FF4-BE8F-BD953642450D}" name="2-1" dataDxfId="251">
      <calculatedColumnFormula array="1">IF(AND(X$2&lt;&gt;0,TblTech[[#This Row],[Hour]:[Hour]]&gt;=X$2),1,0)</calculatedColumnFormula>
    </tableColumn>
    <tableColumn id="35" xr3:uid="{E1C38FB5-1814-43BE-8628-9E331159B491}" name="2-2" dataDxfId="250">
      <calculatedColumnFormula array="1">IF(AND(Y$2&lt;&gt;0,TblTech[[#This Row],[Hour]:[Hour]]&gt;=Y$2),1,0)</calculatedColumnFormula>
    </tableColumn>
    <tableColumn id="36" xr3:uid="{8EEFA1A3-F668-44A9-99D5-F625CDEC0846}" name="2-3" dataDxfId="249">
      <calculatedColumnFormula array="1">IF(AND(Z$2&lt;&gt;0,TblTech[[#This Row],[Hour]:[Hour]]&gt;=Z$2),1,0)</calculatedColumnFormula>
    </tableColumn>
    <tableColumn id="37" xr3:uid="{8B9C353C-5141-4E70-88A8-3C0ADC0F65A2}" name="2-4" dataDxfId="248">
      <calculatedColumnFormula array="1">IF(AND(AA$2&lt;&gt;0,TblTech[[#This Row],[Hour]:[Hour]]&gt;=AA$2),1,0)</calculatedColumnFormula>
    </tableColumn>
    <tableColumn id="38" xr3:uid="{4F9949FA-D32C-43B0-A632-BDA246027740}" name="2-5" dataDxfId="247">
      <calculatedColumnFormula array="1">IF(AND(AB$2&lt;&gt;0,TblTech[[#This Row],[Hour]:[Hour]]&gt;=AB$2),1,0)</calculatedColumnFormula>
    </tableColumn>
    <tableColumn id="39" xr3:uid="{E35ABE45-7462-4288-879B-43C24510B588}" name="2-6" dataDxfId="246">
      <calculatedColumnFormula array="1">IF(AND(AC$2&lt;&gt;0,TblTech[[#This Row],[Hour]:[Hour]]&gt;=AC$2),1,0)</calculatedColumnFormula>
    </tableColumn>
    <tableColumn id="40" xr3:uid="{B02ACA29-3024-4B8E-B2F0-E65F48E762BF}" name="2-7" dataDxfId="245">
      <calculatedColumnFormula array="1">IF(AND(AD$2&lt;&gt;0,TblTech[[#This Row],[Hour]:[Hour]]&gt;=AD$2),1,0)</calculatedColumnFormula>
    </tableColumn>
    <tableColumn id="41" xr3:uid="{34022863-F0D7-473E-B433-052438597C70}" name="2-8" dataDxfId="244">
      <calculatedColumnFormula array="1">IF(AND(AE$2&lt;&gt;0,TblTech[[#This Row],[Hour]:[Hour]]&gt;=AE$2),1,0)</calculatedColumnFormula>
    </tableColumn>
    <tableColumn id="42" xr3:uid="{4264B147-345F-4187-898B-976D4720C3B2}" name="2-9" dataDxfId="243">
      <calculatedColumnFormula array="1">IF(AND(AF$2&lt;&gt;0,TblTech[[#This Row],[Hour]:[Hour]]&gt;=AF$2),1,0)</calculatedColumnFormula>
    </tableColumn>
    <tableColumn id="43" xr3:uid="{040A812F-9A82-4FA5-96D4-BB0CE9B1567D}" name="2-10" dataDxfId="242">
      <calculatedColumnFormula array="1">IF(AND(AG$2&lt;&gt;0,TblTech[[#This Row],[Hour]:[Hour]]&gt;=AG$2),1,0)</calculatedColumnFormula>
    </tableColumn>
    <tableColumn id="44" xr3:uid="{65E9F477-8A73-4C7D-9453-E8F8A13C4220}" name="3-1" dataDxfId="241">
      <calculatedColumnFormula array="1">IF(AND(AH$2&lt;&gt;0,TblTech[[#This Row],[Hour]:[Hour]]&gt;=AH$2),1,0)</calculatedColumnFormula>
    </tableColumn>
    <tableColumn id="45" xr3:uid="{86A8FA88-B983-4431-9D5A-9A068F2DE89C}" name="3-2" dataDxfId="240">
      <calculatedColumnFormula array="1">IF(AND(AI$2&lt;&gt;0,TblTech[[#This Row],[Hour]:[Hour]]&gt;=AI$2),1,0)</calculatedColumnFormula>
    </tableColumn>
    <tableColumn id="46" xr3:uid="{B4D6E3D7-41BB-4A05-98AF-36C706567C66}" name="3-3" dataDxfId="239">
      <calculatedColumnFormula array="1">IF(AND(AJ$2&lt;&gt;0,TblTech[[#This Row],[Hour]:[Hour]]&gt;=AJ$2),1,0)</calculatedColumnFormula>
    </tableColumn>
    <tableColumn id="47" xr3:uid="{A65655BF-F389-46E7-B712-282C9B16E721}" name="3-4" dataDxfId="238">
      <calculatedColumnFormula array="1">IF(AND(AK$2&lt;&gt;0,TblTech[[#This Row],[Hour]:[Hour]]&gt;=AK$2),1,0)</calculatedColumnFormula>
    </tableColumn>
    <tableColumn id="48" xr3:uid="{6AC53AFF-C5BC-4C6E-A226-AD750DEF26F0}" name="3-5" dataDxfId="237">
      <calculatedColumnFormula array="1">IF(AND(AL$2&lt;&gt;0,TblTech[[#This Row],[Hour]:[Hour]]&gt;=AL$2),1,0)</calculatedColumnFormula>
    </tableColumn>
    <tableColumn id="49" xr3:uid="{517C8F30-6F70-4A9F-930D-87F70A281D06}" name="3-6" dataDxfId="236">
      <calculatedColumnFormula array="1">IF(AND(AM$2&lt;&gt;0,TblTech[[#This Row],[Hour]:[Hour]]&gt;=AM$2),1,0)</calculatedColumnFormula>
    </tableColumn>
    <tableColumn id="50" xr3:uid="{3B9D0CD9-1DC1-4BF8-84D6-0C15DCE53BA3}" name="3-7" dataDxfId="235">
      <calculatedColumnFormula array="1">IF(AND(AN$2&lt;&gt;0,TblTech[[#This Row],[Hour]:[Hour]]&gt;=AN$2),1,0)</calculatedColumnFormula>
    </tableColumn>
    <tableColumn id="51" xr3:uid="{BF773A1C-6C94-4253-89D5-6B882BDABD54}" name="3-8" dataDxfId="234">
      <calculatedColumnFormula array="1">IF(AND(AO$2&lt;&gt;0,TblTech[[#This Row],[Hour]:[Hour]]&gt;=AO$2),1,0)</calculatedColumnFormula>
    </tableColumn>
    <tableColumn id="52" xr3:uid="{D719799C-D81A-4575-B1F1-9835FB72D924}" name="3-9" dataDxfId="233">
      <calculatedColumnFormula array="1">IF(AND(AP$2&lt;&gt;0,TblTech[[#This Row],[Hour]:[Hour]]&gt;=AP$2),1,0)</calculatedColumnFormula>
    </tableColumn>
    <tableColumn id="53" xr3:uid="{81CD67AD-C2F6-496B-991C-75EACF4860E0}" name="4-1" dataDxfId="232">
      <calculatedColumnFormula array="1">IF(AND(AQ$2&lt;&gt;0,TblTech[[#This Row],[Hour]:[Hour]]&gt;=AQ$2),1,0)</calculatedColumnFormula>
    </tableColumn>
    <tableColumn id="54" xr3:uid="{3255B3D4-FF8E-4B91-8A83-C128D00B29D0}" name="4-2" dataDxfId="231">
      <calculatedColumnFormula array="1">IF(AND(AR$2&lt;&gt;0,TblTech[[#This Row],[Hour]:[Hour]]&gt;=AR$2),1,0)</calculatedColumnFormula>
    </tableColumn>
    <tableColumn id="55" xr3:uid="{E9B22F56-FCCE-4890-8FF4-FF6D8C0863D0}" name="4-3" dataDxfId="230">
      <calculatedColumnFormula array="1">IF(AND(AS$2&lt;&gt;0,TblTech[[#This Row],[Hour]:[Hour]]&gt;=AS$2),1,0)</calculatedColumnFormula>
    </tableColumn>
    <tableColumn id="56" xr3:uid="{1C0A6BE0-6DBC-40E6-B512-F921E4637B0B}" name="4-4" dataDxfId="229">
      <calculatedColumnFormula array="1">IF(AND(AT$2&lt;&gt;0,TblTech[[#This Row],[Hour]:[Hour]]&gt;=AT$2),1,0)</calculatedColumnFormula>
    </tableColumn>
    <tableColumn id="57" xr3:uid="{5DAC0420-BB86-481B-957A-78DB826A7E20}" name="4-5" dataDxfId="228">
      <calculatedColumnFormula array="1">IF(AND(AU$2&lt;&gt;0,TblTech[[#This Row],[Hour]:[Hour]]&gt;=AU$2),1,0)</calculatedColumnFormula>
    </tableColumn>
    <tableColumn id="58" xr3:uid="{2442830B-618D-4A03-A6E6-23EC65BAB59B}" name="4-6" dataDxfId="227">
      <calculatedColumnFormula array="1">IF(AND(AV$2&lt;&gt;0,TblTech[[#This Row],[Hour]:[Hour]]&gt;=AV$2),1,0)</calculatedColumnFormula>
    </tableColumn>
    <tableColumn id="59" xr3:uid="{8AB48F18-B215-484F-9058-BE5431D00ED5}" name="4-7" dataDxfId="226">
      <calculatedColumnFormula array="1">IF(AND(AW$2&lt;&gt;0,TblTech[[#This Row],[Hour]:[Hour]]&gt;=AW$2),1,0)</calculatedColumnFormula>
    </tableColumn>
    <tableColumn id="60" xr3:uid="{3B7FB99A-0607-4DBC-A93C-47B6B21464A5}" name="4-8" dataDxfId="225">
      <calculatedColumnFormula array="1">IF(AND(AX$2&lt;&gt;0,TblTech[[#This Row],[Hour]:[Hour]]&gt;=AX$2),1,0)</calculatedColumnFormula>
    </tableColumn>
    <tableColumn id="61" xr3:uid="{CFAAB1A4-4760-4FF3-BF0E-D276BAEF346A}" name="5-1" dataDxfId="224">
      <calculatedColumnFormula array="1">IF(AND(AY$2&lt;&gt;0,TblTech[[#This Row],[Hour]:[Hour]]&gt;=AY$2),1,0)</calculatedColumnFormula>
    </tableColumn>
    <tableColumn id="62" xr3:uid="{E5F62076-AF81-4EE1-A6D2-C4FBF4181C93}" name="5-2" dataDxfId="223">
      <calculatedColumnFormula array="1">IF(AND(AZ$2&lt;&gt;0,TblTech[[#This Row],[Hour]:[Hour]]&gt;=AZ$2),1,0)</calculatedColumnFormula>
    </tableColumn>
    <tableColumn id="63" xr3:uid="{EE3346E8-7A22-4F0A-94B7-B36570A0B72E}" name="5-3" dataDxfId="222">
      <calculatedColumnFormula array="1">IF(AND(BA$2&lt;&gt;0,TblTech[[#This Row],[Hour]:[Hour]]&gt;=BA$2),1,0)</calculatedColumnFormula>
    </tableColumn>
    <tableColumn id="64" xr3:uid="{19F3E157-570E-4E1E-BCC2-3EF92D7B8A8B}" name="5-4" dataDxfId="221">
      <calculatedColumnFormula array="1">IF(AND(BB$2&lt;&gt;0,TblTech[[#This Row],[Hour]:[Hour]]&gt;=BB$2),1,0)</calculatedColumnFormula>
    </tableColumn>
    <tableColumn id="65" xr3:uid="{A59D5D3A-678C-49C4-A3B5-D86FF0C14500}" name="5-5" dataDxfId="220">
      <calculatedColumnFormula array="1">IF(AND(BC$2&lt;&gt;0,TblTech[[#This Row],[Hour]:[Hour]]&gt;=BC$2),1,0)</calculatedColumnFormula>
    </tableColumn>
    <tableColumn id="66" xr3:uid="{3EBEC9F5-18F1-461D-AF3F-E66DA870B9ED}" name="5-6" dataDxfId="219">
      <calculatedColumnFormula array="1">IF(AND(BD$2&lt;&gt;0,TblTech[[#This Row],[Hour]:[Hour]]&gt;=BD$2),1,0)</calculatedColumnFormula>
    </tableColumn>
    <tableColumn id="67" xr3:uid="{20985549-198B-4F2A-AF78-070BD8A22298}" name="5-7" dataDxfId="218">
      <calculatedColumnFormula array="1">IF(AND(BE$2&lt;&gt;0,TblTech[[#This Row],[Hour]:[Hour]]&gt;=BE$2),1,0)</calculatedColumnFormula>
    </tableColumn>
    <tableColumn id="68" xr3:uid="{F4DDB15D-3A5D-449E-8491-EA836A4AB090}" name="6-1" dataDxfId="217">
      <calculatedColumnFormula array="1">IF(AND(BF$2&lt;&gt;0,TblTech[[#This Row],[Hour]:[Hour]]&gt;=BF$2),1,0)</calculatedColumnFormula>
    </tableColumn>
    <tableColumn id="69" xr3:uid="{CC7E2300-DCD5-46C6-AD93-8F283F035DAF}" name="6-2" dataDxfId="216">
      <calculatedColumnFormula array="1">IF(AND(BG$2&lt;&gt;0,TblTech[[#This Row],[Hour]:[Hour]]&gt;=BG$2),1,0)</calculatedColumnFormula>
    </tableColumn>
    <tableColumn id="70" xr3:uid="{0DC5B532-84DD-40E3-9A96-3B7ED120C52C}" name="6-3" dataDxfId="215">
      <calculatedColumnFormula array="1">IF(AND(BH$2&lt;&gt;0,TblTech[[#This Row],[Hour]:[Hour]]&gt;=BH$2),1,0)</calculatedColumnFormula>
    </tableColumn>
    <tableColumn id="71" xr3:uid="{DBF8F56A-2B38-47BE-86BB-D34F12B071FA}" name="6-4" dataDxfId="214">
      <calculatedColumnFormula array="1">IF(AND(BI$2&lt;&gt;0,TblTech[[#This Row],[Hour]:[Hour]]&gt;=BI$2),1,0)</calculatedColumnFormula>
    </tableColumn>
    <tableColumn id="72" xr3:uid="{8A63D20A-B735-48C5-9D04-93C0E6922380}" name="6-5" dataDxfId="213">
      <calculatedColumnFormula array="1">IF(AND(BJ$2&lt;&gt;0,TblTech[[#This Row],[Hour]:[Hour]]&gt;=BJ$2),1,0)</calculatedColumnFormula>
    </tableColumn>
    <tableColumn id="73" xr3:uid="{40ABCA6E-09C4-437C-8184-D2AA8A46BADC}" name="6-6" dataDxfId="212">
      <calculatedColumnFormula array="1">IF(AND(BK$2&lt;&gt;0,TblTech[[#This Row],[Hour]:[Hour]]&gt;=BK$2),1,0)</calculatedColumnFormula>
    </tableColumn>
    <tableColumn id="74" xr3:uid="{304D27FC-5054-456F-9FA0-3E170324E735}" name="7-1" dataDxfId="211">
      <calculatedColumnFormula array="1">IF(AND(BL$2&lt;&gt;0,TblTech[[#This Row],[Hour]:[Hour]]&gt;=BL$2),1,0)</calculatedColumnFormula>
    </tableColumn>
    <tableColumn id="75" xr3:uid="{F53A9B26-BE5F-4442-9E77-570EB38C7B2D}" name="7-2" dataDxfId="210">
      <calculatedColumnFormula array="1">IF(AND(BM$2&lt;&gt;0,TblTech[[#This Row],[Hour]:[Hour]]&gt;=BM$2),1,0)</calculatedColumnFormula>
    </tableColumn>
    <tableColumn id="76" xr3:uid="{5A1C0BCB-6C77-48A3-8B36-DA0838BEFD4F}" name="7-3" dataDxfId="209">
      <calculatedColumnFormula array="1">IF(AND(BN$2&lt;&gt;0,TblTech[[#This Row],[Hour]:[Hour]]&gt;=BN$2),1,0)</calculatedColumnFormula>
    </tableColumn>
    <tableColumn id="77" xr3:uid="{96D50B4B-A1C4-4AE1-87EE-409B3128CB4D}" name="7-4" dataDxfId="208">
      <calculatedColumnFormula array="1">IF(AND(BO$2&lt;&gt;0,TblTech[[#This Row],[Hour]:[Hour]]&gt;=BO$2),1,0)</calculatedColumnFormula>
    </tableColumn>
    <tableColumn id="78" xr3:uid="{64A36F5D-65DB-44C8-84EC-A1A1FFF2B3AB}" name="7-5" dataDxfId="207">
      <calculatedColumnFormula array="1">IF(AND(BP$2&lt;&gt;0,TblTech[[#This Row],[Hour]:[Hour]]&gt;=BP$2),1,0)</calculatedColumnFormula>
    </tableColumn>
    <tableColumn id="79" xr3:uid="{73D8C7B5-D3FC-4DB3-BB3C-6A056F59A2A0}" name="8-1" dataDxfId="206">
      <calculatedColumnFormula array="1">IF(AND(BQ$2&lt;&gt;0,TblTech[[#This Row],[Hour]:[Hour]]&gt;=BQ$2),1,0)</calculatedColumnFormula>
    </tableColumn>
    <tableColumn id="80" xr3:uid="{8C8F01C9-13ED-4ABA-B4ED-5D892B20A077}" name="8-2" dataDxfId="205">
      <calculatedColumnFormula array="1">IF(AND(BR$2&lt;&gt;0,TblTech[[#This Row],[Hour]:[Hour]]&gt;=BR$2),1,0)</calculatedColumnFormula>
    </tableColumn>
    <tableColumn id="81" xr3:uid="{954DF58F-2216-42C3-A4F3-4A1B568C8A7F}" name="8-3" dataDxfId="204">
      <calculatedColumnFormula array="1">IF(AND(BS$2&lt;&gt;0,TblTech[[#This Row],[Hour]:[Hour]]&gt;=BS$2),1,0)</calculatedColumnFormula>
    </tableColumn>
    <tableColumn id="82" xr3:uid="{941FAEC7-7D7C-4C75-9F8E-BB3469E2F29F}" name="8-4" dataDxfId="203">
      <calculatedColumnFormula array="1">IF(AND(BT$2&lt;&gt;0,TblTech[[#This Row],[Hour]:[Hour]]&gt;=BT$2),1,0)</calculatedColumnFormula>
    </tableColumn>
    <tableColumn id="83" xr3:uid="{27C9395E-8B81-4CBA-8523-A330679CAE04}" name="9-1" dataDxfId="202">
      <calculatedColumnFormula array="1">IF(AND(BU$2&lt;&gt;0,TblTech[[#This Row],[Hour]:[Hour]]&gt;=BU$2),1,0)</calculatedColumnFormula>
    </tableColumn>
    <tableColumn id="84" xr3:uid="{90667EBE-7747-4976-9947-BD9386AEC90C}" name="9-2" dataDxfId="201">
      <calculatedColumnFormula array="1">IF(AND(BV$2&lt;&gt;0,TblTech[[#This Row],[Hour]:[Hour]]&gt;=BV$2),1,0)</calculatedColumnFormula>
    </tableColumn>
    <tableColumn id="85" xr3:uid="{8AA93356-F62A-4D0B-B2F8-5CADB2567ECF}" name="9-3" dataDxfId="200">
      <calculatedColumnFormula array="1">IF(AND(BW$2&lt;&gt;0,TblTech[[#This Row],[Hour]:[Hour]]&gt;=BW$2),1,0)</calculatedColumnFormula>
    </tableColumn>
    <tableColumn id="86" xr3:uid="{C66AB8D9-7BBC-415A-8732-B5DF0FF2495D}" name="10-1" dataDxfId="199">
      <calculatedColumnFormula array="1">IF(AND(BX$2&lt;&gt;0,TblTech[[#This Row],[Hour]:[Hour]]&gt;=BX$2),1,0)</calculatedColumnFormula>
    </tableColumn>
    <tableColumn id="87" xr3:uid="{13FA2B9A-3F31-4A51-9E2B-753CC6C8AA88}" name="10-2" dataDxfId="198">
      <calculatedColumnFormula array="1">IF(AND(BY$2&lt;&gt;0,TblTech[[#This Row],[Hour]:[Hour]]&gt;=BY$2),1,0)</calculatedColumnFormula>
    </tableColumn>
    <tableColumn id="88" xr3:uid="{D4F65702-E3D7-4783-B103-20F8DD7E4532}" name="11-1" dataDxfId="197">
      <calculatedColumnFormula array="1">IF(AND(BZ$2&lt;&gt;0,TblTech[[#This Row],[Hour]:[Hour]]&gt;=BZ$2),1,0)</calculatedColumnFormula>
    </tableColumn>
    <tableColumn id="89" xr3:uid="{0428044E-0525-4B76-80C9-2D449BDFDA1D}" name="Tech" dataDxfId="196">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95" dataDxfId="193" headerRowBorderDxfId="194" tableBorderDxfId="192">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91">
      <calculatedColumnFormula>TblConstr[[#This Row],[Land]]</calculatedColumnFormula>
    </tableColumn>
    <tableColumn id="2" xr3:uid="{AF6EC8F3-9D95-46FD-B967-FAAF3638AE73}" name="." dataDxfId="190"/>
    <tableColumn id="3" xr3:uid="{FF282ACC-05AC-4142-89E7-09EE52E6FD72}" name="Platinum" dataDxfId="189">
      <calculatedColumnFormula>TblProd[[#This Row],[Platinum]]</calculatedColumnFormula>
    </tableColumn>
    <tableColumn id="4" xr3:uid="{F2178B14-2531-41FE-8DC7-F919571A183A}" name="Lumber" dataDxfId="188">
      <calculatedColumnFormula>TblProd[[#This Row],[Lumber]]</calculatedColumnFormula>
    </tableColumn>
    <tableColumn id="5" xr3:uid="{E437C993-EDEE-4BB3-942B-73180B524B81}" name="Ore" dataDxfId="187">
      <calculatedColumnFormula>TblProd[[#This Row],[Ore]]</calculatedColumnFormula>
    </tableColumn>
    <tableColumn id="6" xr3:uid="{C515063B-AE7C-4BAF-93AB-7443CE68AC54}" name="Gems" dataDxfId="186">
      <calculatedColumnFormula>TblProd[[#This Row],[Gems]]</calculatedColumnFormula>
    </tableColumn>
    <tableColumn id="7" xr3:uid="{935F3905-1AC4-42EE-8A78-476F2F815DFD}" name=".." dataDxfId="185"/>
    <tableColumn id="8" xr3:uid="{A8E01FC0-2F13-4C73-B50D-1FA1083B0FFA}" name="Drafees" dataDxfId="184">
      <calculatedColumnFormula>TblMili[[#This Row],[Draftees]]</calculatedColumnFormula>
    </tableColumn>
    <tableColumn id="9" xr3:uid="{FF70B178-883B-4FA3-B446-2BB364451655}" name="Employed" dataDxfId="183" dataCellStyle="Percent">
      <calculatedColumnFormula>TblPop[[#This Row],[Employment]]</calculatedColumnFormula>
    </tableColumn>
    <tableColumn id="10" xr3:uid="{8AB351E3-8FED-4F8D-951B-AA2D279B0091}" name="Population" dataDxfId="182" dataCellStyle="Percent">
      <calculatedColumnFormula>TblPop[[#This Row],[Total]]/TblPop[[#This Row],[Net max]]</calculatedColumnFormula>
    </tableColumn>
    <tableColumn id="11" xr3:uid="{3D13675F-4203-4882-AC02-B7629E90679D}" name="Hour" dataDxfId="181" dataCellStyle="Percent">
      <calculatedColumnFormula>TblRezone[[#This Row],[Hour]]</calculatedColumnFormula>
    </tableColumn>
    <tableColumn id="12" xr3:uid="{50E3FF0B-DB5B-4715-971A-2D8F804DD3F4}" name="Time" dataDxfId="180" dataCellStyle="Percent">
      <calculatedColumnFormula>TblImps[[#This Row],[Real time]]</calculatedColumnFormula>
    </tableColumn>
    <tableColumn id="13" xr3:uid="{33373A28-E349-4A6C-946C-A172D9829897}" name="Login" dataDxfId="179">
      <calculatedColumnFormula>IF(ISERROR(TblImps[[#This Row],[algorithm]]),0,TblImps[[#This Row],[algorithm]]*1)</calculatedColumnFormula>
    </tableColumn>
    <tableColumn id="14" xr3:uid="{820813AE-0D29-4E3D-B99A-7C5B810B4DA6}" name="Land (3)" dataDxfId="178">
      <calculatedColumnFormula>TblImps[[#This Row],[Land]]</calculatedColumnFormula>
    </tableColumn>
    <tableColumn id="15" xr3:uid="{D8234223-045A-48CE-8E60-8B1B718D1273}" name="Resource" dataDxfId="177"/>
    <tableColumn id="16" xr3:uid="{9AB57DEC-DF25-44AD-97D1-1EF820C63FF2}" name="Amount" dataDxfId="176"/>
    <tableColumn id="17" xr3:uid="{1ECA1762-52EB-4370-862C-42E5B7F71087}" name="Part" dataDxfId="175"/>
    <tableColumn id="18" xr3:uid="{45AD7F60-4F2F-47B2-8046-04C9C5A445EE}" name="Resource 2" dataDxfId="174"/>
    <tableColumn id="19" xr3:uid="{1D8720C7-5940-4FF1-AF3B-FB70E475E9BA}" name="Amount 2" dataDxfId="173"/>
    <tableColumn id="20" xr3:uid="{1AF884E5-0A32-404F-8142-8BDFCA31C5EF}" name="Part 2" dataDxfId="172"/>
    <tableColumn id="21" xr3:uid="{FFCC36EF-B2F1-46BE-827C-260D53435D8F}" name="Resource 3" dataDxfId="171"/>
    <tableColumn id="22" xr3:uid="{AAD98AF1-A248-4594-A8A2-ADB665DABE8F}" name="Amount 3" dataDxfId="170"/>
    <tableColumn id="23" xr3:uid="{5BDF5795-C792-45A5-AC6D-35BE17C06BBC}" name="Part 3" dataDxfId="169"/>
    <tableColumn id="24" xr3:uid="{AB1402EA-4B4E-4F7F-B76D-14CCFC4BF881}" name="…" dataDxfId="168"/>
    <tableColumn id="25" xr3:uid="{C82B3C56-E90F-4536-A41D-465C61544B49}" name="Science" dataDxfId="167">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66">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65">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64">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63">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62">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61"/>
    <tableColumn id="32" xr3:uid="{C7C4061A-6DA9-4687-A437-B442C90A5089}" name="Σ Science" dataDxfId="160">
      <calculatedColumnFormula>(1+Overview!$I$28)*SUM(TblImps[[#This Row],[P2]:[G2]])+OFFSET(TblImps[[#This Row],[Σ Science]],-1,0)</calculatedColumnFormula>
    </tableColumn>
    <tableColumn id="33" xr3:uid="{87424BBC-4CC9-4173-85AC-5C6A6ECFFB84}" name="Σ Keep" dataDxfId="159">
      <calculatedColumnFormula>(1+Overview!$I$28)*SUM(TblImps[[#This Row],[P3]:[G3]])+OFFSET(TblImps[[#This Row],[Σ Keep]],-1,0)</calculatedColumnFormula>
    </tableColumn>
    <tableColumn id="34" xr3:uid="{3DB81FE6-4CBC-4F36-973D-C8F8D1BD09A1}" name="Σ Towers" dataDxfId="158">
      <calculatedColumnFormula>(1+Overview!$I$28 + tech_7_1*TblTech[[#This Row],[7-1]])*SUM(TblImps[[#This Row],[P4]:[G4]])+OFFSET(TblImps[[#This Row],[Σ Towers]],-1,0)</calculatedColumnFormula>
    </tableColumn>
    <tableColumn id="35" xr3:uid="{485A62F9-7EE3-40A9-BDA7-9F3E4E3EC0E1}" name="Σ Forges" dataDxfId="157">
      <calculatedColumnFormula>(1+Overview!$I$28)*SUM(TblImps[[#This Row],[P5]:[G5]])+OFFSET(TblImps[[#This Row],[Σ Forges]],-1,0)</calculatedColumnFormula>
    </tableColumn>
    <tableColumn id="36" xr3:uid="{CEDFD8F7-5AA6-4236-AE0F-14B6F23AE524}" name="Σ Walls" dataDxfId="156">
      <calculatedColumnFormula>(1+Overview!$I$28)*SUM(TblImps[[#This Row],[P6]:[G6]])+OFFSET(TblImps[[#This Row],[Σ Walls]],-1,0)</calculatedColumnFormula>
    </tableColumn>
    <tableColumn id="37" xr3:uid="{1C140D1F-1021-4314-82BD-7176A05B078C}" name="Σ Irrigation" dataDxfId="155">
      <calculatedColumnFormula>(1+Overview!$I$28 + tech_7_1*TblTech[[#This Row],[7-1]])*SUM(TblImps[[#This Row],[P7]:[G7]])+OFFSET(TblImps[[#This Row],[Σ Irrigation]],-1,0)</calculatedColumnFormula>
    </tableColumn>
    <tableColumn id="38" xr3:uid="{808772B5-D74B-4C2E-9369-56BA268972E4}" name="….." dataDxfId="154"/>
    <tableColumn id="39" xr3:uid="{A732ACBF-AEA8-4BC8-8A5C-C0F5525B84B4}" name="P1" dataDxfId="153">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52">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51">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50">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49"/>
    <tableColumn id="44" xr3:uid="{B4E4C91D-5302-4D99-9223-7DC08C0F56E2}" name="P2" dataDxfId="148">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47">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46">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45">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44"/>
    <tableColumn id="49" xr3:uid="{2713D17E-C072-4464-ACFB-1E3B4E4768C8}" name="P3" dataDxfId="143">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42">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41">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40">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39"/>
    <tableColumn id="54" xr3:uid="{60744F8B-EA90-4F3F-908D-1DBF81E4FBBC}" name="P4" dataDxfId="138">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37">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36">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35">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34"/>
    <tableColumn id="59" xr3:uid="{7CAD4FEB-38C3-4ECC-9BB4-566F90D38057}" name="P5" dataDxfId="133">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32">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31">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30">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29"/>
    <tableColumn id="64" xr3:uid="{74BD3EE9-84CB-4606-9851-F46947A6E124}" name="P6" dataDxfId="128">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27">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26">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25">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24"/>
    <tableColumn id="69" xr3:uid="{C84893E8-5E85-463B-9E51-879ADAA64B83}" name="P7" dataDxfId="123">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22">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21">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20">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19"/>
    <tableColumn id="74" xr3:uid="{5E81B67E-95F1-40DA-AE37-BCD09DA9E039}" name="algorithm" dataDxfId="118">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117">
      <calculatedColumnFormula>TblImps[[#This Row],[Login]]</calculatedColumnFormula>
    </tableColumn>
    <tableColumn id="76" xr3:uid="{373275D8-3CBB-4F26-950F-26616E92A24E}" name="….........." dataDxfId="116"/>
    <tableColumn id="77" xr3:uid="{E49F0585-8289-43E9-991C-7685E6B37B5A}" name="Real time" dataDxfId="115">
      <calculatedColumnFormula>OFFSET(TblImps[[#This Row],[Real time]],-1,0)+1/24</calculatedColumnFormula>
    </tableColumn>
    <tableColumn id="78" xr3:uid="{9298E765-5AD3-4871-BC34-97C5588F3D7E}" name="Servertime" dataDxfId="114">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13" dataDxfId="112">
  <autoFilter ref="B2:E23" xr:uid="{D5B14ACA-C49B-4874-B495-C20CC986FF5C}"/>
  <tableColumns count="4">
    <tableColumn id="1" xr3:uid="{FDF1E222-5EC6-4F67-8D2F-219358D518C5}" name="Stats" dataDxfId="111"/>
    <tableColumn id="9" xr3:uid="{92C958C2-2DCD-4CDD-88AA-98294134A916}" name="Abbr" dataDxfId="110"/>
    <tableColumn id="2" xr3:uid="{1E0B1FDB-30FB-48CA-BD3D-8DF2FCB4975C}" name="Number" dataDxfId="109">
      <calculatedColumnFormula>_xlfn.IFNA(INDEX(TblConstr[],MATCH(Log!$I$28,TblConstr[Hour],0),MATCH(TblStats[[#This Row],[Abbr]],TblConstr[#Headers],0)),0)</calculatedColumnFormula>
    </tableColumn>
    <tableColumn id="3" xr3:uid="{ADBF0C8B-030F-4EBA-8274-EAA1CE134BB1}" name="Percent" dataDxfId="108"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107" dataDxfId="106" tableBorderDxfId="105">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104"/>
    <tableColumn id="2" xr3:uid="{00000000-0010-0000-0100-000002000000}" name="Alignment" dataDxfId="103"/>
    <tableColumn id="3" xr3:uid="{00000000-0010-0000-0100-000003000000}" name="Homeland_Type" dataDxfId="102"/>
    <tableColumn id="4" xr3:uid="{00000000-0010-0000-0100-000004000000}" name="Unitname" dataDxfId="101"/>
    <tableColumn id="5" xr3:uid="{00000000-0010-0000-0100-000005000000}" name="OffensePwr" dataDxfId="100"/>
    <tableColumn id="6" xr3:uid="{00000000-0010-0000-0100-000006000000}" name="DefensePwr" dataDxfId="99"/>
    <tableColumn id="7" xr3:uid="{00000000-0010-0000-0100-000007000000}" name="Platcost" dataDxfId="98"/>
    <tableColumn id="8" xr3:uid="{00000000-0010-0000-0100-000008000000}" name="Orecost" dataDxfId="97"/>
    <tableColumn id="9" xr3:uid="{00000000-0010-0000-0100-000009000000}" name="Networth" dataDxfId="96"/>
    <tableColumn id="12" xr3:uid="{00000000-0010-0000-0100-00000C000000}" name="Max population" dataDxfId="95"/>
    <tableColumn id="13" xr3:uid="{00000000-0010-0000-0100-00000D000000}" name="Pop growth" dataDxfId="94"/>
    <tableColumn id="14" xr3:uid="{00000000-0010-0000-0100-00000E000000}" name="Platinum prod" dataDxfId="93"/>
    <tableColumn id="15" xr3:uid="{00000000-0010-0000-0100-00000F000000}" name="Food prod" dataDxfId="92"/>
    <tableColumn id="16" xr3:uid="{00000000-0010-0000-0100-000010000000}" name="Lumber prod" dataDxfId="91"/>
    <tableColumn id="17" xr3:uid="{00000000-0010-0000-0100-000011000000}" name="Mana prod" dataDxfId="90"/>
    <tableColumn id="18" xr3:uid="{00000000-0010-0000-0100-000012000000}" name="Ore prod" dataDxfId="89"/>
    <tableColumn id="19" xr3:uid="{00000000-0010-0000-0100-000013000000}" name="Gem prod" dataDxfId="88"/>
    <tableColumn id="20" xr3:uid="{00000000-0010-0000-0100-000014000000}" name="Food cons" dataDxfId="87"/>
    <tableColumn id="21" xr3:uid="{00000000-0010-0000-0100-000015000000}" name="Defense" dataDxfId="86"/>
    <tableColumn id="22" xr3:uid="{00000000-0010-0000-0100-000016000000}" name="Offense" dataDxfId="85"/>
    <tableColumn id="23" xr3:uid="{00000000-0010-0000-0100-000017000000}" name="Spy strength" dataDxfId="84"/>
    <tableColumn id="24" xr3:uid="{00000000-0010-0000-0100-000018000000}" name="Wizard strength" dataDxfId="83"/>
    <tableColumn id="25" xr3:uid="{00000000-0010-0000-0100-000019000000}" name="Invest bonus" dataDxfId="82"/>
    <tableColumn id="26" xr3:uid="{00000000-0010-0000-0100-00001A000000}" name="Rezone Cost" dataDxfId="81" dataCellStyle="Percent"/>
    <tableColumn id="27" xr3:uid="{00000000-0010-0000-0100-00001B000000}" name="Construction Cost" dataDxfId="80"/>
    <tableColumn id="28" xr3:uid="{00000000-0010-0000-0100-00001C000000}" name="Research" dataDxfId="79"/>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78" dataDxfId="77">
  <autoFilter ref="D89:D95" xr:uid="{00000000-0009-0000-0100-000002000000}"/>
  <tableColumns count="1">
    <tableColumn id="1" xr3:uid="{00000000-0010-0000-0200-000001000000}" name="waves:" dataDxfId="76"/>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44" t="s">
        <v>463</v>
      </c>
      <c r="B1" s="544"/>
      <c r="C1" s="544"/>
      <c r="D1" s="544"/>
      <c r="E1" s="544"/>
      <c r="F1" s="544"/>
      <c r="G1" s="544"/>
      <c r="H1" s="544"/>
      <c r="I1" s="544"/>
      <c r="J1" s="544"/>
      <c r="K1" s="544"/>
      <c r="L1" s="545"/>
      <c r="M1" s="552" t="s">
        <v>1082</v>
      </c>
      <c r="N1" s="553"/>
      <c r="O1" s="554"/>
    </row>
    <row r="2" spans="1:15" s="48" customFormat="1" ht="12.75" customHeight="1" x14ac:dyDescent="0.2">
      <c r="A2" s="578" t="s">
        <v>1080</v>
      </c>
      <c r="B2" s="579"/>
      <c r="C2" s="579"/>
      <c r="D2" s="579"/>
      <c r="E2" s="579"/>
      <c r="F2" s="579"/>
      <c r="G2" s="579"/>
      <c r="H2" s="579"/>
      <c r="I2" s="579"/>
      <c r="J2" s="579"/>
      <c r="K2" s="579"/>
      <c r="L2" s="580"/>
      <c r="M2" s="566" t="s">
        <v>1081</v>
      </c>
      <c r="N2" s="567"/>
      <c r="O2" s="568"/>
    </row>
    <row r="3" spans="1:15" s="48" customFormat="1" x14ac:dyDescent="0.2">
      <c r="A3" s="578"/>
      <c r="B3" s="579"/>
      <c r="C3" s="579"/>
      <c r="D3" s="579"/>
      <c r="E3" s="579"/>
      <c r="F3" s="579"/>
      <c r="G3" s="579"/>
      <c r="H3" s="579"/>
      <c r="I3" s="579"/>
      <c r="J3" s="579"/>
      <c r="K3" s="579"/>
      <c r="L3" s="580"/>
      <c r="M3" s="566"/>
      <c r="N3" s="567"/>
      <c r="O3" s="568"/>
    </row>
    <row r="4" spans="1:15" s="48" customFormat="1" x14ac:dyDescent="0.2">
      <c r="A4" s="578"/>
      <c r="B4" s="579"/>
      <c r="C4" s="579"/>
      <c r="D4" s="579"/>
      <c r="E4" s="579"/>
      <c r="F4" s="579"/>
      <c r="G4" s="579"/>
      <c r="H4" s="579"/>
      <c r="I4" s="579"/>
      <c r="J4" s="579"/>
      <c r="K4" s="579"/>
      <c r="L4" s="580"/>
      <c r="M4" s="566"/>
      <c r="N4" s="567"/>
      <c r="O4" s="568"/>
    </row>
    <row r="5" spans="1:15" s="48" customFormat="1" x14ac:dyDescent="0.2">
      <c r="A5" s="578"/>
      <c r="B5" s="579"/>
      <c r="C5" s="579"/>
      <c r="D5" s="579"/>
      <c r="E5" s="579"/>
      <c r="F5" s="579"/>
      <c r="G5" s="579"/>
      <c r="H5" s="579"/>
      <c r="I5" s="579"/>
      <c r="J5" s="579"/>
      <c r="K5" s="579"/>
      <c r="L5" s="580"/>
      <c r="M5" s="566"/>
      <c r="N5" s="567"/>
      <c r="O5" s="568"/>
    </row>
    <row r="6" spans="1:15" s="48" customFormat="1" x14ac:dyDescent="0.2">
      <c r="A6" s="578"/>
      <c r="B6" s="579"/>
      <c r="C6" s="579"/>
      <c r="D6" s="579"/>
      <c r="E6" s="579"/>
      <c r="F6" s="579"/>
      <c r="G6" s="579"/>
      <c r="H6" s="579"/>
      <c r="I6" s="579"/>
      <c r="J6" s="579"/>
      <c r="K6" s="579"/>
      <c r="L6" s="580"/>
      <c r="M6" s="566"/>
      <c r="N6" s="567"/>
      <c r="O6" s="568"/>
    </row>
    <row r="7" spans="1:15" s="48" customFormat="1" ht="13.5" thickBot="1" x14ac:dyDescent="0.25">
      <c r="A7" s="581"/>
      <c r="B7" s="582"/>
      <c r="C7" s="582"/>
      <c r="D7" s="582"/>
      <c r="E7" s="582"/>
      <c r="F7" s="582"/>
      <c r="G7" s="582"/>
      <c r="H7" s="582"/>
      <c r="I7" s="582"/>
      <c r="J7" s="582"/>
      <c r="K7" s="582"/>
      <c r="L7" s="583"/>
      <c r="M7" s="566"/>
      <c r="N7" s="567"/>
      <c r="O7" s="568"/>
    </row>
    <row r="8" spans="1:15" s="48" customFormat="1" ht="15.75" x14ac:dyDescent="0.2">
      <c r="A8" s="546" t="s">
        <v>462</v>
      </c>
      <c r="B8" s="547"/>
      <c r="C8" s="547"/>
      <c r="D8" s="547"/>
      <c r="E8" s="547"/>
      <c r="F8" s="547"/>
      <c r="G8" s="547"/>
      <c r="H8" s="547"/>
      <c r="I8" s="548"/>
      <c r="J8" s="555" t="s">
        <v>1110</v>
      </c>
      <c r="K8" s="556"/>
      <c r="L8" s="557"/>
      <c r="M8" s="569"/>
      <c r="N8" s="570"/>
      <c r="O8" s="571"/>
    </row>
    <row r="9" spans="1:15" s="48" customFormat="1" ht="12.75" customHeight="1" x14ac:dyDescent="0.2">
      <c r="A9" s="549" t="s">
        <v>1079</v>
      </c>
      <c r="B9" s="550"/>
      <c r="C9" s="550"/>
      <c r="D9" s="550"/>
      <c r="E9" s="550"/>
      <c r="F9" s="550"/>
      <c r="G9" s="550"/>
      <c r="H9" s="550"/>
      <c r="I9" s="550"/>
      <c r="J9" s="558"/>
      <c r="K9" s="559"/>
      <c r="L9" s="560"/>
      <c r="M9" s="569"/>
      <c r="N9" s="570"/>
      <c r="O9" s="571"/>
    </row>
    <row r="10" spans="1:15" s="48" customFormat="1" ht="12.75" customHeight="1" x14ac:dyDescent="0.2">
      <c r="A10" s="549"/>
      <c r="B10" s="550"/>
      <c r="C10" s="550"/>
      <c r="D10" s="550"/>
      <c r="E10" s="550"/>
      <c r="F10" s="550"/>
      <c r="G10" s="550"/>
      <c r="H10" s="550"/>
      <c r="I10" s="550"/>
      <c r="J10" s="558"/>
      <c r="K10" s="559"/>
      <c r="L10" s="560"/>
      <c r="M10" s="569"/>
      <c r="N10" s="570"/>
      <c r="O10" s="571"/>
    </row>
    <row r="11" spans="1:15" s="48" customFormat="1" ht="12.75" customHeight="1" x14ac:dyDescent="0.2">
      <c r="A11" s="549"/>
      <c r="B11" s="550"/>
      <c r="C11" s="550"/>
      <c r="D11" s="550"/>
      <c r="E11" s="550"/>
      <c r="F11" s="550"/>
      <c r="G11" s="550"/>
      <c r="H11" s="550"/>
      <c r="I11" s="550"/>
      <c r="J11" s="558"/>
      <c r="K11" s="559"/>
      <c r="L11" s="560"/>
      <c r="M11" s="569"/>
      <c r="N11" s="570"/>
      <c r="O11" s="571"/>
    </row>
    <row r="12" spans="1:15" s="48" customFormat="1" ht="28.5" customHeight="1" thickBot="1" x14ac:dyDescent="0.25">
      <c r="A12" s="549"/>
      <c r="B12" s="550"/>
      <c r="C12" s="550"/>
      <c r="D12" s="550"/>
      <c r="E12" s="550"/>
      <c r="F12" s="550"/>
      <c r="G12" s="550"/>
      <c r="H12" s="550"/>
      <c r="I12" s="550"/>
      <c r="J12" s="561"/>
      <c r="K12" s="562"/>
      <c r="L12" s="563"/>
      <c r="M12" s="572"/>
      <c r="N12" s="573"/>
      <c r="O12" s="574"/>
    </row>
    <row r="13" spans="1:15" s="48" customFormat="1" ht="25.5" customHeight="1" thickBot="1" x14ac:dyDescent="0.25">
      <c r="A13" s="575" t="s">
        <v>268</v>
      </c>
      <c r="B13" s="576"/>
      <c r="C13" s="577"/>
      <c r="D13" s="577"/>
      <c r="E13" s="577"/>
      <c r="F13" s="577"/>
      <c r="G13" s="577"/>
      <c r="H13" s="577"/>
      <c r="I13" s="577"/>
      <c r="J13" s="577"/>
      <c r="K13" s="577"/>
      <c r="L13" s="577"/>
      <c r="M13" s="577"/>
      <c r="N13" s="577"/>
      <c r="O13" s="577"/>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44405</v>
      </c>
      <c r="D15" s="59" t="s">
        <v>335</v>
      </c>
      <c r="E15" s="60">
        <f>B15+(1+B16-1)/24+B18-6/24</f>
        <v>44404.75</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44390.566771759259</v>
      </c>
      <c r="H16" s="59" t="s">
        <v>105</v>
      </c>
      <c r="I16" s="61">
        <f>INDEX(TblRaces[[Max population]:[Research]],MATCH(race,TblRaces[Race],0),MATCH(Table4[[#This Row],[Race Bonuses]],TblRaces[[#Headers],[Max population]:[Research]],0))</f>
        <v>0</v>
      </c>
      <c r="K16" s="542" t="s">
        <v>464</v>
      </c>
      <c r="L16" s="551"/>
      <c r="M16" s="551"/>
      <c r="N16" s="551"/>
      <c r="O16" s="63"/>
    </row>
    <row r="17" spans="1:15" s="48" customFormat="1" ht="12.75" customHeight="1" thickBot="1" x14ac:dyDescent="0.25">
      <c r="A17" s="49" t="s">
        <v>332</v>
      </c>
      <c r="B17" s="64">
        <f ca="1">TODAY()</f>
        <v>44390</v>
      </c>
      <c r="C17" s="65"/>
      <c r="D17" s="66" t="s">
        <v>327</v>
      </c>
      <c r="E17" s="67">
        <f>0+Log!P16</f>
        <v>0</v>
      </c>
      <c r="F17" s="68"/>
      <c r="G17" s="68"/>
      <c r="H17" s="59" t="s">
        <v>172</v>
      </c>
      <c r="I17" s="61">
        <f>INDEX(TblRaces[[Max population]:[Research]],MATCH(race,TblRaces[Race],0),MATCH(Table4[[#This Row],[Race Bonuses]],TblRaces[[#Headers],[Max population]:[Research]],0))</f>
        <v>0</v>
      </c>
      <c r="J17" s="55"/>
      <c r="K17" s="551"/>
      <c r="L17" s="551"/>
      <c r="M17" s="551"/>
      <c r="N17" s="551"/>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51"/>
      <c r="L18" s="551"/>
      <c r="M18" s="551"/>
      <c r="N18" s="551"/>
      <c r="O18" s="63"/>
    </row>
    <row r="19" spans="1:15" s="48" customFormat="1" x14ac:dyDescent="0.2">
      <c r="H19" s="59" t="s">
        <v>108</v>
      </c>
      <c r="I19" s="61">
        <f>INDEX(TblRaces[[Max population]:[Research]],MATCH(race,TblRaces[Race],0),MATCH(Table4[[#This Row],[Race Bonuses]],TblRaces[[#Headers],[Max population]:[Research]],0))</f>
        <v>0</v>
      </c>
      <c r="J19" s="55"/>
      <c r="K19" s="551"/>
      <c r="L19" s="551"/>
      <c r="M19" s="551"/>
      <c r="N19" s="551"/>
      <c r="O19" s="70"/>
    </row>
    <row r="20" spans="1:15" s="48" customFormat="1" x14ac:dyDescent="0.2">
      <c r="H20" s="59" t="s">
        <v>109</v>
      </c>
      <c r="I20" s="61">
        <f>INDEX(TblRaces[[Max population]:[Research]],MATCH(race,TblRaces[Race],0),MATCH(Table4[[#This Row],[Race Bonuses]],TblRaces[[#Headers],[Max population]:[Research]],0))</f>
        <v>0</v>
      </c>
      <c r="J20" s="55"/>
      <c r="K20" s="551"/>
      <c r="L20" s="551"/>
      <c r="M20" s="551"/>
      <c r="N20" s="551"/>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51"/>
      <c r="L21" s="551"/>
      <c r="M21" s="551"/>
      <c r="N21" s="551"/>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42"/>
      <c r="L23" s="542"/>
      <c r="M23" s="542"/>
      <c r="N23" s="542"/>
      <c r="O23" s="70"/>
    </row>
    <row r="24" spans="1:15" s="48" customFormat="1" x14ac:dyDescent="0.2">
      <c r="A24" s="76" t="str">
        <f>INDEX(TblRaces[],MATCH(race,TblRaces[Race],0)+2,4)</f>
        <v>Knight</v>
      </c>
      <c r="B24" s="74">
        <f ca="1">_xlfn.IFNA(INDEX(TblRaces[],MATCH(TblUnits[[#This Row],[Unit Names]],TblRaces[Unitname],0),5),"")+E79*C79</f>
        <v>2</v>
      </c>
      <c r="C24" s="74">
        <f ca="1">_xlfn.IFNA(INDEX(TblRaces[],MATCH(TblUnits[[#This Row],[Unit Names]],TblRaces[Unitname],0),6),"")+E82*D82+E84*D84+E80*D80+E79*D79+E78*D78+E77*D77+E75*D75</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42"/>
      <c r="L24" s="542"/>
      <c r="M24" s="542"/>
      <c r="N24" s="542"/>
      <c r="O24" s="70"/>
    </row>
    <row r="25" spans="1:15" s="48" customFormat="1" x14ac:dyDescent="0.2">
      <c r="A25" s="76" t="str">
        <f>INDEX(TblRaces[],MATCH(race,TblRaces[Race],0)+3,4)</f>
        <v>Cavalry</v>
      </c>
      <c r="B25" s="74">
        <f ca="1">_xlfn.IFNA(INDEX(TblRaces[],MATCH(TblUnits[[#This Row],[Unit Names]],TblRaces[Unitname],0),5),"")+E75*C76+E80*C81+E83*C83</f>
        <v>6</v>
      </c>
      <c r="C25" s="74">
        <f ca="1">_xlfn.IFNA(INDEX(TblRaces[],MATCH(TblUnits[[#This Row],[Unit Names]],TblRaces[Unitname],0),6),"")+E75*D76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42"/>
      <c r="L25" s="542"/>
      <c r="M25" s="542"/>
      <c r="N25" s="542"/>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42"/>
      <c r="L26" s="542"/>
      <c r="M26" s="542"/>
      <c r="N26" s="542"/>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42"/>
      <c r="L27" s="542"/>
      <c r="M27" s="542"/>
      <c r="N27" s="542"/>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64" t="s">
        <v>389</v>
      </c>
      <c r="B32" s="541"/>
      <c r="C32" s="541"/>
      <c r="D32" s="541"/>
      <c r="E32" s="541"/>
      <c r="F32" s="541"/>
      <c r="G32" s="541"/>
      <c r="H32" s="541"/>
      <c r="I32" s="541"/>
      <c r="J32" s="565"/>
      <c r="K32" s="565"/>
      <c r="L32" s="565"/>
      <c r="M32" s="565"/>
      <c r="N32" s="565"/>
      <c r="O32" s="565"/>
    </row>
    <row r="33" spans="1:15" x14ac:dyDescent="0.2">
      <c r="A33" s="90" t="s">
        <v>22</v>
      </c>
      <c r="B33" s="91" t="s">
        <v>366</v>
      </c>
      <c r="C33" s="92" t="s">
        <v>31</v>
      </c>
      <c r="D33" s="93" t="s">
        <v>218</v>
      </c>
      <c r="E33" s="94" t="s">
        <v>1051</v>
      </c>
      <c r="F33" s="92" t="s">
        <v>32</v>
      </c>
      <c r="G33" s="93" t="s">
        <v>1049</v>
      </c>
      <c r="H33" s="93" t="s">
        <v>1050</v>
      </c>
      <c r="I33" s="95" t="s">
        <v>801</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37" t="s">
        <v>441</v>
      </c>
      <c r="L35" s="538"/>
      <c r="M35" s="538"/>
      <c r="N35" s="538"/>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38"/>
      <c r="L36" s="538"/>
      <c r="M36" s="538"/>
      <c r="N36" s="538"/>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38"/>
      <c r="L37" s="538"/>
      <c r="M37" s="538"/>
      <c r="N37" s="538"/>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42" t="s">
        <v>461</v>
      </c>
      <c r="L38" s="543"/>
      <c r="M38" s="543"/>
      <c r="N38" s="543"/>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43"/>
      <c r="L39" s="543"/>
      <c r="M39" s="543"/>
      <c r="N39" s="543"/>
      <c r="O39" s="57"/>
    </row>
    <row r="40" spans="1:15" x14ac:dyDescent="0.2">
      <c r="A40" s="123" t="s">
        <v>24</v>
      </c>
      <c r="B40" s="124">
        <f ca="1">F40</f>
        <v>626</v>
      </c>
      <c r="C40" s="125"/>
      <c r="D40" s="59"/>
      <c r="E40" s="126"/>
      <c r="F40" s="113">
        <f ca="1">Military!Z76</f>
        <v>626</v>
      </c>
      <c r="G40" s="127"/>
      <c r="H40" s="113">
        <f ca="1">F40*(1+$G$35)</f>
        <v>626</v>
      </c>
      <c r="I40" s="108" t="s">
        <v>432</v>
      </c>
      <c r="J40" s="48"/>
      <c r="K40" s="539" t="s">
        <v>459</v>
      </c>
      <c r="L40" s="540"/>
      <c r="M40" s="540"/>
      <c r="N40" s="540"/>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40"/>
      <c r="L41" s="540"/>
      <c r="M41" s="540"/>
      <c r="N41" s="540"/>
      <c r="O41" s="57"/>
    </row>
    <row r="42" spans="1:15" ht="13.5" thickTop="1" x14ac:dyDescent="0.2">
      <c r="B42" s="59"/>
      <c r="C42" s="125"/>
      <c r="D42" s="59"/>
      <c r="E42" s="126"/>
      <c r="F42" s="121">
        <f ca="1">F40+F39+F41</f>
        <v>1076</v>
      </c>
      <c r="G42" s="49"/>
      <c r="H42" s="120">
        <f ca="1">H40+H39+H41</f>
        <v>1076</v>
      </c>
      <c r="I42" s="108"/>
      <c r="J42" s="48"/>
      <c r="K42" s="541"/>
      <c r="L42" s="541"/>
      <c r="M42" s="541"/>
      <c r="N42" s="541"/>
      <c r="O42" s="57"/>
    </row>
    <row r="43" spans="1:15" x14ac:dyDescent="0.2">
      <c r="A43" s="52"/>
      <c r="B43" s="48"/>
      <c r="C43" s="52"/>
      <c r="D43" s="536"/>
      <c r="E43" s="536"/>
      <c r="F43" s="536"/>
      <c r="G43" s="536"/>
      <c r="H43" s="536"/>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1052</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10</v>
      </c>
      <c r="F47" s="144">
        <f ca="1">E47/$E$46</f>
        <v>0.04</v>
      </c>
      <c r="G47" s="48"/>
      <c r="H47" s="49" t="s">
        <v>261</v>
      </c>
      <c r="I47" s="145">
        <f ca="1">C39/E46</f>
        <v>0</v>
      </c>
      <c r="J47" s="145">
        <f ca="1">E39/E46</f>
        <v>0</v>
      </c>
      <c r="K47" s="48"/>
      <c r="L47" s="48"/>
      <c r="M47" s="48"/>
      <c r="N47" s="48"/>
      <c r="O47" s="57"/>
    </row>
    <row r="48" spans="1:15" x14ac:dyDescent="0.2">
      <c r="A48" s="130" t="s">
        <v>279</v>
      </c>
      <c r="B48" s="525">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26">
        <f>SUM(Imps!M4:'Imps'!M76)</f>
        <v>0</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I50*(1+I26+Constants!O57*Techs!AL76)</f>
        <v>0.1</v>
      </c>
      <c r="K50" s="48"/>
      <c r="L50" s="48"/>
      <c r="M50" s="48"/>
      <c r="N50" s="48"/>
      <c r="O50" s="57"/>
    </row>
    <row r="51" spans="1:15" x14ac:dyDescent="0.2">
      <c r="A51" s="147" t="s">
        <v>1</v>
      </c>
      <c r="B51" s="522">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23">
        <f ca="1">Population!C76</f>
        <v>1532</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24">
        <f ca="1">B40</f>
        <v>626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23">
        <f ca="1">Production!G76</f>
        <v>6450</v>
      </c>
      <c r="C54" s="52"/>
      <c r="D54" s="142" t="str">
        <f>Construction!BF3</f>
        <v>Tot OM</v>
      </c>
      <c r="E54" s="49">
        <f ca="1">Construction!BF76</f>
        <v>0</v>
      </c>
      <c r="F54" s="144">
        <f t="shared" ca="1" si="0"/>
        <v>0</v>
      </c>
      <c r="G54" s="48"/>
      <c r="H54" s="150">
        <v>61</v>
      </c>
      <c r="I54" s="74">
        <f ca="1">Production!H64</f>
        <v>430038</v>
      </c>
      <c r="J54" s="74">
        <f ca="1">Production!H64+SUM(Military!AP4:AP64)</f>
        <v>430038</v>
      </c>
      <c r="K54" s="151"/>
      <c r="L54" s="48"/>
      <c r="M54" s="48"/>
      <c r="N54" s="48"/>
      <c r="O54" s="57"/>
    </row>
    <row r="55" spans="1:15" x14ac:dyDescent="0.2">
      <c r="A55" s="149" t="s">
        <v>278</v>
      </c>
      <c r="B55" s="524">
        <f ca="1">H39</f>
        <v>450</v>
      </c>
      <c r="C55" s="52"/>
      <c r="D55" s="142" t="str">
        <f>Construction!BG3</f>
        <v>Tot GN</v>
      </c>
      <c r="E55" s="49">
        <f ca="1">Construction!BG76</f>
        <v>0</v>
      </c>
      <c r="F55" s="144">
        <f t="shared" ca="1" si="0"/>
        <v>0</v>
      </c>
      <c r="G55" s="48"/>
      <c r="H55" s="150">
        <v>64</v>
      </c>
      <c r="I55" s="74">
        <f ca="1">Production!H67</f>
        <v>446496</v>
      </c>
      <c r="J55" s="74">
        <f ca="1">Production!H67+SUM(Military!AP5:AP67)</f>
        <v>446496</v>
      </c>
      <c r="K55" s="152"/>
      <c r="L55" s="48"/>
      <c r="M55" s="48"/>
      <c r="N55" s="48"/>
      <c r="O55" s="57"/>
    </row>
    <row r="56" spans="1:15" x14ac:dyDescent="0.2">
      <c r="A56" s="148" t="s">
        <v>277</v>
      </c>
      <c r="B56" s="523">
        <f ca="1">E39</f>
        <v>0</v>
      </c>
      <c r="C56" s="52"/>
      <c r="D56" s="142" t="str">
        <f>Construction!BJ3</f>
        <v>Tot Bar</v>
      </c>
      <c r="E56" s="49">
        <f ca="1">Construction!BJ76</f>
        <v>0</v>
      </c>
      <c r="F56" s="144">
        <f t="shared" ca="1" si="0"/>
        <v>0</v>
      </c>
      <c r="G56" s="48"/>
      <c r="H56" s="150" t="s">
        <v>241</v>
      </c>
      <c r="I56" s="74">
        <f ca="1">Production!H76</f>
        <v>495870</v>
      </c>
      <c r="J56" s="74">
        <f ca="1">Production!H76+SUM(Military!AP4:AP76)</f>
        <v>495870</v>
      </c>
      <c r="K56" s="152"/>
      <c r="L56" s="48"/>
      <c r="M56" s="48"/>
      <c r="N56" s="48"/>
      <c r="O56" s="57"/>
    </row>
    <row r="57" spans="1:15" x14ac:dyDescent="0.2">
      <c r="A57" s="149" t="s">
        <v>6</v>
      </c>
      <c r="B57" s="524">
        <f ca="1">Production!S76</f>
        <v>5486</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23">
        <f ca="1">Production!H$76</f>
        <v>495870</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24">
        <f ca="1">Production!I$76</f>
        <v>110704</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23">
        <f ca="1">Production!J$76</f>
        <v>58774</v>
      </c>
      <c r="C60" s="52"/>
      <c r="D60" s="142" t="str">
        <f>Construction!BL3</f>
        <v>Tot Tow</v>
      </c>
      <c r="E60" s="49">
        <f ca="1">Construction!BL76</f>
        <v>0</v>
      </c>
      <c r="F60" s="144">
        <f t="shared" ca="1" si="0"/>
        <v>0</v>
      </c>
      <c r="G60" s="48"/>
      <c r="H60" s="49" t="s">
        <v>290</v>
      </c>
      <c r="I60" s="113">
        <f ca="1">SUM(Construction!AQ4:AQ76)</f>
        <v>0</v>
      </c>
      <c r="J60" s="153">
        <f ca="1">IFERROR(Table18[[#This Row],[Amount]]/Table18[[#Totals],[Amount]],0)</f>
        <v>0</v>
      </c>
      <c r="K60" s="48"/>
      <c r="L60" s="48"/>
      <c r="M60" s="48"/>
      <c r="N60" s="48"/>
      <c r="O60" s="57"/>
    </row>
    <row r="61" spans="1:15" x14ac:dyDescent="0.2">
      <c r="A61" s="149" t="s">
        <v>12</v>
      </c>
      <c r="B61" s="524">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23">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24">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23">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24">
        <f>SUM(Explore!T65:Z76)+SUM(Explore!S77:S87)*15</f>
        <v>0</v>
      </c>
      <c r="C65" s="48"/>
      <c r="D65" s="477" t="str">
        <f>Construction!BQ3</f>
        <v>Tot Doc</v>
      </c>
      <c r="E65" s="155">
        <f ca="1">Construction!BQ76</f>
        <v>0</v>
      </c>
      <c r="F65" s="157">
        <f t="shared" ca="1" si="0"/>
        <v>0</v>
      </c>
      <c r="G65" s="48"/>
      <c r="H65" s="97" t="s">
        <v>198</v>
      </c>
      <c r="I65" s="154">
        <f ca="1">SUBTOTAL(109,Table18[Amount])</f>
        <v>0</v>
      </c>
      <c r="J65" s="423">
        <f>1</f>
        <v>1</v>
      </c>
      <c r="K65" s="48"/>
      <c r="L65" s="48"/>
      <c r="M65" s="48"/>
      <c r="N65" s="48"/>
      <c r="O65" s="57"/>
    </row>
    <row r="66" spans="1:15" x14ac:dyDescent="0.2">
      <c r="A66" s="148" t="s">
        <v>287</v>
      </c>
      <c r="B66" s="523">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160</v>
      </c>
      <c r="F67" s="160">
        <f ca="1">E67/E46</f>
        <v>0.64</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34" t="s">
        <v>299</v>
      </c>
      <c r="B72" s="535"/>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IF(Constants!F112="none",$F$66/Constants!C112,MIN(Constants!F112,$F$66/Constants!C112))</f>
        <v>2.1999999999999997</v>
      </c>
      <c r="E75" s="161" t="b">
        <f>$B$14=A75</f>
        <v>0</v>
      </c>
      <c r="O75" s="49"/>
    </row>
    <row r="76" spans="1:15" x14ac:dyDescent="0.2">
      <c r="A76" s="161"/>
      <c r="B76" s="161" t="s">
        <v>128</v>
      </c>
      <c r="C76" s="165">
        <f ca="1">IF(Constants!F113="none",$F$66/Constants!C113,MIN(Constants!F113,$F$66/Constants!C113))</f>
        <v>2.1999999999999997</v>
      </c>
      <c r="D76" s="165">
        <f ca="1">IF(Constants!F114="none",$F$66/Constants!C114,MIN(Constants!F114,$F$66/Constants!C114))</f>
        <v>2.1999999999999997</v>
      </c>
      <c r="E76" s="161"/>
      <c r="O76" s="49"/>
    </row>
    <row r="77" spans="1:15" x14ac:dyDescent="0.2">
      <c r="A77" s="161" t="s">
        <v>96</v>
      </c>
      <c r="B77" s="161" t="s">
        <v>143</v>
      </c>
      <c r="C77" s="165"/>
      <c r="D77" s="165">
        <f ca="1">MIN(Constants!F115,$F$66/Constants!C115)</f>
        <v>2.1999999999999997</v>
      </c>
      <c r="E77" s="161" t="b">
        <f>$B$14=A77</f>
        <v>0</v>
      </c>
      <c r="O77" s="49"/>
    </row>
    <row r="78" spans="1:15" x14ac:dyDescent="0.2">
      <c r="A78" s="161" t="s">
        <v>94</v>
      </c>
      <c r="B78" s="161" t="s">
        <v>135</v>
      </c>
      <c r="C78" s="165"/>
      <c r="D78" s="165">
        <f ca="1">MIN(Constants!F116,$F$66/Constants!C116)</f>
        <v>2</v>
      </c>
      <c r="E78" s="161" t="b">
        <f>$B$14=A78</f>
        <v>0</v>
      </c>
      <c r="O78" s="49"/>
    </row>
    <row r="79" spans="1:15" x14ac:dyDescent="0.2">
      <c r="A79" s="161" t="s">
        <v>99</v>
      </c>
      <c r="B79" s="161" t="s">
        <v>151</v>
      </c>
      <c r="C79" s="165">
        <f ca="1">MIN(Constants!F117,F62/Constants!C117)</f>
        <v>0</v>
      </c>
      <c r="D79" s="165">
        <f ca="1">MIN(Constants!F118,F62/Constants!C118)</f>
        <v>0</v>
      </c>
      <c r="E79" s="161" t="b">
        <f>$B$14=A79</f>
        <v>0</v>
      </c>
      <c r="O79" s="49"/>
    </row>
    <row r="80" spans="1:15" x14ac:dyDescent="0.2">
      <c r="A80" s="161" t="s">
        <v>341</v>
      </c>
      <c r="B80" s="161" t="s">
        <v>344</v>
      </c>
      <c r="C80" s="161"/>
      <c r="D80" s="165">
        <f ca="1">MIN(Constants!F119,F66/Constants!C119)</f>
        <v>2.1999999999999997</v>
      </c>
      <c r="E80" s="161" t="b">
        <f>$B$14=A80</f>
        <v>0</v>
      </c>
      <c r="O80" s="49"/>
    </row>
    <row r="81" spans="1:15" x14ac:dyDescent="0.2">
      <c r="A81" s="161"/>
      <c r="B81" s="161" t="s">
        <v>345</v>
      </c>
      <c r="C81" s="161">
        <f ca="1">MIN(Constants!F120,I50*Constants!C120)</f>
        <v>0.1</v>
      </c>
      <c r="D81" s="161"/>
      <c r="E81" s="161"/>
      <c r="O81" s="49"/>
    </row>
    <row r="82" spans="1:15" x14ac:dyDescent="0.2">
      <c r="A82" s="161" t="s">
        <v>147</v>
      </c>
      <c r="B82" s="161" t="s">
        <v>387</v>
      </c>
      <c r="C82" s="161"/>
      <c r="D82" s="165">
        <f>MIN(Constants!F121,250/Constants!C121)</f>
        <v>0</v>
      </c>
      <c r="E82" s="161" t="b">
        <f>$B$14=A82</f>
        <v>0</v>
      </c>
      <c r="O82" s="49"/>
    </row>
    <row r="83" spans="1:15" x14ac:dyDescent="0.2">
      <c r="A83" s="166" t="s">
        <v>147</v>
      </c>
      <c r="B83" s="161" t="s">
        <v>369</v>
      </c>
      <c r="C83" s="167">
        <f>MIN(bone_breaker_cap,250/bone_breaker_bonus)</f>
        <v>0.66666666666666663</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32:O32"/>
    <mergeCell ref="M2:O12"/>
    <mergeCell ref="A13:O13"/>
    <mergeCell ref="K23:N27"/>
    <mergeCell ref="A2:L7"/>
    <mergeCell ref="A1:L1"/>
    <mergeCell ref="A8:I8"/>
    <mergeCell ref="A9:I12"/>
    <mergeCell ref="K16:N21"/>
    <mergeCell ref="M1:O1"/>
    <mergeCell ref="J8:L12"/>
    <mergeCell ref="A72:B72"/>
    <mergeCell ref="D43:H43"/>
    <mergeCell ref="K35:N37"/>
    <mergeCell ref="K40:N42"/>
    <mergeCell ref="K38:N39"/>
  </mergeCells>
  <phoneticPr fontId="0" type="noConversion"/>
  <conditionalFormatting sqref="D43">
    <cfRule type="expression" dxfId="75" priority="1" stopIfTrue="1">
      <formula>$D$43&lt;&gt;""</formula>
    </cfRule>
  </conditionalFormatting>
  <conditionalFormatting sqref="E18">
    <cfRule type="cellIs" dxfId="74" priority="2" stopIfTrue="1" operator="equal">
      <formula>"""Yes"""</formula>
    </cfRule>
    <cfRule type="expression" dxfId="73" priority="3" stopIfTrue="1">
      <formula>ISERROR(E18)</formula>
    </cfRule>
  </conditionalFormatting>
  <conditionalFormatting sqref="E17">
    <cfRule type="cellIs" dxfId="72"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C4" sqref="C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5" t="s">
        <v>23</v>
      </c>
      <c r="D1" s="585"/>
      <c r="E1" s="585"/>
      <c r="F1" s="585"/>
      <c r="G1" s="585"/>
      <c r="H1" s="585"/>
      <c r="I1" s="585"/>
      <c r="J1" s="174"/>
      <c r="K1" s="174"/>
      <c r="L1" s="585" t="s">
        <v>22</v>
      </c>
      <c r="M1" s="585"/>
      <c r="N1" s="585"/>
      <c r="O1" s="585"/>
      <c r="P1" s="585"/>
      <c r="Q1" s="585"/>
      <c r="R1" s="585"/>
      <c r="S1" s="585"/>
      <c r="U1" s="585" t="s">
        <v>175</v>
      </c>
      <c r="V1" s="586"/>
      <c r="W1" s="585" t="s">
        <v>179</v>
      </c>
      <c r="X1" s="585"/>
      <c r="Y1" s="585"/>
      <c r="Z1" s="585"/>
      <c r="AA1" s="585" t="s">
        <v>184</v>
      </c>
      <c r="AB1" s="586"/>
      <c r="AC1" s="586"/>
      <c r="AD1" s="586"/>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1053</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1070</v>
      </c>
      <c r="AA3" s="176" t="s">
        <v>804</v>
      </c>
      <c r="AB3" s="176" t="s">
        <v>179</v>
      </c>
      <c r="AC3" s="176" t="s">
        <v>183</v>
      </c>
    </row>
    <row r="4" spans="1:30" x14ac:dyDescent="0.2">
      <c r="A4" s="178">
        <f>TblRezone[[#This Row],[Hour]]</f>
        <v>1</v>
      </c>
      <c r="B4" s="179">
        <f>TblImps[[#This Row],[Time]]</f>
        <v>44404.75</v>
      </c>
      <c r="C4" s="500">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44404.791666666664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44404.833333333328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44404.874999999993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44404.916666666657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44404.958333333321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44404.999999999985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44405.04166666665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44405.083333333314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44405.124999999978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44405.166666666642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44405.208333333307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44405.249999999971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44405.291666666635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44405.333333333299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44405.374999999964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44405.416666666628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44405.458333333292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44405.499999999956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44405.541666666621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44405.583333333285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44405.624999999949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44405.666666666613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44405.708333333278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44405.749999999942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44405.791666666606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44405.83333333327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44405.874999999935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44405.916666666599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44405.958333333263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44405.999999999927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44406.041666666591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44406.083333333256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44406.12499999992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44406.166666666584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44406.208333333248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44406.249999999913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44406.291666666577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44406.333333333241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44406.374999999905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44406.41666666657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44406.458333333234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44406.499999999898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44406.541666666562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44406.583333333227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44406.624999999891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44406.666666666555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44406.708333333219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44406.749999999884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44406.791666666548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44406.833333333212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44406.874999999876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44406.916666666541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44406.958333333205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44406.999999999869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44407.041666666533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44407.083333333198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44407.124999999862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44407.166666666526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44407.20833333319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44407.249999999854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44407.291666666519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44407.333333333183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44407.374999999847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44407.416666666511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44407.458333333176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44407.49999999984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44407.541666666504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44407.583333333168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44407.624999999833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44407.666666666497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44407.708333333161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44407.749999999825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44407.79166666649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44407.833333333154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44407.874999999818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44407.916666666482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44407.958333333147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44407.999999999811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44408.041666666475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44408.083333333139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44408.124999999804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44408.166666666468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44408.208333333132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44408.249999999796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44408.291666666461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44408.333333333125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44408.374999999789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44408.416666666453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44408.458333333117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44408.499999999782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44408.541666666446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44408.58333333311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44408.624999999774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44408.666666666439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44408.708333333103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44408.749999999767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44408.791666666431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44408.833333333096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44408.87499999976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44408.916666666424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44408.958333333088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44408.999999999753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44409.041666666417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44409.083333333081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44409.124999999745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44409.16666666641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44409.208333333074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44409.249999999738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44409.291666666402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44409.333333333067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44409.374999999731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44409.416666666395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44409.458333333059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44409.499999999724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44409.541666666388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44409.583333333052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44409.624999999716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44409.66666666638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44409.708333333045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44409.749999999709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44409.791666666373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44409.833333333037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44409.874999999702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44409.916666666366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44409.95833333303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44409.999999999694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44410.041666666359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44410.083333333023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44410.124999999687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44410.166666666351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44410.208333333016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44410.24999999968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4" t="s">
        <v>327</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71" priority="1" stopIfTrue="1">
      <formula>OR(C4&lt;0,ROW()-3=$C$1270)</formula>
    </cfRule>
  </conditionalFormatting>
  <conditionalFormatting sqref="A1269:XFD1270">
    <cfRule type="expression" dxfId="70" priority="106" stopIfTrue="1">
      <formula>$C$1270&gt;144</formula>
    </cfRule>
  </conditionalFormatting>
  <conditionalFormatting sqref="A4:AC136">
    <cfRule type="expression" dxfId="69" priority="12" stopIfTrue="1">
      <formula>ROW()-3=$C$1270</formula>
    </cfRule>
    <cfRule type="expression" dxfId="68" priority="112">
      <formula>$A4=73</formula>
    </cfRule>
    <cfRule type="expression" dxfId="67" priority="113">
      <formula>ROUND(($A4-1)/12,0)=INT($A4-1)/12</formula>
    </cfRule>
  </conditionalFormatting>
  <conditionalFormatting sqref="A1:XFD3">
    <cfRule type="expression" dxfId="66"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O28" sqref="O28"/>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7" t="s">
        <v>259</v>
      </c>
      <c r="T1" s="587"/>
      <c r="U1" s="587"/>
      <c r="AA1" s="587" t="s">
        <v>85</v>
      </c>
      <c r="AB1" s="587"/>
      <c r="AH1" s="587" t="s">
        <v>176</v>
      </c>
      <c r="AI1" s="587"/>
      <c r="AJ1" s="587"/>
      <c r="AK1" s="587"/>
      <c r="AL1" s="587"/>
      <c r="AM1" s="587"/>
      <c r="AO1" s="72" t="s">
        <v>19</v>
      </c>
      <c r="AT1" s="587" t="s">
        <v>196</v>
      </c>
      <c r="AU1" s="587"/>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44404.75</v>
      </c>
      <c r="C4" s="199"/>
      <c r="D4" s="200"/>
      <c r="E4" s="113">
        <f ca="1">TblConstr[[#This Row],[Land]]</f>
        <v>250</v>
      </c>
      <c r="F4" s="113">
        <f>TblPop[[#This Row],[Peasants]]</f>
        <v>1300</v>
      </c>
      <c r="G4" s="113">
        <f ca="1">TblMili[[#This Row],[Networth (2)]]</f>
        <v>6450</v>
      </c>
      <c r="H4" s="500">
        <f ca="1">start_plat - TblProd[[#This Row],[Expenses Platinum]] + IF(TblProd[[#This Row],[Plat Bonus]],TblPop[[#This Row],[Peasants]]*4)+days_late*days_late_plat + SUM(TblConstr[[#This Row],[Dest Hom]:[Dest Doc]])*Construction!AM4*tech_3_3_2*TblTech[[#This Row],[3-3]]</f>
        <v>100000</v>
      </c>
      <c r="I4" s="500">
        <f>start_food+days_late*days_late_food</f>
        <v>15000</v>
      </c>
      <c r="J4" s="500">
        <f ca="1">start_lumber - TblProd[[#This Row],[Expenses Lumber]]+days_late*days_late_lumber + SUM(TblConstr[[#This Row],[Dest Hom]:[Dest Doc]])*TblConstr[[#This Row],[CPA Lumber -DB]]*tech_3_3_2*TblTech[[#This Row],[3-3]]</f>
        <v>15000</v>
      </c>
      <c r="K4" s="500">
        <f ca="1">start_mana - TblProd[[#This Row],[Expenses Mana]]+days_late*days_late_mana</f>
        <v>0</v>
      </c>
      <c r="L4" s="500">
        <f ca="1">start_ore - TblProd[[#This Row],[Expenses Ore]]+days_late*days_late_ore</f>
        <v>0</v>
      </c>
      <c r="M4" s="500">
        <f>start_gems - TblProd[[#This Row],[Expenses Gems]]</f>
        <v>10000</v>
      </c>
      <c r="N4" s="500">
        <f>start_boats</f>
        <v>0</v>
      </c>
      <c r="O4" s="500">
        <f>start_prestige</f>
        <v>250</v>
      </c>
      <c r="P4" s="501">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44404.75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44404.791666666664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44404.791666666664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44404.833333333328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44404.833333333328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44404.874999999993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44404.874999999993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44404.916666666657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44404.916666666657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44404.958333333321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44404.958333333321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44404.999999999985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44404.999999999985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44405.04166666665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44405.04166666665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44405.083333333314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44405.083333333314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44405.124999999978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44405.124999999978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44405.166666666642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44405.166666666642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44405.208333333307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44405.208333333307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44405.249999999971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44405.249999999971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44405.291666666635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44405.291666666635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44405.333333333299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44405.333333333299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44405.374999999964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44405.374999999964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44405.416666666628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44405.416666666628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44405.458333333292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44405.458333333292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44405.499999999956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44405.499999999956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44405.541666666621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44405.541666666621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44405.583333333285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44405.583333333285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44405.624999999949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44405.624999999949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44405.666666666613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44405.666666666613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44405.708333333278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44405.708333333278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44405.749999999942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44405.749999999942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44405.791666666606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44405.791666666606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44405.83333333327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44405.83333333327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44405.874999999935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44405.874999999935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44405.916666666599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44405.916666666599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44405.958333333263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44405.958333333263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44405.999999999927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44405.999999999927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44406.041666666591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44406.041666666591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44406.083333333256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44406.083333333256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44406.12499999992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44406.12499999992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44406.166666666584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44406.166666666584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44406.208333333248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44406.208333333248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44406.249999999913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44406.249999999913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44406.291666666577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44406.291666666577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44406.333333333241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44406.333333333241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44406.374999999905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44406.374999999905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44406.41666666657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44406.41666666657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44406.458333333234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44406.458333333234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44406.499999999898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44406.499999999898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44406.541666666562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44406.541666666562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44406.583333333227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44406.583333333227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44406.624999999891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44406.624999999891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44406.666666666555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44406.666666666555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44406.708333333219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44406.708333333219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44406.749999999884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44406.749999999884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44406.791666666548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44406.791666666548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44406.833333333212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44406.833333333212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44406.874999999876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44406.874999999876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44406.916666666541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44406.916666666541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44406.958333333205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44406.958333333205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44406.999999999869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44406.999999999869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44407.041666666533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44407.041666666533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44407.083333333198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44407.083333333198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44407.124999999862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44407.124999999862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44407.166666666526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44407.166666666526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44407.20833333319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44407.20833333319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44407.249999999854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44407.249999999854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44407.291666666519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44407.291666666519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44407.333333333183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44407.333333333183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44407.374999999847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44407.374999999847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44407.416666666511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44407.416666666511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44407.458333333176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44407.458333333176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44407.49999999984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44407.49999999984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44407.541666666504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44407.541666666504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44407.583333333168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44407.583333333168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44407.624999999833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44407.624999999833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44407.666666666497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44407.666666666497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44407.708333333161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44407.708333333161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241</v>
      </c>
      <c r="B76" s="210">
        <f ca="1">TblImps[[#This Row],[Time]]</f>
        <v>44407.749999999825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44407.749999999825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44407.79166666649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44407.79166666649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44407.833333333154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44407.833333333154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44407.874999999818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44407.874999999818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44407.916666666482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44407.916666666482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44407.958333333147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44407.958333333147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44407.999999999811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44407.999999999811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44408.041666666475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44408.041666666475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44408.083333333139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44408.083333333139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44408.124999999804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44408.124999999804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44408.166666666468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44408.166666666468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44408.208333333132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44408.208333333132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44408.249999999796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44408.249999999796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44408.291666666461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44408.291666666461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44408.333333333125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44408.333333333125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44408.374999999789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44408.374999999789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44408.416666666453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44408.416666666453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44408.458333333117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44408.458333333117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44408.499999999782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44408.499999999782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44408.541666666446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44408.541666666446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44408.58333333311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44408.58333333311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44408.624999999774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44408.624999999774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44408.666666666439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44408.666666666439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44408.708333333103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44408.708333333103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44408.749999999767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44408.749999999767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44408.791666666431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44408.791666666431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44408.833333333096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44408.833333333096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44408.87499999976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44408.87499999976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44408.916666666424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44408.916666666424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44408.958333333088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44408.958333333088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44408.999999999753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44408.999999999753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44409.041666666417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44409.041666666417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44409.083333333081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44409.083333333081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44409.124999999745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44409.124999999745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44409.16666666641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44409.16666666641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44409.208333333074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44409.208333333074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44409.249999999738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44409.249999999738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44409.291666666402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44409.291666666402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44409.333333333067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44409.333333333067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44409.374999999731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44409.374999999731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44409.416666666395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44409.416666666395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44409.458333333059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44409.458333333059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44409.499999999724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44409.499999999724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44409.541666666388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44409.541666666388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44409.583333333052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44409.583333333052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44409.624999999716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44409.624999999716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44409.66666666638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44409.66666666638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44409.708333333045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44409.708333333045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44409.749999999709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44409.749999999709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44409.791666666373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44409.791666666373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44409.833333333037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44409.833333333037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44409.874999999702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44409.874999999702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44409.916666666366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44409.916666666366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44409.95833333303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44409.95833333303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44409.999999999694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44409.999999999694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44410.041666666359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44410.041666666359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44410.083333333023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44410.083333333023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44410.124999999687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44410.124999999687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44410.166666666351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44410.166666666351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44410.208333333016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44410.208333333016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44410.24999999968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44410.24999999968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4" t="s">
        <v>327</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65" priority="58" stopIfTrue="1">
      <formula>ROW()-2=#REF!</formula>
    </cfRule>
  </conditionalFormatting>
  <conditionalFormatting sqref="A1269:XFD1270">
    <cfRule type="expression" dxfId="64" priority="59" stopIfTrue="1">
      <formula>$C$1270&gt;144</formula>
    </cfRule>
  </conditionalFormatting>
  <conditionalFormatting sqref="E4:Q136">
    <cfRule type="expression" dxfId="63" priority="39" stopIfTrue="1">
      <formula>OR(ROW()-3=$C$1270,E4&lt;0)</formula>
    </cfRule>
  </conditionalFormatting>
  <conditionalFormatting sqref="BH4:BH136">
    <cfRule type="cellIs" dxfId="62" priority="61" stopIfTrue="1" operator="equal">
      <formula>"Nope"</formula>
    </cfRule>
  </conditionalFormatting>
  <conditionalFormatting sqref="A4:BM136">
    <cfRule type="expression" dxfId="61" priority="1" stopIfTrue="1">
      <formula>ROW()-3=$C$1270</formula>
    </cfRule>
    <cfRule type="expression" dxfId="60" priority="56">
      <formula>$A4="OOP"</formula>
    </cfRule>
    <cfRule type="expression" dxfId="59" priority="57">
      <formula>ROUND(($A4-1)/12,0)=INT($A4-1)/12</formula>
    </cfRule>
  </conditionalFormatting>
  <conditionalFormatting sqref="A1:XFD3">
    <cfRule type="expression" dxfId="5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9" t="s">
        <v>56</v>
      </c>
      <c r="P1" s="589"/>
      <c r="Q1" s="551"/>
      <c r="R1" s="134"/>
      <c r="S1" s="134"/>
      <c r="T1" s="134"/>
      <c r="U1" s="134"/>
      <c r="V1" s="134"/>
      <c r="W1" s="134"/>
      <c r="X1" s="134"/>
      <c r="Y1" s="134"/>
      <c r="Z1" s="134"/>
      <c r="AA1" s="134"/>
      <c r="AB1" s="134"/>
      <c r="AC1" s="134"/>
      <c r="AD1" s="134"/>
      <c r="AE1" s="134"/>
      <c r="AF1" s="134"/>
      <c r="AG1" s="134"/>
      <c r="AH1" s="134"/>
      <c r="AI1" s="226" t="s">
        <v>530</v>
      </c>
      <c r="AJ1" s="226" t="s">
        <v>533</v>
      </c>
      <c r="AK1" s="589" t="s">
        <v>77</v>
      </c>
      <c r="AL1" s="589"/>
      <c r="AM1" s="588" t="s">
        <v>531</v>
      </c>
      <c r="AN1" s="588"/>
      <c r="AO1" s="588" t="s">
        <v>532</v>
      </c>
      <c r="AP1" s="588"/>
      <c r="AQ1" s="588" t="s">
        <v>529</v>
      </c>
      <c r="AR1" s="588"/>
      <c r="AS1" s="134"/>
      <c r="AT1" s="134"/>
      <c r="AU1" s="134"/>
      <c r="AV1" s="134" t="s">
        <v>528</v>
      </c>
      <c r="AW1" s="134"/>
      <c r="AX1" s="90"/>
      <c r="AY1" s="588" t="s">
        <v>53</v>
      </c>
      <c r="AZ1" s="588"/>
      <c r="BA1" s="588"/>
      <c r="BB1" s="225"/>
      <c r="BC1" s="225"/>
      <c r="BD1" s="225"/>
      <c r="BE1" s="225"/>
      <c r="BF1" s="225"/>
      <c r="BG1" s="225"/>
      <c r="BH1" s="225"/>
      <c r="BI1" s="225"/>
      <c r="BJ1" s="225"/>
      <c r="BK1" s="225"/>
      <c r="BL1" s="225"/>
      <c r="BM1" s="225"/>
      <c r="BN1" s="225"/>
      <c r="BO1" s="225"/>
      <c r="BP1" s="225"/>
      <c r="BQ1" s="225"/>
      <c r="BR1" s="134"/>
      <c r="BS1" s="134"/>
      <c r="BT1" s="134"/>
      <c r="BU1" s="134"/>
      <c r="BV1" s="134"/>
      <c r="BW1" s="589" t="s">
        <v>84</v>
      </c>
      <c r="BX1" s="589"/>
      <c r="BY1" s="134"/>
      <c r="BZ1" s="134"/>
      <c r="CA1" s="134"/>
      <c r="CB1" s="134"/>
      <c r="CC1" s="134"/>
      <c r="CD1" s="134"/>
      <c r="CE1" s="134"/>
      <c r="CF1" s="134"/>
      <c r="CG1" s="134"/>
      <c r="CH1" s="134"/>
      <c r="CI1" s="134"/>
      <c r="CJ1" s="134"/>
      <c r="CK1" s="134"/>
      <c r="CL1" s="134"/>
      <c r="CM1" s="134"/>
      <c r="CN1" s="134"/>
      <c r="CO1" s="134"/>
      <c r="CP1" s="134"/>
      <c r="CQ1" s="588" t="s">
        <v>18</v>
      </c>
      <c r="CR1" s="588"/>
      <c r="CS1" s="225"/>
      <c r="CT1" s="225"/>
      <c r="CU1" s="225"/>
      <c r="CV1" s="225"/>
      <c r="CW1" s="225"/>
      <c r="CX1" s="134"/>
      <c r="CY1" s="134"/>
      <c r="CZ1" s="589" t="s">
        <v>306</v>
      </c>
      <c r="DA1" s="589"/>
      <c r="DB1" s="589"/>
      <c r="DC1" s="589"/>
      <c r="DD1" s="589"/>
      <c r="DE1" s="134"/>
      <c r="DF1" s="134"/>
      <c r="DG1" s="589" t="s">
        <v>269</v>
      </c>
      <c r="DH1" s="589"/>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1071</v>
      </c>
      <c r="AR3" s="176" t="s">
        <v>1072</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1054</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502">
        <f ca="1">start_plains+TblConstr[[#This Row],[Ch_Plain]]</f>
        <v>40</v>
      </c>
      <c r="H4" s="503">
        <f ca="1">start_forest+TblConstr[[#This Row],[Ch_Forest]]</f>
        <v>20</v>
      </c>
      <c r="I4" s="504">
        <f ca="1">start_mountains+TblConstr[[#This Row],[Ch_Mountain]]</f>
        <v>20</v>
      </c>
      <c r="J4" s="505">
        <f ca="1">start_hills+TblConstr[[#This Row],[Ch_Hill]]</f>
        <v>20</v>
      </c>
      <c r="K4" s="506">
        <f ca="1">start_swamp+TblConstr[[#This Row],[Ch_Swamp]]</f>
        <v>20</v>
      </c>
      <c r="L4" s="507">
        <f ca="1">start_caverns+TblConstr[[#This Row],[Ch_Cavern]]</f>
        <v>20</v>
      </c>
      <c r="M4" s="508">
        <f ca="1">start_water+TblConstr[[#This Row],[Ch_Water]]</f>
        <v>20</v>
      </c>
      <c r="N4" s="479">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44404.75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9">
        <f ca="1">SUM($O4:$AG4)*AN4</f>
        <v>0</v>
      </c>
      <c r="AS4" s="500">
        <f>MIN(SUM(Constants!A29:G29)+SUM(TblConstr[[#This Row],[Dest Hom]:[Dest Doc]]),SUM(TblConstr[[#This Row],[Hom]:[Doc]]))</f>
        <v>0</v>
      </c>
      <c r="AT4" s="509">
        <f>IF(TblExplore[[#This Row],[Land Bonus]]&lt;&gt;0,MAX(0, MIN(20, 20 + SUM(TblConstr[[#This Row],[Hom]:[Doc]]) - SUM(TblConstr[[#This Row],[Dest Hom]:[Dest Doc]]) - SUM(Constants!A$29:G$29)-20*TblExplore[[#This Row],[Land Bonus]])),0)</f>
        <v>0</v>
      </c>
      <c r="AU4" s="184"/>
      <c r="AV4" s="113">
        <f ca="1">ROUND((MAX(TblConstr[[#This Row],[Buildings]],250,0.75*TblConstr[[#This Row],[Land]])-250) * 1.53 + 850,0)</f>
        <v>850</v>
      </c>
      <c r="AW4" s="113">
        <f ca="1">ROUND((MAX(TblConstr[[#This Row],[Buildings]],250,0.75*TblConstr[[#This Row],[Land]])-250) * 0.35+87.5,0)</f>
        <v>88</v>
      </c>
      <c r="AX4" s="200"/>
      <c r="AY4" s="510">
        <f>start_homes-TblConstr[[#This Row],[Dest Hom]]</f>
        <v>10</v>
      </c>
      <c r="AZ4" s="511">
        <f>start_alchs-TblConstr[[#This Row],[Dest Alc]]</f>
        <v>30</v>
      </c>
      <c r="BA4" s="511">
        <f>start_farms-TblConstr[[#This Row],[Dest Farm]]</f>
        <v>30</v>
      </c>
      <c r="BB4" s="511">
        <f>start_smithies-TblConstr[[#This Row],[Dest Smi]]</f>
        <v>0</v>
      </c>
      <c r="BC4" s="511">
        <f>start_masons-TblConstr[[#This Row],[Dest Mas]]</f>
        <v>0</v>
      </c>
      <c r="BD4" s="512">
        <f>start_ly-TblConstr[[#This Row],[Dest Ly]]</f>
        <v>20</v>
      </c>
      <c r="BE4" s="512">
        <f>start_havens-TblConstr[[#This Row],[Dest Hav]]</f>
        <v>0</v>
      </c>
      <c r="BF4" s="513">
        <f>start_om-TblConstr[[#This Row],[Dest OM]]</f>
        <v>0</v>
      </c>
      <c r="BG4" s="513">
        <f>start_gn-TblConstr[[#This Row],[Dest GN]]</f>
        <v>0</v>
      </c>
      <c r="BH4" s="514">
        <f>start_facs-TblConstr[[#This Row],[Dest Fac]]</f>
        <v>0</v>
      </c>
      <c r="BI4" s="514">
        <f>start_gt-TblConstr[[#This Row],[Dest GT]]</f>
        <v>0</v>
      </c>
      <c r="BJ4" s="514">
        <f>start_rax-TblConstr[[#This Row],[Dest Bar]]</f>
        <v>0</v>
      </c>
      <c r="BK4" s="514">
        <f>start_shrines-TblConstr[[#This Row],[Dest Shr]]</f>
        <v>0</v>
      </c>
      <c r="BL4" s="515">
        <f>start_towers-TblConstr[[#This Row],[Dest Tow]]</f>
        <v>0</v>
      </c>
      <c r="BM4" s="515">
        <f>start_temples-TblConstr[[#This Row],[Dest Tem]]</f>
        <v>0</v>
      </c>
      <c r="BN4" s="515">
        <f>start_temples-TblConstr[[#This Row],[Dest WG]]</f>
        <v>0</v>
      </c>
      <c r="BO4" s="516">
        <f>start_dm-TblConstr[[#This Row],[Dest DM]]</f>
        <v>0</v>
      </c>
      <c r="BP4" s="516">
        <f>start_schools-TblConstr[[#This Row],[Dest Sch]]</f>
        <v>0</v>
      </c>
      <c r="BQ4" s="517">
        <f>start_docks-TblConstr[[#This Row],[Dest Doc]]</f>
        <v>0</v>
      </c>
      <c r="BR4" s="184"/>
      <c r="BS4" s="200"/>
      <c r="BT4" s="113">
        <f ca="1">TblConstr[[#This Row],[Land]]</f>
        <v>250</v>
      </c>
      <c r="BU4" s="205">
        <f>TblImps[[#This Row],[Time]]</f>
        <v>44404.75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3">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81">
        <f ca="1">OFFSET(TblConstr[[#This Row],[Mountain]],-1,0)+TblConstr[[#This Row],[Ch_Mountain]]</f>
        <v>20</v>
      </c>
      <c r="J5" s="485">
        <f ca="1">OFFSET(TblConstr[[#This Row],[Hill]],-1,0)+TblConstr[[#This Row],[Ch_Hill]]</f>
        <v>20</v>
      </c>
      <c r="K5" s="489">
        <f ca="1">OFFSET(TblConstr[[#This Row],[Swamp]],-1,0)+TblConstr[[#This Row],[Ch_Swamp]]</f>
        <v>20</v>
      </c>
      <c r="L5" s="239">
        <f ca="1">OFFSET(TblConstr[[#This Row],[Cavern]],-1,0)+TblConstr[[#This Row],[Ch_Cavern]]</f>
        <v>20</v>
      </c>
      <c r="M5" s="240">
        <f ca="1">OFFSET(TblConstr[[#This Row],[Water]],-1,0)+TblConstr[[#This Row],[Ch_Water]]</f>
        <v>20</v>
      </c>
      <c r="N5" s="479">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44404.791666666664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3" cm="1">
        <f t="array" aca="1" ref="BF5" ca="1">IF(TblConstr[[#This Row],[Hour]:[Hour]]&gt;12,OFFSET(TblConstr[[#This Row],[OM]],-12,0),0)+OFFSET(TblConstr[[#This Row],[Tot OM]],-1,0)-TblConstr[[#This Row],[Dest OM]]</f>
        <v>0</v>
      </c>
      <c r="BG5" s="483" cm="1">
        <f t="array" aca="1" ref="BG5" ca="1">IF(TblConstr[[#This Row],[Hour]:[Hour]]&gt;12,OFFSET(TblConstr[[#This Row],[GN]],-12,0),0)+OFFSET(TblConstr[[#This Row],[Tot GN]],-1,0)-TblConstr[[#This Row],[Dest GN]]</f>
        <v>0</v>
      </c>
      <c r="BH5" s="487" cm="1">
        <f t="array" aca="1" ref="BH5" ca="1">IF(TblConstr[[#This Row],[Hour]:[Hour]]&gt;12,OFFSET(TblConstr[[#This Row],[Fac]],-12,0),0)+OFFSET(TblConstr[[#This Row],[Tot Fac]],-1,0)-TblConstr[[#This Row],[Dest Fac]]</f>
        <v>0</v>
      </c>
      <c r="BI5" s="487" cm="1">
        <f t="array" aca="1" ref="BI5" ca="1">IF(TblConstr[[#This Row],[Hour]:[Hour]]&gt;12,OFFSET(TblConstr[[#This Row],[GT]],-12,0),0)+OFFSET(TblConstr[[#This Row],[Tot GT]],-1,0)-TblConstr[[#This Row],[Dest GT]]</f>
        <v>0</v>
      </c>
      <c r="BJ5" s="487" cm="1">
        <f t="array" aca="1" ref="BJ5" ca="1">IF(TblConstr[[#This Row],[Hour]:[Hour]]&gt;12,OFFSET(TblConstr[[#This Row],[Bar]],-12,0),0)+OFFSET(TblConstr[[#This Row],[Tot Bar]],-1,0)-TblConstr[[#This Row],[Dest Bar]]</f>
        <v>0</v>
      </c>
      <c r="BK5" s="487" cm="1">
        <f t="array" aca="1" ref="BK5" ca="1">IF(TblConstr[[#This Row],[Hour]:[Hour]]&gt;12,OFFSET(TblConstr[[#This Row],[Shr]],-12,0),0)+OFFSET(TblConstr[[#This Row],[Tot Shr]],-1,0)-TblConstr[[#This Row],[Dest Shr]]</f>
        <v>0</v>
      </c>
      <c r="BL5" s="491" cm="1">
        <f t="array" aca="1" ref="BL5" ca="1">IF(TblConstr[[#This Row],[Hour]:[Hour]]&gt;12,OFFSET(TblConstr[[#This Row],[Tow]],-12,0),0)+OFFSET(TblConstr[[#This Row],[Tot Tow]],-1,0)-TblConstr[[#This Row],[Dest Tow]]</f>
        <v>0</v>
      </c>
      <c r="BM5" s="491" cm="1">
        <f t="array" aca="1" ref="BM5" ca="1">IF(TblConstr[[#This Row],[Hour]:[Hour]]&gt;12,OFFSET(TblConstr[[#This Row],[Tem]],-12,0),0)+OFFSET(TblConstr[[#This Row],[Tot Tem]],-1,0)-TblConstr[[#This Row],[Dest Tem]]</f>
        <v>0</v>
      </c>
      <c r="BN5" s="491"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44404.791666666664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1">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81">
        <f ca="1">OFFSET(TblConstr[[#This Row],[Mountain]],-1,0)+TblConstr[[#This Row],[Ch_Mountain]]</f>
        <v>20</v>
      </c>
      <c r="J6" s="485">
        <f ca="1">OFFSET(TblConstr[[#This Row],[Hill]],-1,0)+TblConstr[[#This Row],[Ch_Hill]]</f>
        <v>20</v>
      </c>
      <c r="K6" s="489">
        <f ca="1">OFFSET(TblConstr[[#This Row],[Swamp]],-1,0)+TblConstr[[#This Row],[Ch_Swamp]]</f>
        <v>20</v>
      </c>
      <c r="L6" s="239">
        <f ca="1">OFFSET(TblConstr[[#This Row],[Cavern]],-1,0)+TblConstr[[#This Row],[Ch_Cavern]]</f>
        <v>20</v>
      </c>
      <c r="M6" s="240">
        <f ca="1">OFFSET(TblConstr[[#This Row],[Water]],-1,0)+TblConstr[[#This Row],[Ch_Water]]</f>
        <v>20</v>
      </c>
      <c r="N6" s="479">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44404.833333333328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3" cm="1">
        <f t="array" aca="1" ref="BF6" ca="1">IF(TblConstr[[#This Row],[Hour]:[Hour]]&gt;12,OFFSET(TblConstr[[#This Row],[OM]],-12,0),0)+OFFSET(TblConstr[[#This Row],[Tot OM]],-1,0)-TblConstr[[#This Row],[Dest OM]]</f>
        <v>0</v>
      </c>
      <c r="BG6" s="483" cm="1">
        <f t="array" aca="1" ref="BG6" ca="1">IF(TblConstr[[#This Row],[Hour]:[Hour]]&gt;12,OFFSET(TblConstr[[#This Row],[GN]],-12,0),0)+OFFSET(TblConstr[[#This Row],[Tot GN]],-1,0)-TblConstr[[#This Row],[Dest GN]]</f>
        <v>0</v>
      </c>
      <c r="BH6" s="487" cm="1">
        <f t="array" aca="1" ref="BH6" ca="1">IF(TblConstr[[#This Row],[Hour]:[Hour]]&gt;12,OFFSET(TblConstr[[#This Row],[Fac]],-12,0),0)+OFFSET(TblConstr[[#This Row],[Tot Fac]],-1,0)-TblConstr[[#This Row],[Dest Fac]]</f>
        <v>0</v>
      </c>
      <c r="BI6" s="487" cm="1">
        <f t="array" aca="1" ref="BI6" ca="1">IF(TblConstr[[#This Row],[Hour]:[Hour]]&gt;12,OFFSET(TblConstr[[#This Row],[GT]],-12,0),0)+OFFSET(TblConstr[[#This Row],[Tot GT]],-1,0)-TblConstr[[#This Row],[Dest GT]]</f>
        <v>0</v>
      </c>
      <c r="BJ6" s="487" cm="1">
        <f t="array" aca="1" ref="BJ6" ca="1">IF(TblConstr[[#This Row],[Hour]:[Hour]]&gt;12,OFFSET(TblConstr[[#This Row],[Bar]],-12,0),0)+OFFSET(TblConstr[[#This Row],[Tot Bar]],-1,0)-TblConstr[[#This Row],[Dest Bar]]</f>
        <v>0</v>
      </c>
      <c r="BK6" s="487" cm="1">
        <f t="array" aca="1" ref="BK6" ca="1">IF(TblConstr[[#This Row],[Hour]:[Hour]]&gt;12,OFFSET(TblConstr[[#This Row],[Shr]],-12,0),0)+OFFSET(TblConstr[[#This Row],[Tot Shr]],-1,0)-TblConstr[[#This Row],[Dest Shr]]</f>
        <v>0</v>
      </c>
      <c r="BL6" s="491" cm="1">
        <f t="array" aca="1" ref="BL6" ca="1">IF(TblConstr[[#This Row],[Hour]:[Hour]]&gt;12,OFFSET(TblConstr[[#This Row],[Tow]],-12,0),0)+OFFSET(TblConstr[[#This Row],[Tot Tow]],-1,0)-TblConstr[[#This Row],[Dest Tow]]</f>
        <v>0</v>
      </c>
      <c r="BM6" s="491" cm="1">
        <f t="array" aca="1" ref="BM6" ca="1">IF(TblConstr[[#This Row],[Hour]:[Hour]]&gt;12,OFFSET(TblConstr[[#This Row],[Tem]],-12,0),0)+OFFSET(TblConstr[[#This Row],[Tot Tem]],-1,0)-TblConstr[[#This Row],[Dest Tem]]</f>
        <v>0</v>
      </c>
      <c r="BN6" s="491"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44404.833333333328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1">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81">
        <f ca="1">OFFSET(TblConstr[[#This Row],[Mountain]],-1,0)+TblConstr[[#This Row],[Ch_Mountain]]</f>
        <v>20</v>
      </c>
      <c r="J7" s="485">
        <f ca="1">OFFSET(TblConstr[[#This Row],[Hill]],-1,0)+TblConstr[[#This Row],[Ch_Hill]]</f>
        <v>20</v>
      </c>
      <c r="K7" s="489">
        <f ca="1">OFFSET(TblConstr[[#This Row],[Swamp]],-1,0)+TblConstr[[#This Row],[Ch_Swamp]]</f>
        <v>20</v>
      </c>
      <c r="L7" s="239">
        <f ca="1">OFFSET(TblConstr[[#This Row],[Cavern]],-1,0)+TblConstr[[#This Row],[Ch_Cavern]]</f>
        <v>20</v>
      </c>
      <c r="M7" s="240">
        <f ca="1">OFFSET(TblConstr[[#This Row],[Water]],-1,0)+TblConstr[[#This Row],[Ch_Water]]</f>
        <v>20</v>
      </c>
      <c r="N7" s="479">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44404.874999999993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3" cm="1">
        <f t="array" aca="1" ref="BF7" ca="1">IF(TblConstr[[#This Row],[Hour]:[Hour]]&gt;12,OFFSET(TblConstr[[#This Row],[OM]],-12,0),0)+OFFSET(TblConstr[[#This Row],[Tot OM]],-1,0)-TblConstr[[#This Row],[Dest OM]]</f>
        <v>0</v>
      </c>
      <c r="BG7" s="483" cm="1">
        <f t="array" aca="1" ref="BG7" ca="1">IF(TblConstr[[#This Row],[Hour]:[Hour]]&gt;12,OFFSET(TblConstr[[#This Row],[GN]],-12,0),0)+OFFSET(TblConstr[[#This Row],[Tot GN]],-1,0)-TblConstr[[#This Row],[Dest GN]]</f>
        <v>0</v>
      </c>
      <c r="BH7" s="487" cm="1">
        <f t="array" aca="1" ref="BH7" ca="1">IF(TblConstr[[#This Row],[Hour]:[Hour]]&gt;12,OFFSET(TblConstr[[#This Row],[Fac]],-12,0),0)+OFFSET(TblConstr[[#This Row],[Tot Fac]],-1,0)-TblConstr[[#This Row],[Dest Fac]]</f>
        <v>0</v>
      </c>
      <c r="BI7" s="487" cm="1">
        <f t="array" aca="1" ref="BI7" ca="1">IF(TblConstr[[#This Row],[Hour]:[Hour]]&gt;12,OFFSET(TblConstr[[#This Row],[GT]],-12,0),0)+OFFSET(TblConstr[[#This Row],[Tot GT]],-1,0)-TblConstr[[#This Row],[Dest GT]]</f>
        <v>0</v>
      </c>
      <c r="BJ7" s="487" cm="1">
        <f t="array" aca="1" ref="BJ7" ca="1">IF(TblConstr[[#This Row],[Hour]:[Hour]]&gt;12,OFFSET(TblConstr[[#This Row],[Bar]],-12,0),0)+OFFSET(TblConstr[[#This Row],[Tot Bar]],-1,0)-TblConstr[[#This Row],[Dest Bar]]</f>
        <v>0</v>
      </c>
      <c r="BK7" s="487" cm="1">
        <f t="array" aca="1" ref="BK7" ca="1">IF(TblConstr[[#This Row],[Hour]:[Hour]]&gt;12,OFFSET(TblConstr[[#This Row],[Shr]],-12,0),0)+OFFSET(TblConstr[[#This Row],[Tot Shr]],-1,0)-TblConstr[[#This Row],[Dest Shr]]</f>
        <v>0</v>
      </c>
      <c r="BL7" s="491" cm="1">
        <f t="array" aca="1" ref="BL7" ca="1">IF(TblConstr[[#This Row],[Hour]:[Hour]]&gt;12,OFFSET(TblConstr[[#This Row],[Tow]],-12,0),0)+OFFSET(TblConstr[[#This Row],[Tot Tow]],-1,0)-TblConstr[[#This Row],[Dest Tow]]</f>
        <v>0</v>
      </c>
      <c r="BM7" s="491" cm="1">
        <f t="array" aca="1" ref="BM7" ca="1">IF(TblConstr[[#This Row],[Hour]:[Hour]]&gt;12,OFFSET(TblConstr[[#This Row],[Tem]],-12,0),0)+OFFSET(TblConstr[[#This Row],[Tot Tem]],-1,0)-TblConstr[[#This Row],[Dest Tem]]</f>
        <v>0</v>
      </c>
      <c r="BN7" s="491"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44404.874999999993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1">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8">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81">
        <f ca="1">OFFSET(TblConstr[[#This Row],[Mountain]],-1,0)+TblConstr[[#This Row],[Ch_Mountain]]</f>
        <v>20</v>
      </c>
      <c r="J8" s="485">
        <f ca="1">OFFSET(TblConstr[[#This Row],[Hill]],-1,0)+TblConstr[[#This Row],[Ch_Hill]]</f>
        <v>20</v>
      </c>
      <c r="K8" s="489">
        <f ca="1">OFFSET(TblConstr[[#This Row],[Swamp]],-1,0)+TblConstr[[#This Row],[Ch_Swamp]]</f>
        <v>20</v>
      </c>
      <c r="L8" s="239">
        <f ca="1">OFFSET(TblConstr[[#This Row],[Cavern]],-1,0)+TblConstr[[#This Row],[Ch_Cavern]]</f>
        <v>20</v>
      </c>
      <c r="M8" s="240">
        <f ca="1">OFFSET(TblConstr[[#This Row],[Water]],-1,0)+TblConstr[[#This Row],[Ch_Water]]</f>
        <v>20</v>
      </c>
      <c r="N8" s="479">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44404.916666666657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3" cm="1">
        <f t="array" aca="1" ref="BF8" ca="1">IF(TblConstr[[#This Row],[Hour]:[Hour]]&gt;12,OFFSET(TblConstr[[#This Row],[OM]],-12,0),0)+OFFSET(TblConstr[[#This Row],[Tot OM]],-1,0)-TblConstr[[#This Row],[Dest OM]]</f>
        <v>0</v>
      </c>
      <c r="BG8" s="483" cm="1">
        <f t="array" aca="1" ref="BG8" ca="1">IF(TblConstr[[#This Row],[Hour]:[Hour]]&gt;12,OFFSET(TblConstr[[#This Row],[GN]],-12,0),0)+OFFSET(TblConstr[[#This Row],[Tot GN]],-1,0)-TblConstr[[#This Row],[Dest GN]]</f>
        <v>0</v>
      </c>
      <c r="BH8" s="487" cm="1">
        <f t="array" aca="1" ref="BH8" ca="1">IF(TblConstr[[#This Row],[Hour]:[Hour]]&gt;12,OFFSET(TblConstr[[#This Row],[Fac]],-12,0),0)+OFFSET(TblConstr[[#This Row],[Tot Fac]],-1,0)-TblConstr[[#This Row],[Dest Fac]]</f>
        <v>0</v>
      </c>
      <c r="BI8" s="487" cm="1">
        <f t="array" aca="1" ref="BI8" ca="1">IF(TblConstr[[#This Row],[Hour]:[Hour]]&gt;12,OFFSET(TblConstr[[#This Row],[GT]],-12,0),0)+OFFSET(TblConstr[[#This Row],[Tot GT]],-1,0)-TblConstr[[#This Row],[Dest GT]]</f>
        <v>0</v>
      </c>
      <c r="BJ8" s="487" cm="1">
        <f t="array" aca="1" ref="BJ8" ca="1">IF(TblConstr[[#This Row],[Hour]:[Hour]]&gt;12,OFFSET(TblConstr[[#This Row],[Bar]],-12,0),0)+OFFSET(TblConstr[[#This Row],[Tot Bar]],-1,0)-TblConstr[[#This Row],[Dest Bar]]</f>
        <v>0</v>
      </c>
      <c r="BK8" s="487" cm="1">
        <f t="array" aca="1" ref="BK8" ca="1">IF(TblConstr[[#This Row],[Hour]:[Hour]]&gt;12,OFFSET(TblConstr[[#This Row],[Shr]],-12,0),0)+OFFSET(TblConstr[[#This Row],[Tot Shr]],-1,0)-TblConstr[[#This Row],[Dest Shr]]</f>
        <v>0</v>
      </c>
      <c r="BL8" s="491" cm="1">
        <f t="array" aca="1" ref="BL8" ca="1">IF(TblConstr[[#This Row],[Hour]:[Hour]]&gt;12,OFFSET(TblConstr[[#This Row],[Tow]],-12,0),0)+OFFSET(TblConstr[[#This Row],[Tot Tow]],-1,0)-TblConstr[[#This Row],[Dest Tow]]</f>
        <v>0</v>
      </c>
      <c r="BM8" s="491" cm="1">
        <f t="array" aca="1" ref="BM8" ca="1">IF(TblConstr[[#This Row],[Hour]:[Hour]]&gt;12,OFFSET(TblConstr[[#This Row],[Tem]],-12,0),0)+OFFSET(TblConstr[[#This Row],[Tot Tem]],-1,0)-TblConstr[[#This Row],[Dest Tem]]</f>
        <v>0</v>
      </c>
      <c r="BN8" s="491"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44404.916666666657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1">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81">
        <f ca="1">OFFSET(TblConstr[[#This Row],[Mountain]],-1,0)+TblConstr[[#This Row],[Ch_Mountain]]</f>
        <v>20</v>
      </c>
      <c r="J9" s="485">
        <f ca="1">OFFSET(TblConstr[[#This Row],[Hill]],-1,0)+TblConstr[[#This Row],[Ch_Hill]]</f>
        <v>20</v>
      </c>
      <c r="K9" s="489">
        <f ca="1">OFFSET(TblConstr[[#This Row],[Swamp]],-1,0)+TblConstr[[#This Row],[Ch_Swamp]]</f>
        <v>20</v>
      </c>
      <c r="L9" s="239">
        <f ca="1">OFFSET(TblConstr[[#This Row],[Cavern]],-1,0)+TblConstr[[#This Row],[Ch_Cavern]]</f>
        <v>20</v>
      </c>
      <c r="M9" s="240">
        <f ca="1">OFFSET(TblConstr[[#This Row],[Water]],-1,0)+TblConstr[[#This Row],[Ch_Water]]</f>
        <v>20</v>
      </c>
      <c r="N9" s="479">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44404.958333333321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3" cm="1">
        <f t="array" aca="1" ref="BF9" ca="1">IF(TblConstr[[#This Row],[Hour]:[Hour]]&gt;12,OFFSET(TblConstr[[#This Row],[OM]],-12,0),0)+OFFSET(TblConstr[[#This Row],[Tot OM]],-1,0)-TblConstr[[#This Row],[Dest OM]]</f>
        <v>0</v>
      </c>
      <c r="BG9" s="483" cm="1">
        <f t="array" aca="1" ref="BG9" ca="1">IF(TblConstr[[#This Row],[Hour]:[Hour]]&gt;12,OFFSET(TblConstr[[#This Row],[GN]],-12,0),0)+OFFSET(TblConstr[[#This Row],[Tot GN]],-1,0)-TblConstr[[#This Row],[Dest GN]]</f>
        <v>0</v>
      </c>
      <c r="BH9" s="487" cm="1">
        <f t="array" aca="1" ref="BH9" ca="1">IF(TblConstr[[#This Row],[Hour]:[Hour]]&gt;12,OFFSET(TblConstr[[#This Row],[Fac]],-12,0),0)+OFFSET(TblConstr[[#This Row],[Tot Fac]],-1,0)-TblConstr[[#This Row],[Dest Fac]]</f>
        <v>0</v>
      </c>
      <c r="BI9" s="487" cm="1">
        <f t="array" aca="1" ref="BI9" ca="1">IF(TblConstr[[#This Row],[Hour]:[Hour]]&gt;12,OFFSET(TblConstr[[#This Row],[GT]],-12,0),0)+OFFSET(TblConstr[[#This Row],[Tot GT]],-1,0)-TblConstr[[#This Row],[Dest GT]]</f>
        <v>0</v>
      </c>
      <c r="BJ9" s="487" cm="1">
        <f t="array" aca="1" ref="BJ9" ca="1">IF(TblConstr[[#This Row],[Hour]:[Hour]]&gt;12,OFFSET(TblConstr[[#This Row],[Bar]],-12,0),0)+OFFSET(TblConstr[[#This Row],[Tot Bar]],-1,0)-TblConstr[[#This Row],[Dest Bar]]</f>
        <v>0</v>
      </c>
      <c r="BK9" s="487" cm="1">
        <f t="array" aca="1" ref="BK9" ca="1">IF(TblConstr[[#This Row],[Hour]:[Hour]]&gt;12,OFFSET(TblConstr[[#This Row],[Shr]],-12,0),0)+OFFSET(TblConstr[[#This Row],[Tot Shr]],-1,0)-TblConstr[[#This Row],[Dest Shr]]</f>
        <v>0</v>
      </c>
      <c r="BL9" s="491" cm="1">
        <f t="array" aca="1" ref="BL9" ca="1">IF(TblConstr[[#This Row],[Hour]:[Hour]]&gt;12,OFFSET(TblConstr[[#This Row],[Tow]],-12,0),0)+OFFSET(TblConstr[[#This Row],[Tot Tow]],-1,0)-TblConstr[[#This Row],[Dest Tow]]</f>
        <v>0</v>
      </c>
      <c r="BM9" s="491" cm="1">
        <f t="array" aca="1" ref="BM9" ca="1">IF(TblConstr[[#This Row],[Hour]:[Hour]]&gt;12,OFFSET(TblConstr[[#This Row],[Tem]],-12,0),0)+OFFSET(TblConstr[[#This Row],[Tot Tem]],-1,0)-TblConstr[[#This Row],[Dest Tem]]</f>
        <v>0</v>
      </c>
      <c r="BN9" s="491"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44404.958333333321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1">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81">
        <f ca="1">OFFSET(TblConstr[[#This Row],[Mountain]],-1,0)+TblConstr[[#This Row],[Ch_Mountain]]</f>
        <v>20</v>
      </c>
      <c r="J10" s="485">
        <f ca="1">OFFSET(TblConstr[[#This Row],[Hill]],-1,0)+TblConstr[[#This Row],[Ch_Hill]]</f>
        <v>20</v>
      </c>
      <c r="K10" s="489">
        <f ca="1">OFFSET(TblConstr[[#This Row],[Swamp]],-1,0)+TblConstr[[#This Row],[Ch_Swamp]]</f>
        <v>20</v>
      </c>
      <c r="L10" s="239">
        <f ca="1">OFFSET(TblConstr[[#This Row],[Cavern]],-1,0)+TblConstr[[#This Row],[Ch_Cavern]]</f>
        <v>20</v>
      </c>
      <c r="M10" s="240">
        <f ca="1">OFFSET(TblConstr[[#This Row],[Water]],-1,0)+TblConstr[[#This Row],[Ch_Water]]</f>
        <v>20</v>
      </c>
      <c r="N10" s="479">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44404.999999999985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3" cm="1">
        <f t="array" aca="1" ref="BF10" ca="1">IF(TblConstr[[#This Row],[Hour]:[Hour]]&gt;12,OFFSET(TblConstr[[#This Row],[OM]],-12,0),0)+OFFSET(TblConstr[[#This Row],[Tot OM]],-1,0)-TblConstr[[#This Row],[Dest OM]]</f>
        <v>0</v>
      </c>
      <c r="BG10" s="483" cm="1">
        <f t="array" aca="1" ref="BG10" ca="1">IF(TblConstr[[#This Row],[Hour]:[Hour]]&gt;12,OFFSET(TblConstr[[#This Row],[GN]],-12,0),0)+OFFSET(TblConstr[[#This Row],[Tot GN]],-1,0)-TblConstr[[#This Row],[Dest GN]]</f>
        <v>0</v>
      </c>
      <c r="BH10" s="487" cm="1">
        <f t="array" aca="1" ref="BH10" ca="1">IF(TblConstr[[#This Row],[Hour]:[Hour]]&gt;12,OFFSET(TblConstr[[#This Row],[Fac]],-12,0),0)+OFFSET(TblConstr[[#This Row],[Tot Fac]],-1,0)-TblConstr[[#This Row],[Dest Fac]]</f>
        <v>0</v>
      </c>
      <c r="BI10" s="487" cm="1">
        <f t="array" aca="1" ref="BI10" ca="1">IF(TblConstr[[#This Row],[Hour]:[Hour]]&gt;12,OFFSET(TblConstr[[#This Row],[GT]],-12,0),0)+OFFSET(TblConstr[[#This Row],[Tot GT]],-1,0)-TblConstr[[#This Row],[Dest GT]]</f>
        <v>0</v>
      </c>
      <c r="BJ10" s="487" cm="1">
        <f t="array" aca="1" ref="BJ10" ca="1">IF(TblConstr[[#This Row],[Hour]:[Hour]]&gt;12,OFFSET(TblConstr[[#This Row],[Bar]],-12,0),0)+OFFSET(TblConstr[[#This Row],[Tot Bar]],-1,0)-TblConstr[[#This Row],[Dest Bar]]</f>
        <v>0</v>
      </c>
      <c r="BK10" s="487" cm="1">
        <f t="array" aca="1" ref="BK10" ca="1">IF(TblConstr[[#This Row],[Hour]:[Hour]]&gt;12,OFFSET(TblConstr[[#This Row],[Shr]],-12,0),0)+OFFSET(TblConstr[[#This Row],[Tot Shr]],-1,0)-TblConstr[[#This Row],[Dest Shr]]</f>
        <v>0</v>
      </c>
      <c r="BL10" s="491" cm="1">
        <f t="array" aca="1" ref="BL10" ca="1">IF(TblConstr[[#This Row],[Hour]:[Hour]]&gt;12,OFFSET(TblConstr[[#This Row],[Tow]],-12,0),0)+OFFSET(TblConstr[[#This Row],[Tot Tow]],-1,0)-TblConstr[[#This Row],[Dest Tow]]</f>
        <v>0</v>
      </c>
      <c r="BM10" s="491" cm="1">
        <f t="array" aca="1" ref="BM10" ca="1">IF(TblConstr[[#This Row],[Hour]:[Hour]]&gt;12,OFFSET(TblConstr[[#This Row],[Tem]],-12,0),0)+OFFSET(TblConstr[[#This Row],[Tot Tem]],-1,0)-TblConstr[[#This Row],[Dest Tem]]</f>
        <v>0</v>
      </c>
      <c r="BN10" s="491"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44404.999999999985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1">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81">
        <f ca="1">OFFSET(TblConstr[[#This Row],[Mountain]],-1,0)+TblConstr[[#This Row],[Ch_Mountain]]</f>
        <v>20</v>
      </c>
      <c r="J11" s="485">
        <f ca="1">OFFSET(TblConstr[[#This Row],[Hill]],-1,0)+TblConstr[[#This Row],[Ch_Hill]]</f>
        <v>20</v>
      </c>
      <c r="K11" s="489">
        <f ca="1">OFFSET(TblConstr[[#This Row],[Swamp]],-1,0)+TblConstr[[#This Row],[Ch_Swamp]]</f>
        <v>20</v>
      </c>
      <c r="L11" s="239">
        <f ca="1">OFFSET(TblConstr[[#This Row],[Cavern]],-1,0)+TblConstr[[#This Row],[Ch_Cavern]]</f>
        <v>20</v>
      </c>
      <c r="M11" s="240">
        <f ca="1">OFFSET(TblConstr[[#This Row],[Water]],-1,0)+TblConstr[[#This Row],[Ch_Water]]</f>
        <v>20</v>
      </c>
      <c r="N11" s="479">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44405.04166666665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3" cm="1">
        <f t="array" aca="1" ref="BF11" ca="1">IF(TblConstr[[#This Row],[Hour]:[Hour]]&gt;12,OFFSET(TblConstr[[#This Row],[OM]],-12,0),0)+OFFSET(TblConstr[[#This Row],[Tot OM]],-1,0)-TblConstr[[#This Row],[Dest OM]]</f>
        <v>0</v>
      </c>
      <c r="BG11" s="483" cm="1">
        <f t="array" aca="1" ref="BG11" ca="1">IF(TblConstr[[#This Row],[Hour]:[Hour]]&gt;12,OFFSET(TblConstr[[#This Row],[GN]],-12,0),0)+OFFSET(TblConstr[[#This Row],[Tot GN]],-1,0)-TblConstr[[#This Row],[Dest GN]]</f>
        <v>0</v>
      </c>
      <c r="BH11" s="487" cm="1">
        <f t="array" aca="1" ref="BH11" ca="1">IF(TblConstr[[#This Row],[Hour]:[Hour]]&gt;12,OFFSET(TblConstr[[#This Row],[Fac]],-12,0),0)+OFFSET(TblConstr[[#This Row],[Tot Fac]],-1,0)-TblConstr[[#This Row],[Dest Fac]]</f>
        <v>0</v>
      </c>
      <c r="BI11" s="487" cm="1">
        <f t="array" aca="1" ref="BI11" ca="1">IF(TblConstr[[#This Row],[Hour]:[Hour]]&gt;12,OFFSET(TblConstr[[#This Row],[GT]],-12,0),0)+OFFSET(TblConstr[[#This Row],[Tot GT]],-1,0)-TblConstr[[#This Row],[Dest GT]]</f>
        <v>0</v>
      </c>
      <c r="BJ11" s="487" cm="1">
        <f t="array" aca="1" ref="BJ11" ca="1">IF(TblConstr[[#This Row],[Hour]:[Hour]]&gt;12,OFFSET(TblConstr[[#This Row],[Bar]],-12,0),0)+OFFSET(TblConstr[[#This Row],[Tot Bar]],-1,0)-TblConstr[[#This Row],[Dest Bar]]</f>
        <v>0</v>
      </c>
      <c r="BK11" s="487" cm="1">
        <f t="array" aca="1" ref="BK11" ca="1">IF(TblConstr[[#This Row],[Hour]:[Hour]]&gt;12,OFFSET(TblConstr[[#This Row],[Shr]],-12,0),0)+OFFSET(TblConstr[[#This Row],[Tot Shr]],-1,0)-TblConstr[[#This Row],[Dest Shr]]</f>
        <v>0</v>
      </c>
      <c r="BL11" s="491" cm="1">
        <f t="array" aca="1" ref="BL11" ca="1">IF(TblConstr[[#This Row],[Hour]:[Hour]]&gt;12,OFFSET(TblConstr[[#This Row],[Tow]],-12,0),0)+OFFSET(TblConstr[[#This Row],[Tot Tow]],-1,0)-TblConstr[[#This Row],[Dest Tow]]</f>
        <v>0</v>
      </c>
      <c r="BM11" s="491" cm="1">
        <f t="array" aca="1" ref="BM11" ca="1">IF(TblConstr[[#This Row],[Hour]:[Hour]]&gt;12,OFFSET(TblConstr[[#This Row],[Tem]],-12,0),0)+OFFSET(TblConstr[[#This Row],[Tot Tem]],-1,0)-TblConstr[[#This Row],[Dest Tem]]</f>
        <v>0</v>
      </c>
      <c r="BN11" s="491"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44405.04166666665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1">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81">
        <f ca="1">OFFSET(TblConstr[[#This Row],[Mountain]],-1,0)+TblConstr[[#This Row],[Ch_Mountain]]</f>
        <v>20</v>
      </c>
      <c r="J12" s="485">
        <f ca="1">OFFSET(TblConstr[[#This Row],[Hill]],-1,0)+TblConstr[[#This Row],[Ch_Hill]]</f>
        <v>20</v>
      </c>
      <c r="K12" s="489">
        <f ca="1">OFFSET(TblConstr[[#This Row],[Swamp]],-1,0)+TblConstr[[#This Row],[Ch_Swamp]]</f>
        <v>20</v>
      </c>
      <c r="L12" s="239">
        <f ca="1">OFFSET(TblConstr[[#This Row],[Cavern]],-1,0)+TblConstr[[#This Row],[Ch_Cavern]]</f>
        <v>20</v>
      </c>
      <c r="M12" s="240">
        <f ca="1">OFFSET(TblConstr[[#This Row],[Water]],-1,0)+TblConstr[[#This Row],[Ch_Water]]</f>
        <v>20</v>
      </c>
      <c r="N12" s="479">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44405.083333333314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3" cm="1">
        <f t="array" aca="1" ref="BF12" ca="1">IF(TblConstr[[#This Row],[Hour]:[Hour]]&gt;12,OFFSET(TblConstr[[#This Row],[OM]],-12,0),0)+OFFSET(TblConstr[[#This Row],[Tot OM]],-1,0)-TblConstr[[#This Row],[Dest OM]]</f>
        <v>0</v>
      </c>
      <c r="BG12" s="483" cm="1">
        <f t="array" aca="1" ref="BG12" ca="1">IF(TblConstr[[#This Row],[Hour]:[Hour]]&gt;12,OFFSET(TblConstr[[#This Row],[GN]],-12,0),0)+OFFSET(TblConstr[[#This Row],[Tot GN]],-1,0)-TblConstr[[#This Row],[Dest GN]]</f>
        <v>0</v>
      </c>
      <c r="BH12" s="487" cm="1">
        <f t="array" aca="1" ref="BH12" ca="1">IF(TblConstr[[#This Row],[Hour]:[Hour]]&gt;12,OFFSET(TblConstr[[#This Row],[Fac]],-12,0),0)+OFFSET(TblConstr[[#This Row],[Tot Fac]],-1,0)-TblConstr[[#This Row],[Dest Fac]]</f>
        <v>0</v>
      </c>
      <c r="BI12" s="487" cm="1">
        <f t="array" aca="1" ref="BI12" ca="1">IF(TblConstr[[#This Row],[Hour]:[Hour]]&gt;12,OFFSET(TblConstr[[#This Row],[GT]],-12,0),0)+OFFSET(TblConstr[[#This Row],[Tot GT]],-1,0)-TblConstr[[#This Row],[Dest GT]]</f>
        <v>0</v>
      </c>
      <c r="BJ12" s="487" cm="1">
        <f t="array" aca="1" ref="BJ12" ca="1">IF(TblConstr[[#This Row],[Hour]:[Hour]]&gt;12,OFFSET(TblConstr[[#This Row],[Bar]],-12,0),0)+OFFSET(TblConstr[[#This Row],[Tot Bar]],-1,0)-TblConstr[[#This Row],[Dest Bar]]</f>
        <v>0</v>
      </c>
      <c r="BK12" s="487" cm="1">
        <f t="array" aca="1" ref="BK12" ca="1">IF(TblConstr[[#This Row],[Hour]:[Hour]]&gt;12,OFFSET(TblConstr[[#This Row],[Shr]],-12,0),0)+OFFSET(TblConstr[[#This Row],[Tot Shr]],-1,0)-TblConstr[[#This Row],[Dest Shr]]</f>
        <v>0</v>
      </c>
      <c r="BL12" s="491" cm="1">
        <f t="array" aca="1" ref="BL12" ca="1">IF(TblConstr[[#This Row],[Hour]:[Hour]]&gt;12,OFFSET(TblConstr[[#This Row],[Tow]],-12,0),0)+OFFSET(TblConstr[[#This Row],[Tot Tow]],-1,0)-TblConstr[[#This Row],[Dest Tow]]</f>
        <v>0</v>
      </c>
      <c r="BM12" s="491" cm="1">
        <f t="array" aca="1" ref="BM12" ca="1">IF(TblConstr[[#This Row],[Hour]:[Hour]]&gt;12,OFFSET(TblConstr[[#This Row],[Tem]],-12,0),0)+OFFSET(TblConstr[[#This Row],[Tot Tem]],-1,0)-TblConstr[[#This Row],[Dest Tem]]</f>
        <v>0</v>
      </c>
      <c r="BN12" s="491"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44405.083333333314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1">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81">
        <f ca="1">OFFSET(TblConstr[[#This Row],[Mountain]],-1,0)+TblConstr[[#This Row],[Ch_Mountain]]</f>
        <v>20</v>
      </c>
      <c r="J13" s="485">
        <f ca="1">OFFSET(TblConstr[[#This Row],[Hill]],-1,0)+TblConstr[[#This Row],[Ch_Hill]]</f>
        <v>20</v>
      </c>
      <c r="K13" s="489">
        <f ca="1">OFFSET(TblConstr[[#This Row],[Swamp]],-1,0)+TblConstr[[#This Row],[Ch_Swamp]]</f>
        <v>20</v>
      </c>
      <c r="L13" s="239">
        <f ca="1">OFFSET(TblConstr[[#This Row],[Cavern]],-1,0)+TblConstr[[#This Row],[Ch_Cavern]]</f>
        <v>20</v>
      </c>
      <c r="M13" s="240">
        <f ca="1">OFFSET(TblConstr[[#This Row],[Water]],-1,0)+TblConstr[[#This Row],[Ch_Water]]</f>
        <v>20</v>
      </c>
      <c r="N13" s="479">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44405.124999999978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3" cm="1">
        <f t="array" aca="1" ref="BF13" ca="1">IF(TblConstr[[#This Row],[Hour]:[Hour]]&gt;12,OFFSET(TblConstr[[#This Row],[OM]],-12,0),0)+OFFSET(TblConstr[[#This Row],[Tot OM]],-1,0)-TblConstr[[#This Row],[Dest OM]]</f>
        <v>0</v>
      </c>
      <c r="BG13" s="483" cm="1">
        <f t="array" aca="1" ref="BG13" ca="1">IF(TblConstr[[#This Row],[Hour]:[Hour]]&gt;12,OFFSET(TblConstr[[#This Row],[GN]],-12,0),0)+OFFSET(TblConstr[[#This Row],[Tot GN]],-1,0)-TblConstr[[#This Row],[Dest GN]]</f>
        <v>0</v>
      </c>
      <c r="BH13" s="487" cm="1">
        <f t="array" aca="1" ref="BH13" ca="1">IF(TblConstr[[#This Row],[Hour]:[Hour]]&gt;12,OFFSET(TblConstr[[#This Row],[Fac]],-12,0),0)+OFFSET(TblConstr[[#This Row],[Tot Fac]],-1,0)-TblConstr[[#This Row],[Dest Fac]]</f>
        <v>0</v>
      </c>
      <c r="BI13" s="487" cm="1">
        <f t="array" aca="1" ref="BI13" ca="1">IF(TblConstr[[#This Row],[Hour]:[Hour]]&gt;12,OFFSET(TblConstr[[#This Row],[GT]],-12,0),0)+OFFSET(TblConstr[[#This Row],[Tot GT]],-1,0)-TblConstr[[#This Row],[Dest GT]]</f>
        <v>0</v>
      </c>
      <c r="BJ13" s="487" cm="1">
        <f t="array" aca="1" ref="BJ13" ca="1">IF(TblConstr[[#This Row],[Hour]:[Hour]]&gt;12,OFFSET(TblConstr[[#This Row],[Bar]],-12,0),0)+OFFSET(TblConstr[[#This Row],[Tot Bar]],-1,0)-TblConstr[[#This Row],[Dest Bar]]</f>
        <v>0</v>
      </c>
      <c r="BK13" s="487" cm="1">
        <f t="array" aca="1" ref="BK13" ca="1">IF(TblConstr[[#This Row],[Hour]:[Hour]]&gt;12,OFFSET(TblConstr[[#This Row],[Shr]],-12,0),0)+OFFSET(TblConstr[[#This Row],[Tot Shr]],-1,0)-TblConstr[[#This Row],[Dest Shr]]</f>
        <v>0</v>
      </c>
      <c r="BL13" s="491" cm="1">
        <f t="array" aca="1" ref="BL13" ca="1">IF(TblConstr[[#This Row],[Hour]:[Hour]]&gt;12,OFFSET(TblConstr[[#This Row],[Tow]],-12,0),0)+OFFSET(TblConstr[[#This Row],[Tot Tow]],-1,0)-TblConstr[[#This Row],[Dest Tow]]</f>
        <v>0</v>
      </c>
      <c r="BM13" s="491" cm="1">
        <f t="array" aca="1" ref="BM13" ca="1">IF(TblConstr[[#This Row],[Hour]:[Hour]]&gt;12,OFFSET(TblConstr[[#This Row],[Tem]],-12,0),0)+OFFSET(TblConstr[[#This Row],[Tot Tem]],-1,0)-TblConstr[[#This Row],[Dest Tem]]</f>
        <v>0</v>
      </c>
      <c r="BN13" s="491"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44405.124999999978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1">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81">
        <f ca="1">OFFSET(TblConstr[[#This Row],[Mountain]],-1,0)+TblConstr[[#This Row],[Ch_Mountain]]</f>
        <v>20</v>
      </c>
      <c r="J14" s="485">
        <f ca="1">OFFSET(TblConstr[[#This Row],[Hill]],-1,0)+TblConstr[[#This Row],[Ch_Hill]]</f>
        <v>20</v>
      </c>
      <c r="K14" s="489">
        <f ca="1">OFFSET(TblConstr[[#This Row],[Swamp]],-1,0)+TblConstr[[#This Row],[Ch_Swamp]]</f>
        <v>20</v>
      </c>
      <c r="L14" s="239">
        <f ca="1">OFFSET(TblConstr[[#This Row],[Cavern]],-1,0)+TblConstr[[#This Row],[Ch_Cavern]]</f>
        <v>20</v>
      </c>
      <c r="M14" s="240">
        <f ca="1">OFFSET(TblConstr[[#This Row],[Water]],-1,0)+TblConstr[[#This Row],[Ch_Water]]</f>
        <v>20</v>
      </c>
      <c r="N14" s="479">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44405.166666666642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3" cm="1">
        <f t="array" aca="1" ref="BF14" ca="1">IF(TblConstr[[#This Row],[Hour]:[Hour]]&gt;12,OFFSET(TblConstr[[#This Row],[OM]],-12,0),0)+OFFSET(TblConstr[[#This Row],[Tot OM]],-1,0)-TblConstr[[#This Row],[Dest OM]]</f>
        <v>0</v>
      </c>
      <c r="BG14" s="483" cm="1">
        <f t="array" aca="1" ref="BG14" ca="1">IF(TblConstr[[#This Row],[Hour]:[Hour]]&gt;12,OFFSET(TblConstr[[#This Row],[GN]],-12,0),0)+OFFSET(TblConstr[[#This Row],[Tot GN]],-1,0)-TblConstr[[#This Row],[Dest GN]]</f>
        <v>0</v>
      </c>
      <c r="BH14" s="487" cm="1">
        <f t="array" aca="1" ref="BH14" ca="1">IF(TblConstr[[#This Row],[Hour]:[Hour]]&gt;12,OFFSET(TblConstr[[#This Row],[Fac]],-12,0),0)+OFFSET(TblConstr[[#This Row],[Tot Fac]],-1,0)-TblConstr[[#This Row],[Dest Fac]]</f>
        <v>0</v>
      </c>
      <c r="BI14" s="487" cm="1">
        <f t="array" aca="1" ref="BI14" ca="1">IF(TblConstr[[#This Row],[Hour]:[Hour]]&gt;12,OFFSET(TblConstr[[#This Row],[GT]],-12,0),0)+OFFSET(TblConstr[[#This Row],[Tot GT]],-1,0)-TblConstr[[#This Row],[Dest GT]]</f>
        <v>0</v>
      </c>
      <c r="BJ14" s="487" cm="1">
        <f t="array" aca="1" ref="BJ14" ca="1">IF(TblConstr[[#This Row],[Hour]:[Hour]]&gt;12,OFFSET(TblConstr[[#This Row],[Bar]],-12,0),0)+OFFSET(TblConstr[[#This Row],[Tot Bar]],-1,0)-TblConstr[[#This Row],[Dest Bar]]</f>
        <v>0</v>
      </c>
      <c r="BK14" s="487" cm="1">
        <f t="array" aca="1" ref="BK14" ca="1">IF(TblConstr[[#This Row],[Hour]:[Hour]]&gt;12,OFFSET(TblConstr[[#This Row],[Shr]],-12,0),0)+OFFSET(TblConstr[[#This Row],[Tot Shr]],-1,0)-TblConstr[[#This Row],[Dest Shr]]</f>
        <v>0</v>
      </c>
      <c r="BL14" s="491" cm="1">
        <f t="array" aca="1" ref="BL14" ca="1">IF(TblConstr[[#This Row],[Hour]:[Hour]]&gt;12,OFFSET(TblConstr[[#This Row],[Tow]],-12,0),0)+OFFSET(TblConstr[[#This Row],[Tot Tow]],-1,0)-TblConstr[[#This Row],[Dest Tow]]</f>
        <v>0</v>
      </c>
      <c r="BM14" s="491" cm="1">
        <f t="array" aca="1" ref="BM14" ca="1">IF(TblConstr[[#This Row],[Hour]:[Hour]]&gt;12,OFFSET(TblConstr[[#This Row],[Tem]],-12,0),0)+OFFSET(TblConstr[[#This Row],[Tot Tem]],-1,0)-TblConstr[[#This Row],[Dest Tem]]</f>
        <v>0</v>
      </c>
      <c r="BN14" s="491"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44405.166666666642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1">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81">
        <f ca="1">OFFSET(TblConstr[[#This Row],[Mountain]],-1,0)+TblConstr[[#This Row],[Ch_Mountain]]</f>
        <v>20</v>
      </c>
      <c r="J15" s="485">
        <f ca="1">OFFSET(TblConstr[[#This Row],[Hill]],-1,0)+TblConstr[[#This Row],[Ch_Hill]]</f>
        <v>20</v>
      </c>
      <c r="K15" s="489">
        <f ca="1">OFFSET(TblConstr[[#This Row],[Swamp]],-1,0)+TblConstr[[#This Row],[Ch_Swamp]]</f>
        <v>20</v>
      </c>
      <c r="L15" s="239">
        <f ca="1">OFFSET(TblConstr[[#This Row],[Cavern]],-1,0)+TblConstr[[#This Row],[Ch_Cavern]]</f>
        <v>20</v>
      </c>
      <c r="M15" s="240">
        <f ca="1">OFFSET(TblConstr[[#This Row],[Water]],-1,0)+TblConstr[[#This Row],[Ch_Water]]</f>
        <v>20</v>
      </c>
      <c r="N15" s="479">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44405.208333333307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3" cm="1">
        <f t="array" aca="1" ref="BF15" ca="1">IF(TblConstr[[#This Row],[Hour]:[Hour]]&gt;12,OFFSET(TblConstr[[#This Row],[OM]],-12,0),0)+OFFSET(TblConstr[[#This Row],[Tot OM]],-1,0)-TblConstr[[#This Row],[Dest OM]]</f>
        <v>0</v>
      </c>
      <c r="BG15" s="483" cm="1">
        <f t="array" aca="1" ref="BG15" ca="1">IF(TblConstr[[#This Row],[Hour]:[Hour]]&gt;12,OFFSET(TblConstr[[#This Row],[GN]],-12,0),0)+OFFSET(TblConstr[[#This Row],[Tot GN]],-1,0)-TblConstr[[#This Row],[Dest GN]]</f>
        <v>0</v>
      </c>
      <c r="BH15" s="487" cm="1">
        <f t="array" aca="1" ref="BH15" ca="1">IF(TblConstr[[#This Row],[Hour]:[Hour]]&gt;12,OFFSET(TblConstr[[#This Row],[Fac]],-12,0),0)+OFFSET(TblConstr[[#This Row],[Tot Fac]],-1,0)-TblConstr[[#This Row],[Dest Fac]]</f>
        <v>0</v>
      </c>
      <c r="BI15" s="487" cm="1">
        <f t="array" aca="1" ref="BI15" ca="1">IF(TblConstr[[#This Row],[Hour]:[Hour]]&gt;12,OFFSET(TblConstr[[#This Row],[GT]],-12,0),0)+OFFSET(TblConstr[[#This Row],[Tot GT]],-1,0)-TblConstr[[#This Row],[Dest GT]]</f>
        <v>0</v>
      </c>
      <c r="BJ15" s="487" cm="1">
        <f t="array" aca="1" ref="BJ15" ca="1">IF(TblConstr[[#This Row],[Hour]:[Hour]]&gt;12,OFFSET(TblConstr[[#This Row],[Bar]],-12,0),0)+OFFSET(TblConstr[[#This Row],[Tot Bar]],-1,0)-TblConstr[[#This Row],[Dest Bar]]</f>
        <v>0</v>
      </c>
      <c r="BK15" s="487" cm="1">
        <f t="array" aca="1" ref="BK15" ca="1">IF(TblConstr[[#This Row],[Hour]:[Hour]]&gt;12,OFFSET(TblConstr[[#This Row],[Shr]],-12,0),0)+OFFSET(TblConstr[[#This Row],[Tot Shr]],-1,0)-TblConstr[[#This Row],[Dest Shr]]</f>
        <v>0</v>
      </c>
      <c r="BL15" s="491" cm="1">
        <f t="array" aca="1" ref="BL15" ca="1">IF(TblConstr[[#This Row],[Hour]:[Hour]]&gt;12,OFFSET(TblConstr[[#This Row],[Tow]],-12,0),0)+OFFSET(TblConstr[[#This Row],[Tot Tow]],-1,0)-TblConstr[[#This Row],[Dest Tow]]</f>
        <v>0</v>
      </c>
      <c r="BM15" s="491" cm="1">
        <f t="array" aca="1" ref="BM15" ca="1">IF(TblConstr[[#This Row],[Hour]:[Hour]]&gt;12,OFFSET(TblConstr[[#This Row],[Tem]],-12,0),0)+OFFSET(TblConstr[[#This Row],[Tot Tem]],-1,0)-TblConstr[[#This Row],[Dest Tem]]</f>
        <v>0</v>
      </c>
      <c r="BN15" s="491"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44405.208333333307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1">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81">
        <f ca="1">OFFSET(TblConstr[[#This Row],[Mountain]],-1,0)+TblConstr[[#This Row],[Ch_Mountain]]</f>
        <v>20</v>
      </c>
      <c r="J16" s="485">
        <f ca="1">OFFSET(TblConstr[[#This Row],[Hill]],-1,0)+TblConstr[[#This Row],[Ch_Hill]]</f>
        <v>20</v>
      </c>
      <c r="K16" s="489">
        <f ca="1">OFFSET(TblConstr[[#This Row],[Swamp]],-1,0)+TblConstr[[#This Row],[Ch_Swamp]]</f>
        <v>20</v>
      </c>
      <c r="L16" s="239">
        <f ca="1">OFFSET(TblConstr[[#This Row],[Cavern]],-1,0)+TblConstr[[#This Row],[Ch_Cavern]]</f>
        <v>20</v>
      </c>
      <c r="M16" s="240">
        <f ca="1">OFFSET(TblConstr[[#This Row],[Water]],-1,0)+TblConstr[[#This Row],[Ch_Water]]</f>
        <v>20</v>
      </c>
      <c r="N16" s="479">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44405.249999999971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3" cm="1">
        <f t="array" aca="1" ref="BF16" ca="1">IF(TblConstr[[#This Row],[Hour]:[Hour]]&gt;12,OFFSET(TblConstr[[#This Row],[OM]],-12,0),0)+OFFSET(TblConstr[[#This Row],[Tot OM]],-1,0)-TblConstr[[#This Row],[Dest OM]]</f>
        <v>0</v>
      </c>
      <c r="BG16" s="483" cm="1">
        <f t="array" aca="1" ref="BG16" ca="1">IF(TblConstr[[#This Row],[Hour]:[Hour]]&gt;12,OFFSET(TblConstr[[#This Row],[GN]],-12,0),0)+OFFSET(TblConstr[[#This Row],[Tot GN]],-1,0)-TblConstr[[#This Row],[Dest GN]]</f>
        <v>0</v>
      </c>
      <c r="BH16" s="487" cm="1">
        <f t="array" aca="1" ref="BH16" ca="1">IF(TblConstr[[#This Row],[Hour]:[Hour]]&gt;12,OFFSET(TblConstr[[#This Row],[Fac]],-12,0),0)+OFFSET(TblConstr[[#This Row],[Tot Fac]],-1,0)-TblConstr[[#This Row],[Dest Fac]]</f>
        <v>0</v>
      </c>
      <c r="BI16" s="487" cm="1">
        <f t="array" aca="1" ref="BI16" ca="1">IF(TblConstr[[#This Row],[Hour]:[Hour]]&gt;12,OFFSET(TblConstr[[#This Row],[GT]],-12,0),0)+OFFSET(TblConstr[[#This Row],[Tot GT]],-1,0)-TblConstr[[#This Row],[Dest GT]]</f>
        <v>0</v>
      </c>
      <c r="BJ16" s="487" cm="1">
        <f t="array" aca="1" ref="BJ16" ca="1">IF(TblConstr[[#This Row],[Hour]:[Hour]]&gt;12,OFFSET(TblConstr[[#This Row],[Bar]],-12,0),0)+OFFSET(TblConstr[[#This Row],[Tot Bar]],-1,0)-TblConstr[[#This Row],[Dest Bar]]</f>
        <v>0</v>
      </c>
      <c r="BK16" s="487" cm="1">
        <f t="array" aca="1" ref="BK16" ca="1">IF(TblConstr[[#This Row],[Hour]:[Hour]]&gt;12,OFFSET(TblConstr[[#This Row],[Shr]],-12,0),0)+OFFSET(TblConstr[[#This Row],[Tot Shr]],-1,0)-TblConstr[[#This Row],[Dest Shr]]</f>
        <v>0</v>
      </c>
      <c r="BL16" s="491" cm="1">
        <f t="array" aca="1" ref="BL16" ca="1">IF(TblConstr[[#This Row],[Hour]:[Hour]]&gt;12,OFFSET(TblConstr[[#This Row],[Tow]],-12,0),0)+OFFSET(TblConstr[[#This Row],[Tot Tow]],-1,0)-TblConstr[[#This Row],[Dest Tow]]</f>
        <v>0</v>
      </c>
      <c r="BM16" s="491" cm="1">
        <f t="array" aca="1" ref="BM16" ca="1">IF(TblConstr[[#This Row],[Hour]:[Hour]]&gt;12,OFFSET(TblConstr[[#This Row],[Tem]],-12,0),0)+OFFSET(TblConstr[[#This Row],[Tot Tem]],-1,0)-TblConstr[[#This Row],[Dest Tem]]</f>
        <v>0</v>
      </c>
      <c r="BN16" s="491"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44405.249999999971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1">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81">
        <f ca="1">OFFSET(TblConstr[[#This Row],[Mountain]],-1,0)+TblConstr[[#This Row],[Ch_Mountain]]</f>
        <v>20</v>
      </c>
      <c r="J17" s="485">
        <f ca="1">OFFSET(TblConstr[[#This Row],[Hill]],-1,0)+TblConstr[[#This Row],[Ch_Hill]]</f>
        <v>20</v>
      </c>
      <c r="K17" s="489">
        <f ca="1">OFFSET(TblConstr[[#This Row],[Swamp]],-1,0)+TblConstr[[#This Row],[Ch_Swamp]]</f>
        <v>20</v>
      </c>
      <c r="L17" s="239">
        <f ca="1">OFFSET(TblConstr[[#This Row],[Cavern]],-1,0)+TblConstr[[#This Row],[Ch_Cavern]]</f>
        <v>20</v>
      </c>
      <c r="M17" s="240">
        <f ca="1">OFFSET(TblConstr[[#This Row],[Water]],-1,0)+TblConstr[[#This Row],[Ch_Water]]</f>
        <v>20</v>
      </c>
      <c r="N17" s="479">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44405.291666666635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3" cm="1">
        <f t="array" aca="1" ref="BF17" ca="1">IF(TblConstr[[#This Row],[Hour]:[Hour]]&gt;12,OFFSET(TblConstr[[#This Row],[OM]],-12,0),0)+OFFSET(TblConstr[[#This Row],[Tot OM]],-1,0)-TblConstr[[#This Row],[Dest OM]]</f>
        <v>0</v>
      </c>
      <c r="BG17" s="483" cm="1">
        <f t="array" aca="1" ref="BG17" ca="1">IF(TblConstr[[#This Row],[Hour]:[Hour]]&gt;12,OFFSET(TblConstr[[#This Row],[GN]],-12,0),0)+OFFSET(TblConstr[[#This Row],[Tot GN]],-1,0)-TblConstr[[#This Row],[Dest GN]]</f>
        <v>0</v>
      </c>
      <c r="BH17" s="487" cm="1">
        <f t="array" aca="1" ref="BH17" ca="1">IF(TblConstr[[#This Row],[Hour]:[Hour]]&gt;12,OFFSET(TblConstr[[#This Row],[Fac]],-12,0),0)+OFFSET(TblConstr[[#This Row],[Tot Fac]],-1,0)-TblConstr[[#This Row],[Dest Fac]]</f>
        <v>0</v>
      </c>
      <c r="BI17" s="487" cm="1">
        <f t="array" aca="1" ref="BI17" ca="1">IF(TblConstr[[#This Row],[Hour]:[Hour]]&gt;12,OFFSET(TblConstr[[#This Row],[GT]],-12,0),0)+OFFSET(TblConstr[[#This Row],[Tot GT]],-1,0)-TblConstr[[#This Row],[Dest GT]]</f>
        <v>0</v>
      </c>
      <c r="BJ17" s="487" cm="1">
        <f t="array" aca="1" ref="BJ17" ca="1">IF(TblConstr[[#This Row],[Hour]:[Hour]]&gt;12,OFFSET(TblConstr[[#This Row],[Bar]],-12,0),0)+OFFSET(TblConstr[[#This Row],[Tot Bar]],-1,0)-TblConstr[[#This Row],[Dest Bar]]</f>
        <v>0</v>
      </c>
      <c r="BK17" s="487" cm="1">
        <f t="array" aca="1" ref="BK17" ca="1">IF(TblConstr[[#This Row],[Hour]:[Hour]]&gt;12,OFFSET(TblConstr[[#This Row],[Shr]],-12,0),0)+OFFSET(TblConstr[[#This Row],[Tot Shr]],-1,0)-TblConstr[[#This Row],[Dest Shr]]</f>
        <v>0</v>
      </c>
      <c r="BL17" s="491" cm="1">
        <f t="array" aca="1" ref="BL17" ca="1">IF(TblConstr[[#This Row],[Hour]:[Hour]]&gt;12,OFFSET(TblConstr[[#This Row],[Tow]],-12,0),0)+OFFSET(TblConstr[[#This Row],[Tot Tow]],-1,0)-TblConstr[[#This Row],[Dest Tow]]</f>
        <v>0</v>
      </c>
      <c r="BM17" s="491" cm="1">
        <f t="array" aca="1" ref="BM17" ca="1">IF(TblConstr[[#This Row],[Hour]:[Hour]]&gt;12,OFFSET(TblConstr[[#This Row],[Tem]],-12,0),0)+OFFSET(TblConstr[[#This Row],[Tot Tem]],-1,0)-TblConstr[[#This Row],[Dest Tem]]</f>
        <v>0</v>
      </c>
      <c r="BN17" s="491"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44405.291666666635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1">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81">
        <f ca="1">OFFSET(TblConstr[[#This Row],[Mountain]],-1,0)+TblConstr[[#This Row],[Ch_Mountain]]</f>
        <v>20</v>
      </c>
      <c r="J18" s="485">
        <f ca="1">OFFSET(TblConstr[[#This Row],[Hill]],-1,0)+TblConstr[[#This Row],[Ch_Hill]]</f>
        <v>20</v>
      </c>
      <c r="K18" s="489">
        <f ca="1">OFFSET(TblConstr[[#This Row],[Swamp]],-1,0)+TblConstr[[#This Row],[Ch_Swamp]]</f>
        <v>20</v>
      </c>
      <c r="L18" s="239">
        <f ca="1">OFFSET(TblConstr[[#This Row],[Cavern]],-1,0)+TblConstr[[#This Row],[Ch_Cavern]]</f>
        <v>20</v>
      </c>
      <c r="M18" s="240">
        <f ca="1">OFFSET(TblConstr[[#This Row],[Water]],-1,0)+TblConstr[[#This Row],[Ch_Water]]</f>
        <v>20</v>
      </c>
      <c r="N18" s="479">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44405.333333333299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3" cm="1">
        <f t="array" aca="1" ref="BF18" ca="1">IF(TblConstr[[#This Row],[Hour]:[Hour]]&gt;12,OFFSET(TblConstr[[#This Row],[OM]],-12,0),0)+OFFSET(TblConstr[[#This Row],[Tot OM]],-1,0)-TblConstr[[#This Row],[Dest OM]]</f>
        <v>0</v>
      </c>
      <c r="BG18" s="483" cm="1">
        <f t="array" aca="1" ref="BG18" ca="1">IF(TblConstr[[#This Row],[Hour]:[Hour]]&gt;12,OFFSET(TblConstr[[#This Row],[GN]],-12,0),0)+OFFSET(TblConstr[[#This Row],[Tot GN]],-1,0)-TblConstr[[#This Row],[Dest GN]]</f>
        <v>0</v>
      </c>
      <c r="BH18" s="487" cm="1">
        <f t="array" aca="1" ref="BH18" ca="1">IF(TblConstr[[#This Row],[Hour]:[Hour]]&gt;12,OFFSET(TblConstr[[#This Row],[Fac]],-12,0),0)+OFFSET(TblConstr[[#This Row],[Tot Fac]],-1,0)-TblConstr[[#This Row],[Dest Fac]]</f>
        <v>0</v>
      </c>
      <c r="BI18" s="487" cm="1">
        <f t="array" aca="1" ref="BI18" ca="1">IF(TblConstr[[#This Row],[Hour]:[Hour]]&gt;12,OFFSET(TblConstr[[#This Row],[GT]],-12,0),0)+OFFSET(TblConstr[[#This Row],[Tot GT]],-1,0)-TblConstr[[#This Row],[Dest GT]]</f>
        <v>0</v>
      </c>
      <c r="BJ18" s="487" cm="1">
        <f t="array" aca="1" ref="BJ18" ca="1">IF(TblConstr[[#This Row],[Hour]:[Hour]]&gt;12,OFFSET(TblConstr[[#This Row],[Bar]],-12,0),0)+OFFSET(TblConstr[[#This Row],[Tot Bar]],-1,0)-TblConstr[[#This Row],[Dest Bar]]</f>
        <v>0</v>
      </c>
      <c r="BK18" s="487" cm="1">
        <f t="array" aca="1" ref="BK18" ca="1">IF(TblConstr[[#This Row],[Hour]:[Hour]]&gt;12,OFFSET(TblConstr[[#This Row],[Shr]],-12,0),0)+OFFSET(TblConstr[[#This Row],[Tot Shr]],-1,0)-TblConstr[[#This Row],[Dest Shr]]</f>
        <v>0</v>
      </c>
      <c r="BL18" s="491" cm="1">
        <f t="array" aca="1" ref="BL18" ca="1">IF(TblConstr[[#This Row],[Hour]:[Hour]]&gt;12,OFFSET(TblConstr[[#This Row],[Tow]],-12,0),0)+OFFSET(TblConstr[[#This Row],[Tot Tow]],-1,0)-TblConstr[[#This Row],[Dest Tow]]</f>
        <v>0</v>
      </c>
      <c r="BM18" s="491" cm="1">
        <f t="array" aca="1" ref="BM18" ca="1">IF(TblConstr[[#This Row],[Hour]:[Hour]]&gt;12,OFFSET(TblConstr[[#This Row],[Tem]],-12,0),0)+OFFSET(TblConstr[[#This Row],[Tot Tem]],-1,0)-TblConstr[[#This Row],[Dest Tem]]</f>
        <v>0</v>
      </c>
      <c r="BN18" s="491"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44405.333333333299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1">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81">
        <f ca="1">OFFSET(TblConstr[[#This Row],[Mountain]],-1,0)+TblConstr[[#This Row],[Ch_Mountain]]</f>
        <v>20</v>
      </c>
      <c r="J19" s="485">
        <f ca="1">OFFSET(TblConstr[[#This Row],[Hill]],-1,0)+TblConstr[[#This Row],[Ch_Hill]]</f>
        <v>20</v>
      </c>
      <c r="K19" s="489">
        <f ca="1">OFFSET(TblConstr[[#This Row],[Swamp]],-1,0)+TblConstr[[#This Row],[Ch_Swamp]]</f>
        <v>20</v>
      </c>
      <c r="L19" s="239">
        <f ca="1">OFFSET(TblConstr[[#This Row],[Cavern]],-1,0)+TblConstr[[#This Row],[Ch_Cavern]]</f>
        <v>20</v>
      </c>
      <c r="M19" s="240">
        <f ca="1">OFFSET(TblConstr[[#This Row],[Water]],-1,0)+TblConstr[[#This Row],[Ch_Water]]</f>
        <v>20</v>
      </c>
      <c r="N19" s="479">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44405.374999999964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3" cm="1">
        <f t="array" aca="1" ref="BF19" ca="1">IF(TblConstr[[#This Row],[Hour]:[Hour]]&gt;12,OFFSET(TblConstr[[#This Row],[OM]],-12,0),0)+OFFSET(TblConstr[[#This Row],[Tot OM]],-1,0)-TblConstr[[#This Row],[Dest OM]]</f>
        <v>0</v>
      </c>
      <c r="BG19" s="483" cm="1">
        <f t="array" aca="1" ref="BG19" ca="1">IF(TblConstr[[#This Row],[Hour]:[Hour]]&gt;12,OFFSET(TblConstr[[#This Row],[GN]],-12,0),0)+OFFSET(TblConstr[[#This Row],[Tot GN]],-1,0)-TblConstr[[#This Row],[Dest GN]]</f>
        <v>0</v>
      </c>
      <c r="BH19" s="487" cm="1">
        <f t="array" aca="1" ref="BH19" ca="1">IF(TblConstr[[#This Row],[Hour]:[Hour]]&gt;12,OFFSET(TblConstr[[#This Row],[Fac]],-12,0),0)+OFFSET(TblConstr[[#This Row],[Tot Fac]],-1,0)-TblConstr[[#This Row],[Dest Fac]]</f>
        <v>0</v>
      </c>
      <c r="BI19" s="487" cm="1">
        <f t="array" aca="1" ref="BI19" ca="1">IF(TblConstr[[#This Row],[Hour]:[Hour]]&gt;12,OFFSET(TblConstr[[#This Row],[GT]],-12,0),0)+OFFSET(TblConstr[[#This Row],[Tot GT]],-1,0)-TblConstr[[#This Row],[Dest GT]]</f>
        <v>0</v>
      </c>
      <c r="BJ19" s="487" cm="1">
        <f t="array" aca="1" ref="BJ19" ca="1">IF(TblConstr[[#This Row],[Hour]:[Hour]]&gt;12,OFFSET(TblConstr[[#This Row],[Bar]],-12,0),0)+OFFSET(TblConstr[[#This Row],[Tot Bar]],-1,0)-TblConstr[[#This Row],[Dest Bar]]</f>
        <v>0</v>
      </c>
      <c r="BK19" s="487" cm="1">
        <f t="array" aca="1" ref="BK19" ca="1">IF(TblConstr[[#This Row],[Hour]:[Hour]]&gt;12,OFFSET(TblConstr[[#This Row],[Shr]],-12,0),0)+OFFSET(TblConstr[[#This Row],[Tot Shr]],-1,0)-TblConstr[[#This Row],[Dest Shr]]</f>
        <v>0</v>
      </c>
      <c r="BL19" s="491" cm="1">
        <f t="array" aca="1" ref="BL19" ca="1">IF(TblConstr[[#This Row],[Hour]:[Hour]]&gt;12,OFFSET(TblConstr[[#This Row],[Tow]],-12,0),0)+OFFSET(TblConstr[[#This Row],[Tot Tow]],-1,0)-TblConstr[[#This Row],[Dest Tow]]</f>
        <v>0</v>
      </c>
      <c r="BM19" s="491" cm="1">
        <f t="array" aca="1" ref="BM19" ca="1">IF(TblConstr[[#This Row],[Hour]:[Hour]]&gt;12,OFFSET(TblConstr[[#This Row],[Tem]],-12,0),0)+OFFSET(TblConstr[[#This Row],[Tot Tem]],-1,0)-TblConstr[[#This Row],[Dest Tem]]</f>
        <v>0</v>
      </c>
      <c r="BN19" s="491"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44405.374999999964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1">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81">
        <f ca="1">OFFSET(TblConstr[[#This Row],[Mountain]],-1,0)+TblConstr[[#This Row],[Ch_Mountain]]</f>
        <v>20</v>
      </c>
      <c r="J20" s="485">
        <f ca="1">OFFSET(TblConstr[[#This Row],[Hill]],-1,0)+TblConstr[[#This Row],[Ch_Hill]]</f>
        <v>20</v>
      </c>
      <c r="K20" s="489">
        <f ca="1">OFFSET(TblConstr[[#This Row],[Swamp]],-1,0)+TblConstr[[#This Row],[Ch_Swamp]]</f>
        <v>20</v>
      </c>
      <c r="L20" s="239">
        <f ca="1">OFFSET(TblConstr[[#This Row],[Cavern]],-1,0)+TblConstr[[#This Row],[Ch_Cavern]]</f>
        <v>20</v>
      </c>
      <c r="M20" s="240">
        <f ca="1">OFFSET(TblConstr[[#This Row],[Water]],-1,0)+TblConstr[[#This Row],[Ch_Water]]</f>
        <v>20</v>
      </c>
      <c r="N20" s="479">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44405.416666666628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3" cm="1">
        <f t="array" aca="1" ref="BF20" ca="1">IF(TblConstr[[#This Row],[Hour]:[Hour]]&gt;12,OFFSET(TblConstr[[#This Row],[OM]],-12,0),0)+OFFSET(TblConstr[[#This Row],[Tot OM]],-1,0)-TblConstr[[#This Row],[Dest OM]]</f>
        <v>0</v>
      </c>
      <c r="BG20" s="483" cm="1">
        <f t="array" aca="1" ref="BG20" ca="1">IF(TblConstr[[#This Row],[Hour]:[Hour]]&gt;12,OFFSET(TblConstr[[#This Row],[GN]],-12,0),0)+OFFSET(TblConstr[[#This Row],[Tot GN]],-1,0)-TblConstr[[#This Row],[Dest GN]]</f>
        <v>0</v>
      </c>
      <c r="BH20" s="487" cm="1">
        <f t="array" aca="1" ref="BH20" ca="1">IF(TblConstr[[#This Row],[Hour]:[Hour]]&gt;12,OFFSET(TblConstr[[#This Row],[Fac]],-12,0),0)+OFFSET(TblConstr[[#This Row],[Tot Fac]],-1,0)-TblConstr[[#This Row],[Dest Fac]]</f>
        <v>0</v>
      </c>
      <c r="BI20" s="487" cm="1">
        <f t="array" aca="1" ref="BI20" ca="1">IF(TblConstr[[#This Row],[Hour]:[Hour]]&gt;12,OFFSET(TblConstr[[#This Row],[GT]],-12,0),0)+OFFSET(TblConstr[[#This Row],[Tot GT]],-1,0)-TblConstr[[#This Row],[Dest GT]]</f>
        <v>0</v>
      </c>
      <c r="BJ20" s="487" cm="1">
        <f t="array" aca="1" ref="BJ20" ca="1">IF(TblConstr[[#This Row],[Hour]:[Hour]]&gt;12,OFFSET(TblConstr[[#This Row],[Bar]],-12,0),0)+OFFSET(TblConstr[[#This Row],[Tot Bar]],-1,0)-TblConstr[[#This Row],[Dest Bar]]</f>
        <v>0</v>
      </c>
      <c r="BK20" s="487" cm="1">
        <f t="array" aca="1" ref="BK20" ca="1">IF(TblConstr[[#This Row],[Hour]:[Hour]]&gt;12,OFFSET(TblConstr[[#This Row],[Shr]],-12,0),0)+OFFSET(TblConstr[[#This Row],[Tot Shr]],-1,0)-TblConstr[[#This Row],[Dest Shr]]</f>
        <v>0</v>
      </c>
      <c r="BL20" s="491" cm="1">
        <f t="array" aca="1" ref="BL20" ca="1">IF(TblConstr[[#This Row],[Hour]:[Hour]]&gt;12,OFFSET(TblConstr[[#This Row],[Tow]],-12,0),0)+OFFSET(TblConstr[[#This Row],[Tot Tow]],-1,0)-TblConstr[[#This Row],[Dest Tow]]</f>
        <v>0</v>
      </c>
      <c r="BM20" s="491" cm="1">
        <f t="array" aca="1" ref="BM20" ca="1">IF(TblConstr[[#This Row],[Hour]:[Hour]]&gt;12,OFFSET(TblConstr[[#This Row],[Tem]],-12,0),0)+OFFSET(TblConstr[[#This Row],[Tot Tem]],-1,0)-TblConstr[[#This Row],[Dest Tem]]</f>
        <v>0</v>
      </c>
      <c r="BN20" s="491"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44405.416666666628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1">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81">
        <f ca="1">OFFSET(TblConstr[[#This Row],[Mountain]],-1,0)+TblConstr[[#This Row],[Ch_Mountain]]</f>
        <v>20</v>
      </c>
      <c r="J21" s="485">
        <f ca="1">OFFSET(TblConstr[[#This Row],[Hill]],-1,0)+TblConstr[[#This Row],[Ch_Hill]]</f>
        <v>20</v>
      </c>
      <c r="K21" s="489">
        <f ca="1">OFFSET(TblConstr[[#This Row],[Swamp]],-1,0)+TblConstr[[#This Row],[Ch_Swamp]]</f>
        <v>20</v>
      </c>
      <c r="L21" s="239">
        <f ca="1">OFFSET(TblConstr[[#This Row],[Cavern]],-1,0)+TblConstr[[#This Row],[Ch_Cavern]]</f>
        <v>20</v>
      </c>
      <c r="M21" s="240">
        <f ca="1">OFFSET(TblConstr[[#This Row],[Water]],-1,0)+TblConstr[[#This Row],[Ch_Water]]</f>
        <v>20</v>
      </c>
      <c r="N21" s="479">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44405.458333333292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3" cm="1">
        <f t="array" aca="1" ref="BF21" ca="1">IF(TblConstr[[#This Row],[Hour]:[Hour]]&gt;12,OFFSET(TblConstr[[#This Row],[OM]],-12,0),0)+OFFSET(TblConstr[[#This Row],[Tot OM]],-1,0)-TblConstr[[#This Row],[Dest OM]]</f>
        <v>0</v>
      </c>
      <c r="BG21" s="483" cm="1">
        <f t="array" aca="1" ref="BG21" ca="1">IF(TblConstr[[#This Row],[Hour]:[Hour]]&gt;12,OFFSET(TblConstr[[#This Row],[GN]],-12,0),0)+OFFSET(TblConstr[[#This Row],[Tot GN]],-1,0)-TblConstr[[#This Row],[Dest GN]]</f>
        <v>0</v>
      </c>
      <c r="BH21" s="487" cm="1">
        <f t="array" aca="1" ref="BH21" ca="1">IF(TblConstr[[#This Row],[Hour]:[Hour]]&gt;12,OFFSET(TblConstr[[#This Row],[Fac]],-12,0),0)+OFFSET(TblConstr[[#This Row],[Tot Fac]],-1,0)-TblConstr[[#This Row],[Dest Fac]]</f>
        <v>0</v>
      </c>
      <c r="BI21" s="487" cm="1">
        <f t="array" aca="1" ref="BI21" ca="1">IF(TblConstr[[#This Row],[Hour]:[Hour]]&gt;12,OFFSET(TblConstr[[#This Row],[GT]],-12,0),0)+OFFSET(TblConstr[[#This Row],[Tot GT]],-1,0)-TblConstr[[#This Row],[Dest GT]]</f>
        <v>0</v>
      </c>
      <c r="BJ21" s="487" cm="1">
        <f t="array" aca="1" ref="BJ21" ca="1">IF(TblConstr[[#This Row],[Hour]:[Hour]]&gt;12,OFFSET(TblConstr[[#This Row],[Bar]],-12,0),0)+OFFSET(TblConstr[[#This Row],[Tot Bar]],-1,0)-TblConstr[[#This Row],[Dest Bar]]</f>
        <v>0</v>
      </c>
      <c r="BK21" s="487" cm="1">
        <f t="array" aca="1" ref="BK21" ca="1">IF(TblConstr[[#This Row],[Hour]:[Hour]]&gt;12,OFFSET(TblConstr[[#This Row],[Shr]],-12,0),0)+OFFSET(TblConstr[[#This Row],[Tot Shr]],-1,0)-TblConstr[[#This Row],[Dest Shr]]</f>
        <v>0</v>
      </c>
      <c r="BL21" s="491" cm="1">
        <f t="array" aca="1" ref="BL21" ca="1">IF(TblConstr[[#This Row],[Hour]:[Hour]]&gt;12,OFFSET(TblConstr[[#This Row],[Tow]],-12,0),0)+OFFSET(TblConstr[[#This Row],[Tot Tow]],-1,0)-TblConstr[[#This Row],[Dest Tow]]</f>
        <v>0</v>
      </c>
      <c r="BM21" s="491" cm="1">
        <f t="array" aca="1" ref="BM21" ca="1">IF(TblConstr[[#This Row],[Hour]:[Hour]]&gt;12,OFFSET(TblConstr[[#This Row],[Tem]],-12,0),0)+OFFSET(TblConstr[[#This Row],[Tot Tem]],-1,0)-TblConstr[[#This Row],[Dest Tem]]</f>
        <v>0</v>
      </c>
      <c r="BN21" s="491"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44405.458333333292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1">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81">
        <f ca="1">OFFSET(TblConstr[[#This Row],[Mountain]],-1,0)+TblConstr[[#This Row],[Ch_Mountain]]</f>
        <v>20</v>
      </c>
      <c r="J22" s="485">
        <f ca="1">OFFSET(TblConstr[[#This Row],[Hill]],-1,0)+TblConstr[[#This Row],[Ch_Hill]]</f>
        <v>20</v>
      </c>
      <c r="K22" s="489">
        <f ca="1">OFFSET(TblConstr[[#This Row],[Swamp]],-1,0)+TblConstr[[#This Row],[Ch_Swamp]]</f>
        <v>20</v>
      </c>
      <c r="L22" s="239">
        <f ca="1">OFFSET(TblConstr[[#This Row],[Cavern]],-1,0)+TblConstr[[#This Row],[Ch_Cavern]]</f>
        <v>20</v>
      </c>
      <c r="M22" s="240">
        <f ca="1">OFFSET(TblConstr[[#This Row],[Water]],-1,0)+TblConstr[[#This Row],[Ch_Water]]</f>
        <v>20</v>
      </c>
      <c r="N22" s="479">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44405.499999999956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3" cm="1">
        <f t="array" aca="1" ref="BF22" ca="1">IF(TblConstr[[#This Row],[Hour]:[Hour]]&gt;12,OFFSET(TblConstr[[#This Row],[OM]],-12,0),0)+OFFSET(TblConstr[[#This Row],[Tot OM]],-1,0)-TblConstr[[#This Row],[Dest OM]]</f>
        <v>0</v>
      </c>
      <c r="BG22" s="483" cm="1">
        <f t="array" aca="1" ref="BG22" ca="1">IF(TblConstr[[#This Row],[Hour]:[Hour]]&gt;12,OFFSET(TblConstr[[#This Row],[GN]],-12,0),0)+OFFSET(TblConstr[[#This Row],[Tot GN]],-1,0)-TblConstr[[#This Row],[Dest GN]]</f>
        <v>0</v>
      </c>
      <c r="BH22" s="487" cm="1">
        <f t="array" aca="1" ref="BH22" ca="1">IF(TblConstr[[#This Row],[Hour]:[Hour]]&gt;12,OFFSET(TblConstr[[#This Row],[Fac]],-12,0),0)+OFFSET(TblConstr[[#This Row],[Tot Fac]],-1,0)-TblConstr[[#This Row],[Dest Fac]]</f>
        <v>0</v>
      </c>
      <c r="BI22" s="487" cm="1">
        <f t="array" aca="1" ref="BI22" ca="1">IF(TblConstr[[#This Row],[Hour]:[Hour]]&gt;12,OFFSET(TblConstr[[#This Row],[GT]],-12,0),0)+OFFSET(TblConstr[[#This Row],[Tot GT]],-1,0)-TblConstr[[#This Row],[Dest GT]]</f>
        <v>0</v>
      </c>
      <c r="BJ22" s="487" cm="1">
        <f t="array" aca="1" ref="BJ22" ca="1">IF(TblConstr[[#This Row],[Hour]:[Hour]]&gt;12,OFFSET(TblConstr[[#This Row],[Bar]],-12,0),0)+OFFSET(TblConstr[[#This Row],[Tot Bar]],-1,0)-TblConstr[[#This Row],[Dest Bar]]</f>
        <v>0</v>
      </c>
      <c r="BK22" s="487" cm="1">
        <f t="array" aca="1" ref="BK22" ca="1">IF(TblConstr[[#This Row],[Hour]:[Hour]]&gt;12,OFFSET(TblConstr[[#This Row],[Shr]],-12,0),0)+OFFSET(TblConstr[[#This Row],[Tot Shr]],-1,0)-TblConstr[[#This Row],[Dest Shr]]</f>
        <v>0</v>
      </c>
      <c r="BL22" s="491" cm="1">
        <f t="array" aca="1" ref="BL22" ca="1">IF(TblConstr[[#This Row],[Hour]:[Hour]]&gt;12,OFFSET(TblConstr[[#This Row],[Tow]],-12,0),0)+OFFSET(TblConstr[[#This Row],[Tot Tow]],-1,0)-TblConstr[[#This Row],[Dest Tow]]</f>
        <v>0</v>
      </c>
      <c r="BM22" s="491" cm="1">
        <f t="array" aca="1" ref="BM22" ca="1">IF(TblConstr[[#This Row],[Hour]:[Hour]]&gt;12,OFFSET(TblConstr[[#This Row],[Tem]],-12,0),0)+OFFSET(TblConstr[[#This Row],[Tot Tem]],-1,0)-TblConstr[[#This Row],[Dest Tem]]</f>
        <v>0</v>
      </c>
      <c r="BN22" s="491"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44405.499999999956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1">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81">
        <f ca="1">OFFSET(TblConstr[[#This Row],[Mountain]],-1,0)+TblConstr[[#This Row],[Ch_Mountain]]</f>
        <v>20</v>
      </c>
      <c r="J23" s="485">
        <f ca="1">OFFSET(TblConstr[[#This Row],[Hill]],-1,0)+TblConstr[[#This Row],[Ch_Hill]]</f>
        <v>20</v>
      </c>
      <c r="K23" s="489">
        <f ca="1">OFFSET(TblConstr[[#This Row],[Swamp]],-1,0)+TblConstr[[#This Row],[Ch_Swamp]]</f>
        <v>20</v>
      </c>
      <c r="L23" s="239">
        <f ca="1">OFFSET(TblConstr[[#This Row],[Cavern]],-1,0)+TblConstr[[#This Row],[Ch_Cavern]]</f>
        <v>20</v>
      </c>
      <c r="M23" s="240">
        <f ca="1">OFFSET(TblConstr[[#This Row],[Water]],-1,0)+TblConstr[[#This Row],[Ch_Water]]</f>
        <v>20</v>
      </c>
      <c r="N23" s="479">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44405.541666666621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3" cm="1">
        <f t="array" aca="1" ref="BF23" ca="1">IF(TblConstr[[#This Row],[Hour]:[Hour]]&gt;12,OFFSET(TblConstr[[#This Row],[OM]],-12,0),0)+OFFSET(TblConstr[[#This Row],[Tot OM]],-1,0)-TblConstr[[#This Row],[Dest OM]]</f>
        <v>0</v>
      </c>
      <c r="BG23" s="483" cm="1">
        <f t="array" aca="1" ref="BG23" ca="1">IF(TblConstr[[#This Row],[Hour]:[Hour]]&gt;12,OFFSET(TblConstr[[#This Row],[GN]],-12,0),0)+OFFSET(TblConstr[[#This Row],[Tot GN]],-1,0)-TblConstr[[#This Row],[Dest GN]]</f>
        <v>0</v>
      </c>
      <c r="BH23" s="487" cm="1">
        <f t="array" aca="1" ref="BH23" ca="1">IF(TblConstr[[#This Row],[Hour]:[Hour]]&gt;12,OFFSET(TblConstr[[#This Row],[Fac]],-12,0),0)+OFFSET(TblConstr[[#This Row],[Tot Fac]],-1,0)-TblConstr[[#This Row],[Dest Fac]]</f>
        <v>0</v>
      </c>
      <c r="BI23" s="487" cm="1">
        <f t="array" aca="1" ref="BI23" ca="1">IF(TblConstr[[#This Row],[Hour]:[Hour]]&gt;12,OFFSET(TblConstr[[#This Row],[GT]],-12,0),0)+OFFSET(TblConstr[[#This Row],[Tot GT]],-1,0)-TblConstr[[#This Row],[Dest GT]]</f>
        <v>0</v>
      </c>
      <c r="BJ23" s="487" cm="1">
        <f t="array" aca="1" ref="BJ23" ca="1">IF(TblConstr[[#This Row],[Hour]:[Hour]]&gt;12,OFFSET(TblConstr[[#This Row],[Bar]],-12,0),0)+OFFSET(TblConstr[[#This Row],[Tot Bar]],-1,0)-TblConstr[[#This Row],[Dest Bar]]</f>
        <v>0</v>
      </c>
      <c r="BK23" s="487" cm="1">
        <f t="array" aca="1" ref="BK23" ca="1">IF(TblConstr[[#This Row],[Hour]:[Hour]]&gt;12,OFFSET(TblConstr[[#This Row],[Shr]],-12,0),0)+OFFSET(TblConstr[[#This Row],[Tot Shr]],-1,0)-TblConstr[[#This Row],[Dest Shr]]</f>
        <v>0</v>
      </c>
      <c r="BL23" s="491" cm="1">
        <f t="array" aca="1" ref="BL23" ca="1">IF(TblConstr[[#This Row],[Hour]:[Hour]]&gt;12,OFFSET(TblConstr[[#This Row],[Tow]],-12,0),0)+OFFSET(TblConstr[[#This Row],[Tot Tow]],-1,0)-TblConstr[[#This Row],[Dest Tow]]</f>
        <v>0</v>
      </c>
      <c r="BM23" s="491" cm="1">
        <f t="array" aca="1" ref="BM23" ca="1">IF(TblConstr[[#This Row],[Hour]:[Hour]]&gt;12,OFFSET(TblConstr[[#This Row],[Tem]],-12,0),0)+OFFSET(TblConstr[[#This Row],[Tot Tem]],-1,0)-TblConstr[[#This Row],[Dest Tem]]</f>
        <v>0</v>
      </c>
      <c r="BN23" s="491"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44405.541666666621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1">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81">
        <f ca="1">OFFSET(TblConstr[[#This Row],[Mountain]],-1,0)+TblConstr[[#This Row],[Ch_Mountain]]</f>
        <v>20</v>
      </c>
      <c r="J24" s="485">
        <f ca="1">OFFSET(TblConstr[[#This Row],[Hill]],-1,0)+TblConstr[[#This Row],[Ch_Hill]]</f>
        <v>20</v>
      </c>
      <c r="K24" s="489">
        <f ca="1">OFFSET(TblConstr[[#This Row],[Swamp]],-1,0)+TblConstr[[#This Row],[Ch_Swamp]]</f>
        <v>20</v>
      </c>
      <c r="L24" s="239">
        <f ca="1">OFFSET(TblConstr[[#This Row],[Cavern]],-1,0)+TblConstr[[#This Row],[Ch_Cavern]]</f>
        <v>20</v>
      </c>
      <c r="M24" s="240">
        <f ca="1">OFFSET(TblConstr[[#This Row],[Water]],-1,0)+TblConstr[[#This Row],[Ch_Water]]</f>
        <v>20</v>
      </c>
      <c r="N24" s="479">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44405.583333333285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3" cm="1">
        <f t="array" aca="1" ref="BF24" ca="1">IF(TblConstr[[#This Row],[Hour]:[Hour]]&gt;12,OFFSET(TblConstr[[#This Row],[OM]],-12,0),0)+OFFSET(TblConstr[[#This Row],[Tot OM]],-1,0)-TblConstr[[#This Row],[Dest OM]]</f>
        <v>0</v>
      </c>
      <c r="BG24" s="483" cm="1">
        <f t="array" aca="1" ref="BG24" ca="1">IF(TblConstr[[#This Row],[Hour]:[Hour]]&gt;12,OFFSET(TblConstr[[#This Row],[GN]],-12,0),0)+OFFSET(TblConstr[[#This Row],[Tot GN]],-1,0)-TblConstr[[#This Row],[Dest GN]]</f>
        <v>0</v>
      </c>
      <c r="BH24" s="487" cm="1">
        <f t="array" aca="1" ref="BH24" ca="1">IF(TblConstr[[#This Row],[Hour]:[Hour]]&gt;12,OFFSET(TblConstr[[#This Row],[Fac]],-12,0),0)+OFFSET(TblConstr[[#This Row],[Tot Fac]],-1,0)-TblConstr[[#This Row],[Dest Fac]]</f>
        <v>0</v>
      </c>
      <c r="BI24" s="487" cm="1">
        <f t="array" aca="1" ref="BI24" ca="1">IF(TblConstr[[#This Row],[Hour]:[Hour]]&gt;12,OFFSET(TblConstr[[#This Row],[GT]],-12,0),0)+OFFSET(TblConstr[[#This Row],[Tot GT]],-1,0)-TblConstr[[#This Row],[Dest GT]]</f>
        <v>0</v>
      </c>
      <c r="BJ24" s="487" cm="1">
        <f t="array" aca="1" ref="BJ24" ca="1">IF(TblConstr[[#This Row],[Hour]:[Hour]]&gt;12,OFFSET(TblConstr[[#This Row],[Bar]],-12,0),0)+OFFSET(TblConstr[[#This Row],[Tot Bar]],-1,0)-TblConstr[[#This Row],[Dest Bar]]</f>
        <v>0</v>
      </c>
      <c r="BK24" s="487" cm="1">
        <f t="array" aca="1" ref="BK24" ca="1">IF(TblConstr[[#This Row],[Hour]:[Hour]]&gt;12,OFFSET(TblConstr[[#This Row],[Shr]],-12,0),0)+OFFSET(TblConstr[[#This Row],[Tot Shr]],-1,0)-TblConstr[[#This Row],[Dest Shr]]</f>
        <v>0</v>
      </c>
      <c r="BL24" s="491" cm="1">
        <f t="array" aca="1" ref="BL24" ca="1">IF(TblConstr[[#This Row],[Hour]:[Hour]]&gt;12,OFFSET(TblConstr[[#This Row],[Tow]],-12,0),0)+OFFSET(TblConstr[[#This Row],[Tot Tow]],-1,0)-TblConstr[[#This Row],[Dest Tow]]</f>
        <v>0</v>
      </c>
      <c r="BM24" s="491" cm="1">
        <f t="array" aca="1" ref="BM24" ca="1">IF(TblConstr[[#This Row],[Hour]:[Hour]]&gt;12,OFFSET(TblConstr[[#This Row],[Tem]],-12,0),0)+OFFSET(TblConstr[[#This Row],[Tot Tem]],-1,0)-TblConstr[[#This Row],[Dest Tem]]</f>
        <v>0</v>
      </c>
      <c r="BN24" s="491"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44405.583333333285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1">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81">
        <f ca="1">OFFSET(TblConstr[[#This Row],[Mountain]],-1,0)+TblConstr[[#This Row],[Ch_Mountain]]</f>
        <v>20</v>
      </c>
      <c r="J25" s="485">
        <f ca="1">OFFSET(TblConstr[[#This Row],[Hill]],-1,0)+TblConstr[[#This Row],[Ch_Hill]]</f>
        <v>20</v>
      </c>
      <c r="K25" s="489">
        <f ca="1">OFFSET(TblConstr[[#This Row],[Swamp]],-1,0)+TblConstr[[#This Row],[Ch_Swamp]]</f>
        <v>20</v>
      </c>
      <c r="L25" s="239">
        <f ca="1">OFFSET(TblConstr[[#This Row],[Cavern]],-1,0)+TblConstr[[#This Row],[Ch_Cavern]]</f>
        <v>20</v>
      </c>
      <c r="M25" s="240">
        <f ca="1">OFFSET(TblConstr[[#This Row],[Water]],-1,0)+TblConstr[[#This Row],[Ch_Water]]</f>
        <v>20</v>
      </c>
      <c r="N25" s="479">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44405.624999999949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3" cm="1">
        <f t="array" aca="1" ref="BF25" ca="1">IF(TblConstr[[#This Row],[Hour]:[Hour]]&gt;12,OFFSET(TblConstr[[#This Row],[OM]],-12,0),0)+OFFSET(TblConstr[[#This Row],[Tot OM]],-1,0)-TblConstr[[#This Row],[Dest OM]]</f>
        <v>0</v>
      </c>
      <c r="BG25" s="483" cm="1">
        <f t="array" aca="1" ref="BG25" ca="1">IF(TblConstr[[#This Row],[Hour]:[Hour]]&gt;12,OFFSET(TblConstr[[#This Row],[GN]],-12,0),0)+OFFSET(TblConstr[[#This Row],[Tot GN]],-1,0)-TblConstr[[#This Row],[Dest GN]]</f>
        <v>0</v>
      </c>
      <c r="BH25" s="487" cm="1">
        <f t="array" aca="1" ref="BH25" ca="1">IF(TblConstr[[#This Row],[Hour]:[Hour]]&gt;12,OFFSET(TblConstr[[#This Row],[Fac]],-12,0),0)+OFFSET(TblConstr[[#This Row],[Tot Fac]],-1,0)-TblConstr[[#This Row],[Dest Fac]]</f>
        <v>0</v>
      </c>
      <c r="BI25" s="487" cm="1">
        <f t="array" aca="1" ref="BI25" ca="1">IF(TblConstr[[#This Row],[Hour]:[Hour]]&gt;12,OFFSET(TblConstr[[#This Row],[GT]],-12,0),0)+OFFSET(TblConstr[[#This Row],[Tot GT]],-1,0)-TblConstr[[#This Row],[Dest GT]]</f>
        <v>0</v>
      </c>
      <c r="BJ25" s="487" cm="1">
        <f t="array" aca="1" ref="BJ25" ca="1">IF(TblConstr[[#This Row],[Hour]:[Hour]]&gt;12,OFFSET(TblConstr[[#This Row],[Bar]],-12,0),0)+OFFSET(TblConstr[[#This Row],[Tot Bar]],-1,0)-TblConstr[[#This Row],[Dest Bar]]</f>
        <v>0</v>
      </c>
      <c r="BK25" s="487" cm="1">
        <f t="array" aca="1" ref="BK25" ca="1">IF(TblConstr[[#This Row],[Hour]:[Hour]]&gt;12,OFFSET(TblConstr[[#This Row],[Shr]],-12,0),0)+OFFSET(TblConstr[[#This Row],[Tot Shr]],-1,0)-TblConstr[[#This Row],[Dest Shr]]</f>
        <v>0</v>
      </c>
      <c r="BL25" s="491" cm="1">
        <f t="array" aca="1" ref="BL25" ca="1">IF(TblConstr[[#This Row],[Hour]:[Hour]]&gt;12,OFFSET(TblConstr[[#This Row],[Tow]],-12,0),0)+OFFSET(TblConstr[[#This Row],[Tot Tow]],-1,0)-TblConstr[[#This Row],[Dest Tow]]</f>
        <v>0</v>
      </c>
      <c r="BM25" s="491" cm="1">
        <f t="array" aca="1" ref="BM25" ca="1">IF(TblConstr[[#This Row],[Hour]:[Hour]]&gt;12,OFFSET(TblConstr[[#This Row],[Tem]],-12,0),0)+OFFSET(TblConstr[[#This Row],[Tot Tem]],-1,0)-TblConstr[[#This Row],[Dest Tem]]</f>
        <v>0</v>
      </c>
      <c r="BN25" s="491"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44405.624999999949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1">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81">
        <f ca="1">OFFSET(TblConstr[[#This Row],[Mountain]],-1,0)+TblConstr[[#This Row],[Ch_Mountain]]</f>
        <v>20</v>
      </c>
      <c r="J26" s="485">
        <f ca="1">OFFSET(TblConstr[[#This Row],[Hill]],-1,0)+TblConstr[[#This Row],[Ch_Hill]]</f>
        <v>20</v>
      </c>
      <c r="K26" s="489">
        <f ca="1">OFFSET(TblConstr[[#This Row],[Swamp]],-1,0)+TblConstr[[#This Row],[Ch_Swamp]]</f>
        <v>20</v>
      </c>
      <c r="L26" s="239">
        <f ca="1">OFFSET(TblConstr[[#This Row],[Cavern]],-1,0)+TblConstr[[#This Row],[Ch_Cavern]]</f>
        <v>20</v>
      </c>
      <c r="M26" s="240">
        <f ca="1">OFFSET(TblConstr[[#This Row],[Water]],-1,0)+TblConstr[[#This Row],[Ch_Water]]</f>
        <v>20</v>
      </c>
      <c r="N26" s="479">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44405.666666666613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3" cm="1">
        <f t="array" aca="1" ref="BF26" ca="1">IF(TblConstr[[#This Row],[Hour]:[Hour]]&gt;12,OFFSET(TblConstr[[#This Row],[OM]],-12,0),0)+OFFSET(TblConstr[[#This Row],[Tot OM]],-1,0)-TblConstr[[#This Row],[Dest OM]]</f>
        <v>0</v>
      </c>
      <c r="BG26" s="483" cm="1">
        <f t="array" aca="1" ref="BG26" ca="1">IF(TblConstr[[#This Row],[Hour]:[Hour]]&gt;12,OFFSET(TblConstr[[#This Row],[GN]],-12,0),0)+OFFSET(TblConstr[[#This Row],[Tot GN]],-1,0)-TblConstr[[#This Row],[Dest GN]]</f>
        <v>0</v>
      </c>
      <c r="BH26" s="487" cm="1">
        <f t="array" aca="1" ref="BH26" ca="1">IF(TblConstr[[#This Row],[Hour]:[Hour]]&gt;12,OFFSET(TblConstr[[#This Row],[Fac]],-12,0),0)+OFFSET(TblConstr[[#This Row],[Tot Fac]],-1,0)-TblConstr[[#This Row],[Dest Fac]]</f>
        <v>0</v>
      </c>
      <c r="BI26" s="487" cm="1">
        <f t="array" aca="1" ref="BI26" ca="1">IF(TblConstr[[#This Row],[Hour]:[Hour]]&gt;12,OFFSET(TblConstr[[#This Row],[GT]],-12,0),0)+OFFSET(TblConstr[[#This Row],[Tot GT]],-1,0)-TblConstr[[#This Row],[Dest GT]]</f>
        <v>0</v>
      </c>
      <c r="BJ26" s="487" cm="1">
        <f t="array" aca="1" ref="BJ26" ca="1">IF(TblConstr[[#This Row],[Hour]:[Hour]]&gt;12,OFFSET(TblConstr[[#This Row],[Bar]],-12,0),0)+OFFSET(TblConstr[[#This Row],[Tot Bar]],-1,0)-TblConstr[[#This Row],[Dest Bar]]</f>
        <v>0</v>
      </c>
      <c r="BK26" s="487" cm="1">
        <f t="array" aca="1" ref="BK26" ca="1">IF(TblConstr[[#This Row],[Hour]:[Hour]]&gt;12,OFFSET(TblConstr[[#This Row],[Shr]],-12,0),0)+OFFSET(TblConstr[[#This Row],[Tot Shr]],-1,0)-TblConstr[[#This Row],[Dest Shr]]</f>
        <v>0</v>
      </c>
      <c r="BL26" s="491" cm="1">
        <f t="array" aca="1" ref="BL26" ca="1">IF(TblConstr[[#This Row],[Hour]:[Hour]]&gt;12,OFFSET(TblConstr[[#This Row],[Tow]],-12,0),0)+OFFSET(TblConstr[[#This Row],[Tot Tow]],-1,0)-TblConstr[[#This Row],[Dest Tow]]</f>
        <v>0</v>
      </c>
      <c r="BM26" s="491" cm="1">
        <f t="array" aca="1" ref="BM26" ca="1">IF(TblConstr[[#This Row],[Hour]:[Hour]]&gt;12,OFFSET(TblConstr[[#This Row],[Tem]],-12,0),0)+OFFSET(TblConstr[[#This Row],[Tot Tem]],-1,0)-TblConstr[[#This Row],[Dest Tem]]</f>
        <v>0</v>
      </c>
      <c r="BN26" s="491"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44405.666666666613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1">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81">
        <f ca="1">OFFSET(TblConstr[[#This Row],[Mountain]],-1,0)+TblConstr[[#This Row],[Ch_Mountain]]</f>
        <v>20</v>
      </c>
      <c r="J27" s="485">
        <f ca="1">OFFSET(TblConstr[[#This Row],[Hill]],-1,0)+TblConstr[[#This Row],[Ch_Hill]]</f>
        <v>20</v>
      </c>
      <c r="K27" s="489">
        <f ca="1">OFFSET(TblConstr[[#This Row],[Swamp]],-1,0)+TblConstr[[#This Row],[Ch_Swamp]]</f>
        <v>20</v>
      </c>
      <c r="L27" s="239">
        <f ca="1">OFFSET(TblConstr[[#This Row],[Cavern]],-1,0)+TblConstr[[#This Row],[Ch_Cavern]]</f>
        <v>20</v>
      </c>
      <c r="M27" s="240">
        <f ca="1">OFFSET(TblConstr[[#This Row],[Water]],-1,0)+TblConstr[[#This Row],[Ch_Water]]</f>
        <v>20</v>
      </c>
      <c r="N27" s="479">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44405.708333333278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3" cm="1">
        <f t="array" aca="1" ref="BF27" ca="1">IF(TblConstr[[#This Row],[Hour]:[Hour]]&gt;12,OFFSET(TblConstr[[#This Row],[OM]],-12,0),0)+OFFSET(TblConstr[[#This Row],[Tot OM]],-1,0)-TblConstr[[#This Row],[Dest OM]]</f>
        <v>0</v>
      </c>
      <c r="BG27" s="483" cm="1">
        <f t="array" aca="1" ref="BG27" ca="1">IF(TblConstr[[#This Row],[Hour]:[Hour]]&gt;12,OFFSET(TblConstr[[#This Row],[GN]],-12,0),0)+OFFSET(TblConstr[[#This Row],[Tot GN]],-1,0)-TblConstr[[#This Row],[Dest GN]]</f>
        <v>0</v>
      </c>
      <c r="BH27" s="487" cm="1">
        <f t="array" aca="1" ref="BH27" ca="1">IF(TblConstr[[#This Row],[Hour]:[Hour]]&gt;12,OFFSET(TblConstr[[#This Row],[Fac]],-12,0),0)+OFFSET(TblConstr[[#This Row],[Tot Fac]],-1,0)-TblConstr[[#This Row],[Dest Fac]]</f>
        <v>0</v>
      </c>
      <c r="BI27" s="487" cm="1">
        <f t="array" aca="1" ref="BI27" ca="1">IF(TblConstr[[#This Row],[Hour]:[Hour]]&gt;12,OFFSET(TblConstr[[#This Row],[GT]],-12,0),0)+OFFSET(TblConstr[[#This Row],[Tot GT]],-1,0)-TblConstr[[#This Row],[Dest GT]]</f>
        <v>0</v>
      </c>
      <c r="BJ27" s="487" cm="1">
        <f t="array" aca="1" ref="BJ27" ca="1">IF(TblConstr[[#This Row],[Hour]:[Hour]]&gt;12,OFFSET(TblConstr[[#This Row],[Bar]],-12,0),0)+OFFSET(TblConstr[[#This Row],[Tot Bar]],-1,0)-TblConstr[[#This Row],[Dest Bar]]</f>
        <v>0</v>
      </c>
      <c r="BK27" s="487" cm="1">
        <f t="array" aca="1" ref="BK27" ca="1">IF(TblConstr[[#This Row],[Hour]:[Hour]]&gt;12,OFFSET(TblConstr[[#This Row],[Shr]],-12,0),0)+OFFSET(TblConstr[[#This Row],[Tot Shr]],-1,0)-TblConstr[[#This Row],[Dest Shr]]</f>
        <v>0</v>
      </c>
      <c r="BL27" s="491" cm="1">
        <f t="array" aca="1" ref="BL27" ca="1">IF(TblConstr[[#This Row],[Hour]:[Hour]]&gt;12,OFFSET(TblConstr[[#This Row],[Tow]],-12,0),0)+OFFSET(TblConstr[[#This Row],[Tot Tow]],-1,0)-TblConstr[[#This Row],[Dest Tow]]</f>
        <v>0</v>
      </c>
      <c r="BM27" s="491" cm="1">
        <f t="array" aca="1" ref="BM27" ca="1">IF(TblConstr[[#This Row],[Hour]:[Hour]]&gt;12,OFFSET(TblConstr[[#This Row],[Tem]],-12,0),0)+OFFSET(TblConstr[[#This Row],[Tot Tem]],-1,0)-TblConstr[[#This Row],[Dest Tem]]</f>
        <v>0</v>
      </c>
      <c r="BN27" s="491"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44405.708333333278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1">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81">
        <f ca="1">OFFSET(TblConstr[[#This Row],[Mountain]],-1,0)+TblConstr[[#This Row],[Ch_Mountain]]</f>
        <v>20</v>
      </c>
      <c r="J28" s="485">
        <f ca="1">OFFSET(TblConstr[[#This Row],[Hill]],-1,0)+TblConstr[[#This Row],[Ch_Hill]]</f>
        <v>20</v>
      </c>
      <c r="K28" s="489">
        <f ca="1">OFFSET(TblConstr[[#This Row],[Swamp]],-1,0)+TblConstr[[#This Row],[Ch_Swamp]]</f>
        <v>20</v>
      </c>
      <c r="L28" s="239">
        <f ca="1">OFFSET(TblConstr[[#This Row],[Cavern]],-1,0)+TblConstr[[#This Row],[Ch_Cavern]]</f>
        <v>20</v>
      </c>
      <c r="M28" s="240">
        <f ca="1">OFFSET(TblConstr[[#This Row],[Water]],-1,0)+TblConstr[[#This Row],[Ch_Water]]</f>
        <v>20</v>
      </c>
      <c r="N28" s="479">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44405.749999999942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3" cm="1">
        <f t="array" aca="1" ref="BF28" ca="1">IF(TblConstr[[#This Row],[Hour]:[Hour]]&gt;12,OFFSET(TblConstr[[#This Row],[OM]],-12,0),0)+OFFSET(TblConstr[[#This Row],[Tot OM]],-1,0)-TblConstr[[#This Row],[Dest OM]]</f>
        <v>0</v>
      </c>
      <c r="BG28" s="483" cm="1">
        <f t="array" aca="1" ref="BG28" ca="1">IF(TblConstr[[#This Row],[Hour]:[Hour]]&gt;12,OFFSET(TblConstr[[#This Row],[GN]],-12,0),0)+OFFSET(TblConstr[[#This Row],[Tot GN]],-1,0)-TblConstr[[#This Row],[Dest GN]]</f>
        <v>0</v>
      </c>
      <c r="BH28" s="487" cm="1">
        <f t="array" aca="1" ref="BH28" ca="1">IF(TblConstr[[#This Row],[Hour]:[Hour]]&gt;12,OFFSET(TblConstr[[#This Row],[Fac]],-12,0),0)+OFFSET(TblConstr[[#This Row],[Tot Fac]],-1,0)-TblConstr[[#This Row],[Dest Fac]]</f>
        <v>0</v>
      </c>
      <c r="BI28" s="487" cm="1">
        <f t="array" aca="1" ref="BI28" ca="1">IF(TblConstr[[#This Row],[Hour]:[Hour]]&gt;12,OFFSET(TblConstr[[#This Row],[GT]],-12,0),0)+OFFSET(TblConstr[[#This Row],[Tot GT]],-1,0)-TblConstr[[#This Row],[Dest GT]]</f>
        <v>0</v>
      </c>
      <c r="BJ28" s="487" cm="1">
        <f t="array" aca="1" ref="BJ28" ca="1">IF(TblConstr[[#This Row],[Hour]:[Hour]]&gt;12,OFFSET(TblConstr[[#This Row],[Bar]],-12,0),0)+OFFSET(TblConstr[[#This Row],[Tot Bar]],-1,0)-TblConstr[[#This Row],[Dest Bar]]</f>
        <v>0</v>
      </c>
      <c r="BK28" s="487" cm="1">
        <f t="array" aca="1" ref="BK28" ca="1">IF(TblConstr[[#This Row],[Hour]:[Hour]]&gt;12,OFFSET(TblConstr[[#This Row],[Shr]],-12,0),0)+OFFSET(TblConstr[[#This Row],[Tot Shr]],-1,0)-TblConstr[[#This Row],[Dest Shr]]</f>
        <v>0</v>
      </c>
      <c r="BL28" s="491" cm="1">
        <f t="array" aca="1" ref="BL28" ca="1">IF(TblConstr[[#This Row],[Hour]:[Hour]]&gt;12,OFFSET(TblConstr[[#This Row],[Tow]],-12,0),0)+OFFSET(TblConstr[[#This Row],[Tot Tow]],-1,0)-TblConstr[[#This Row],[Dest Tow]]</f>
        <v>0</v>
      </c>
      <c r="BM28" s="491" cm="1">
        <f t="array" aca="1" ref="BM28" ca="1">IF(TblConstr[[#This Row],[Hour]:[Hour]]&gt;12,OFFSET(TblConstr[[#This Row],[Tem]],-12,0),0)+OFFSET(TblConstr[[#This Row],[Tot Tem]],-1,0)-TblConstr[[#This Row],[Dest Tem]]</f>
        <v>0</v>
      </c>
      <c r="BN28" s="491"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44405.749999999942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1">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81">
        <f ca="1">OFFSET(TblConstr[[#This Row],[Mountain]],-1,0)+TblConstr[[#This Row],[Ch_Mountain]]</f>
        <v>20</v>
      </c>
      <c r="J29" s="485">
        <f ca="1">OFFSET(TblConstr[[#This Row],[Hill]],-1,0)+TblConstr[[#This Row],[Ch_Hill]]</f>
        <v>20</v>
      </c>
      <c r="K29" s="489">
        <f ca="1">OFFSET(TblConstr[[#This Row],[Swamp]],-1,0)+TblConstr[[#This Row],[Ch_Swamp]]</f>
        <v>20</v>
      </c>
      <c r="L29" s="239">
        <f ca="1">OFFSET(TblConstr[[#This Row],[Cavern]],-1,0)+TblConstr[[#This Row],[Ch_Cavern]]</f>
        <v>20</v>
      </c>
      <c r="M29" s="240">
        <f ca="1">OFFSET(TblConstr[[#This Row],[Water]],-1,0)+TblConstr[[#This Row],[Ch_Water]]</f>
        <v>20</v>
      </c>
      <c r="N29" s="479">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44405.791666666606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3" cm="1">
        <f t="array" aca="1" ref="BF29" ca="1">IF(TblConstr[[#This Row],[Hour]:[Hour]]&gt;12,OFFSET(TblConstr[[#This Row],[OM]],-12,0),0)+OFFSET(TblConstr[[#This Row],[Tot OM]],-1,0)-TblConstr[[#This Row],[Dest OM]]</f>
        <v>0</v>
      </c>
      <c r="BG29" s="483" cm="1">
        <f t="array" aca="1" ref="BG29" ca="1">IF(TblConstr[[#This Row],[Hour]:[Hour]]&gt;12,OFFSET(TblConstr[[#This Row],[GN]],-12,0),0)+OFFSET(TblConstr[[#This Row],[Tot GN]],-1,0)-TblConstr[[#This Row],[Dest GN]]</f>
        <v>0</v>
      </c>
      <c r="BH29" s="487" cm="1">
        <f t="array" aca="1" ref="BH29" ca="1">IF(TblConstr[[#This Row],[Hour]:[Hour]]&gt;12,OFFSET(TblConstr[[#This Row],[Fac]],-12,0),0)+OFFSET(TblConstr[[#This Row],[Tot Fac]],-1,0)-TblConstr[[#This Row],[Dest Fac]]</f>
        <v>0</v>
      </c>
      <c r="BI29" s="487" cm="1">
        <f t="array" aca="1" ref="BI29" ca="1">IF(TblConstr[[#This Row],[Hour]:[Hour]]&gt;12,OFFSET(TblConstr[[#This Row],[GT]],-12,0),0)+OFFSET(TblConstr[[#This Row],[Tot GT]],-1,0)-TblConstr[[#This Row],[Dest GT]]</f>
        <v>0</v>
      </c>
      <c r="BJ29" s="487" cm="1">
        <f t="array" aca="1" ref="BJ29" ca="1">IF(TblConstr[[#This Row],[Hour]:[Hour]]&gt;12,OFFSET(TblConstr[[#This Row],[Bar]],-12,0),0)+OFFSET(TblConstr[[#This Row],[Tot Bar]],-1,0)-TblConstr[[#This Row],[Dest Bar]]</f>
        <v>0</v>
      </c>
      <c r="BK29" s="487" cm="1">
        <f t="array" aca="1" ref="BK29" ca="1">IF(TblConstr[[#This Row],[Hour]:[Hour]]&gt;12,OFFSET(TblConstr[[#This Row],[Shr]],-12,0),0)+OFFSET(TblConstr[[#This Row],[Tot Shr]],-1,0)-TblConstr[[#This Row],[Dest Shr]]</f>
        <v>0</v>
      </c>
      <c r="BL29" s="491" cm="1">
        <f t="array" aca="1" ref="BL29" ca="1">IF(TblConstr[[#This Row],[Hour]:[Hour]]&gt;12,OFFSET(TblConstr[[#This Row],[Tow]],-12,0),0)+OFFSET(TblConstr[[#This Row],[Tot Tow]],-1,0)-TblConstr[[#This Row],[Dest Tow]]</f>
        <v>0</v>
      </c>
      <c r="BM29" s="491" cm="1">
        <f t="array" aca="1" ref="BM29" ca="1">IF(TblConstr[[#This Row],[Hour]:[Hour]]&gt;12,OFFSET(TblConstr[[#This Row],[Tem]],-12,0),0)+OFFSET(TblConstr[[#This Row],[Tot Tem]],-1,0)-TblConstr[[#This Row],[Dest Tem]]</f>
        <v>0</v>
      </c>
      <c r="BN29" s="491"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44405.791666666606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1">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81">
        <f ca="1">OFFSET(TblConstr[[#This Row],[Mountain]],-1,0)+TblConstr[[#This Row],[Ch_Mountain]]</f>
        <v>20</v>
      </c>
      <c r="J30" s="485">
        <f ca="1">OFFSET(TblConstr[[#This Row],[Hill]],-1,0)+TblConstr[[#This Row],[Ch_Hill]]</f>
        <v>20</v>
      </c>
      <c r="K30" s="489">
        <f ca="1">OFFSET(TblConstr[[#This Row],[Swamp]],-1,0)+TblConstr[[#This Row],[Ch_Swamp]]</f>
        <v>20</v>
      </c>
      <c r="L30" s="239">
        <f ca="1">OFFSET(TblConstr[[#This Row],[Cavern]],-1,0)+TblConstr[[#This Row],[Ch_Cavern]]</f>
        <v>20</v>
      </c>
      <c r="M30" s="240">
        <f ca="1">OFFSET(TblConstr[[#This Row],[Water]],-1,0)+TblConstr[[#This Row],[Ch_Water]]</f>
        <v>20</v>
      </c>
      <c r="N30" s="479">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44405.83333333327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3" cm="1">
        <f t="array" aca="1" ref="BF30" ca="1">IF(TblConstr[[#This Row],[Hour]:[Hour]]&gt;12,OFFSET(TblConstr[[#This Row],[OM]],-12,0),0)+OFFSET(TblConstr[[#This Row],[Tot OM]],-1,0)-TblConstr[[#This Row],[Dest OM]]</f>
        <v>0</v>
      </c>
      <c r="BG30" s="483" cm="1">
        <f t="array" aca="1" ref="BG30" ca="1">IF(TblConstr[[#This Row],[Hour]:[Hour]]&gt;12,OFFSET(TblConstr[[#This Row],[GN]],-12,0),0)+OFFSET(TblConstr[[#This Row],[Tot GN]],-1,0)-TblConstr[[#This Row],[Dest GN]]</f>
        <v>0</v>
      </c>
      <c r="BH30" s="487" cm="1">
        <f t="array" aca="1" ref="BH30" ca="1">IF(TblConstr[[#This Row],[Hour]:[Hour]]&gt;12,OFFSET(TblConstr[[#This Row],[Fac]],-12,0),0)+OFFSET(TblConstr[[#This Row],[Tot Fac]],-1,0)-TblConstr[[#This Row],[Dest Fac]]</f>
        <v>0</v>
      </c>
      <c r="BI30" s="487" cm="1">
        <f t="array" aca="1" ref="BI30" ca="1">IF(TblConstr[[#This Row],[Hour]:[Hour]]&gt;12,OFFSET(TblConstr[[#This Row],[GT]],-12,0),0)+OFFSET(TblConstr[[#This Row],[Tot GT]],-1,0)-TblConstr[[#This Row],[Dest GT]]</f>
        <v>0</v>
      </c>
      <c r="BJ30" s="487" cm="1">
        <f t="array" aca="1" ref="BJ30" ca="1">IF(TblConstr[[#This Row],[Hour]:[Hour]]&gt;12,OFFSET(TblConstr[[#This Row],[Bar]],-12,0),0)+OFFSET(TblConstr[[#This Row],[Tot Bar]],-1,0)-TblConstr[[#This Row],[Dest Bar]]</f>
        <v>0</v>
      </c>
      <c r="BK30" s="487" cm="1">
        <f t="array" aca="1" ref="BK30" ca="1">IF(TblConstr[[#This Row],[Hour]:[Hour]]&gt;12,OFFSET(TblConstr[[#This Row],[Shr]],-12,0),0)+OFFSET(TblConstr[[#This Row],[Tot Shr]],-1,0)-TblConstr[[#This Row],[Dest Shr]]</f>
        <v>0</v>
      </c>
      <c r="BL30" s="491" cm="1">
        <f t="array" aca="1" ref="BL30" ca="1">IF(TblConstr[[#This Row],[Hour]:[Hour]]&gt;12,OFFSET(TblConstr[[#This Row],[Tow]],-12,0),0)+OFFSET(TblConstr[[#This Row],[Tot Tow]],-1,0)-TblConstr[[#This Row],[Dest Tow]]</f>
        <v>0</v>
      </c>
      <c r="BM30" s="491" cm="1">
        <f t="array" aca="1" ref="BM30" ca="1">IF(TblConstr[[#This Row],[Hour]:[Hour]]&gt;12,OFFSET(TblConstr[[#This Row],[Tem]],-12,0),0)+OFFSET(TblConstr[[#This Row],[Tot Tem]],-1,0)-TblConstr[[#This Row],[Dest Tem]]</f>
        <v>0</v>
      </c>
      <c r="BN30" s="491"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44405.83333333327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1">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81">
        <f ca="1">OFFSET(TblConstr[[#This Row],[Mountain]],-1,0)+TblConstr[[#This Row],[Ch_Mountain]]</f>
        <v>20</v>
      </c>
      <c r="J31" s="485">
        <f ca="1">OFFSET(TblConstr[[#This Row],[Hill]],-1,0)+TblConstr[[#This Row],[Ch_Hill]]</f>
        <v>20</v>
      </c>
      <c r="K31" s="489">
        <f ca="1">OFFSET(TblConstr[[#This Row],[Swamp]],-1,0)+TblConstr[[#This Row],[Ch_Swamp]]</f>
        <v>20</v>
      </c>
      <c r="L31" s="239">
        <f ca="1">OFFSET(TblConstr[[#This Row],[Cavern]],-1,0)+TblConstr[[#This Row],[Ch_Cavern]]</f>
        <v>20</v>
      </c>
      <c r="M31" s="240">
        <f ca="1">OFFSET(TblConstr[[#This Row],[Water]],-1,0)+TblConstr[[#This Row],[Ch_Water]]</f>
        <v>20</v>
      </c>
      <c r="N31" s="479">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44405.874999999935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3" cm="1">
        <f t="array" aca="1" ref="BF31" ca="1">IF(TblConstr[[#This Row],[Hour]:[Hour]]&gt;12,OFFSET(TblConstr[[#This Row],[OM]],-12,0),0)+OFFSET(TblConstr[[#This Row],[Tot OM]],-1,0)-TblConstr[[#This Row],[Dest OM]]</f>
        <v>0</v>
      </c>
      <c r="BG31" s="483" cm="1">
        <f t="array" aca="1" ref="BG31" ca="1">IF(TblConstr[[#This Row],[Hour]:[Hour]]&gt;12,OFFSET(TblConstr[[#This Row],[GN]],-12,0),0)+OFFSET(TblConstr[[#This Row],[Tot GN]],-1,0)-TblConstr[[#This Row],[Dest GN]]</f>
        <v>0</v>
      </c>
      <c r="BH31" s="487" cm="1">
        <f t="array" aca="1" ref="BH31" ca="1">IF(TblConstr[[#This Row],[Hour]:[Hour]]&gt;12,OFFSET(TblConstr[[#This Row],[Fac]],-12,0),0)+OFFSET(TblConstr[[#This Row],[Tot Fac]],-1,0)-TblConstr[[#This Row],[Dest Fac]]</f>
        <v>0</v>
      </c>
      <c r="BI31" s="487" cm="1">
        <f t="array" aca="1" ref="BI31" ca="1">IF(TblConstr[[#This Row],[Hour]:[Hour]]&gt;12,OFFSET(TblConstr[[#This Row],[GT]],-12,0),0)+OFFSET(TblConstr[[#This Row],[Tot GT]],-1,0)-TblConstr[[#This Row],[Dest GT]]</f>
        <v>0</v>
      </c>
      <c r="BJ31" s="487" cm="1">
        <f t="array" aca="1" ref="BJ31" ca="1">IF(TblConstr[[#This Row],[Hour]:[Hour]]&gt;12,OFFSET(TblConstr[[#This Row],[Bar]],-12,0),0)+OFFSET(TblConstr[[#This Row],[Tot Bar]],-1,0)-TblConstr[[#This Row],[Dest Bar]]</f>
        <v>0</v>
      </c>
      <c r="BK31" s="487" cm="1">
        <f t="array" aca="1" ref="BK31" ca="1">IF(TblConstr[[#This Row],[Hour]:[Hour]]&gt;12,OFFSET(TblConstr[[#This Row],[Shr]],-12,0),0)+OFFSET(TblConstr[[#This Row],[Tot Shr]],-1,0)-TblConstr[[#This Row],[Dest Shr]]</f>
        <v>0</v>
      </c>
      <c r="BL31" s="491" cm="1">
        <f t="array" aca="1" ref="BL31" ca="1">IF(TblConstr[[#This Row],[Hour]:[Hour]]&gt;12,OFFSET(TblConstr[[#This Row],[Tow]],-12,0),0)+OFFSET(TblConstr[[#This Row],[Tot Tow]],-1,0)-TblConstr[[#This Row],[Dest Tow]]</f>
        <v>0</v>
      </c>
      <c r="BM31" s="491" cm="1">
        <f t="array" aca="1" ref="BM31" ca="1">IF(TblConstr[[#This Row],[Hour]:[Hour]]&gt;12,OFFSET(TblConstr[[#This Row],[Tem]],-12,0),0)+OFFSET(TblConstr[[#This Row],[Tot Tem]],-1,0)-TblConstr[[#This Row],[Dest Tem]]</f>
        <v>0</v>
      </c>
      <c r="BN31" s="491"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44405.874999999935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1">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81">
        <f ca="1">OFFSET(TblConstr[[#This Row],[Mountain]],-1,0)+TblConstr[[#This Row],[Ch_Mountain]]</f>
        <v>20</v>
      </c>
      <c r="J32" s="485">
        <f ca="1">OFFSET(TblConstr[[#This Row],[Hill]],-1,0)+TblConstr[[#This Row],[Ch_Hill]]</f>
        <v>20</v>
      </c>
      <c r="K32" s="489">
        <f ca="1">OFFSET(TblConstr[[#This Row],[Swamp]],-1,0)+TblConstr[[#This Row],[Ch_Swamp]]</f>
        <v>20</v>
      </c>
      <c r="L32" s="239">
        <f ca="1">OFFSET(TblConstr[[#This Row],[Cavern]],-1,0)+TblConstr[[#This Row],[Ch_Cavern]]</f>
        <v>20</v>
      </c>
      <c r="M32" s="240">
        <f ca="1">OFFSET(TblConstr[[#This Row],[Water]],-1,0)+TblConstr[[#This Row],[Ch_Water]]</f>
        <v>20</v>
      </c>
      <c r="N32" s="479">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44405.916666666599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3" cm="1">
        <f t="array" aca="1" ref="BF32" ca="1">IF(TblConstr[[#This Row],[Hour]:[Hour]]&gt;12,OFFSET(TblConstr[[#This Row],[OM]],-12,0),0)+OFFSET(TblConstr[[#This Row],[Tot OM]],-1,0)-TblConstr[[#This Row],[Dest OM]]</f>
        <v>0</v>
      </c>
      <c r="BG32" s="483" cm="1">
        <f t="array" aca="1" ref="BG32" ca="1">IF(TblConstr[[#This Row],[Hour]:[Hour]]&gt;12,OFFSET(TblConstr[[#This Row],[GN]],-12,0),0)+OFFSET(TblConstr[[#This Row],[Tot GN]],-1,0)-TblConstr[[#This Row],[Dest GN]]</f>
        <v>0</v>
      </c>
      <c r="BH32" s="487" cm="1">
        <f t="array" aca="1" ref="BH32" ca="1">IF(TblConstr[[#This Row],[Hour]:[Hour]]&gt;12,OFFSET(TblConstr[[#This Row],[Fac]],-12,0),0)+OFFSET(TblConstr[[#This Row],[Tot Fac]],-1,0)-TblConstr[[#This Row],[Dest Fac]]</f>
        <v>0</v>
      </c>
      <c r="BI32" s="487" cm="1">
        <f t="array" aca="1" ref="BI32" ca="1">IF(TblConstr[[#This Row],[Hour]:[Hour]]&gt;12,OFFSET(TblConstr[[#This Row],[GT]],-12,0),0)+OFFSET(TblConstr[[#This Row],[Tot GT]],-1,0)-TblConstr[[#This Row],[Dest GT]]</f>
        <v>0</v>
      </c>
      <c r="BJ32" s="487" cm="1">
        <f t="array" aca="1" ref="BJ32" ca="1">IF(TblConstr[[#This Row],[Hour]:[Hour]]&gt;12,OFFSET(TblConstr[[#This Row],[Bar]],-12,0),0)+OFFSET(TblConstr[[#This Row],[Tot Bar]],-1,0)-TblConstr[[#This Row],[Dest Bar]]</f>
        <v>0</v>
      </c>
      <c r="BK32" s="487" cm="1">
        <f t="array" aca="1" ref="BK32" ca="1">IF(TblConstr[[#This Row],[Hour]:[Hour]]&gt;12,OFFSET(TblConstr[[#This Row],[Shr]],-12,0),0)+OFFSET(TblConstr[[#This Row],[Tot Shr]],-1,0)-TblConstr[[#This Row],[Dest Shr]]</f>
        <v>0</v>
      </c>
      <c r="BL32" s="491" cm="1">
        <f t="array" aca="1" ref="BL32" ca="1">IF(TblConstr[[#This Row],[Hour]:[Hour]]&gt;12,OFFSET(TblConstr[[#This Row],[Tow]],-12,0),0)+OFFSET(TblConstr[[#This Row],[Tot Tow]],-1,0)-TblConstr[[#This Row],[Dest Tow]]</f>
        <v>0</v>
      </c>
      <c r="BM32" s="491" cm="1">
        <f t="array" aca="1" ref="BM32" ca="1">IF(TblConstr[[#This Row],[Hour]:[Hour]]&gt;12,OFFSET(TblConstr[[#This Row],[Tem]],-12,0),0)+OFFSET(TblConstr[[#This Row],[Tot Tem]],-1,0)-TblConstr[[#This Row],[Dest Tem]]</f>
        <v>0</v>
      </c>
      <c r="BN32" s="491"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44405.916666666599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1">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81">
        <f ca="1">OFFSET(TblConstr[[#This Row],[Mountain]],-1,0)+TblConstr[[#This Row],[Ch_Mountain]]</f>
        <v>20</v>
      </c>
      <c r="J33" s="485">
        <f ca="1">OFFSET(TblConstr[[#This Row],[Hill]],-1,0)+TblConstr[[#This Row],[Ch_Hill]]</f>
        <v>20</v>
      </c>
      <c r="K33" s="489">
        <f ca="1">OFFSET(TblConstr[[#This Row],[Swamp]],-1,0)+TblConstr[[#This Row],[Ch_Swamp]]</f>
        <v>20</v>
      </c>
      <c r="L33" s="239">
        <f ca="1">OFFSET(TblConstr[[#This Row],[Cavern]],-1,0)+TblConstr[[#This Row],[Ch_Cavern]]</f>
        <v>20</v>
      </c>
      <c r="M33" s="240">
        <f ca="1">OFFSET(TblConstr[[#This Row],[Water]],-1,0)+TblConstr[[#This Row],[Ch_Water]]</f>
        <v>20</v>
      </c>
      <c r="N33" s="479">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44405.958333333263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3" cm="1">
        <f t="array" aca="1" ref="BF33" ca="1">IF(TblConstr[[#This Row],[Hour]:[Hour]]&gt;12,OFFSET(TblConstr[[#This Row],[OM]],-12,0),0)+OFFSET(TblConstr[[#This Row],[Tot OM]],-1,0)-TblConstr[[#This Row],[Dest OM]]</f>
        <v>0</v>
      </c>
      <c r="BG33" s="483" cm="1">
        <f t="array" aca="1" ref="BG33" ca="1">IF(TblConstr[[#This Row],[Hour]:[Hour]]&gt;12,OFFSET(TblConstr[[#This Row],[GN]],-12,0),0)+OFFSET(TblConstr[[#This Row],[Tot GN]],-1,0)-TblConstr[[#This Row],[Dest GN]]</f>
        <v>0</v>
      </c>
      <c r="BH33" s="487" cm="1">
        <f t="array" aca="1" ref="BH33" ca="1">IF(TblConstr[[#This Row],[Hour]:[Hour]]&gt;12,OFFSET(TblConstr[[#This Row],[Fac]],-12,0),0)+OFFSET(TblConstr[[#This Row],[Tot Fac]],-1,0)-TblConstr[[#This Row],[Dest Fac]]</f>
        <v>0</v>
      </c>
      <c r="BI33" s="487" cm="1">
        <f t="array" aca="1" ref="BI33" ca="1">IF(TblConstr[[#This Row],[Hour]:[Hour]]&gt;12,OFFSET(TblConstr[[#This Row],[GT]],-12,0),0)+OFFSET(TblConstr[[#This Row],[Tot GT]],-1,0)-TblConstr[[#This Row],[Dest GT]]</f>
        <v>0</v>
      </c>
      <c r="BJ33" s="487" cm="1">
        <f t="array" aca="1" ref="BJ33" ca="1">IF(TblConstr[[#This Row],[Hour]:[Hour]]&gt;12,OFFSET(TblConstr[[#This Row],[Bar]],-12,0),0)+OFFSET(TblConstr[[#This Row],[Tot Bar]],-1,0)-TblConstr[[#This Row],[Dest Bar]]</f>
        <v>0</v>
      </c>
      <c r="BK33" s="487" cm="1">
        <f t="array" aca="1" ref="BK33" ca="1">IF(TblConstr[[#This Row],[Hour]:[Hour]]&gt;12,OFFSET(TblConstr[[#This Row],[Shr]],-12,0),0)+OFFSET(TblConstr[[#This Row],[Tot Shr]],-1,0)-TblConstr[[#This Row],[Dest Shr]]</f>
        <v>0</v>
      </c>
      <c r="BL33" s="491" cm="1">
        <f t="array" aca="1" ref="BL33" ca="1">IF(TblConstr[[#This Row],[Hour]:[Hour]]&gt;12,OFFSET(TblConstr[[#This Row],[Tow]],-12,0),0)+OFFSET(TblConstr[[#This Row],[Tot Tow]],-1,0)-TblConstr[[#This Row],[Dest Tow]]</f>
        <v>0</v>
      </c>
      <c r="BM33" s="491" cm="1">
        <f t="array" aca="1" ref="BM33" ca="1">IF(TblConstr[[#This Row],[Hour]:[Hour]]&gt;12,OFFSET(TblConstr[[#This Row],[Tem]],-12,0),0)+OFFSET(TblConstr[[#This Row],[Tot Tem]],-1,0)-TblConstr[[#This Row],[Dest Tem]]</f>
        <v>0</v>
      </c>
      <c r="BN33" s="491"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44405.958333333263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1">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81">
        <f ca="1">OFFSET(TblConstr[[#This Row],[Mountain]],-1,0)+TblConstr[[#This Row],[Ch_Mountain]]</f>
        <v>20</v>
      </c>
      <c r="J34" s="485">
        <f ca="1">OFFSET(TblConstr[[#This Row],[Hill]],-1,0)+TblConstr[[#This Row],[Ch_Hill]]</f>
        <v>20</v>
      </c>
      <c r="K34" s="489">
        <f ca="1">OFFSET(TblConstr[[#This Row],[Swamp]],-1,0)+TblConstr[[#This Row],[Ch_Swamp]]</f>
        <v>20</v>
      </c>
      <c r="L34" s="239">
        <f ca="1">OFFSET(TblConstr[[#This Row],[Cavern]],-1,0)+TblConstr[[#This Row],[Ch_Cavern]]</f>
        <v>20</v>
      </c>
      <c r="M34" s="240">
        <f ca="1">OFFSET(TblConstr[[#This Row],[Water]],-1,0)+TblConstr[[#This Row],[Ch_Water]]</f>
        <v>20</v>
      </c>
      <c r="N34" s="479">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44405.999999999927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3" cm="1">
        <f t="array" aca="1" ref="BF34" ca="1">IF(TblConstr[[#This Row],[Hour]:[Hour]]&gt;12,OFFSET(TblConstr[[#This Row],[OM]],-12,0),0)+OFFSET(TblConstr[[#This Row],[Tot OM]],-1,0)-TblConstr[[#This Row],[Dest OM]]</f>
        <v>0</v>
      </c>
      <c r="BG34" s="483" cm="1">
        <f t="array" aca="1" ref="BG34" ca="1">IF(TblConstr[[#This Row],[Hour]:[Hour]]&gt;12,OFFSET(TblConstr[[#This Row],[GN]],-12,0),0)+OFFSET(TblConstr[[#This Row],[Tot GN]],-1,0)-TblConstr[[#This Row],[Dest GN]]</f>
        <v>0</v>
      </c>
      <c r="BH34" s="487" cm="1">
        <f t="array" aca="1" ref="BH34" ca="1">IF(TblConstr[[#This Row],[Hour]:[Hour]]&gt;12,OFFSET(TblConstr[[#This Row],[Fac]],-12,0),0)+OFFSET(TblConstr[[#This Row],[Tot Fac]],-1,0)-TblConstr[[#This Row],[Dest Fac]]</f>
        <v>0</v>
      </c>
      <c r="BI34" s="487" cm="1">
        <f t="array" aca="1" ref="BI34" ca="1">IF(TblConstr[[#This Row],[Hour]:[Hour]]&gt;12,OFFSET(TblConstr[[#This Row],[GT]],-12,0),0)+OFFSET(TblConstr[[#This Row],[Tot GT]],-1,0)-TblConstr[[#This Row],[Dest GT]]</f>
        <v>0</v>
      </c>
      <c r="BJ34" s="487" cm="1">
        <f t="array" aca="1" ref="BJ34" ca="1">IF(TblConstr[[#This Row],[Hour]:[Hour]]&gt;12,OFFSET(TblConstr[[#This Row],[Bar]],-12,0),0)+OFFSET(TblConstr[[#This Row],[Tot Bar]],-1,0)-TblConstr[[#This Row],[Dest Bar]]</f>
        <v>0</v>
      </c>
      <c r="BK34" s="487" cm="1">
        <f t="array" aca="1" ref="BK34" ca="1">IF(TblConstr[[#This Row],[Hour]:[Hour]]&gt;12,OFFSET(TblConstr[[#This Row],[Shr]],-12,0),0)+OFFSET(TblConstr[[#This Row],[Tot Shr]],-1,0)-TblConstr[[#This Row],[Dest Shr]]</f>
        <v>0</v>
      </c>
      <c r="BL34" s="491" cm="1">
        <f t="array" aca="1" ref="BL34" ca="1">IF(TblConstr[[#This Row],[Hour]:[Hour]]&gt;12,OFFSET(TblConstr[[#This Row],[Tow]],-12,0),0)+OFFSET(TblConstr[[#This Row],[Tot Tow]],-1,0)-TblConstr[[#This Row],[Dest Tow]]</f>
        <v>0</v>
      </c>
      <c r="BM34" s="491" cm="1">
        <f t="array" aca="1" ref="BM34" ca="1">IF(TblConstr[[#This Row],[Hour]:[Hour]]&gt;12,OFFSET(TblConstr[[#This Row],[Tem]],-12,0),0)+OFFSET(TblConstr[[#This Row],[Tot Tem]],-1,0)-TblConstr[[#This Row],[Dest Tem]]</f>
        <v>0</v>
      </c>
      <c r="BN34" s="491"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44405.999999999927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1">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81">
        <f ca="1">OFFSET(TblConstr[[#This Row],[Mountain]],-1,0)+TblConstr[[#This Row],[Ch_Mountain]]</f>
        <v>20</v>
      </c>
      <c r="J35" s="485">
        <f ca="1">OFFSET(TblConstr[[#This Row],[Hill]],-1,0)+TblConstr[[#This Row],[Ch_Hill]]</f>
        <v>20</v>
      </c>
      <c r="K35" s="489">
        <f ca="1">OFFSET(TblConstr[[#This Row],[Swamp]],-1,0)+TblConstr[[#This Row],[Ch_Swamp]]</f>
        <v>20</v>
      </c>
      <c r="L35" s="239">
        <f ca="1">OFFSET(TblConstr[[#This Row],[Cavern]],-1,0)+TblConstr[[#This Row],[Ch_Cavern]]</f>
        <v>20</v>
      </c>
      <c r="M35" s="240">
        <f ca="1">OFFSET(TblConstr[[#This Row],[Water]],-1,0)+TblConstr[[#This Row],[Ch_Water]]</f>
        <v>20</v>
      </c>
      <c r="N35" s="479">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44406.041666666591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3" cm="1">
        <f t="array" aca="1" ref="BF35" ca="1">IF(TblConstr[[#This Row],[Hour]:[Hour]]&gt;12,OFFSET(TblConstr[[#This Row],[OM]],-12,0),0)+OFFSET(TblConstr[[#This Row],[Tot OM]],-1,0)-TblConstr[[#This Row],[Dest OM]]</f>
        <v>0</v>
      </c>
      <c r="BG35" s="483" cm="1">
        <f t="array" aca="1" ref="BG35" ca="1">IF(TblConstr[[#This Row],[Hour]:[Hour]]&gt;12,OFFSET(TblConstr[[#This Row],[GN]],-12,0),0)+OFFSET(TblConstr[[#This Row],[Tot GN]],-1,0)-TblConstr[[#This Row],[Dest GN]]</f>
        <v>0</v>
      </c>
      <c r="BH35" s="487" cm="1">
        <f t="array" aca="1" ref="BH35" ca="1">IF(TblConstr[[#This Row],[Hour]:[Hour]]&gt;12,OFFSET(TblConstr[[#This Row],[Fac]],-12,0),0)+OFFSET(TblConstr[[#This Row],[Tot Fac]],-1,0)-TblConstr[[#This Row],[Dest Fac]]</f>
        <v>0</v>
      </c>
      <c r="BI35" s="487" cm="1">
        <f t="array" aca="1" ref="BI35" ca="1">IF(TblConstr[[#This Row],[Hour]:[Hour]]&gt;12,OFFSET(TblConstr[[#This Row],[GT]],-12,0),0)+OFFSET(TblConstr[[#This Row],[Tot GT]],-1,0)-TblConstr[[#This Row],[Dest GT]]</f>
        <v>0</v>
      </c>
      <c r="BJ35" s="487" cm="1">
        <f t="array" aca="1" ref="BJ35" ca="1">IF(TblConstr[[#This Row],[Hour]:[Hour]]&gt;12,OFFSET(TblConstr[[#This Row],[Bar]],-12,0),0)+OFFSET(TblConstr[[#This Row],[Tot Bar]],-1,0)-TblConstr[[#This Row],[Dest Bar]]</f>
        <v>0</v>
      </c>
      <c r="BK35" s="487" cm="1">
        <f t="array" aca="1" ref="BK35" ca="1">IF(TblConstr[[#This Row],[Hour]:[Hour]]&gt;12,OFFSET(TblConstr[[#This Row],[Shr]],-12,0),0)+OFFSET(TblConstr[[#This Row],[Tot Shr]],-1,0)-TblConstr[[#This Row],[Dest Shr]]</f>
        <v>0</v>
      </c>
      <c r="BL35" s="491" cm="1">
        <f t="array" aca="1" ref="BL35" ca="1">IF(TblConstr[[#This Row],[Hour]:[Hour]]&gt;12,OFFSET(TblConstr[[#This Row],[Tow]],-12,0),0)+OFFSET(TblConstr[[#This Row],[Tot Tow]],-1,0)-TblConstr[[#This Row],[Dest Tow]]</f>
        <v>0</v>
      </c>
      <c r="BM35" s="491" cm="1">
        <f t="array" aca="1" ref="BM35" ca="1">IF(TblConstr[[#This Row],[Hour]:[Hour]]&gt;12,OFFSET(TblConstr[[#This Row],[Tem]],-12,0),0)+OFFSET(TblConstr[[#This Row],[Tot Tem]],-1,0)-TblConstr[[#This Row],[Dest Tem]]</f>
        <v>0</v>
      </c>
      <c r="BN35" s="491"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44406.041666666591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1">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81">
        <f ca="1">OFFSET(TblConstr[[#This Row],[Mountain]],-1,0)+TblConstr[[#This Row],[Ch_Mountain]]</f>
        <v>20</v>
      </c>
      <c r="J36" s="485">
        <f ca="1">OFFSET(TblConstr[[#This Row],[Hill]],-1,0)+TblConstr[[#This Row],[Ch_Hill]]</f>
        <v>20</v>
      </c>
      <c r="K36" s="489">
        <f ca="1">OFFSET(TblConstr[[#This Row],[Swamp]],-1,0)+TblConstr[[#This Row],[Ch_Swamp]]</f>
        <v>20</v>
      </c>
      <c r="L36" s="239">
        <f ca="1">OFFSET(TblConstr[[#This Row],[Cavern]],-1,0)+TblConstr[[#This Row],[Ch_Cavern]]</f>
        <v>20</v>
      </c>
      <c r="M36" s="240">
        <f ca="1">OFFSET(TblConstr[[#This Row],[Water]],-1,0)+TblConstr[[#This Row],[Ch_Water]]</f>
        <v>20</v>
      </c>
      <c r="N36" s="479">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44406.083333333256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3" cm="1">
        <f t="array" aca="1" ref="BF36" ca="1">IF(TblConstr[[#This Row],[Hour]:[Hour]]&gt;12,OFFSET(TblConstr[[#This Row],[OM]],-12,0),0)+OFFSET(TblConstr[[#This Row],[Tot OM]],-1,0)-TblConstr[[#This Row],[Dest OM]]</f>
        <v>0</v>
      </c>
      <c r="BG36" s="483" cm="1">
        <f t="array" aca="1" ref="BG36" ca="1">IF(TblConstr[[#This Row],[Hour]:[Hour]]&gt;12,OFFSET(TblConstr[[#This Row],[GN]],-12,0),0)+OFFSET(TblConstr[[#This Row],[Tot GN]],-1,0)-TblConstr[[#This Row],[Dest GN]]</f>
        <v>0</v>
      </c>
      <c r="BH36" s="487" cm="1">
        <f t="array" aca="1" ref="BH36" ca="1">IF(TblConstr[[#This Row],[Hour]:[Hour]]&gt;12,OFFSET(TblConstr[[#This Row],[Fac]],-12,0),0)+OFFSET(TblConstr[[#This Row],[Tot Fac]],-1,0)-TblConstr[[#This Row],[Dest Fac]]</f>
        <v>0</v>
      </c>
      <c r="BI36" s="487" cm="1">
        <f t="array" aca="1" ref="BI36" ca="1">IF(TblConstr[[#This Row],[Hour]:[Hour]]&gt;12,OFFSET(TblConstr[[#This Row],[GT]],-12,0),0)+OFFSET(TblConstr[[#This Row],[Tot GT]],-1,0)-TblConstr[[#This Row],[Dest GT]]</f>
        <v>0</v>
      </c>
      <c r="BJ36" s="487" cm="1">
        <f t="array" aca="1" ref="BJ36" ca="1">IF(TblConstr[[#This Row],[Hour]:[Hour]]&gt;12,OFFSET(TblConstr[[#This Row],[Bar]],-12,0),0)+OFFSET(TblConstr[[#This Row],[Tot Bar]],-1,0)-TblConstr[[#This Row],[Dest Bar]]</f>
        <v>0</v>
      </c>
      <c r="BK36" s="487" cm="1">
        <f t="array" aca="1" ref="BK36" ca="1">IF(TblConstr[[#This Row],[Hour]:[Hour]]&gt;12,OFFSET(TblConstr[[#This Row],[Shr]],-12,0),0)+OFFSET(TblConstr[[#This Row],[Tot Shr]],-1,0)-TblConstr[[#This Row],[Dest Shr]]</f>
        <v>0</v>
      </c>
      <c r="BL36" s="491" cm="1">
        <f t="array" aca="1" ref="BL36" ca="1">IF(TblConstr[[#This Row],[Hour]:[Hour]]&gt;12,OFFSET(TblConstr[[#This Row],[Tow]],-12,0),0)+OFFSET(TblConstr[[#This Row],[Tot Tow]],-1,0)-TblConstr[[#This Row],[Dest Tow]]</f>
        <v>0</v>
      </c>
      <c r="BM36" s="491" cm="1">
        <f t="array" aca="1" ref="BM36" ca="1">IF(TblConstr[[#This Row],[Hour]:[Hour]]&gt;12,OFFSET(TblConstr[[#This Row],[Tem]],-12,0),0)+OFFSET(TblConstr[[#This Row],[Tot Tem]],-1,0)-TblConstr[[#This Row],[Dest Tem]]</f>
        <v>0</v>
      </c>
      <c r="BN36" s="491"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44406.083333333256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1">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81">
        <f ca="1">OFFSET(TblConstr[[#This Row],[Mountain]],-1,0)+TblConstr[[#This Row],[Ch_Mountain]]</f>
        <v>20</v>
      </c>
      <c r="J37" s="485">
        <f ca="1">OFFSET(TblConstr[[#This Row],[Hill]],-1,0)+TblConstr[[#This Row],[Ch_Hill]]</f>
        <v>20</v>
      </c>
      <c r="K37" s="489">
        <f ca="1">OFFSET(TblConstr[[#This Row],[Swamp]],-1,0)+TblConstr[[#This Row],[Ch_Swamp]]</f>
        <v>20</v>
      </c>
      <c r="L37" s="239">
        <f ca="1">OFFSET(TblConstr[[#This Row],[Cavern]],-1,0)+TblConstr[[#This Row],[Ch_Cavern]]</f>
        <v>20</v>
      </c>
      <c r="M37" s="240">
        <f ca="1">OFFSET(TblConstr[[#This Row],[Water]],-1,0)+TblConstr[[#This Row],[Ch_Water]]</f>
        <v>20</v>
      </c>
      <c r="N37" s="479">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44406.12499999992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3" cm="1">
        <f t="array" aca="1" ref="BF37" ca="1">IF(TblConstr[[#This Row],[Hour]:[Hour]]&gt;12,OFFSET(TblConstr[[#This Row],[OM]],-12,0),0)+OFFSET(TblConstr[[#This Row],[Tot OM]],-1,0)-TblConstr[[#This Row],[Dest OM]]</f>
        <v>0</v>
      </c>
      <c r="BG37" s="483" cm="1">
        <f t="array" aca="1" ref="BG37" ca="1">IF(TblConstr[[#This Row],[Hour]:[Hour]]&gt;12,OFFSET(TblConstr[[#This Row],[GN]],-12,0),0)+OFFSET(TblConstr[[#This Row],[Tot GN]],-1,0)-TblConstr[[#This Row],[Dest GN]]</f>
        <v>0</v>
      </c>
      <c r="BH37" s="487" cm="1">
        <f t="array" aca="1" ref="BH37" ca="1">IF(TblConstr[[#This Row],[Hour]:[Hour]]&gt;12,OFFSET(TblConstr[[#This Row],[Fac]],-12,0),0)+OFFSET(TblConstr[[#This Row],[Tot Fac]],-1,0)-TblConstr[[#This Row],[Dest Fac]]</f>
        <v>0</v>
      </c>
      <c r="BI37" s="487" cm="1">
        <f t="array" aca="1" ref="BI37" ca="1">IF(TblConstr[[#This Row],[Hour]:[Hour]]&gt;12,OFFSET(TblConstr[[#This Row],[GT]],-12,0),0)+OFFSET(TblConstr[[#This Row],[Tot GT]],-1,0)-TblConstr[[#This Row],[Dest GT]]</f>
        <v>0</v>
      </c>
      <c r="BJ37" s="487" cm="1">
        <f t="array" aca="1" ref="BJ37" ca="1">IF(TblConstr[[#This Row],[Hour]:[Hour]]&gt;12,OFFSET(TblConstr[[#This Row],[Bar]],-12,0),0)+OFFSET(TblConstr[[#This Row],[Tot Bar]],-1,0)-TblConstr[[#This Row],[Dest Bar]]</f>
        <v>0</v>
      </c>
      <c r="BK37" s="487" cm="1">
        <f t="array" aca="1" ref="BK37" ca="1">IF(TblConstr[[#This Row],[Hour]:[Hour]]&gt;12,OFFSET(TblConstr[[#This Row],[Shr]],-12,0),0)+OFFSET(TblConstr[[#This Row],[Tot Shr]],-1,0)-TblConstr[[#This Row],[Dest Shr]]</f>
        <v>0</v>
      </c>
      <c r="BL37" s="491" cm="1">
        <f t="array" aca="1" ref="BL37" ca="1">IF(TblConstr[[#This Row],[Hour]:[Hour]]&gt;12,OFFSET(TblConstr[[#This Row],[Tow]],-12,0),0)+OFFSET(TblConstr[[#This Row],[Tot Tow]],-1,0)-TblConstr[[#This Row],[Dest Tow]]</f>
        <v>0</v>
      </c>
      <c r="BM37" s="491" cm="1">
        <f t="array" aca="1" ref="BM37" ca="1">IF(TblConstr[[#This Row],[Hour]:[Hour]]&gt;12,OFFSET(TblConstr[[#This Row],[Tem]],-12,0),0)+OFFSET(TblConstr[[#This Row],[Tot Tem]],-1,0)-TblConstr[[#This Row],[Dest Tem]]</f>
        <v>0</v>
      </c>
      <c r="BN37" s="491"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44406.12499999992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1">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81">
        <f ca="1">OFFSET(TblConstr[[#This Row],[Mountain]],-1,0)+TblConstr[[#This Row],[Ch_Mountain]]</f>
        <v>20</v>
      </c>
      <c r="J38" s="485">
        <f ca="1">OFFSET(TblConstr[[#This Row],[Hill]],-1,0)+TblConstr[[#This Row],[Ch_Hill]]</f>
        <v>20</v>
      </c>
      <c r="K38" s="489">
        <f ca="1">OFFSET(TblConstr[[#This Row],[Swamp]],-1,0)+TblConstr[[#This Row],[Ch_Swamp]]</f>
        <v>20</v>
      </c>
      <c r="L38" s="239">
        <f ca="1">OFFSET(TblConstr[[#This Row],[Cavern]],-1,0)+TblConstr[[#This Row],[Ch_Cavern]]</f>
        <v>20</v>
      </c>
      <c r="M38" s="240">
        <f ca="1">OFFSET(TblConstr[[#This Row],[Water]],-1,0)+TblConstr[[#This Row],[Ch_Water]]</f>
        <v>20</v>
      </c>
      <c r="N38" s="479">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44406.166666666584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3" cm="1">
        <f t="array" aca="1" ref="BF38" ca="1">IF(TblConstr[[#This Row],[Hour]:[Hour]]&gt;12,OFFSET(TblConstr[[#This Row],[OM]],-12,0),0)+OFFSET(TblConstr[[#This Row],[Tot OM]],-1,0)-TblConstr[[#This Row],[Dest OM]]</f>
        <v>0</v>
      </c>
      <c r="BG38" s="483" cm="1">
        <f t="array" aca="1" ref="BG38" ca="1">IF(TblConstr[[#This Row],[Hour]:[Hour]]&gt;12,OFFSET(TblConstr[[#This Row],[GN]],-12,0),0)+OFFSET(TblConstr[[#This Row],[Tot GN]],-1,0)-TblConstr[[#This Row],[Dest GN]]</f>
        <v>0</v>
      </c>
      <c r="BH38" s="487" cm="1">
        <f t="array" aca="1" ref="BH38" ca="1">IF(TblConstr[[#This Row],[Hour]:[Hour]]&gt;12,OFFSET(TblConstr[[#This Row],[Fac]],-12,0),0)+OFFSET(TblConstr[[#This Row],[Tot Fac]],-1,0)-TblConstr[[#This Row],[Dest Fac]]</f>
        <v>0</v>
      </c>
      <c r="BI38" s="487" cm="1">
        <f t="array" aca="1" ref="BI38" ca="1">IF(TblConstr[[#This Row],[Hour]:[Hour]]&gt;12,OFFSET(TblConstr[[#This Row],[GT]],-12,0),0)+OFFSET(TblConstr[[#This Row],[Tot GT]],-1,0)-TblConstr[[#This Row],[Dest GT]]</f>
        <v>0</v>
      </c>
      <c r="BJ38" s="487" cm="1">
        <f t="array" aca="1" ref="BJ38" ca="1">IF(TblConstr[[#This Row],[Hour]:[Hour]]&gt;12,OFFSET(TblConstr[[#This Row],[Bar]],-12,0),0)+OFFSET(TblConstr[[#This Row],[Tot Bar]],-1,0)-TblConstr[[#This Row],[Dest Bar]]</f>
        <v>0</v>
      </c>
      <c r="BK38" s="487" cm="1">
        <f t="array" aca="1" ref="BK38" ca="1">IF(TblConstr[[#This Row],[Hour]:[Hour]]&gt;12,OFFSET(TblConstr[[#This Row],[Shr]],-12,0),0)+OFFSET(TblConstr[[#This Row],[Tot Shr]],-1,0)-TblConstr[[#This Row],[Dest Shr]]</f>
        <v>0</v>
      </c>
      <c r="BL38" s="491" cm="1">
        <f t="array" aca="1" ref="BL38" ca="1">IF(TblConstr[[#This Row],[Hour]:[Hour]]&gt;12,OFFSET(TblConstr[[#This Row],[Tow]],-12,0),0)+OFFSET(TblConstr[[#This Row],[Tot Tow]],-1,0)-TblConstr[[#This Row],[Dest Tow]]</f>
        <v>0</v>
      </c>
      <c r="BM38" s="491" cm="1">
        <f t="array" aca="1" ref="BM38" ca="1">IF(TblConstr[[#This Row],[Hour]:[Hour]]&gt;12,OFFSET(TblConstr[[#This Row],[Tem]],-12,0),0)+OFFSET(TblConstr[[#This Row],[Tot Tem]],-1,0)-TblConstr[[#This Row],[Dest Tem]]</f>
        <v>0</v>
      </c>
      <c r="BN38" s="491"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44406.166666666584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1">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81">
        <f ca="1">OFFSET(TblConstr[[#This Row],[Mountain]],-1,0)+TblConstr[[#This Row],[Ch_Mountain]]</f>
        <v>20</v>
      </c>
      <c r="J39" s="485">
        <f ca="1">OFFSET(TblConstr[[#This Row],[Hill]],-1,0)+TblConstr[[#This Row],[Ch_Hill]]</f>
        <v>20</v>
      </c>
      <c r="K39" s="489">
        <f ca="1">OFFSET(TblConstr[[#This Row],[Swamp]],-1,0)+TblConstr[[#This Row],[Ch_Swamp]]</f>
        <v>20</v>
      </c>
      <c r="L39" s="239">
        <f ca="1">OFFSET(TblConstr[[#This Row],[Cavern]],-1,0)+TblConstr[[#This Row],[Ch_Cavern]]</f>
        <v>20</v>
      </c>
      <c r="M39" s="240">
        <f ca="1">OFFSET(TblConstr[[#This Row],[Water]],-1,0)+TblConstr[[#This Row],[Ch_Water]]</f>
        <v>20</v>
      </c>
      <c r="N39" s="479">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44406.208333333248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3" cm="1">
        <f t="array" aca="1" ref="BF39" ca="1">IF(TblConstr[[#This Row],[Hour]:[Hour]]&gt;12,OFFSET(TblConstr[[#This Row],[OM]],-12,0),0)+OFFSET(TblConstr[[#This Row],[Tot OM]],-1,0)-TblConstr[[#This Row],[Dest OM]]</f>
        <v>0</v>
      </c>
      <c r="BG39" s="483" cm="1">
        <f t="array" aca="1" ref="BG39" ca="1">IF(TblConstr[[#This Row],[Hour]:[Hour]]&gt;12,OFFSET(TblConstr[[#This Row],[GN]],-12,0),0)+OFFSET(TblConstr[[#This Row],[Tot GN]],-1,0)-TblConstr[[#This Row],[Dest GN]]</f>
        <v>0</v>
      </c>
      <c r="BH39" s="487" cm="1">
        <f t="array" aca="1" ref="BH39" ca="1">IF(TblConstr[[#This Row],[Hour]:[Hour]]&gt;12,OFFSET(TblConstr[[#This Row],[Fac]],-12,0),0)+OFFSET(TblConstr[[#This Row],[Tot Fac]],-1,0)-TblConstr[[#This Row],[Dest Fac]]</f>
        <v>0</v>
      </c>
      <c r="BI39" s="487" cm="1">
        <f t="array" aca="1" ref="BI39" ca="1">IF(TblConstr[[#This Row],[Hour]:[Hour]]&gt;12,OFFSET(TblConstr[[#This Row],[GT]],-12,0),0)+OFFSET(TblConstr[[#This Row],[Tot GT]],-1,0)-TblConstr[[#This Row],[Dest GT]]</f>
        <v>0</v>
      </c>
      <c r="BJ39" s="487" cm="1">
        <f t="array" aca="1" ref="BJ39" ca="1">IF(TblConstr[[#This Row],[Hour]:[Hour]]&gt;12,OFFSET(TblConstr[[#This Row],[Bar]],-12,0),0)+OFFSET(TblConstr[[#This Row],[Tot Bar]],-1,0)-TblConstr[[#This Row],[Dest Bar]]</f>
        <v>0</v>
      </c>
      <c r="BK39" s="487" cm="1">
        <f t="array" aca="1" ref="BK39" ca="1">IF(TblConstr[[#This Row],[Hour]:[Hour]]&gt;12,OFFSET(TblConstr[[#This Row],[Shr]],-12,0),0)+OFFSET(TblConstr[[#This Row],[Tot Shr]],-1,0)-TblConstr[[#This Row],[Dest Shr]]</f>
        <v>0</v>
      </c>
      <c r="BL39" s="491" cm="1">
        <f t="array" aca="1" ref="BL39" ca="1">IF(TblConstr[[#This Row],[Hour]:[Hour]]&gt;12,OFFSET(TblConstr[[#This Row],[Tow]],-12,0),0)+OFFSET(TblConstr[[#This Row],[Tot Tow]],-1,0)-TblConstr[[#This Row],[Dest Tow]]</f>
        <v>0</v>
      </c>
      <c r="BM39" s="491" cm="1">
        <f t="array" aca="1" ref="BM39" ca="1">IF(TblConstr[[#This Row],[Hour]:[Hour]]&gt;12,OFFSET(TblConstr[[#This Row],[Tem]],-12,0),0)+OFFSET(TblConstr[[#This Row],[Tot Tem]],-1,0)-TblConstr[[#This Row],[Dest Tem]]</f>
        <v>0</v>
      </c>
      <c r="BN39" s="491"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44406.208333333248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1">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81">
        <f ca="1">OFFSET(TblConstr[[#This Row],[Mountain]],-1,0)+TblConstr[[#This Row],[Ch_Mountain]]</f>
        <v>20</v>
      </c>
      <c r="J40" s="485">
        <f ca="1">OFFSET(TblConstr[[#This Row],[Hill]],-1,0)+TblConstr[[#This Row],[Ch_Hill]]</f>
        <v>20</v>
      </c>
      <c r="K40" s="489">
        <f ca="1">OFFSET(TblConstr[[#This Row],[Swamp]],-1,0)+TblConstr[[#This Row],[Ch_Swamp]]</f>
        <v>20</v>
      </c>
      <c r="L40" s="239">
        <f ca="1">OFFSET(TblConstr[[#This Row],[Cavern]],-1,0)+TblConstr[[#This Row],[Ch_Cavern]]</f>
        <v>20</v>
      </c>
      <c r="M40" s="240">
        <f ca="1">OFFSET(TblConstr[[#This Row],[Water]],-1,0)+TblConstr[[#This Row],[Ch_Water]]</f>
        <v>20</v>
      </c>
      <c r="N40" s="479">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44406.249999999913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3" cm="1">
        <f t="array" aca="1" ref="BF40" ca="1">IF(TblConstr[[#This Row],[Hour]:[Hour]]&gt;12,OFFSET(TblConstr[[#This Row],[OM]],-12,0),0)+OFFSET(TblConstr[[#This Row],[Tot OM]],-1,0)-TblConstr[[#This Row],[Dest OM]]</f>
        <v>0</v>
      </c>
      <c r="BG40" s="483" cm="1">
        <f t="array" aca="1" ref="BG40" ca="1">IF(TblConstr[[#This Row],[Hour]:[Hour]]&gt;12,OFFSET(TblConstr[[#This Row],[GN]],-12,0),0)+OFFSET(TblConstr[[#This Row],[Tot GN]],-1,0)-TblConstr[[#This Row],[Dest GN]]</f>
        <v>0</v>
      </c>
      <c r="BH40" s="487" cm="1">
        <f t="array" aca="1" ref="BH40" ca="1">IF(TblConstr[[#This Row],[Hour]:[Hour]]&gt;12,OFFSET(TblConstr[[#This Row],[Fac]],-12,0),0)+OFFSET(TblConstr[[#This Row],[Tot Fac]],-1,0)-TblConstr[[#This Row],[Dest Fac]]</f>
        <v>0</v>
      </c>
      <c r="BI40" s="487" cm="1">
        <f t="array" aca="1" ref="BI40" ca="1">IF(TblConstr[[#This Row],[Hour]:[Hour]]&gt;12,OFFSET(TblConstr[[#This Row],[GT]],-12,0),0)+OFFSET(TblConstr[[#This Row],[Tot GT]],-1,0)-TblConstr[[#This Row],[Dest GT]]</f>
        <v>0</v>
      </c>
      <c r="BJ40" s="487" cm="1">
        <f t="array" aca="1" ref="BJ40" ca="1">IF(TblConstr[[#This Row],[Hour]:[Hour]]&gt;12,OFFSET(TblConstr[[#This Row],[Bar]],-12,0),0)+OFFSET(TblConstr[[#This Row],[Tot Bar]],-1,0)-TblConstr[[#This Row],[Dest Bar]]</f>
        <v>0</v>
      </c>
      <c r="BK40" s="487" cm="1">
        <f t="array" aca="1" ref="BK40" ca="1">IF(TblConstr[[#This Row],[Hour]:[Hour]]&gt;12,OFFSET(TblConstr[[#This Row],[Shr]],-12,0),0)+OFFSET(TblConstr[[#This Row],[Tot Shr]],-1,0)-TblConstr[[#This Row],[Dest Shr]]</f>
        <v>0</v>
      </c>
      <c r="BL40" s="491" cm="1">
        <f t="array" aca="1" ref="BL40" ca="1">IF(TblConstr[[#This Row],[Hour]:[Hour]]&gt;12,OFFSET(TblConstr[[#This Row],[Tow]],-12,0),0)+OFFSET(TblConstr[[#This Row],[Tot Tow]],-1,0)-TblConstr[[#This Row],[Dest Tow]]</f>
        <v>0</v>
      </c>
      <c r="BM40" s="491" cm="1">
        <f t="array" aca="1" ref="BM40" ca="1">IF(TblConstr[[#This Row],[Hour]:[Hour]]&gt;12,OFFSET(TblConstr[[#This Row],[Tem]],-12,0),0)+OFFSET(TblConstr[[#This Row],[Tot Tem]],-1,0)-TblConstr[[#This Row],[Dest Tem]]</f>
        <v>0</v>
      </c>
      <c r="BN40" s="491"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44406.249999999913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1">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81">
        <f ca="1">OFFSET(TblConstr[[#This Row],[Mountain]],-1,0)+TblConstr[[#This Row],[Ch_Mountain]]</f>
        <v>20</v>
      </c>
      <c r="J41" s="485">
        <f ca="1">OFFSET(TblConstr[[#This Row],[Hill]],-1,0)+TblConstr[[#This Row],[Ch_Hill]]</f>
        <v>20</v>
      </c>
      <c r="K41" s="489">
        <f ca="1">OFFSET(TblConstr[[#This Row],[Swamp]],-1,0)+TblConstr[[#This Row],[Ch_Swamp]]</f>
        <v>20</v>
      </c>
      <c r="L41" s="239">
        <f ca="1">OFFSET(TblConstr[[#This Row],[Cavern]],-1,0)+TblConstr[[#This Row],[Ch_Cavern]]</f>
        <v>20</v>
      </c>
      <c r="M41" s="240">
        <f ca="1">OFFSET(TblConstr[[#This Row],[Water]],-1,0)+TblConstr[[#This Row],[Ch_Water]]</f>
        <v>20</v>
      </c>
      <c r="N41" s="479">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44406.291666666577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3" cm="1">
        <f t="array" aca="1" ref="BF41" ca="1">IF(TblConstr[[#This Row],[Hour]:[Hour]]&gt;12,OFFSET(TblConstr[[#This Row],[OM]],-12,0),0)+OFFSET(TblConstr[[#This Row],[Tot OM]],-1,0)-TblConstr[[#This Row],[Dest OM]]</f>
        <v>0</v>
      </c>
      <c r="BG41" s="483" cm="1">
        <f t="array" aca="1" ref="BG41" ca="1">IF(TblConstr[[#This Row],[Hour]:[Hour]]&gt;12,OFFSET(TblConstr[[#This Row],[GN]],-12,0),0)+OFFSET(TblConstr[[#This Row],[Tot GN]],-1,0)-TblConstr[[#This Row],[Dest GN]]</f>
        <v>0</v>
      </c>
      <c r="BH41" s="487" cm="1">
        <f t="array" aca="1" ref="BH41" ca="1">IF(TblConstr[[#This Row],[Hour]:[Hour]]&gt;12,OFFSET(TblConstr[[#This Row],[Fac]],-12,0),0)+OFFSET(TblConstr[[#This Row],[Tot Fac]],-1,0)-TblConstr[[#This Row],[Dest Fac]]</f>
        <v>0</v>
      </c>
      <c r="BI41" s="487" cm="1">
        <f t="array" aca="1" ref="BI41" ca="1">IF(TblConstr[[#This Row],[Hour]:[Hour]]&gt;12,OFFSET(TblConstr[[#This Row],[GT]],-12,0),0)+OFFSET(TblConstr[[#This Row],[Tot GT]],-1,0)-TblConstr[[#This Row],[Dest GT]]</f>
        <v>0</v>
      </c>
      <c r="BJ41" s="487" cm="1">
        <f t="array" aca="1" ref="BJ41" ca="1">IF(TblConstr[[#This Row],[Hour]:[Hour]]&gt;12,OFFSET(TblConstr[[#This Row],[Bar]],-12,0),0)+OFFSET(TblConstr[[#This Row],[Tot Bar]],-1,0)-TblConstr[[#This Row],[Dest Bar]]</f>
        <v>0</v>
      </c>
      <c r="BK41" s="487" cm="1">
        <f t="array" aca="1" ref="BK41" ca="1">IF(TblConstr[[#This Row],[Hour]:[Hour]]&gt;12,OFFSET(TblConstr[[#This Row],[Shr]],-12,0),0)+OFFSET(TblConstr[[#This Row],[Tot Shr]],-1,0)-TblConstr[[#This Row],[Dest Shr]]</f>
        <v>0</v>
      </c>
      <c r="BL41" s="491" cm="1">
        <f t="array" aca="1" ref="BL41" ca="1">IF(TblConstr[[#This Row],[Hour]:[Hour]]&gt;12,OFFSET(TblConstr[[#This Row],[Tow]],-12,0),0)+OFFSET(TblConstr[[#This Row],[Tot Tow]],-1,0)-TblConstr[[#This Row],[Dest Tow]]</f>
        <v>0</v>
      </c>
      <c r="BM41" s="491" cm="1">
        <f t="array" aca="1" ref="BM41" ca="1">IF(TblConstr[[#This Row],[Hour]:[Hour]]&gt;12,OFFSET(TblConstr[[#This Row],[Tem]],-12,0),0)+OFFSET(TblConstr[[#This Row],[Tot Tem]],-1,0)-TblConstr[[#This Row],[Dest Tem]]</f>
        <v>0</v>
      </c>
      <c r="BN41" s="491"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44406.291666666577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1">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81">
        <f ca="1">OFFSET(TblConstr[[#This Row],[Mountain]],-1,0)+TblConstr[[#This Row],[Ch_Mountain]]</f>
        <v>20</v>
      </c>
      <c r="J42" s="485">
        <f ca="1">OFFSET(TblConstr[[#This Row],[Hill]],-1,0)+TblConstr[[#This Row],[Ch_Hill]]</f>
        <v>20</v>
      </c>
      <c r="K42" s="489">
        <f ca="1">OFFSET(TblConstr[[#This Row],[Swamp]],-1,0)+TblConstr[[#This Row],[Ch_Swamp]]</f>
        <v>20</v>
      </c>
      <c r="L42" s="239">
        <f ca="1">OFFSET(TblConstr[[#This Row],[Cavern]],-1,0)+TblConstr[[#This Row],[Ch_Cavern]]</f>
        <v>20</v>
      </c>
      <c r="M42" s="240">
        <f ca="1">OFFSET(TblConstr[[#This Row],[Water]],-1,0)+TblConstr[[#This Row],[Ch_Water]]</f>
        <v>20</v>
      </c>
      <c r="N42" s="479">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44406.333333333241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3" cm="1">
        <f t="array" aca="1" ref="BF42" ca="1">IF(TblConstr[[#This Row],[Hour]:[Hour]]&gt;12,OFFSET(TblConstr[[#This Row],[OM]],-12,0),0)+OFFSET(TblConstr[[#This Row],[Tot OM]],-1,0)-TblConstr[[#This Row],[Dest OM]]</f>
        <v>0</v>
      </c>
      <c r="BG42" s="483" cm="1">
        <f t="array" aca="1" ref="BG42" ca="1">IF(TblConstr[[#This Row],[Hour]:[Hour]]&gt;12,OFFSET(TblConstr[[#This Row],[GN]],-12,0),0)+OFFSET(TblConstr[[#This Row],[Tot GN]],-1,0)-TblConstr[[#This Row],[Dest GN]]</f>
        <v>0</v>
      </c>
      <c r="BH42" s="487" cm="1">
        <f t="array" aca="1" ref="BH42" ca="1">IF(TblConstr[[#This Row],[Hour]:[Hour]]&gt;12,OFFSET(TblConstr[[#This Row],[Fac]],-12,0),0)+OFFSET(TblConstr[[#This Row],[Tot Fac]],-1,0)-TblConstr[[#This Row],[Dest Fac]]</f>
        <v>0</v>
      </c>
      <c r="BI42" s="487" cm="1">
        <f t="array" aca="1" ref="BI42" ca="1">IF(TblConstr[[#This Row],[Hour]:[Hour]]&gt;12,OFFSET(TblConstr[[#This Row],[GT]],-12,0),0)+OFFSET(TblConstr[[#This Row],[Tot GT]],-1,0)-TblConstr[[#This Row],[Dest GT]]</f>
        <v>0</v>
      </c>
      <c r="BJ42" s="487" cm="1">
        <f t="array" aca="1" ref="BJ42" ca="1">IF(TblConstr[[#This Row],[Hour]:[Hour]]&gt;12,OFFSET(TblConstr[[#This Row],[Bar]],-12,0),0)+OFFSET(TblConstr[[#This Row],[Tot Bar]],-1,0)-TblConstr[[#This Row],[Dest Bar]]</f>
        <v>0</v>
      </c>
      <c r="BK42" s="487" cm="1">
        <f t="array" aca="1" ref="BK42" ca="1">IF(TblConstr[[#This Row],[Hour]:[Hour]]&gt;12,OFFSET(TblConstr[[#This Row],[Shr]],-12,0),0)+OFFSET(TblConstr[[#This Row],[Tot Shr]],-1,0)-TblConstr[[#This Row],[Dest Shr]]</f>
        <v>0</v>
      </c>
      <c r="BL42" s="491" cm="1">
        <f t="array" aca="1" ref="BL42" ca="1">IF(TblConstr[[#This Row],[Hour]:[Hour]]&gt;12,OFFSET(TblConstr[[#This Row],[Tow]],-12,0),0)+OFFSET(TblConstr[[#This Row],[Tot Tow]],-1,0)-TblConstr[[#This Row],[Dest Tow]]</f>
        <v>0</v>
      </c>
      <c r="BM42" s="491" cm="1">
        <f t="array" aca="1" ref="BM42" ca="1">IF(TblConstr[[#This Row],[Hour]:[Hour]]&gt;12,OFFSET(TblConstr[[#This Row],[Tem]],-12,0),0)+OFFSET(TblConstr[[#This Row],[Tot Tem]],-1,0)-TblConstr[[#This Row],[Dest Tem]]</f>
        <v>0</v>
      </c>
      <c r="BN42" s="491"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44406.333333333241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1">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81">
        <f ca="1">OFFSET(TblConstr[[#This Row],[Mountain]],-1,0)+TblConstr[[#This Row],[Ch_Mountain]]</f>
        <v>20</v>
      </c>
      <c r="J43" s="485">
        <f ca="1">OFFSET(TblConstr[[#This Row],[Hill]],-1,0)+TblConstr[[#This Row],[Ch_Hill]]</f>
        <v>20</v>
      </c>
      <c r="K43" s="489">
        <f ca="1">OFFSET(TblConstr[[#This Row],[Swamp]],-1,0)+TblConstr[[#This Row],[Ch_Swamp]]</f>
        <v>20</v>
      </c>
      <c r="L43" s="239">
        <f ca="1">OFFSET(TblConstr[[#This Row],[Cavern]],-1,0)+TblConstr[[#This Row],[Ch_Cavern]]</f>
        <v>20</v>
      </c>
      <c r="M43" s="240">
        <f ca="1">OFFSET(TblConstr[[#This Row],[Water]],-1,0)+TblConstr[[#This Row],[Ch_Water]]</f>
        <v>20</v>
      </c>
      <c r="N43" s="479">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44406.374999999905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3" cm="1">
        <f t="array" aca="1" ref="BF43" ca="1">IF(TblConstr[[#This Row],[Hour]:[Hour]]&gt;12,OFFSET(TblConstr[[#This Row],[OM]],-12,0),0)+OFFSET(TblConstr[[#This Row],[Tot OM]],-1,0)-TblConstr[[#This Row],[Dest OM]]</f>
        <v>0</v>
      </c>
      <c r="BG43" s="483" cm="1">
        <f t="array" aca="1" ref="BG43" ca="1">IF(TblConstr[[#This Row],[Hour]:[Hour]]&gt;12,OFFSET(TblConstr[[#This Row],[GN]],-12,0),0)+OFFSET(TblConstr[[#This Row],[Tot GN]],-1,0)-TblConstr[[#This Row],[Dest GN]]</f>
        <v>0</v>
      </c>
      <c r="BH43" s="487" cm="1">
        <f t="array" aca="1" ref="BH43" ca="1">IF(TblConstr[[#This Row],[Hour]:[Hour]]&gt;12,OFFSET(TblConstr[[#This Row],[Fac]],-12,0),0)+OFFSET(TblConstr[[#This Row],[Tot Fac]],-1,0)-TblConstr[[#This Row],[Dest Fac]]</f>
        <v>0</v>
      </c>
      <c r="BI43" s="487" cm="1">
        <f t="array" aca="1" ref="BI43" ca="1">IF(TblConstr[[#This Row],[Hour]:[Hour]]&gt;12,OFFSET(TblConstr[[#This Row],[GT]],-12,0),0)+OFFSET(TblConstr[[#This Row],[Tot GT]],-1,0)-TblConstr[[#This Row],[Dest GT]]</f>
        <v>0</v>
      </c>
      <c r="BJ43" s="487" cm="1">
        <f t="array" aca="1" ref="BJ43" ca="1">IF(TblConstr[[#This Row],[Hour]:[Hour]]&gt;12,OFFSET(TblConstr[[#This Row],[Bar]],-12,0),0)+OFFSET(TblConstr[[#This Row],[Tot Bar]],-1,0)-TblConstr[[#This Row],[Dest Bar]]</f>
        <v>0</v>
      </c>
      <c r="BK43" s="487" cm="1">
        <f t="array" aca="1" ref="BK43" ca="1">IF(TblConstr[[#This Row],[Hour]:[Hour]]&gt;12,OFFSET(TblConstr[[#This Row],[Shr]],-12,0),0)+OFFSET(TblConstr[[#This Row],[Tot Shr]],-1,0)-TblConstr[[#This Row],[Dest Shr]]</f>
        <v>0</v>
      </c>
      <c r="BL43" s="491" cm="1">
        <f t="array" aca="1" ref="BL43" ca="1">IF(TblConstr[[#This Row],[Hour]:[Hour]]&gt;12,OFFSET(TblConstr[[#This Row],[Tow]],-12,0),0)+OFFSET(TblConstr[[#This Row],[Tot Tow]],-1,0)-TblConstr[[#This Row],[Dest Tow]]</f>
        <v>0</v>
      </c>
      <c r="BM43" s="491" cm="1">
        <f t="array" aca="1" ref="BM43" ca="1">IF(TblConstr[[#This Row],[Hour]:[Hour]]&gt;12,OFFSET(TblConstr[[#This Row],[Tem]],-12,0),0)+OFFSET(TblConstr[[#This Row],[Tot Tem]],-1,0)-TblConstr[[#This Row],[Dest Tem]]</f>
        <v>0</v>
      </c>
      <c r="BN43" s="491"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44406.374999999905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1">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81">
        <f ca="1">OFFSET(TblConstr[[#This Row],[Mountain]],-1,0)+TblConstr[[#This Row],[Ch_Mountain]]</f>
        <v>20</v>
      </c>
      <c r="J44" s="485">
        <f ca="1">OFFSET(TblConstr[[#This Row],[Hill]],-1,0)+TblConstr[[#This Row],[Ch_Hill]]</f>
        <v>20</v>
      </c>
      <c r="K44" s="489">
        <f ca="1">OFFSET(TblConstr[[#This Row],[Swamp]],-1,0)+TblConstr[[#This Row],[Ch_Swamp]]</f>
        <v>20</v>
      </c>
      <c r="L44" s="239">
        <f ca="1">OFFSET(TblConstr[[#This Row],[Cavern]],-1,0)+TblConstr[[#This Row],[Ch_Cavern]]</f>
        <v>20</v>
      </c>
      <c r="M44" s="240">
        <f ca="1">OFFSET(TblConstr[[#This Row],[Water]],-1,0)+TblConstr[[#This Row],[Ch_Water]]</f>
        <v>20</v>
      </c>
      <c r="N44" s="479">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44406.41666666657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3" cm="1">
        <f t="array" aca="1" ref="BF44" ca="1">IF(TblConstr[[#This Row],[Hour]:[Hour]]&gt;12,OFFSET(TblConstr[[#This Row],[OM]],-12,0),0)+OFFSET(TblConstr[[#This Row],[Tot OM]],-1,0)-TblConstr[[#This Row],[Dest OM]]</f>
        <v>0</v>
      </c>
      <c r="BG44" s="483" cm="1">
        <f t="array" aca="1" ref="BG44" ca="1">IF(TblConstr[[#This Row],[Hour]:[Hour]]&gt;12,OFFSET(TblConstr[[#This Row],[GN]],-12,0),0)+OFFSET(TblConstr[[#This Row],[Tot GN]],-1,0)-TblConstr[[#This Row],[Dest GN]]</f>
        <v>0</v>
      </c>
      <c r="BH44" s="487" cm="1">
        <f t="array" aca="1" ref="BH44" ca="1">IF(TblConstr[[#This Row],[Hour]:[Hour]]&gt;12,OFFSET(TblConstr[[#This Row],[Fac]],-12,0),0)+OFFSET(TblConstr[[#This Row],[Tot Fac]],-1,0)-TblConstr[[#This Row],[Dest Fac]]</f>
        <v>0</v>
      </c>
      <c r="BI44" s="487" cm="1">
        <f t="array" aca="1" ref="BI44" ca="1">IF(TblConstr[[#This Row],[Hour]:[Hour]]&gt;12,OFFSET(TblConstr[[#This Row],[GT]],-12,0),0)+OFFSET(TblConstr[[#This Row],[Tot GT]],-1,0)-TblConstr[[#This Row],[Dest GT]]</f>
        <v>0</v>
      </c>
      <c r="BJ44" s="487" cm="1">
        <f t="array" aca="1" ref="BJ44" ca="1">IF(TblConstr[[#This Row],[Hour]:[Hour]]&gt;12,OFFSET(TblConstr[[#This Row],[Bar]],-12,0),0)+OFFSET(TblConstr[[#This Row],[Tot Bar]],-1,0)-TblConstr[[#This Row],[Dest Bar]]</f>
        <v>0</v>
      </c>
      <c r="BK44" s="487" cm="1">
        <f t="array" aca="1" ref="BK44" ca="1">IF(TblConstr[[#This Row],[Hour]:[Hour]]&gt;12,OFFSET(TblConstr[[#This Row],[Shr]],-12,0),0)+OFFSET(TblConstr[[#This Row],[Tot Shr]],-1,0)-TblConstr[[#This Row],[Dest Shr]]</f>
        <v>0</v>
      </c>
      <c r="BL44" s="491" cm="1">
        <f t="array" aca="1" ref="BL44" ca="1">IF(TblConstr[[#This Row],[Hour]:[Hour]]&gt;12,OFFSET(TblConstr[[#This Row],[Tow]],-12,0),0)+OFFSET(TblConstr[[#This Row],[Tot Tow]],-1,0)-TblConstr[[#This Row],[Dest Tow]]</f>
        <v>0</v>
      </c>
      <c r="BM44" s="491" cm="1">
        <f t="array" aca="1" ref="BM44" ca="1">IF(TblConstr[[#This Row],[Hour]:[Hour]]&gt;12,OFFSET(TblConstr[[#This Row],[Tem]],-12,0),0)+OFFSET(TblConstr[[#This Row],[Tot Tem]],-1,0)-TblConstr[[#This Row],[Dest Tem]]</f>
        <v>0</v>
      </c>
      <c r="BN44" s="491"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44406.41666666657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1">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81">
        <f ca="1">OFFSET(TblConstr[[#This Row],[Mountain]],-1,0)+TblConstr[[#This Row],[Ch_Mountain]]</f>
        <v>20</v>
      </c>
      <c r="J45" s="485">
        <f ca="1">OFFSET(TblConstr[[#This Row],[Hill]],-1,0)+TblConstr[[#This Row],[Ch_Hill]]</f>
        <v>20</v>
      </c>
      <c r="K45" s="489">
        <f ca="1">OFFSET(TblConstr[[#This Row],[Swamp]],-1,0)+TblConstr[[#This Row],[Ch_Swamp]]</f>
        <v>20</v>
      </c>
      <c r="L45" s="239">
        <f ca="1">OFFSET(TblConstr[[#This Row],[Cavern]],-1,0)+TblConstr[[#This Row],[Ch_Cavern]]</f>
        <v>20</v>
      </c>
      <c r="M45" s="240">
        <f ca="1">OFFSET(TblConstr[[#This Row],[Water]],-1,0)+TblConstr[[#This Row],[Ch_Water]]</f>
        <v>20</v>
      </c>
      <c r="N45" s="479">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44406.458333333234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3" cm="1">
        <f t="array" aca="1" ref="BF45" ca="1">IF(TblConstr[[#This Row],[Hour]:[Hour]]&gt;12,OFFSET(TblConstr[[#This Row],[OM]],-12,0),0)+OFFSET(TblConstr[[#This Row],[Tot OM]],-1,0)-TblConstr[[#This Row],[Dest OM]]</f>
        <v>0</v>
      </c>
      <c r="BG45" s="483" cm="1">
        <f t="array" aca="1" ref="BG45" ca="1">IF(TblConstr[[#This Row],[Hour]:[Hour]]&gt;12,OFFSET(TblConstr[[#This Row],[GN]],-12,0),0)+OFFSET(TblConstr[[#This Row],[Tot GN]],-1,0)-TblConstr[[#This Row],[Dest GN]]</f>
        <v>0</v>
      </c>
      <c r="BH45" s="487" cm="1">
        <f t="array" aca="1" ref="BH45" ca="1">IF(TblConstr[[#This Row],[Hour]:[Hour]]&gt;12,OFFSET(TblConstr[[#This Row],[Fac]],-12,0),0)+OFFSET(TblConstr[[#This Row],[Tot Fac]],-1,0)-TblConstr[[#This Row],[Dest Fac]]</f>
        <v>0</v>
      </c>
      <c r="BI45" s="487" cm="1">
        <f t="array" aca="1" ref="BI45" ca="1">IF(TblConstr[[#This Row],[Hour]:[Hour]]&gt;12,OFFSET(TblConstr[[#This Row],[GT]],-12,0),0)+OFFSET(TblConstr[[#This Row],[Tot GT]],-1,0)-TblConstr[[#This Row],[Dest GT]]</f>
        <v>0</v>
      </c>
      <c r="BJ45" s="487" cm="1">
        <f t="array" aca="1" ref="BJ45" ca="1">IF(TblConstr[[#This Row],[Hour]:[Hour]]&gt;12,OFFSET(TblConstr[[#This Row],[Bar]],-12,0),0)+OFFSET(TblConstr[[#This Row],[Tot Bar]],-1,0)-TblConstr[[#This Row],[Dest Bar]]</f>
        <v>0</v>
      </c>
      <c r="BK45" s="487" cm="1">
        <f t="array" aca="1" ref="BK45" ca="1">IF(TblConstr[[#This Row],[Hour]:[Hour]]&gt;12,OFFSET(TblConstr[[#This Row],[Shr]],-12,0),0)+OFFSET(TblConstr[[#This Row],[Tot Shr]],-1,0)-TblConstr[[#This Row],[Dest Shr]]</f>
        <v>0</v>
      </c>
      <c r="BL45" s="491" cm="1">
        <f t="array" aca="1" ref="BL45" ca="1">IF(TblConstr[[#This Row],[Hour]:[Hour]]&gt;12,OFFSET(TblConstr[[#This Row],[Tow]],-12,0),0)+OFFSET(TblConstr[[#This Row],[Tot Tow]],-1,0)-TblConstr[[#This Row],[Dest Tow]]</f>
        <v>0</v>
      </c>
      <c r="BM45" s="491" cm="1">
        <f t="array" aca="1" ref="BM45" ca="1">IF(TblConstr[[#This Row],[Hour]:[Hour]]&gt;12,OFFSET(TblConstr[[#This Row],[Tem]],-12,0),0)+OFFSET(TblConstr[[#This Row],[Tot Tem]],-1,0)-TblConstr[[#This Row],[Dest Tem]]</f>
        <v>0</v>
      </c>
      <c r="BN45" s="491"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44406.458333333234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1">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81">
        <f ca="1">OFFSET(TblConstr[[#This Row],[Mountain]],-1,0)+TblConstr[[#This Row],[Ch_Mountain]]</f>
        <v>20</v>
      </c>
      <c r="J46" s="485">
        <f ca="1">OFFSET(TblConstr[[#This Row],[Hill]],-1,0)+TblConstr[[#This Row],[Ch_Hill]]</f>
        <v>20</v>
      </c>
      <c r="K46" s="489">
        <f ca="1">OFFSET(TblConstr[[#This Row],[Swamp]],-1,0)+TblConstr[[#This Row],[Ch_Swamp]]</f>
        <v>20</v>
      </c>
      <c r="L46" s="239">
        <f ca="1">OFFSET(TblConstr[[#This Row],[Cavern]],-1,0)+TblConstr[[#This Row],[Ch_Cavern]]</f>
        <v>20</v>
      </c>
      <c r="M46" s="240">
        <f ca="1">OFFSET(TblConstr[[#This Row],[Water]],-1,0)+TblConstr[[#This Row],[Ch_Water]]</f>
        <v>20</v>
      </c>
      <c r="N46" s="479">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44406.499999999898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3" cm="1">
        <f t="array" aca="1" ref="BF46" ca="1">IF(TblConstr[[#This Row],[Hour]:[Hour]]&gt;12,OFFSET(TblConstr[[#This Row],[OM]],-12,0),0)+OFFSET(TblConstr[[#This Row],[Tot OM]],-1,0)-TblConstr[[#This Row],[Dest OM]]</f>
        <v>0</v>
      </c>
      <c r="BG46" s="483" cm="1">
        <f t="array" aca="1" ref="BG46" ca="1">IF(TblConstr[[#This Row],[Hour]:[Hour]]&gt;12,OFFSET(TblConstr[[#This Row],[GN]],-12,0),0)+OFFSET(TblConstr[[#This Row],[Tot GN]],-1,0)-TblConstr[[#This Row],[Dest GN]]</f>
        <v>0</v>
      </c>
      <c r="BH46" s="487" cm="1">
        <f t="array" aca="1" ref="BH46" ca="1">IF(TblConstr[[#This Row],[Hour]:[Hour]]&gt;12,OFFSET(TblConstr[[#This Row],[Fac]],-12,0),0)+OFFSET(TblConstr[[#This Row],[Tot Fac]],-1,0)-TblConstr[[#This Row],[Dest Fac]]</f>
        <v>0</v>
      </c>
      <c r="BI46" s="487" cm="1">
        <f t="array" aca="1" ref="BI46" ca="1">IF(TblConstr[[#This Row],[Hour]:[Hour]]&gt;12,OFFSET(TblConstr[[#This Row],[GT]],-12,0),0)+OFFSET(TblConstr[[#This Row],[Tot GT]],-1,0)-TblConstr[[#This Row],[Dest GT]]</f>
        <v>0</v>
      </c>
      <c r="BJ46" s="487" cm="1">
        <f t="array" aca="1" ref="BJ46" ca="1">IF(TblConstr[[#This Row],[Hour]:[Hour]]&gt;12,OFFSET(TblConstr[[#This Row],[Bar]],-12,0),0)+OFFSET(TblConstr[[#This Row],[Tot Bar]],-1,0)-TblConstr[[#This Row],[Dest Bar]]</f>
        <v>0</v>
      </c>
      <c r="BK46" s="487" cm="1">
        <f t="array" aca="1" ref="BK46" ca="1">IF(TblConstr[[#This Row],[Hour]:[Hour]]&gt;12,OFFSET(TblConstr[[#This Row],[Shr]],-12,0),0)+OFFSET(TblConstr[[#This Row],[Tot Shr]],-1,0)-TblConstr[[#This Row],[Dest Shr]]</f>
        <v>0</v>
      </c>
      <c r="BL46" s="491" cm="1">
        <f t="array" aca="1" ref="BL46" ca="1">IF(TblConstr[[#This Row],[Hour]:[Hour]]&gt;12,OFFSET(TblConstr[[#This Row],[Tow]],-12,0),0)+OFFSET(TblConstr[[#This Row],[Tot Tow]],-1,0)-TblConstr[[#This Row],[Dest Tow]]</f>
        <v>0</v>
      </c>
      <c r="BM46" s="491" cm="1">
        <f t="array" aca="1" ref="BM46" ca="1">IF(TblConstr[[#This Row],[Hour]:[Hour]]&gt;12,OFFSET(TblConstr[[#This Row],[Tem]],-12,0),0)+OFFSET(TblConstr[[#This Row],[Tot Tem]],-1,0)-TblConstr[[#This Row],[Dest Tem]]</f>
        <v>0</v>
      </c>
      <c r="BN46" s="491"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44406.499999999898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1">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81">
        <f ca="1">OFFSET(TblConstr[[#This Row],[Mountain]],-1,0)+TblConstr[[#This Row],[Ch_Mountain]]</f>
        <v>20</v>
      </c>
      <c r="J47" s="485">
        <f ca="1">OFFSET(TblConstr[[#This Row],[Hill]],-1,0)+TblConstr[[#This Row],[Ch_Hill]]</f>
        <v>20</v>
      </c>
      <c r="K47" s="489">
        <f ca="1">OFFSET(TblConstr[[#This Row],[Swamp]],-1,0)+TblConstr[[#This Row],[Ch_Swamp]]</f>
        <v>20</v>
      </c>
      <c r="L47" s="239">
        <f ca="1">OFFSET(TblConstr[[#This Row],[Cavern]],-1,0)+TblConstr[[#This Row],[Ch_Cavern]]</f>
        <v>20</v>
      </c>
      <c r="M47" s="240">
        <f ca="1">OFFSET(TblConstr[[#This Row],[Water]],-1,0)+TblConstr[[#This Row],[Ch_Water]]</f>
        <v>20</v>
      </c>
      <c r="N47" s="479">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44406.541666666562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3" cm="1">
        <f t="array" aca="1" ref="BF47" ca="1">IF(TblConstr[[#This Row],[Hour]:[Hour]]&gt;12,OFFSET(TblConstr[[#This Row],[OM]],-12,0),0)+OFFSET(TblConstr[[#This Row],[Tot OM]],-1,0)-TblConstr[[#This Row],[Dest OM]]</f>
        <v>0</v>
      </c>
      <c r="BG47" s="483" cm="1">
        <f t="array" aca="1" ref="BG47" ca="1">IF(TblConstr[[#This Row],[Hour]:[Hour]]&gt;12,OFFSET(TblConstr[[#This Row],[GN]],-12,0),0)+OFFSET(TblConstr[[#This Row],[Tot GN]],-1,0)-TblConstr[[#This Row],[Dest GN]]</f>
        <v>0</v>
      </c>
      <c r="BH47" s="487" cm="1">
        <f t="array" aca="1" ref="BH47" ca="1">IF(TblConstr[[#This Row],[Hour]:[Hour]]&gt;12,OFFSET(TblConstr[[#This Row],[Fac]],-12,0),0)+OFFSET(TblConstr[[#This Row],[Tot Fac]],-1,0)-TblConstr[[#This Row],[Dest Fac]]</f>
        <v>0</v>
      </c>
      <c r="BI47" s="487" cm="1">
        <f t="array" aca="1" ref="BI47" ca="1">IF(TblConstr[[#This Row],[Hour]:[Hour]]&gt;12,OFFSET(TblConstr[[#This Row],[GT]],-12,0),0)+OFFSET(TblConstr[[#This Row],[Tot GT]],-1,0)-TblConstr[[#This Row],[Dest GT]]</f>
        <v>0</v>
      </c>
      <c r="BJ47" s="487" cm="1">
        <f t="array" aca="1" ref="BJ47" ca="1">IF(TblConstr[[#This Row],[Hour]:[Hour]]&gt;12,OFFSET(TblConstr[[#This Row],[Bar]],-12,0),0)+OFFSET(TblConstr[[#This Row],[Tot Bar]],-1,0)-TblConstr[[#This Row],[Dest Bar]]</f>
        <v>0</v>
      </c>
      <c r="BK47" s="487" cm="1">
        <f t="array" aca="1" ref="BK47" ca="1">IF(TblConstr[[#This Row],[Hour]:[Hour]]&gt;12,OFFSET(TblConstr[[#This Row],[Shr]],-12,0),0)+OFFSET(TblConstr[[#This Row],[Tot Shr]],-1,0)-TblConstr[[#This Row],[Dest Shr]]</f>
        <v>0</v>
      </c>
      <c r="BL47" s="491" cm="1">
        <f t="array" aca="1" ref="BL47" ca="1">IF(TblConstr[[#This Row],[Hour]:[Hour]]&gt;12,OFFSET(TblConstr[[#This Row],[Tow]],-12,0),0)+OFFSET(TblConstr[[#This Row],[Tot Tow]],-1,0)-TblConstr[[#This Row],[Dest Tow]]</f>
        <v>0</v>
      </c>
      <c r="BM47" s="491" cm="1">
        <f t="array" aca="1" ref="BM47" ca="1">IF(TblConstr[[#This Row],[Hour]:[Hour]]&gt;12,OFFSET(TblConstr[[#This Row],[Tem]],-12,0),0)+OFFSET(TblConstr[[#This Row],[Tot Tem]],-1,0)-TblConstr[[#This Row],[Dest Tem]]</f>
        <v>0</v>
      </c>
      <c r="BN47" s="491"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44406.541666666562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1">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81">
        <f ca="1">OFFSET(TblConstr[[#This Row],[Mountain]],-1,0)+TblConstr[[#This Row],[Ch_Mountain]]</f>
        <v>20</v>
      </c>
      <c r="J48" s="485">
        <f ca="1">OFFSET(TblConstr[[#This Row],[Hill]],-1,0)+TblConstr[[#This Row],[Ch_Hill]]</f>
        <v>20</v>
      </c>
      <c r="K48" s="489">
        <f ca="1">OFFSET(TblConstr[[#This Row],[Swamp]],-1,0)+TblConstr[[#This Row],[Ch_Swamp]]</f>
        <v>20</v>
      </c>
      <c r="L48" s="239">
        <f ca="1">OFFSET(TblConstr[[#This Row],[Cavern]],-1,0)+TblConstr[[#This Row],[Ch_Cavern]]</f>
        <v>20</v>
      </c>
      <c r="M48" s="240">
        <f ca="1">OFFSET(TblConstr[[#This Row],[Water]],-1,0)+TblConstr[[#This Row],[Ch_Water]]</f>
        <v>20</v>
      </c>
      <c r="N48" s="479">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44406.583333333227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3" cm="1">
        <f t="array" aca="1" ref="BF48" ca="1">IF(TblConstr[[#This Row],[Hour]:[Hour]]&gt;12,OFFSET(TblConstr[[#This Row],[OM]],-12,0),0)+OFFSET(TblConstr[[#This Row],[Tot OM]],-1,0)-TblConstr[[#This Row],[Dest OM]]</f>
        <v>0</v>
      </c>
      <c r="BG48" s="483" cm="1">
        <f t="array" aca="1" ref="BG48" ca="1">IF(TblConstr[[#This Row],[Hour]:[Hour]]&gt;12,OFFSET(TblConstr[[#This Row],[GN]],-12,0),0)+OFFSET(TblConstr[[#This Row],[Tot GN]],-1,0)-TblConstr[[#This Row],[Dest GN]]</f>
        <v>0</v>
      </c>
      <c r="BH48" s="487" cm="1">
        <f t="array" aca="1" ref="BH48" ca="1">IF(TblConstr[[#This Row],[Hour]:[Hour]]&gt;12,OFFSET(TblConstr[[#This Row],[Fac]],-12,0),0)+OFFSET(TblConstr[[#This Row],[Tot Fac]],-1,0)-TblConstr[[#This Row],[Dest Fac]]</f>
        <v>0</v>
      </c>
      <c r="BI48" s="487" cm="1">
        <f t="array" aca="1" ref="BI48" ca="1">IF(TblConstr[[#This Row],[Hour]:[Hour]]&gt;12,OFFSET(TblConstr[[#This Row],[GT]],-12,0),0)+OFFSET(TblConstr[[#This Row],[Tot GT]],-1,0)-TblConstr[[#This Row],[Dest GT]]</f>
        <v>0</v>
      </c>
      <c r="BJ48" s="487" cm="1">
        <f t="array" aca="1" ref="BJ48" ca="1">IF(TblConstr[[#This Row],[Hour]:[Hour]]&gt;12,OFFSET(TblConstr[[#This Row],[Bar]],-12,0),0)+OFFSET(TblConstr[[#This Row],[Tot Bar]],-1,0)-TblConstr[[#This Row],[Dest Bar]]</f>
        <v>0</v>
      </c>
      <c r="BK48" s="487" cm="1">
        <f t="array" aca="1" ref="BK48" ca="1">IF(TblConstr[[#This Row],[Hour]:[Hour]]&gt;12,OFFSET(TblConstr[[#This Row],[Shr]],-12,0),0)+OFFSET(TblConstr[[#This Row],[Tot Shr]],-1,0)-TblConstr[[#This Row],[Dest Shr]]</f>
        <v>0</v>
      </c>
      <c r="BL48" s="491" cm="1">
        <f t="array" aca="1" ref="BL48" ca="1">IF(TblConstr[[#This Row],[Hour]:[Hour]]&gt;12,OFFSET(TblConstr[[#This Row],[Tow]],-12,0),0)+OFFSET(TblConstr[[#This Row],[Tot Tow]],-1,0)-TblConstr[[#This Row],[Dest Tow]]</f>
        <v>0</v>
      </c>
      <c r="BM48" s="491" cm="1">
        <f t="array" aca="1" ref="BM48" ca="1">IF(TblConstr[[#This Row],[Hour]:[Hour]]&gt;12,OFFSET(TblConstr[[#This Row],[Tem]],-12,0),0)+OFFSET(TblConstr[[#This Row],[Tot Tem]],-1,0)-TblConstr[[#This Row],[Dest Tem]]</f>
        <v>0</v>
      </c>
      <c r="BN48" s="491"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44406.583333333227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1">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81">
        <f ca="1">OFFSET(TblConstr[[#This Row],[Mountain]],-1,0)+TblConstr[[#This Row],[Ch_Mountain]]</f>
        <v>20</v>
      </c>
      <c r="J49" s="485">
        <f ca="1">OFFSET(TblConstr[[#This Row],[Hill]],-1,0)+TblConstr[[#This Row],[Ch_Hill]]</f>
        <v>20</v>
      </c>
      <c r="K49" s="489">
        <f ca="1">OFFSET(TblConstr[[#This Row],[Swamp]],-1,0)+TblConstr[[#This Row],[Ch_Swamp]]</f>
        <v>20</v>
      </c>
      <c r="L49" s="239">
        <f ca="1">OFFSET(TblConstr[[#This Row],[Cavern]],-1,0)+TblConstr[[#This Row],[Ch_Cavern]]</f>
        <v>20</v>
      </c>
      <c r="M49" s="240">
        <f ca="1">OFFSET(TblConstr[[#This Row],[Water]],-1,0)+TblConstr[[#This Row],[Ch_Water]]</f>
        <v>20</v>
      </c>
      <c r="N49" s="479">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44406.624999999891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3" cm="1">
        <f t="array" aca="1" ref="BF49" ca="1">IF(TblConstr[[#This Row],[Hour]:[Hour]]&gt;12,OFFSET(TblConstr[[#This Row],[OM]],-12,0),0)+OFFSET(TblConstr[[#This Row],[Tot OM]],-1,0)-TblConstr[[#This Row],[Dest OM]]</f>
        <v>0</v>
      </c>
      <c r="BG49" s="483" cm="1">
        <f t="array" aca="1" ref="BG49" ca="1">IF(TblConstr[[#This Row],[Hour]:[Hour]]&gt;12,OFFSET(TblConstr[[#This Row],[GN]],-12,0),0)+OFFSET(TblConstr[[#This Row],[Tot GN]],-1,0)-TblConstr[[#This Row],[Dest GN]]</f>
        <v>0</v>
      </c>
      <c r="BH49" s="487" cm="1">
        <f t="array" aca="1" ref="BH49" ca="1">IF(TblConstr[[#This Row],[Hour]:[Hour]]&gt;12,OFFSET(TblConstr[[#This Row],[Fac]],-12,0),0)+OFFSET(TblConstr[[#This Row],[Tot Fac]],-1,0)-TblConstr[[#This Row],[Dest Fac]]</f>
        <v>0</v>
      </c>
      <c r="BI49" s="487" cm="1">
        <f t="array" aca="1" ref="BI49" ca="1">IF(TblConstr[[#This Row],[Hour]:[Hour]]&gt;12,OFFSET(TblConstr[[#This Row],[GT]],-12,0),0)+OFFSET(TblConstr[[#This Row],[Tot GT]],-1,0)-TblConstr[[#This Row],[Dest GT]]</f>
        <v>0</v>
      </c>
      <c r="BJ49" s="487" cm="1">
        <f t="array" aca="1" ref="BJ49" ca="1">IF(TblConstr[[#This Row],[Hour]:[Hour]]&gt;12,OFFSET(TblConstr[[#This Row],[Bar]],-12,0),0)+OFFSET(TblConstr[[#This Row],[Tot Bar]],-1,0)-TblConstr[[#This Row],[Dest Bar]]</f>
        <v>0</v>
      </c>
      <c r="BK49" s="487" cm="1">
        <f t="array" aca="1" ref="BK49" ca="1">IF(TblConstr[[#This Row],[Hour]:[Hour]]&gt;12,OFFSET(TblConstr[[#This Row],[Shr]],-12,0),0)+OFFSET(TblConstr[[#This Row],[Tot Shr]],-1,0)-TblConstr[[#This Row],[Dest Shr]]</f>
        <v>0</v>
      </c>
      <c r="BL49" s="491" cm="1">
        <f t="array" aca="1" ref="BL49" ca="1">IF(TblConstr[[#This Row],[Hour]:[Hour]]&gt;12,OFFSET(TblConstr[[#This Row],[Tow]],-12,0),0)+OFFSET(TblConstr[[#This Row],[Tot Tow]],-1,0)-TblConstr[[#This Row],[Dest Tow]]</f>
        <v>0</v>
      </c>
      <c r="BM49" s="491" cm="1">
        <f t="array" aca="1" ref="BM49" ca="1">IF(TblConstr[[#This Row],[Hour]:[Hour]]&gt;12,OFFSET(TblConstr[[#This Row],[Tem]],-12,0),0)+OFFSET(TblConstr[[#This Row],[Tot Tem]],-1,0)-TblConstr[[#This Row],[Dest Tem]]</f>
        <v>0</v>
      </c>
      <c r="BN49" s="491"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44406.624999999891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1">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81">
        <f ca="1">OFFSET(TblConstr[[#This Row],[Mountain]],-1,0)+TblConstr[[#This Row],[Ch_Mountain]]</f>
        <v>20</v>
      </c>
      <c r="J50" s="485">
        <f ca="1">OFFSET(TblConstr[[#This Row],[Hill]],-1,0)+TblConstr[[#This Row],[Ch_Hill]]</f>
        <v>20</v>
      </c>
      <c r="K50" s="489">
        <f ca="1">OFFSET(TblConstr[[#This Row],[Swamp]],-1,0)+TblConstr[[#This Row],[Ch_Swamp]]</f>
        <v>20</v>
      </c>
      <c r="L50" s="239">
        <f ca="1">OFFSET(TblConstr[[#This Row],[Cavern]],-1,0)+TblConstr[[#This Row],[Ch_Cavern]]</f>
        <v>20</v>
      </c>
      <c r="M50" s="240">
        <f ca="1">OFFSET(TblConstr[[#This Row],[Water]],-1,0)+TblConstr[[#This Row],[Ch_Water]]</f>
        <v>20</v>
      </c>
      <c r="N50" s="479">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44406.666666666555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3" cm="1">
        <f t="array" aca="1" ref="BF50" ca="1">IF(TblConstr[[#This Row],[Hour]:[Hour]]&gt;12,OFFSET(TblConstr[[#This Row],[OM]],-12,0),0)+OFFSET(TblConstr[[#This Row],[Tot OM]],-1,0)-TblConstr[[#This Row],[Dest OM]]</f>
        <v>0</v>
      </c>
      <c r="BG50" s="483" cm="1">
        <f t="array" aca="1" ref="BG50" ca="1">IF(TblConstr[[#This Row],[Hour]:[Hour]]&gt;12,OFFSET(TblConstr[[#This Row],[GN]],-12,0),0)+OFFSET(TblConstr[[#This Row],[Tot GN]],-1,0)-TblConstr[[#This Row],[Dest GN]]</f>
        <v>0</v>
      </c>
      <c r="BH50" s="487" cm="1">
        <f t="array" aca="1" ref="BH50" ca="1">IF(TblConstr[[#This Row],[Hour]:[Hour]]&gt;12,OFFSET(TblConstr[[#This Row],[Fac]],-12,0),0)+OFFSET(TblConstr[[#This Row],[Tot Fac]],-1,0)-TblConstr[[#This Row],[Dest Fac]]</f>
        <v>0</v>
      </c>
      <c r="BI50" s="487" cm="1">
        <f t="array" aca="1" ref="BI50" ca="1">IF(TblConstr[[#This Row],[Hour]:[Hour]]&gt;12,OFFSET(TblConstr[[#This Row],[GT]],-12,0),0)+OFFSET(TblConstr[[#This Row],[Tot GT]],-1,0)-TblConstr[[#This Row],[Dest GT]]</f>
        <v>0</v>
      </c>
      <c r="BJ50" s="487" cm="1">
        <f t="array" aca="1" ref="BJ50" ca="1">IF(TblConstr[[#This Row],[Hour]:[Hour]]&gt;12,OFFSET(TblConstr[[#This Row],[Bar]],-12,0),0)+OFFSET(TblConstr[[#This Row],[Tot Bar]],-1,0)-TblConstr[[#This Row],[Dest Bar]]</f>
        <v>0</v>
      </c>
      <c r="BK50" s="487" cm="1">
        <f t="array" aca="1" ref="BK50" ca="1">IF(TblConstr[[#This Row],[Hour]:[Hour]]&gt;12,OFFSET(TblConstr[[#This Row],[Shr]],-12,0),0)+OFFSET(TblConstr[[#This Row],[Tot Shr]],-1,0)-TblConstr[[#This Row],[Dest Shr]]</f>
        <v>0</v>
      </c>
      <c r="BL50" s="491" cm="1">
        <f t="array" aca="1" ref="BL50" ca="1">IF(TblConstr[[#This Row],[Hour]:[Hour]]&gt;12,OFFSET(TblConstr[[#This Row],[Tow]],-12,0),0)+OFFSET(TblConstr[[#This Row],[Tot Tow]],-1,0)-TblConstr[[#This Row],[Dest Tow]]</f>
        <v>0</v>
      </c>
      <c r="BM50" s="491" cm="1">
        <f t="array" aca="1" ref="BM50" ca="1">IF(TblConstr[[#This Row],[Hour]:[Hour]]&gt;12,OFFSET(TblConstr[[#This Row],[Tem]],-12,0),0)+OFFSET(TblConstr[[#This Row],[Tot Tem]],-1,0)-TblConstr[[#This Row],[Dest Tem]]</f>
        <v>0</v>
      </c>
      <c r="BN50" s="491"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44406.666666666555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1">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81">
        <f ca="1">OFFSET(TblConstr[[#This Row],[Mountain]],-1,0)+TblConstr[[#This Row],[Ch_Mountain]]</f>
        <v>20</v>
      </c>
      <c r="J51" s="485">
        <f ca="1">OFFSET(TblConstr[[#This Row],[Hill]],-1,0)+TblConstr[[#This Row],[Ch_Hill]]</f>
        <v>20</v>
      </c>
      <c r="K51" s="489">
        <f ca="1">OFFSET(TblConstr[[#This Row],[Swamp]],-1,0)+TblConstr[[#This Row],[Ch_Swamp]]</f>
        <v>20</v>
      </c>
      <c r="L51" s="239">
        <f ca="1">OFFSET(TblConstr[[#This Row],[Cavern]],-1,0)+TblConstr[[#This Row],[Ch_Cavern]]</f>
        <v>20</v>
      </c>
      <c r="M51" s="240">
        <f ca="1">OFFSET(TblConstr[[#This Row],[Water]],-1,0)+TblConstr[[#This Row],[Ch_Water]]</f>
        <v>20</v>
      </c>
      <c r="N51" s="479">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44406.708333333219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3" cm="1">
        <f t="array" aca="1" ref="BF51" ca="1">IF(TblConstr[[#This Row],[Hour]:[Hour]]&gt;12,OFFSET(TblConstr[[#This Row],[OM]],-12,0),0)+OFFSET(TblConstr[[#This Row],[Tot OM]],-1,0)-TblConstr[[#This Row],[Dest OM]]</f>
        <v>0</v>
      </c>
      <c r="BG51" s="483" cm="1">
        <f t="array" aca="1" ref="BG51" ca="1">IF(TblConstr[[#This Row],[Hour]:[Hour]]&gt;12,OFFSET(TblConstr[[#This Row],[GN]],-12,0),0)+OFFSET(TblConstr[[#This Row],[Tot GN]],-1,0)-TblConstr[[#This Row],[Dest GN]]</f>
        <v>0</v>
      </c>
      <c r="BH51" s="487" cm="1">
        <f t="array" aca="1" ref="BH51" ca="1">IF(TblConstr[[#This Row],[Hour]:[Hour]]&gt;12,OFFSET(TblConstr[[#This Row],[Fac]],-12,0),0)+OFFSET(TblConstr[[#This Row],[Tot Fac]],-1,0)-TblConstr[[#This Row],[Dest Fac]]</f>
        <v>0</v>
      </c>
      <c r="BI51" s="487" cm="1">
        <f t="array" aca="1" ref="BI51" ca="1">IF(TblConstr[[#This Row],[Hour]:[Hour]]&gt;12,OFFSET(TblConstr[[#This Row],[GT]],-12,0),0)+OFFSET(TblConstr[[#This Row],[Tot GT]],-1,0)-TblConstr[[#This Row],[Dest GT]]</f>
        <v>0</v>
      </c>
      <c r="BJ51" s="487" cm="1">
        <f t="array" aca="1" ref="BJ51" ca="1">IF(TblConstr[[#This Row],[Hour]:[Hour]]&gt;12,OFFSET(TblConstr[[#This Row],[Bar]],-12,0),0)+OFFSET(TblConstr[[#This Row],[Tot Bar]],-1,0)-TblConstr[[#This Row],[Dest Bar]]</f>
        <v>0</v>
      </c>
      <c r="BK51" s="487" cm="1">
        <f t="array" aca="1" ref="BK51" ca="1">IF(TblConstr[[#This Row],[Hour]:[Hour]]&gt;12,OFFSET(TblConstr[[#This Row],[Shr]],-12,0),0)+OFFSET(TblConstr[[#This Row],[Tot Shr]],-1,0)-TblConstr[[#This Row],[Dest Shr]]</f>
        <v>0</v>
      </c>
      <c r="BL51" s="491" cm="1">
        <f t="array" aca="1" ref="BL51" ca="1">IF(TblConstr[[#This Row],[Hour]:[Hour]]&gt;12,OFFSET(TblConstr[[#This Row],[Tow]],-12,0),0)+OFFSET(TblConstr[[#This Row],[Tot Tow]],-1,0)-TblConstr[[#This Row],[Dest Tow]]</f>
        <v>0</v>
      </c>
      <c r="BM51" s="491" cm="1">
        <f t="array" aca="1" ref="BM51" ca="1">IF(TblConstr[[#This Row],[Hour]:[Hour]]&gt;12,OFFSET(TblConstr[[#This Row],[Tem]],-12,0),0)+OFFSET(TblConstr[[#This Row],[Tot Tem]],-1,0)-TblConstr[[#This Row],[Dest Tem]]</f>
        <v>0</v>
      </c>
      <c r="BN51" s="491"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44406.708333333219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1">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81">
        <f ca="1">OFFSET(TblConstr[[#This Row],[Mountain]],-1,0)+TblConstr[[#This Row],[Ch_Mountain]]</f>
        <v>20</v>
      </c>
      <c r="J52" s="485">
        <f ca="1">OFFSET(TblConstr[[#This Row],[Hill]],-1,0)+TblConstr[[#This Row],[Ch_Hill]]</f>
        <v>20</v>
      </c>
      <c r="K52" s="489">
        <f ca="1">OFFSET(TblConstr[[#This Row],[Swamp]],-1,0)+TblConstr[[#This Row],[Ch_Swamp]]</f>
        <v>20</v>
      </c>
      <c r="L52" s="239">
        <f ca="1">OFFSET(TblConstr[[#This Row],[Cavern]],-1,0)+TblConstr[[#This Row],[Ch_Cavern]]</f>
        <v>20</v>
      </c>
      <c r="M52" s="240">
        <f ca="1">OFFSET(TblConstr[[#This Row],[Water]],-1,0)+TblConstr[[#This Row],[Ch_Water]]</f>
        <v>20</v>
      </c>
      <c r="N52" s="479">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44406.749999999884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3" cm="1">
        <f t="array" aca="1" ref="BF52" ca="1">IF(TblConstr[[#This Row],[Hour]:[Hour]]&gt;12,OFFSET(TblConstr[[#This Row],[OM]],-12,0),0)+OFFSET(TblConstr[[#This Row],[Tot OM]],-1,0)-TblConstr[[#This Row],[Dest OM]]</f>
        <v>0</v>
      </c>
      <c r="BG52" s="483" cm="1">
        <f t="array" aca="1" ref="BG52" ca="1">IF(TblConstr[[#This Row],[Hour]:[Hour]]&gt;12,OFFSET(TblConstr[[#This Row],[GN]],-12,0),0)+OFFSET(TblConstr[[#This Row],[Tot GN]],-1,0)-TblConstr[[#This Row],[Dest GN]]</f>
        <v>0</v>
      </c>
      <c r="BH52" s="487" cm="1">
        <f t="array" aca="1" ref="BH52" ca="1">IF(TblConstr[[#This Row],[Hour]:[Hour]]&gt;12,OFFSET(TblConstr[[#This Row],[Fac]],-12,0),0)+OFFSET(TblConstr[[#This Row],[Tot Fac]],-1,0)-TblConstr[[#This Row],[Dest Fac]]</f>
        <v>0</v>
      </c>
      <c r="BI52" s="487" cm="1">
        <f t="array" aca="1" ref="BI52" ca="1">IF(TblConstr[[#This Row],[Hour]:[Hour]]&gt;12,OFFSET(TblConstr[[#This Row],[GT]],-12,0),0)+OFFSET(TblConstr[[#This Row],[Tot GT]],-1,0)-TblConstr[[#This Row],[Dest GT]]</f>
        <v>0</v>
      </c>
      <c r="BJ52" s="487" cm="1">
        <f t="array" aca="1" ref="BJ52" ca="1">IF(TblConstr[[#This Row],[Hour]:[Hour]]&gt;12,OFFSET(TblConstr[[#This Row],[Bar]],-12,0),0)+OFFSET(TblConstr[[#This Row],[Tot Bar]],-1,0)-TblConstr[[#This Row],[Dest Bar]]</f>
        <v>0</v>
      </c>
      <c r="BK52" s="487" cm="1">
        <f t="array" aca="1" ref="BK52" ca="1">IF(TblConstr[[#This Row],[Hour]:[Hour]]&gt;12,OFFSET(TblConstr[[#This Row],[Shr]],-12,0),0)+OFFSET(TblConstr[[#This Row],[Tot Shr]],-1,0)-TblConstr[[#This Row],[Dest Shr]]</f>
        <v>0</v>
      </c>
      <c r="BL52" s="491" cm="1">
        <f t="array" aca="1" ref="BL52" ca="1">IF(TblConstr[[#This Row],[Hour]:[Hour]]&gt;12,OFFSET(TblConstr[[#This Row],[Tow]],-12,0),0)+OFFSET(TblConstr[[#This Row],[Tot Tow]],-1,0)-TblConstr[[#This Row],[Dest Tow]]</f>
        <v>0</v>
      </c>
      <c r="BM52" s="491" cm="1">
        <f t="array" aca="1" ref="BM52" ca="1">IF(TblConstr[[#This Row],[Hour]:[Hour]]&gt;12,OFFSET(TblConstr[[#This Row],[Tem]],-12,0),0)+OFFSET(TblConstr[[#This Row],[Tot Tem]],-1,0)-TblConstr[[#This Row],[Dest Tem]]</f>
        <v>0</v>
      </c>
      <c r="BN52" s="491"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44406.749999999884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1">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81">
        <f ca="1">OFFSET(TblConstr[[#This Row],[Mountain]],-1,0)+TblConstr[[#This Row],[Ch_Mountain]]</f>
        <v>20</v>
      </c>
      <c r="J53" s="485">
        <f ca="1">OFFSET(TblConstr[[#This Row],[Hill]],-1,0)+TblConstr[[#This Row],[Ch_Hill]]</f>
        <v>20</v>
      </c>
      <c r="K53" s="489">
        <f ca="1">OFFSET(TblConstr[[#This Row],[Swamp]],-1,0)+TblConstr[[#This Row],[Ch_Swamp]]</f>
        <v>20</v>
      </c>
      <c r="L53" s="239">
        <f ca="1">OFFSET(TblConstr[[#This Row],[Cavern]],-1,0)+TblConstr[[#This Row],[Ch_Cavern]]</f>
        <v>20</v>
      </c>
      <c r="M53" s="240">
        <f ca="1">OFFSET(TblConstr[[#This Row],[Water]],-1,0)+TblConstr[[#This Row],[Ch_Water]]</f>
        <v>20</v>
      </c>
      <c r="N53" s="479">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44406.791666666548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3" cm="1">
        <f t="array" aca="1" ref="BF53" ca="1">IF(TblConstr[[#This Row],[Hour]:[Hour]]&gt;12,OFFSET(TblConstr[[#This Row],[OM]],-12,0),0)+OFFSET(TblConstr[[#This Row],[Tot OM]],-1,0)-TblConstr[[#This Row],[Dest OM]]</f>
        <v>0</v>
      </c>
      <c r="BG53" s="483" cm="1">
        <f t="array" aca="1" ref="BG53" ca="1">IF(TblConstr[[#This Row],[Hour]:[Hour]]&gt;12,OFFSET(TblConstr[[#This Row],[GN]],-12,0),0)+OFFSET(TblConstr[[#This Row],[Tot GN]],-1,0)-TblConstr[[#This Row],[Dest GN]]</f>
        <v>0</v>
      </c>
      <c r="BH53" s="487" cm="1">
        <f t="array" aca="1" ref="BH53" ca="1">IF(TblConstr[[#This Row],[Hour]:[Hour]]&gt;12,OFFSET(TblConstr[[#This Row],[Fac]],-12,0),0)+OFFSET(TblConstr[[#This Row],[Tot Fac]],-1,0)-TblConstr[[#This Row],[Dest Fac]]</f>
        <v>0</v>
      </c>
      <c r="BI53" s="487" cm="1">
        <f t="array" aca="1" ref="BI53" ca="1">IF(TblConstr[[#This Row],[Hour]:[Hour]]&gt;12,OFFSET(TblConstr[[#This Row],[GT]],-12,0),0)+OFFSET(TblConstr[[#This Row],[Tot GT]],-1,0)-TblConstr[[#This Row],[Dest GT]]</f>
        <v>0</v>
      </c>
      <c r="BJ53" s="487" cm="1">
        <f t="array" aca="1" ref="BJ53" ca="1">IF(TblConstr[[#This Row],[Hour]:[Hour]]&gt;12,OFFSET(TblConstr[[#This Row],[Bar]],-12,0),0)+OFFSET(TblConstr[[#This Row],[Tot Bar]],-1,0)-TblConstr[[#This Row],[Dest Bar]]</f>
        <v>0</v>
      </c>
      <c r="BK53" s="487" cm="1">
        <f t="array" aca="1" ref="BK53" ca="1">IF(TblConstr[[#This Row],[Hour]:[Hour]]&gt;12,OFFSET(TblConstr[[#This Row],[Shr]],-12,0),0)+OFFSET(TblConstr[[#This Row],[Tot Shr]],-1,0)-TblConstr[[#This Row],[Dest Shr]]</f>
        <v>0</v>
      </c>
      <c r="BL53" s="491" cm="1">
        <f t="array" aca="1" ref="BL53" ca="1">IF(TblConstr[[#This Row],[Hour]:[Hour]]&gt;12,OFFSET(TblConstr[[#This Row],[Tow]],-12,0),0)+OFFSET(TblConstr[[#This Row],[Tot Tow]],-1,0)-TblConstr[[#This Row],[Dest Tow]]</f>
        <v>0</v>
      </c>
      <c r="BM53" s="491" cm="1">
        <f t="array" aca="1" ref="BM53" ca="1">IF(TblConstr[[#This Row],[Hour]:[Hour]]&gt;12,OFFSET(TblConstr[[#This Row],[Tem]],-12,0),0)+OFFSET(TblConstr[[#This Row],[Tot Tem]],-1,0)-TblConstr[[#This Row],[Dest Tem]]</f>
        <v>0</v>
      </c>
      <c r="BN53" s="491"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44406.791666666548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1">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81">
        <f ca="1">OFFSET(TblConstr[[#This Row],[Mountain]],-1,0)+TblConstr[[#This Row],[Ch_Mountain]]</f>
        <v>20</v>
      </c>
      <c r="J54" s="485">
        <f ca="1">OFFSET(TblConstr[[#This Row],[Hill]],-1,0)+TblConstr[[#This Row],[Ch_Hill]]</f>
        <v>20</v>
      </c>
      <c r="K54" s="489">
        <f ca="1">OFFSET(TblConstr[[#This Row],[Swamp]],-1,0)+TblConstr[[#This Row],[Ch_Swamp]]</f>
        <v>20</v>
      </c>
      <c r="L54" s="239">
        <f ca="1">OFFSET(TblConstr[[#This Row],[Cavern]],-1,0)+TblConstr[[#This Row],[Ch_Cavern]]</f>
        <v>20</v>
      </c>
      <c r="M54" s="240">
        <f ca="1">OFFSET(TblConstr[[#This Row],[Water]],-1,0)+TblConstr[[#This Row],[Ch_Water]]</f>
        <v>20</v>
      </c>
      <c r="N54" s="479">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44406.833333333212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3" cm="1">
        <f t="array" aca="1" ref="BF54" ca="1">IF(TblConstr[[#This Row],[Hour]:[Hour]]&gt;12,OFFSET(TblConstr[[#This Row],[OM]],-12,0),0)+OFFSET(TblConstr[[#This Row],[Tot OM]],-1,0)-TblConstr[[#This Row],[Dest OM]]</f>
        <v>0</v>
      </c>
      <c r="BG54" s="483" cm="1">
        <f t="array" aca="1" ref="BG54" ca="1">IF(TblConstr[[#This Row],[Hour]:[Hour]]&gt;12,OFFSET(TblConstr[[#This Row],[GN]],-12,0),0)+OFFSET(TblConstr[[#This Row],[Tot GN]],-1,0)-TblConstr[[#This Row],[Dest GN]]</f>
        <v>0</v>
      </c>
      <c r="BH54" s="487" cm="1">
        <f t="array" aca="1" ref="BH54" ca="1">IF(TblConstr[[#This Row],[Hour]:[Hour]]&gt;12,OFFSET(TblConstr[[#This Row],[Fac]],-12,0),0)+OFFSET(TblConstr[[#This Row],[Tot Fac]],-1,0)-TblConstr[[#This Row],[Dest Fac]]</f>
        <v>0</v>
      </c>
      <c r="BI54" s="487" cm="1">
        <f t="array" aca="1" ref="BI54" ca="1">IF(TblConstr[[#This Row],[Hour]:[Hour]]&gt;12,OFFSET(TblConstr[[#This Row],[GT]],-12,0),0)+OFFSET(TblConstr[[#This Row],[Tot GT]],-1,0)-TblConstr[[#This Row],[Dest GT]]</f>
        <v>0</v>
      </c>
      <c r="BJ54" s="487" cm="1">
        <f t="array" aca="1" ref="BJ54" ca="1">IF(TblConstr[[#This Row],[Hour]:[Hour]]&gt;12,OFFSET(TblConstr[[#This Row],[Bar]],-12,0),0)+OFFSET(TblConstr[[#This Row],[Tot Bar]],-1,0)-TblConstr[[#This Row],[Dest Bar]]</f>
        <v>0</v>
      </c>
      <c r="BK54" s="487" cm="1">
        <f t="array" aca="1" ref="BK54" ca="1">IF(TblConstr[[#This Row],[Hour]:[Hour]]&gt;12,OFFSET(TblConstr[[#This Row],[Shr]],-12,0),0)+OFFSET(TblConstr[[#This Row],[Tot Shr]],-1,0)-TblConstr[[#This Row],[Dest Shr]]</f>
        <v>0</v>
      </c>
      <c r="BL54" s="491" cm="1">
        <f t="array" aca="1" ref="BL54" ca="1">IF(TblConstr[[#This Row],[Hour]:[Hour]]&gt;12,OFFSET(TblConstr[[#This Row],[Tow]],-12,0),0)+OFFSET(TblConstr[[#This Row],[Tot Tow]],-1,0)-TblConstr[[#This Row],[Dest Tow]]</f>
        <v>0</v>
      </c>
      <c r="BM54" s="491" cm="1">
        <f t="array" aca="1" ref="BM54" ca="1">IF(TblConstr[[#This Row],[Hour]:[Hour]]&gt;12,OFFSET(TblConstr[[#This Row],[Tem]],-12,0),0)+OFFSET(TblConstr[[#This Row],[Tot Tem]],-1,0)-TblConstr[[#This Row],[Dest Tem]]</f>
        <v>0</v>
      </c>
      <c r="BN54" s="491"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44406.833333333212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1">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81">
        <f ca="1">OFFSET(TblConstr[[#This Row],[Mountain]],-1,0)+TblConstr[[#This Row],[Ch_Mountain]]</f>
        <v>20</v>
      </c>
      <c r="J55" s="485">
        <f ca="1">OFFSET(TblConstr[[#This Row],[Hill]],-1,0)+TblConstr[[#This Row],[Ch_Hill]]</f>
        <v>20</v>
      </c>
      <c r="K55" s="489">
        <f ca="1">OFFSET(TblConstr[[#This Row],[Swamp]],-1,0)+TblConstr[[#This Row],[Ch_Swamp]]</f>
        <v>20</v>
      </c>
      <c r="L55" s="239">
        <f ca="1">OFFSET(TblConstr[[#This Row],[Cavern]],-1,0)+TblConstr[[#This Row],[Ch_Cavern]]</f>
        <v>20</v>
      </c>
      <c r="M55" s="240">
        <f ca="1">OFFSET(TblConstr[[#This Row],[Water]],-1,0)+TblConstr[[#This Row],[Ch_Water]]</f>
        <v>20</v>
      </c>
      <c r="N55" s="479">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44406.874999999876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3" cm="1">
        <f t="array" aca="1" ref="BF55" ca="1">IF(TblConstr[[#This Row],[Hour]:[Hour]]&gt;12,OFFSET(TblConstr[[#This Row],[OM]],-12,0),0)+OFFSET(TblConstr[[#This Row],[Tot OM]],-1,0)-TblConstr[[#This Row],[Dest OM]]</f>
        <v>0</v>
      </c>
      <c r="BG55" s="483" cm="1">
        <f t="array" aca="1" ref="BG55" ca="1">IF(TblConstr[[#This Row],[Hour]:[Hour]]&gt;12,OFFSET(TblConstr[[#This Row],[GN]],-12,0),0)+OFFSET(TblConstr[[#This Row],[Tot GN]],-1,0)-TblConstr[[#This Row],[Dest GN]]</f>
        <v>0</v>
      </c>
      <c r="BH55" s="487" cm="1">
        <f t="array" aca="1" ref="BH55" ca="1">IF(TblConstr[[#This Row],[Hour]:[Hour]]&gt;12,OFFSET(TblConstr[[#This Row],[Fac]],-12,0),0)+OFFSET(TblConstr[[#This Row],[Tot Fac]],-1,0)-TblConstr[[#This Row],[Dest Fac]]</f>
        <v>0</v>
      </c>
      <c r="BI55" s="487" cm="1">
        <f t="array" aca="1" ref="BI55" ca="1">IF(TblConstr[[#This Row],[Hour]:[Hour]]&gt;12,OFFSET(TblConstr[[#This Row],[GT]],-12,0),0)+OFFSET(TblConstr[[#This Row],[Tot GT]],-1,0)-TblConstr[[#This Row],[Dest GT]]</f>
        <v>0</v>
      </c>
      <c r="BJ55" s="487" cm="1">
        <f t="array" aca="1" ref="BJ55" ca="1">IF(TblConstr[[#This Row],[Hour]:[Hour]]&gt;12,OFFSET(TblConstr[[#This Row],[Bar]],-12,0),0)+OFFSET(TblConstr[[#This Row],[Tot Bar]],-1,0)-TblConstr[[#This Row],[Dest Bar]]</f>
        <v>0</v>
      </c>
      <c r="BK55" s="487" cm="1">
        <f t="array" aca="1" ref="BK55" ca="1">IF(TblConstr[[#This Row],[Hour]:[Hour]]&gt;12,OFFSET(TblConstr[[#This Row],[Shr]],-12,0),0)+OFFSET(TblConstr[[#This Row],[Tot Shr]],-1,0)-TblConstr[[#This Row],[Dest Shr]]</f>
        <v>0</v>
      </c>
      <c r="BL55" s="491" cm="1">
        <f t="array" aca="1" ref="BL55" ca="1">IF(TblConstr[[#This Row],[Hour]:[Hour]]&gt;12,OFFSET(TblConstr[[#This Row],[Tow]],-12,0),0)+OFFSET(TblConstr[[#This Row],[Tot Tow]],-1,0)-TblConstr[[#This Row],[Dest Tow]]</f>
        <v>0</v>
      </c>
      <c r="BM55" s="491" cm="1">
        <f t="array" aca="1" ref="BM55" ca="1">IF(TblConstr[[#This Row],[Hour]:[Hour]]&gt;12,OFFSET(TblConstr[[#This Row],[Tem]],-12,0),0)+OFFSET(TblConstr[[#This Row],[Tot Tem]],-1,0)-TblConstr[[#This Row],[Dest Tem]]</f>
        <v>0</v>
      </c>
      <c r="BN55" s="491"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44406.874999999876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1">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81">
        <f ca="1">OFFSET(TblConstr[[#This Row],[Mountain]],-1,0)+TblConstr[[#This Row],[Ch_Mountain]]</f>
        <v>20</v>
      </c>
      <c r="J56" s="485">
        <f ca="1">OFFSET(TblConstr[[#This Row],[Hill]],-1,0)+TblConstr[[#This Row],[Ch_Hill]]</f>
        <v>20</v>
      </c>
      <c r="K56" s="489">
        <f ca="1">OFFSET(TblConstr[[#This Row],[Swamp]],-1,0)+TblConstr[[#This Row],[Ch_Swamp]]</f>
        <v>20</v>
      </c>
      <c r="L56" s="239">
        <f ca="1">OFFSET(TblConstr[[#This Row],[Cavern]],-1,0)+TblConstr[[#This Row],[Ch_Cavern]]</f>
        <v>20</v>
      </c>
      <c r="M56" s="240">
        <f ca="1">OFFSET(TblConstr[[#This Row],[Water]],-1,0)+TblConstr[[#This Row],[Ch_Water]]</f>
        <v>20</v>
      </c>
      <c r="N56" s="479">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44406.916666666541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3" cm="1">
        <f t="array" aca="1" ref="BF56" ca="1">IF(TblConstr[[#This Row],[Hour]:[Hour]]&gt;12,OFFSET(TblConstr[[#This Row],[OM]],-12,0),0)+OFFSET(TblConstr[[#This Row],[Tot OM]],-1,0)-TblConstr[[#This Row],[Dest OM]]</f>
        <v>0</v>
      </c>
      <c r="BG56" s="483" cm="1">
        <f t="array" aca="1" ref="BG56" ca="1">IF(TblConstr[[#This Row],[Hour]:[Hour]]&gt;12,OFFSET(TblConstr[[#This Row],[GN]],-12,0),0)+OFFSET(TblConstr[[#This Row],[Tot GN]],-1,0)-TblConstr[[#This Row],[Dest GN]]</f>
        <v>0</v>
      </c>
      <c r="BH56" s="487" cm="1">
        <f t="array" aca="1" ref="BH56" ca="1">IF(TblConstr[[#This Row],[Hour]:[Hour]]&gt;12,OFFSET(TblConstr[[#This Row],[Fac]],-12,0),0)+OFFSET(TblConstr[[#This Row],[Tot Fac]],-1,0)-TblConstr[[#This Row],[Dest Fac]]</f>
        <v>0</v>
      </c>
      <c r="BI56" s="487" cm="1">
        <f t="array" aca="1" ref="BI56" ca="1">IF(TblConstr[[#This Row],[Hour]:[Hour]]&gt;12,OFFSET(TblConstr[[#This Row],[GT]],-12,0),0)+OFFSET(TblConstr[[#This Row],[Tot GT]],-1,0)-TblConstr[[#This Row],[Dest GT]]</f>
        <v>0</v>
      </c>
      <c r="BJ56" s="487" cm="1">
        <f t="array" aca="1" ref="BJ56" ca="1">IF(TblConstr[[#This Row],[Hour]:[Hour]]&gt;12,OFFSET(TblConstr[[#This Row],[Bar]],-12,0),0)+OFFSET(TblConstr[[#This Row],[Tot Bar]],-1,0)-TblConstr[[#This Row],[Dest Bar]]</f>
        <v>0</v>
      </c>
      <c r="BK56" s="487" cm="1">
        <f t="array" aca="1" ref="BK56" ca="1">IF(TblConstr[[#This Row],[Hour]:[Hour]]&gt;12,OFFSET(TblConstr[[#This Row],[Shr]],-12,0),0)+OFFSET(TblConstr[[#This Row],[Tot Shr]],-1,0)-TblConstr[[#This Row],[Dest Shr]]</f>
        <v>0</v>
      </c>
      <c r="BL56" s="491" cm="1">
        <f t="array" aca="1" ref="BL56" ca="1">IF(TblConstr[[#This Row],[Hour]:[Hour]]&gt;12,OFFSET(TblConstr[[#This Row],[Tow]],-12,0),0)+OFFSET(TblConstr[[#This Row],[Tot Tow]],-1,0)-TblConstr[[#This Row],[Dest Tow]]</f>
        <v>0</v>
      </c>
      <c r="BM56" s="491" cm="1">
        <f t="array" aca="1" ref="BM56" ca="1">IF(TblConstr[[#This Row],[Hour]:[Hour]]&gt;12,OFFSET(TblConstr[[#This Row],[Tem]],-12,0),0)+OFFSET(TblConstr[[#This Row],[Tot Tem]],-1,0)-TblConstr[[#This Row],[Dest Tem]]</f>
        <v>0</v>
      </c>
      <c r="BN56" s="491"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44406.916666666541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1">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81">
        <f ca="1">OFFSET(TblConstr[[#This Row],[Mountain]],-1,0)+TblConstr[[#This Row],[Ch_Mountain]]</f>
        <v>20</v>
      </c>
      <c r="J57" s="485">
        <f ca="1">OFFSET(TblConstr[[#This Row],[Hill]],-1,0)+TblConstr[[#This Row],[Ch_Hill]]</f>
        <v>20</v>
      </c>
      <c r="K57" s="489">
        <f ca="1">OFFSET(TblConstr[[#This Row],[Swamp]],-1,0)+TblConstr[[#This Row],[Ch_Swamp]]</f>
        <v>20</v>
      </c>
      <c r="L57" s="239">
        <f ca="1">OFFSET(TblConstr[[#This Row],[Cavern]],-1,0)+TblConstr[[#This Row],[Ch_Cavern]]</f>
        <v>20</v>
      </c>
      <c r="M57" s="240">
        <f ca="1">OFFSET(TblConstr[[#This Row],[Water]],-1,0)+TblConstr[[#This Row],[Ch_Water]]</f>
        <v>20</v>
      </c>
      <c r="N57" s="479">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44406.958333333205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3" cm="1">
        <f t="array" aca="1" ref="BF57" ca="1">IF(TblConstr[[#This Row],[Hour]:[Hour]]&gt;12,OFFSET(TblConstr[[#This Row],[OM]],-12,0),0)+OFFSET(TblConstr[[#This Row],[Tot OM]],-1,0)-TblConstr[[#This Row],[Dest OM]]</f>
        <v>0</v>
      </c>
      <c r="BG57" s="483" cm="1">
        <f t="array" aca="1" ref="BG57" ca="1">IF(TblConstr[[#This Row],[Hour]:[Hour]]&gt;12,OFFSET(TblConstr[[#This Row],[GN]],-12,0),0)+OFFSET(TblConstr[[#This Row],[Tot GN]],-1,0)-TblConstr[[#This Row],[Dest GN]]</f>
        <v>0</v>
      </c>
      <c r="BH57" s="487" cm="1">
        <f t="array" aca="1" ref="BH57" ca="1">IF(TblConstr[[#This Row],[Hour]:[Hour]]&gt;12,OFFSET(TblConstr[[#This Row],[Fac]],-12,0),0)+OFFSET(TblConstr[[#This Row],[Tot Fac]],-1,0)-TblConstr[[#This Row],[Dest Fac]]</f>
        <v>0</v>
      </c>
      <c r="BI57" s="487" cm="1">
        <f t="array" aca="1" ref="BI57" ca="1">IF(TblConstr[[#This Row],[Hour]:[Hour]]&gt;12,OFFSET(TblConstr[[#This Row],[GT]],-12,0),0)+OFFSET(TblConstr[[#This Row],[Tot GT]],-1,0)-TblConstr[[#This Row],[Dest GT]]</f>
        <v>0</v>
      </c>
      <c r="BJ57" s="487" cm="1">
        <f t="array" aca="1" ref="BJ57" ca="1">IF(TblConstr[[#This Row],[Hour]:[Hour]]&gt;12,OFFSET(TblConstr[[#This Row],[Bar]],-12,0),0)+OFFSET(TblConstr[[#This Row],[Tot Bar]],-1,0)-TblConstr[[#This Row],[Dest Bar]]</f>
        <v>0</v>
      </c>
      <c r="BK57" s="487" cm="1">
        <f t="array" aca="1" ref="BK57" ca="1">IF(TblConstr[[#This Row],[Hour]:[Hour]]&gt;12,OFFSET(TblConstr[[#This Row],[Shr]],-12,0),0)+OFFSET(TblConstr[[#This Row],[Tot Shr]],-1,0)-TblConstr[[#This Row],[Dest Shr]]</f>
        <v>0</v>
      </c>
      <c r="BL57" s="491" cm="1">
        <f t="array" aca="1" ref="BL57" ca="1">IF(TblConstr[[#This Row],[Hour]:[Hour]]&gt;12,OFFSET(TblConstr[[#This Row],[Tow]],-12,0),0)+OFFSET(TblConstr[[#This Row],[Tot Tow]],-1,0)-TblConstr[[#This Row],[Dest Tow]]</f>
        <v>0</v>
      </c>
      <c r="BM57" s="491" cm="1">
        <f t="array" aca="1" ref="BM57" ca="1">IF(TblConstr[[#This Row],[Hour]:[Hour]]&gt;12,OFFSET(TblConstr[[#This Row],[Tem]],-12,0),0)+OFFSET(TblConstr[[#This Row],[Tot Tem]],-1,0)-TblConstr[[#This Row],[Dest Tem]]</f>
        <v>0</v>
      </c>
      <c r="BN57" s="491"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44406.958333333205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1">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81">
        <f ca="1">OFFSET(TblConstr[[#This Row],[Mountain]],-1,0)+TblConstr[[#This Row],[Ch_Mountain]]</f>
        <v>20</v>
      </c>
      <c r="J58" s="485">
        <f ca="1">OFFSET(TblConstr[[#This Row],[Hill]],-1,0)+TblConstr[[#This Row],[Ch_Hill]]</f>
        <v>20</v>
      </c>
      <c r="K58" s="489">
        <f ca="1">OFFSET(TblConstr[[#This Row],[Swamp]],-1,0)+TblConstr[[#This Row],[Ch_Swamp]]</f>
        <v>20</v>
      </c>
      <c r="L58" s="239">
        <f ca="1">OFFSET(TblConstr[[#This Row],[Cavern]],-1,0)+TblConstr[[#This Row],[Ch_Cavern]]</f>
        <v>20</v>
      </c>
      <c r="M58" s="240">
        <f ca="1">OFFSET(TblConstr[[#This Row],[Water]],-1,0)+TblConstr[[#This Row],[Ch_Water]]</f>
        <v>20</v>
      </c>
      <c r="N58" s="479">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44406.999999999869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3" cm="1">
        <f t="array" aca="1" ref="BF58" ca="1">IF(TblConstr[[#This Row],[Hour]:[Hour]]&gt;12,OFFSET(TblConstr[[#This Row],[OM]],-12,0),0)+OFFSET(TblConstr[[#This Row],[Tot OM]],-1,0)-TblConstr[[#This Row],[Dest OM]]</f>
        <v>0</v>
      </c>
      <c r="BG58" s="483" cm="1">
        <f t="array" aca="1" ref="BG58" ca="1">IF(TblConstr[[#This Row],[Hour]:[Hour]]&gt;12,OFFSET(TblConstr[[#This Row],[GN]],-12,0),0)+OFFSET(TblConstr[[#This Row],[Tot GN]],-1,0)-TblConstr[[#This Row],[Dest GN]]</f>
        <v>0</v>
      </c>
      <c r="BH58" s="487" cm="1">
        <f t="array" aca="1" ref="BH58" ca="1">IF(TblConstr[[#This Row],[Hour]:[Hour]]&gt;12,OFFSET(TblConstr[[#This Row],[Fac]],-12,0),0)+OFFSET(TblConstr[[#This Row],[Tot Fac]],-1,0)-TblConstr[[#This Row],[Dest Fac]]</f>
        <v>0</v>
      </c>
      <c r="BI58" s="487" cm="1">
        <f t="array" aca="1" ref="BI58" ca="1">IF(TblConstr[[#This Row],[Hour]:[Hour]]&gt;12,OFFSET(TblConstr[[#This Row],[GT]],-12,0),0)+OFFSET(TblConstr[[#This Row],[Tot GT]],-1,0)-TblConstr[[#This Row],[Dest GT]]</f>
        <v>0</v>
      </c>
      <c r="BJ58" s="487" cm="1">
        <f t="array" aca="1" ref="BJ58" ca="1">IF(TblConstr[[#This Row],[Hour]:[Hour]]&gt;12,OFFSET(TblConstr[[#This Row],[Bar]],-12,0),0)+OFFSET(TblConstr[[#This Row],[Tot Bar]],-1,0)-TblConstr[[#This Row],[Dest Bar]]</f>
        <v>0</v>
      </c>
      <c r="BK58" s="487" cm="1">
        <f t="array" aca="1" ref="BK58" ca="1">IF(TblConstr[[#This Row],[Hour]:[Hour]]&gt;12,OFFSET(TblConstr[[#This Row],[Shr]],-12,0),0)+OFFSET(TblConstr[[#This Row],[Tot Shr]],-1,0)-TblConstr[[#This Row],[Dest Shr]]</f>
        <v>0</v>
      </c>
      <c r="BL58" s="491" cm="1">
        <f t="array" aca="1" ref="BL58" ca="1">IF(TblConstr[[#This Row],[Hour]:[Hour]]&gt;12,OFFSET(TblConstr[[#This Row],[Tow]],-12,0),0)+OFFSET(TblConstr[[#This Row],[Tot Tow]],-1,0)-TblConstr[[#This Row],[Dest Tow]]</f>
        <v>0</v>
      </c>
      <c r="BM58" s="491" cm="1">
        <f t="array" aca="1" ref="BM58" ca="1">IF(TblConstr[[#This Row],[Hour]:[Hour]]&gt;12,OFFSET(TblConstr[[#This Row],[Tem]],-12,0),0)+OFFSET(TblConstr[[#This Row],[Tot Tem]],-1,0)-TblConstr[[#This Row],[Dest Tem]]</f>
        <v>0</v>
      </c>
      <c r="BN58" s="491"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44406.999999999869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1">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81">
        <f ca="1">OFFSET(TblConstr[[#This Row],[Mountain]],-1,0)+TblConstr[[#This Row],[Ch_Mountain]]</f>
        <v>20</v>
      </c>
      <c r="J59" s="485">
        <f ca="1">OFFSET(TblConstr[[#This Row],[Hill]],-1,0)+TblConstr[[#This Row],[Ch_Hill]]</f>
        <v>20</v>
      </c>
      <c r="K59" s="489">
        <f ca="1">OFFSET(TblConstr[[#This Row],[Swamp]],-1,0)+TblConstr[[#This Row],[Ch_Swamp]]</f>
        <v>20</v>
      </c>
      <c r="L59" s="239">
        <f ca="1">OFFSET(TblConstr[[#This Row],[Cavern]],-1,0)+TblConstr[[#This Row],[Ch_Cavern]]</f>
        <v>20</v>
      </c>
      <c r="M59" s="240">
        <f ca="1">OFFSET(TblConstr[[#This Row],[Water]],-1,0)+TblConstr[[#This Row],[Ch_Water]]</f>
        <v>20</v>
      </c>
      <c r="N59" s="479">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44407.041666666533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3" cm="1">
        <f t="array" aca="1" ref="BF59" ca="1">IF(TblConstr[[#This Row],[Hour]:[Hour]]&gt;12,OFFSET(TblConstr[[#This Row],[OM]],-12,0),0)+OFFSET(TblConstr[[#This Row],[Tot OM]],-1,0)-TblConstr[[#This Row],[Dest OM]]</f>
        <v>0</v>
      </c>
      <c r="BG59" s="483" cm="1">
        <f t="array" aca="1" ref="BG59" ca="1">IF(TblConstr[[#This Row],[Hour]:[Hour]]&gt;12,OFFSET(TblConstr[[#This Row],[GN]],-12,0),0)+OFFSET(TblConstr[[#This Row],[Tot GN]],-1,0)-TblConstr[[#This Row],[Dest GN]]</f>
        <v>0</v>
      </c>
      <c r="BH59" s="487" cm="1">
        <f t="array" aca="1" ref="BH59" ca="1">IF(TblConstr[[#This Row],[Hour]:[Hour]]&gt;12,OFFSET(TblConstr[[#This Row],[Fac]],-12,0),0)+OFFSET(TblConstr[[#This Row],[Tot Fac]],-1,0)-TblConstr[[#This Row],[Dest Fac]]</f>
        <v>0</v>
      </c>
      <c r="BI59" s="487" cm="1">
        <f t="array" aca="1" ref="BI59" ca="1">IF(TblConstr[[#This Row],[Hour]:[Hour]]&gt;12,OFFSET(TblConstr[[#This Row],[GT]],-12,0),0)+OFFSET(TblConstr[[#This Row],[Tot GT]],-1,0)-TblConstr[[#This Row],[Dest GT]]</f>
        <v>0</v>
      </c>
      <c r="BJ59" s="487" cm="1">
        <f t="array" aca="1" ref="BJ59" ca="1">IF(TblConstr[[#This Row],[Hour]:[Hour]]&gt;12,OFFSET(TblConstr[[#This Row],[Bar]],-12,0),0)+OFFSET(TblConstr[[#This Row],[Tot Bar]],-1,0)-TblConstr[[#This Row],[Dest Bar]]</f>
        <v>0</v>
      </c>
      <c r="BK59" s="487" cm="1">
        <f t="array" aca="1" ref="BK59" ca="1">IF(TblConstr[[#This Row],[Hour]:[Hour]]&gt;12,OFFSET(TblConstr[[#This Row],[Shr]],-12,0),0)+OFFSET(TblConstr[[#This Row],[Tot Shr]],-1,0)-TblConstr[[#This Row],[Dest Shr]]</f>
        <v>0</v>
      </c>
      <c r="BL59" s="491" cm="1">
        <f t="array" aca="1" ref="BL59" ca="1">IF(TblConstr[[#This Row],[Hour]:[Hour]]&gt;12,OFFSET(TblConstr[[#This Row],[Tow]],-12,0),0)+OFFSET(TblConstr[[#This Row],[Tot Tow]],-1,0)-TblConstr[[#This Row],[Dest Tow]]</f>
        <v>0</v>
      </c>
      <c r="BM59" s="491" cm="1">
        <f t="array" aca="1" ref="BM59" ca="1">IF(TblConstr[[#This Row],[Hour]:[Hour]]&gt;12,OFFSET(TblConstr[[#This Row],[Tem]],-12,0),0)+OFFSET(TblConstr[[#This Row],[Tot Tem]],-1,0)-TblConstr[[#This Row],[Dest Tem]]</f>
        <v>0</v>
      </c>
      <c r="BN59" s="491"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44407.041666666533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1">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81">
        <f ca="1">OFFSET(TblConstr[[#This Row],[Mountain]],-1,0)+TblConstr[[#This Row],[Ch_Mountain]]</f>
        <v>20</v>
      </c>
      <c r="J60" s="485">
        <f ca="1">OFFSET(TblConstr[[#This Row],[Hill]],-1,0)+TblConstr[[#This Row],[Ch_Hill]]</f>
        <v>20</v>
      </c>
      <c r="K60" s="489">
        <f ca="1">OFFSET(TblConstr[[#This Row],[Swamp]],-1,0)+TblConstr[[#This Row],[Ch_Swamp]]</f>
        <v>20</v>
      </c>
      <c r="L60" s="239">
        <f ca="1">OFFSET(TblConstr[[#This Row],[Cavern]],-1,0)+TblConstr[[#This Row],[Ch_Cavern]]</f>
        <v>20</v>
      </c>
      <c r="M60" s="240">
        <f ca="1">OFFSET(TblConstr[[#This Row],[Water]],-1,0)+TblConstr[[#This Row],[Ch_Water]]</f>
        <v>20</v>
      </c>
      <c r="N60" s="479">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44407.083333333198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3" cm="1">
        <f t="array" aca="1" ref="BF60" ca="1">IF(TblConstr[[#This Row],[Hour]:[Hour]]&gt;12,OFFSET(TblConstr[[#This Row],[OM]],-12,0),0)+OFFSET(TblConstr[[#This Row],[Tot OM]],-1,0)-TblConstr[[#This Row],[Dest OM]]</f>
        <v>0</v>
      </c>
      <c r="BG60" s="483" cm="1">
        <f t="array" aca="1" ref="BG60" ca="1">IF(TblConstr[[#This Row],[Hour]:[Hour]]&gt;12,OFFSET(TblConstr[[#This Row],[GN]],-12,0),0)+OFFSET(TblConstr[[#This Row],[Tot GN]],-1,0)-TblConstr[[#This Row],[Dest GN]]</f>
        <v>0</v>
      </c>
      <c r="BH60" s="487" cm="1">
        <f t="array" aca="1" ref="BH60" ca="1">IF(TblConstr[[#This Row],[Hour]:[Hour]]&gt;12,OFFSET(TblConstr[[#This Row],[Fac]],-12,0),0)+OFFSET(TblConstr[[#This Row],[Tot Fac]],-1,0)-TblConstr[[#This Row],[Dest Fac]]</f>
        <v>0</v>
      </c>
      <c r="BI60" s="487" cm="1">
        <f t="array" aca="1" ref="BI60" ca="1">IF(TblConstr[[#This Row],[Hour]:[Hour]]&gt;12,OFFSET(TblConstr[[#This Row],[GT]],-12,0),0)+OFFSET(TblConstr[[#This Row],[Tot GT]],-1,0)-TblConstr[[#This Row],[Dest GT]]</f>
        <v>0</v>
      </c>
      <c r="BJ60" s="487" cm="1">
        <f t="array" aca="1" ref="BJ60" ca="1">IF(TblConstr[[#This Row],[Hour]:[Hour]]&gt;12,OFFSET(TblConstr[[#This Row],[Bar]],-12,0),0)+OFFSET(TblConstr[[#This Row],[Tot Bar]],-1,0)-TblConstr[[#This Row],[Dest Bar]]</f>
        <v>0</v>
      </c>
      <c r="BK60" s="487" cm="1">
        <f t="array" aca="1" ref="BK60" ca="1">IF(TblConstr[[#This Row],[Hour]:[Hour]]&gt;12,OFFSET(TblConstr[[#This Row],[Shr]],-12,0),0)+OFFSET(TblConstr[[#This Row],[Tot Shr]],-1,0)-TblConstr[[#This Row],[Dest Shr]]</f>
        <v>0</v>
      </c>
      <c r="BL60" s="491" cm="1">
        <f t="array" aca="1" ref="BL60" ca="1">IF(TblConstr[[#This Row],[Hour]:[Hour]]&gt;12,OFFSET(TblConstr[[#This Row],[Tow]],-12,0),0)+OFFSET(TblConstr[[#This Row],[Tot Tow]],-1,0)-TblConstr[[#This Row],[Dest Tow]]</f>
        <v>0</v>
      </c>
      <c r="BM60" s="491" cm="1">
        <f t="array" aca="1" ref="BM60" ca="1">IF(TblConstr[[#This Row],[Hour]:[Hour]]&gt;12,OFFSET(TblConstr[[#This Row],[Tem]],-12,0),0)+OFFSET(TblConstr[[#This Row],[Tot Tem]],-1,0)-TblConstr[[#This Row],[Dest Tem]]</f>
        <v>0</v>
      </c>
      <c r="BN60" s="491"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44407.083333333198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1">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81">
        <f ca="1">OFFSET(TblConstr[[#This Row],[Mountain]],-1,0)+TblConstr[[#This Row],[Ch_Mountain]]</f>
        <v>20</v>
      </c>
      <c r="J61" s="485">
        <f ca="1">OFFSET(TblConstr[[#This Row],[Hill]],-1,0)+TblConstr[[#This Row],[Ch_Hill]]</f>
        <v>20</v>
      </c>
      <c r="K61" s="489">
        <f ca="1">OFFSET(TblConstr[[#This Row],[Swamp]],-1,0)+TblConstr[[#This Row],[Ch_Swamp]]</f>
        <v>20</v>
      </c>
      <c r="L61" s="239">
        <f ca="1">OFFSET(TblConstr[[#This Row],[Cavern]],-1,0)+TblConstr[[#This Row],[Ch_Cavern]]</f>
        <v>20</v>
      </c>
      <c r="M61" s="240">
        <f ca="1">OFFSET(TblConstr[[#This Row],[Water]],-1,0)+TblConstr[[#This Row],[Ch_Water]]</f>
        <v>20</v>
      </c>
      <c r="N61" s="479">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44407.124999999862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3" cm="1">
        <f t="array" aca="1" ref="BF61" ca="1">IF(TblConstr[[#This Row],[Hour]:[Hour]]&gt;12,OFFSET(TblConstr[[#This Row],[OM]],-12,0),0)+OFFSET(TblConstr[[#This Row],[Tot OM]],-1,0)-TblConstr[[#This Row],[Dest OM]]</f>
        <v>0</v>
      </c>
      <c r="BG61" s="483" cm="1">
        <f t="array" aca="1" ref="BG61" ca="1">IF(TblConstr[[#This Row],[Hour]:[Hour]]&gt;12,OFFSET(TblConstr[[#This Row],[GN]],-12,0),0)+OFFSET(TblConstr[[#This Row],[Tot GN]],-1,0)-TblConstr[[#This Row],[Dest GN]]</f>
        <v>0</v>
      </c>
      <c r="BH61" s="487" cm="1">
        <f t="array" aca="1" ref="BH61" ca="1">IF(TblConstr[[#This Row],[Hour]:[Hour]]&gt;12,OFFSET(TblConstr[[#This Row],[Fac]],-12,0),0)+OFFSET(TblConstr[[#This Row],[Tot Fac]],-1,0)-TblConstr[[#This Row],[Dest Fac]]</f>
        <v>0</v>
      </c>
      <c r="BI61" s="487" cm="1">
        <f t="array" aca="1" ref="BI61" ca="1">IF(TblConstr[[#This Row],[Hour]:[Hour]]&gt;12,OFFSET(TblConstr[[#This Row],[GT]],-12,0),0)+OFFSET(TblConstr[[#This Row],[Tot GT]],-1,0)-TblConstr[[#This Row],[Dest GT]]</f>
        <v>0</v>
      </c>
      <c r="BJ61" s="487" cm="1">
        <f t="array" aca="1" ref="BJ61" ca="1">IF(TblConstr[[#This Row],[Hour]:[Hour]]&gt;12,OFFSET(TblConstr[[#This Row],[Bar]],-12,0),0)+OFFSET(TblConstr[[#This Row],[Tot Bar]],-1,0)-TblConstr[[#This Row],[Dest Bar]]</f>
        <v>0</v>
      </c>
      <c r="BK61" s="487" cm="1">
        <f t="array" aca="1" ref="BK61" ca="1">IF(TblConstr[[#This Row],[Hour]:[Hour]]&gt;12,OFFSET(TblConstr[[#This Row],[Shr]],-12,0),0)+OFFSET(TblConstr[[#This Row],[Tot Shr]],-1,0)-TblConstr[[#This Row],[Dest Shr]]</f>
        <v>0</v>
      </c>
      <c r="BL61" s="491" cm="1">
        <f t="array" aca="1" ref="BL61" ca="1">IF(TblConstr[[#This Row],[Hour]:[Hour]]&gt;12,OFFSET(TblConstr[[#This Row],[Tow]],-12,0),0)+OFFSET(TblConstr[[#This Row],[Tot Tow]],-1,0)-TblConstr[[#This Row],[Dest Tow]]</f>
        <v>0</v>
      </c>
      <c r="BM61" s="491" cm="1">
        <f t="array" aca="1" ref="BM61" ca="1">IF(TblConstr[[#This Row],[Hour]:[Hour]]&gt;12,OFFSET(TblConstr[[#This Row],[Tem]],-12,0),0)+OFFSET(TblConstr[[#This Row],[Tot Tem]],-1,0)-TblConstr[[#This Row],[Dest Tem]]</f>
        <v>0</v>
      </c>
      <c r="BN61" s="491"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44407.124999999862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1">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81">
        <f ca="1">OFFSET(TblConstr[[#This Row],[Mountain]],-1,0)+TblConstr[[#This Row],[Ch_Mountain]]</f>
        <v>20</v>
      </c>
      <c r="J62" s="485">
        <f ca="1">OFFSET(TblConstr[[#This Row],[Hill]],-1,0)+TblConstr[[#This Row],[Ch_Hill]]</f>
        <v>20</v>
      </c>
      <c r="K62" s="489">
        <f ca="1">OFFSET(TblConstr[[#This Row],[Swamp]],-1,0)+TblConstr[[#This Row],[Ch_Swamp]]</f>
        <v>20</v>
      </c>
      <c r="L62" s="239">
        <f ca="1">OFFSET(TblConstr[[#This Row],[Cavern]],-1,0)+TblConstr[[#This Row],[Ch_Cavern]]</f>
        <v>20</v>
      </c>
      <c r="M62" s="240">
        <f ca="1">OFFSET(TblConstr[[#This Row],[Water]],-1,0)+TblConstr[[#This Row],[Ch_Water]]</f>
        <v>20</v>
      </c>
      <c r="N62" s="479">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44407.166666666526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3" cm="1">
        <f t="array" aca="1" ref="BF62" ca="1">IF(TblConstr[[#This Row],[Hour]:[Hour]]&gt;12,OFFSET(TblConstr[[#This Row],[OM]],-12,0),0)+OFFSET(TblConstr[[#This Row],[Tot OM]],-1,0)-TblConstr[[#This Row],[Dest OM]]</f>
        <v>0</v>
      </c>
      <c r="BG62" s="483" cm="1">
        <f t="array" aca="1" ref="BG62" ca="1">IF(TblConstr[[#This Row],[Hour]:[Hour]]&gt;12,OFFSET(TblConstr[[#This Row],[GN]],-12,0),0)+OFFSET(TblConstr[[#This Row],[Tot GN]],-1,0)-TblConstr[[#This Row],[Dest GN]]</f>
        <v>0</v>
      </c>
      <c r="BH62" s="487" cm="1">
        <f t="array" aca="1" ref="BH62" ca="1">IF(TblConstr[[#This Row],[Hour]:[Hour]]&gt;12,OFFSET(TblConstr[[#This Row],[Fac]],-12,0),0)+OFFSET(TblConstr[[#This Row],[Tot Fac]],-1,0)-TblConstr[[#This Row],[Dest Fac]]</f>
        <v>0</v>
      </c>
      <c r="BI62" s="487" cm="1">
        <f t="array" aca="1" ref="BI62" ca="1">IF(TblConstr[[#This Row],[Hour]:[Hour]]&gt;12,OFFSET(TblConstr[[#This Row],[GT]],-12,0),0)+OFFSET(TblConstr[[#This Row],[Tot GT]],-1,0)-TblConstr[[#This Row],[Dest GT]]</f>
        <v>0</v>
      </c>
      <c r="BJ62" s="487" cm="1">
        <f t="array" aca="1" ref="BJ62" ca="1">IF(TblConstr[[#This Row],[Hour]:[Hour]]&gt;12,OFFSET(TblConstr[[#This Row],[Bar]],-12,0),0)+OFFSET(TblConstr[[#This Row],[Tot Bar]],-1,0)-TblConstr[[#This Row],[Dest Bar]]</f>
        <v>0</v>
      </c>
      <c r="BK62" s="487" cm="1">
        <f t="array" aca="1" ref="BK62" ca="1">IF(TblConstr[[#This Row],[Hour]:[Hour]]&gt;12,OFFSET(TblConstr[[#This Row],[Shr]],-12,0),0)+OFFSET(TblConstr[[#This Row],[Tot Shr]],-1,0)-TblConstr[[#This Row],[Dest Shr]]</f>
        <v>0</v>
      </c>
      <c r="BL62" s="491" cm="1">
        <f t="array" aca="1" ref="BL62" ca="1">IF(TblConstr[[#This Row],[Hour]:[Hour]]&gt;12,OFFSET(TblConstr[[#This Row],[Tow]],-12,0),0)+OFFSET(TblConstr[[#This Row],[Tot Tow]],-1,0)-TblConstr[[#This Row],[Dest Tow]]</f>
        <v>0</v>
      </c>
      <c r="BM62" s="491" cm="1">
        <f t="array" aca="1" ref="BM62" ca="1">IF(TblConstr[[#This Row],[Hour]:[Hour]]&gt;12,OFFSET(TblConstr[[#This Row],[Tem]],-12,0),0)+OFFSET(TblConstr[[#This Row],[Tot Tem]],-1,0)-TblConstr[[#This Row],[Dest Tem]]</f>
        <v>0</v>
      </c>
      <c r="BN62" s="491"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44407.166666666526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1">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81">
        <f ca="1">OFFSET(TblConstr[[#This Row],[Mountain]],-1,0)+TblConstr[[#This Row],[Ch_Mountain]]</f>
        <v>20</v>
      </c>
      <c r="J63" s="485">
        <f ca="1">OFFSET(TblConstr[[#This Row],[Hill]],-1,0)+TblConstr[[#This Row],[Ch_Hill]]</f>
        <v>20</v>
      </c>
      <c r="K63" s="489">
        <f ca="1">OFFSET(TblConstr[[#This Row],[Swamp]],-1,0)+TblConstr[[#This Row],[Ch_Swamp]]</f>
        <v>20</v>
      </c>
      <c r="L63" s="239">
        <f ca="1">OFFSET(TblConstr[[#This Row],[Cavern]],-1,0)+TblConstr[[#This Row],[Ch_Cavern]]</f>
        <v>20</v>
      </c>
      <c r="M63" s="240">
        <f ca="1">OFFSET(TblConstr[[#This Row],[Water]],-1,0)+TblConstr[[#This Row],[Ch_Water]]</f>
        <v>20</v>
      </c>
      <c r="N63" s="479">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44407.20833333319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3" cm="1">
        <f t="array" aca="1" ref="BF63" ca="1">IF(TblConstr[[#This Row],[Hour]:[Hour]]&gt;12,OFFSET(TblConstr[[#This Row],[OM]],-12,0),0)+OFFSET(TblConstr[[#This Row],[Tot OM]],-1,0)-TblConstr[[#This Row],[Dest OM]]</f>
        <v>0</v>
      </c>
      <c r="BG63" s="483" cm="1">
        <f t="array" aca="1" ref="BG63" ca="1">IF(TblConstr[[#This Row],[Hour]:[Hour]]&gt;12,OFFSET(TblConstr[[#This Row],[GN]],-12,0),0)+OFFSET(TblConstr[[#This Row],[Tot GN]],-1,0)-TblConstr[[#This Row],[Dest GN]]</f>
        <v>0</v>
      </c>
      <c r="BH63" s="487" cm="1">
        <f t="array" aca="1" ref="BH63" ca="1">IF(TblConstr[[#This Row],[Hour]:[Hour]]&gt;12,OFFSET(TblConstr[[#This Row],[Fac]],-12,0),0)+OFFSET(TblConstr[[#This Row],[Tot Fac]],-1,0)-TblConstr[[#This Row],[Dest Fac]]</f>
        <v>0</v>
      </c>
      <c r="BI63" s="487" cm="1">
        <f t="array" aca="1" ref="BI63" ca="1">IF(TblConstr[[#This Row],[Hour]:[Hour]]&gt;12,OFFSET(TblConstr[[#This Row],[GT]],-12,0),0)+OFFSET(TblConstr[[#This Row],[Tot GT]],-1,0)-TblConstr[[#This Row],[Dest GT]]</f>
        <v>0</v>
      </c>
      <c r="BJ63" s="487" cm="1">
        <f t="array" aca="1" ref="BJ63" ca="1">IF(TblConstr[[#This Row],[Hour]:[Hour]]&gt;12,OFFSET(TblConstr[[#This Row],[Bar]],-12,0),0)+OFFSET(TblConstr[[#This Row],[Tot Bar]],-1,0)-TblConstr[[#This Row],[Dest Bar]]</f>
        <v>0</v>
      </c>
      <c r="BK63" s="487" cm="1">
        <f t="array" aca="1" ref="BK63" ca="1">IF(TblConstr[[#This Row],[Hour]:[Hour]]&gt;12,OFFSET(TblConstr[[#This Row],[Shr]],-12,0),0)+OFFSET(TblConstr[[#This Row],[Tot Shr]],-1,0)-TblConstr[[#This Row],[Dest Shr]]</f>
        <v>0</v>
      </c>
      <c r="BL63" s="491" cm="1">
        <f t="array" aca="1" ref="BL63" ca="1">IF(TblConstr[[#This Row],[Hour]:[Hour]]&gt;12,OFFSET(TblConstr[[#This Row],[Tow]],-12,0),0)+OFFSET(TblConstr[[#This Row],[Tot Tow]],-1,0)-TblConstr[[#This Row],[Dest Tow]]</f>
        <v>0</v>
      </c>
      <c r="BM63" s="491" cm="1">
        <f t="array" aca="1" ref="BM63" ca="1">IF(TblConstr[[#This Row],[Hour]:[Hour]]&gt;12,OFFSET(TblConstr[[#This Row],[Tem]],-12,0),0)+OFFSET(TblConstr[[#This Row],[Tot Tem]],-1,0)-TblConstr[[#This Row],[Dest Tem]]</f>
        <v>0</v>
      </c>
      <c r="BN63" s="491"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44407.20833333319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1">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81">
        <f ca="1">OFFSET(TblConstr[[#This Row],[Mountain]],-1,0)+TblConstr[[#This Row],[Ch_Mountain]]</f>
        <v>20</v>
      </c>
      <c r="J64" s="485">
        <f ca="1">OFFSET(TblConstr[[#This Row],[Hill]],-1,0)+TblConstr[[#This Row],[Ch_Hill]]</f>
        <v>20</v>
      </c>
      <c r="K64" s="489">
        <f ca="1">OFFSET(TblConstr[[#This Row],[Swamp]],-1,0)+TblConstr[[#This Row],[Ch_Swamp]]</f>
        <v>20</v>
      </c>
      <c r="L64" s="239">
        <f ca="1">OFFSET(TblConstr[[#This Row],[Cavern]],-1,0)+TblConstr[[#This Row],[Ch_Cavern]]</f>
        <v>20</v>
      </c>
      <c r="M64" s="240">
        <f ca="1">OFFSET(TblConstr[[#This Row],[Water]],-1,0)+TblConstr[[#This Row],[Ch_Water]]</f>
        <v>20</v>
      </c>
      <c r="N64" s="479">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44407.249999999854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3" cm="1">
        <f t="array" aca="1" ref="BF64" ca="1">IF(TblConstr[[#This Row],[Hour]:[Hour]]&gt;12,OFFSET(TblConstr[[#This Row],[OM]],-12,0),0)+OFFSET(TblConstr[[#This Row],[Tot OM]],-1,0)-TblConstr[[#This Row],[Dest OM]]</f>
        <v>0</v>
      </c>
      <c r="BG64" s="483" cm="1">
        <f t="array" aca="1" ref="BG64" ca="1">IF(TblConstr[[#This Row],[Hour]:[Hour]]&gt;12,OFFSET(TblConstr[[#This Row],[GN]],-12,0),0)+OFFSET(TblConstr[[#This Row],[Tot GN]],-1,0)-TblConstr[[#This Row],[Dest GN]]</f>
        <v>0</v>
      </c>
      <c r="BH64" s="487" cm="1">
        <f t="array" aca="1" ref="BH64" ca="1">IF(TblConstr[[#This Row],[Hour]:[Hour]]&gt;12,OFFSET(TblConstr[[#This Row],[Fac]],-12,0),0)+OFFSET(TblConstr[[#This Row],[Tot Fac]],-1,0)-TblConstr[[#This Row],[Dest Fac]]</f>
        <v>0</v>
      </c>
      <c r="BI64" s="487" cm="1">
        <f t="array" aca="1" ref="BI64" ca="1">IF(TblConstr[[#This Row],[Hour]:[Hour]]&gt;12,OFFSET(TblConstr[[#This Row],[GT]],-12,0),0)+OFFSET(TblConstr[[#This Row],[Tot GT]],-1,0)-TblConstr[[#This Row],[Dest GT]]</f>
        <v>0</v>
      </c>
      <c r="BJ64" s="487" cm="1">
        <f t="array" aca="1" ref="BJ64" ca="1">IF(TblConstr[[#This Row],[Hour]:[Hour]]&gt;12,OFFSET(TblConstr[[#This Row],[Bar]],-12,0),0)+OFFSET(TblConstr[[#This Row],[Tot Bar]],-1,0)-TblConstr[[#This Row],[Dest Bar]]</f>
        <v>0</v>
      </c>
      <c r="BK64" s="487" cm="1">
        <f t="array" aca="1" ref="BK64" ca="1">IF(TblConstr[[#This Row],[Hour]:[Hour]]&gt;12,OFFSET(TblConstr[[#This Row],[Shr]],-12,0),0)+OFFSET(TblConstr[[#This Row],[Tot Shr]],-1,0)-TblConstr[[#This Row],[Dest Shr]]</f>
        <v>0</v>
      </c>
      <c r="BL64" s="491" cm="1">
        <f t="array" aca="1" ref="BL64" ca="1">IF(TblConstr[[#This Row],[Hour]:[Hour]]&gt;12,OFFSET(TblConstr[[#This Row],[Tow]],-12,0),0)+OFFSET(TblConstr[[#This Row],[Tot Tow]],-1,0)-TblConstr[[#This Row],[Dest Tow]]</f>
        <v>0</v>
      </c>
      <c r="BM64" s="491" cm="1">
        <f t="array" aca="1" ref="BM64" ca="1">IF(TblConstr[[#This Row],[Hour]:[Hour]]&gt;12,OFFSET(TblConstr[[#This Row],[Tem]],-12,0),0)+OFFSET(TblConstr[[#This Row],[Tot Tem]],-1,0)-TblConstr[[#This Row],[Dest Tem]]</f>
        <v>0</v>
      </c>
      <c r="BN64" s="491"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44407.249999999854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1">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81">
        <f ca="1">OFFSET(TblConstr[[#This Row],[Mountain]],-1,0)+TblConstr[[#This Row],[Ch_Mountain]]</f>
        <v>20</v>
      </c>
      <c r="J65" s="485">
        <f ca="1">OFFSET(TblConstr[[#This Row],[Hill]],-1,0)+TblConstr[[#This Row],[Ch_Hill]]</f>
        <v>20</v>
      </c>
      <c r="K65" s="489">
        <f ca="1">OFFSET(TblConstr[[#This Row],[Swamp]],-1,0)+TblConstr[[#This Row],[Ch_Swamp]]</f>
        <v>20</v>
      </c>
      <c r="L65" s="239">
        <f ca="1">OFFSET(TblConstr[[#This Row],[Cavern]],-1,0)+TblConstr[[#This Row],[Ch_Cavern]]</f>
        <v>20</v>
      </c>
      <c r="M65" s="240">
        <f ca="1">OFFSET(TblConstr[[#This Row],[Water]],-1,0)+TblConstr[[#This Row],[Ch_Water]]</f>
        <v>20</v>
      </c>
      <c r="N65" s="479">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44407.291666666519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3" cm="1">
        <f t="array" aca="1" ref="BF65" ca="1">IF(TblConstr[[#This Row],[Hour]:[Hour]]&gt;12,OFFSET(TblConstr[[#This Row],[OM]],-12,0),0)+OFFSET(TblConstr[[#This Row],[Tot OM]],-1,0)-TblConstr[[#This Row],[Dest OM]]</f>
        <v>0</v>
      </c>
      <c r="BG65" s="483" cm="1">
        <f t="array" aca="1" ref="BG65" ca="1">IF(TblConstr[[#This Row],[Hour]:[Hour]]&gt;12,OFFSET(TblConstr[[#This Row],[GN]],-12,0),0)+OFFSET(TblConstr[[#This Row],[Tot GN]],-1,0)-TblConstr[[#This Row],[Dest GN]]</f>
        <v>0</v>
      </c>
      <c r="BH65" s="487" cm="1">
        <f t="array" aca="1" ref="BH65" ca="1">IF(TblConstr[[#This Row],[Hour]:[Hour]]&gt;12,OFFSET(TblConstr[[#This Row],[Fac]],-12,0),0)+OFFSET(TblConstr[[#This Row],[Tot Fac]],-1,0)-TblConstr[[#This Row],[Dest Fac]]</f>
        <v>0</v>
      </c>
      <c r="BI65" s="487" cm="1">
        <f t="array" aca="1" ref="BI65" ca="1">IF(TblConstr[[#This Row],[Hour]:[Hour]]&gt;12,OFFSET(TblConstr[[#This Row],[GT]],-12,0),0)+OFFSET(TblConstr[[#This Row],[Tot GT]],-1,0)-TblConstr[[#This Row],[Dest GT]]</f>
        <v>0</v>
      </c>
      <c r="BJ65" s="487" cm="1">
        <f t="array" aca="1" ref="BJ65" ca="1">IF(TblConstr[[#This Row],[Hour]:[Hour]]&gt;12,OFFSET(TblConstr[[#This Row],[Bar]],-12,0),0)+OFFSET(TblConstr[[#This Row],[Tot Bar]],-1,0)-TblConstr[[#This Row],[Dest Bar]]</f>
        <v>0</v>
      </c>
      <c r="BK65" s="487" cm="1">
        <f t="array" aca="1" ref="BK65" ca="1">IF(TblConstr[[#This Row],[Hour]:[Hour]]&gt;12,OFFSET(TblConstr[[#This Row],[Shr]],-12,0),0)+OFFSET(TblConstr[[#This Row],[Tot Shr]],-1,0)-TblConstr[[#This Row],[Dest Shr]]</f>
        <v>0</v>
      </c>
      <c r="BL65" s="491" cm="1">
        <f t="array" aca="1" ref="BL65" ca="1">IF(TblConstr[[#This Row],[Hour]:[Hour]]&gt;12,OFFSET(TblConstr[[#This Row],[Tow]],-12,0),0)+OFFSET(TblConstr[[#This Row],[Tot Tow]],-1,0)-TblConstr[[#This Row],[Dest Tow]]</f>
        <v>0</v>
      </c>
      <c r="BM65" s="491" cm="1">
        <f t="array" aca="1" ref="BM65" ca="1">IF(TblConstr[[#This Row],[Hour]:[Hour]]&gt;12,OFFSET(TblConstr[[#This Row],[Tem]],-12,0),0)+OFFSET(TblConstr[[#This Row],[Tot Tem]],-1,0)-TblConstr[[#This Row],[Dest Tem]]</f>
        <v>0</v>
      </c>
      <c r="BN65" s="491"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44407.291666666519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1">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81">
        <f ca="1">OFFSET(TblConstr[[#This Row],[Mountain]],-1,0)+TblConstr[[#This Row],[Ch_Mountain]]</f>
        <v>20</v>
      </c>
      <c r="J66" s="485">
        <f ca="1">OFFSET(TblConstr[[#This Row],[Hill]],-1,0)+TblConstr[[#This Row],[Ch_Hill]]</f>
        <v>20</v>
      </c>
      <c r="K66" s="489">
        <f ca="1">OFFSET(TblConstr[[#This Row],[Swamp]],-1,0)+TblConstr[[#This Row],[Ch_Swamp]]</f>
        <v>20</v>
      </c>
      <c r="L66" s="239">
        <f ca="1">OFFSET(TblConstr[[#This Row],[Cavern]],-1,0)+TblConstr[[#This Row],[Ch_Cavern]]</f>
        <v>20</v>
      </c>
      <c r="M66" s="240">
        <f ca="1">OFFSET(TblConstr[[#This Row],[Water]],-1,0)+TblConstr[[#This Row],[Ch_Water]]</f>
        <v>20</v>
      </c>
      <c r="N66" s="479">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44407.333333333183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3" cm="1">
        <f t="array" aca="1" ref="BF66" ca="1">IF(TblConstr[[#This Row],[Hour]:[Hour]]&gt;12,OFFSET(TblConstr[[#This Row],[OM]],-12,0),0)+OFFSET(TblConstr[[#This Row],[Tot OM]],-1,0)-TblConstr[[#This Row],[Dest OM]]</f>
        <v>0</v>
      </c>
      <c r="BG66" s="483" cm="1">
        <f t="array" aca="1" ref="BG66" ca="1">IF(TblConstr[[#This Row],[Hour]:[Hour]]&gt;12,OFFSET(TblConstr[[#This Row],[GN]],-12,0),0)+OFFSET(TblConstr[[#This Row],[Tot GN]],-1,0)-TblConstr[[#This Row],[Dest GN]]</f>
        <v>0</v>
      </c>
      <c r="BH66" s="487" cm="1">
        <f t="array" aca="1" ref="BH66" ca="1">IF(TblConstr[[#This Row],[Hour]:[Hour]]&gt;12,OFFSET(TblConstr[[#This Row],[Fac]],-12,0),0)+OFFSET(TblConstr[[#This Row],[Tot Fac]],-1,0)-TblConstr[[#This Row],[Dest Fac]]</f>
        <v>0</v>
      </c>
      <c r="BI66" s="487" cm="1">
        <f t="array" aca="1" ref="BI66" ca="1">IF(TblConstr[[#This Row],[Hour]:[Hour]]&gt;12,OFFSET(TblConstr[[#This Row],[GT]],-12,0),0)+OFFSET(TblConstr[[#This Row],[Tot GT]],-1,0)-TblConstr[[#This Row],[Dest GT]]</f>
        <v>0</v>
      </c>
      <c r="BJ66" s="487" cm="1">
        <f t="array" aca="1" ref="BJ66" ca="1">IF(TblConstr[[#This Row],[Hour]:[Hour]]&gt;12,OFFSET(TblConstr[[#This Row],[Bar]],-12,0),0)+OFFSET(TblConstr[[#This Row],[Tot Bar]],-1,0)-TblConstr[[#This Row],[Dest Bar]]</f>
        <v>0</v>
      </c>
      <c r="BK66" s="487" cm="1">
        <f t="array" aca="1" ref="BK66" ca="1">IF(TblConstr[[#This Row],[Hour]:[Hour]]&gt;12,OFFSET(TblConstr[[#This Row],[Shr]],-12,0),0)+OFFSET(TblConstr[[#This Row],[Tot Shr]],-1,0)-TblConstr[[#This Row],[Dest Shr]]</f>
        <v>0</v>
      </c>
      <c r="BL66" s="491" cm="1">
        <f t="array" aca="1" ref="BL66" ca="1">IF(TblConstr[[#This Row],[Hour]:[Hour]]&gt;12,OFFSET(TblConstr[[#This Row],[Tow]],-12,0),0)+OFFSET(TblConstr[[#This Row],[Tot Tow]],-1,0)-TblConstr[[#This Row],[Dest Tow]]</f>
        <v>0</v>
      </c>
      <c r="BM66" s="491" cm="1">
        <f t="array" aca="1" ref="BM66" ca="1">IF(TblConstr[[#This Row],[Hour]:[Hour]]&gt;12,OFFSET(TblConstr[[#This Row],[Tem]],-12,0),0)+OFFSET(TblConstr[[#This Row],[Tot Tem]],-1,0)-TblConstr[[#This Row],[Dest Tem]]</f>
        <v>0</v>
      </c>
      <c r="BN66" s="491"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44407.333333333183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1">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81">
        <f ca="1">OFFSET(TblConstr[[#This Row],[Mountain]],-1,0)+TblConstr[[#This Row],[Ch_Mountain]]</f>
        <v>20</v>
      </c>
      <c r="J67" s="485">
        <f ca="1">OFFSET(TblConstr[[#This Row],[Hill]],-1,0)+TblConstr[[#This Row],[Ch_Hill]]</f>
        <v>20</v>
      </c>
      <c r="K67" s="489">
        <f ca="1">OFFSET(TblConstr[[#This Row],[Swamp]],-1,0)+TblConstr[[#This Row],[Ch_Swamp]]</f>
        <v>20</v>
      </c>
      <c r="L67" s="239">
        <f ca="1">OFFSET(TblConstr[[#This Row],[Cavern]],-1,0)+TblConstr[[#This Row],[Ch_Cavern]]</f>
        <v>20</v>
      </c>
      <c r="M67" s="240">
        <f ca="1">OFFSET(TblConstr[[#This Row],[Water]],-1,0)+TblConstr[[#This Row],[Ch_Water]]</f>
        <v>20</v>
      </c>
      <c r="N67" s="479">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44407.374999999847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3" cm="1">
        <f t="array" aca="1" ref="BF67" ca="1">IF(TblConstr[[#This Row],[Hour]:[Hour]]&gt;12,OFFSET(TblConstr[[#This Row],[OM]],-12,0),0)+OFFSET(TblConstr[[#This Row],[Tot OM]],-1,0)-TblConstr[[#This Row],[Dest OM]]</f>
        <v>0</v>
      </c>
      <c r="BG67" s="483" cm="1">
        <f t="array" aca="1" ref="BG67" ca="1">IF(TblConstr[[#This Row],[Hour]:[Hour]]&gt;12,OFFSET(TblConstr[[#This Row],[GN]],-12,0),0)+OFFSET(TblConstr[[#This Row],[Tot GN]],-1,0)-TblConstr[[#This Row],[Dest GN]]</f>
        <v>0</v>
      </c>
      <c r="BH67" s="487" cm="1">
        <f t="array" aca="1" ref="BH67" ca="1">IF(TblConstr[[#This Row],[Hour]:[Hour]]&gt;12,OFFSET(TblConstr[[#This Row],[Fac]],-12,0),0)+OFFSET(TblConstr[[#This Row],[Tot Fac]],-1,0)-TblConstr[[#This Row],[Dest Fac]]</f>
        <v>0</v>
      </c>
      <c r="BI67" s="487" cm="1">
        <f t="array" aca="1" ref="BI67" ca="1">IF(TblConstr[[#This Row],[Hour]:[Hour]]&gt;12,OFFSET(TblConstr[[#This Row],[GT]],-12,0),0)+OFFSET(TblConstr[[#This Row],[Tot GT]],-1,0)-TblConstr[[#This Row],[Dest GT]]</f>
        <v>0</v>
      </c>
      <c r="BJ67" s="487" cm="1">
        <f t="array" aca="1" ref="BJ67" ca="1">IF(TblConstr[[#This Row],[Hour]:[Hour]]&gt;12,OFFSET(TblConstr[[#This Row],[Bar]],-12,0),0)+OFFSET(TblConstr[[#This Row],[Tot Bar]],-1,0)-TblConstr[[#This Row],[Dest Bar]]</f>
        <v>0</v>
      </c>
      <c r="BK67" s="487" cm="1">
        <f t="array" aca="1" ref="BK67" ca="1">IF(TblConstr[[#This Row],[Hour]:[Hour]]&gt;12,OFFSET(TblConstr[[#This Row],[Shr]],-12,0),0)+OFFSET(TblConstr[[#This Row],[Tot Shr]],-1,0)-TblConstr[[#This Row],[Dest Shr]]</f>
        <v>0</v>
      </c>
      <c r="BL67" s="491" cm="1">
        <f t="array" aca="1" ref="BL67" ca="1">IF(TblConstr[[#This Row],[Hour]:[Hour]]&gt;12,OFFSET(TblConstr[[#This Row],[Tow]],-12,0),0)+OFFSET(TblConstr[[#This Row],[Tot Tow]],-1,0)-TblConstr[[#This Row],[Dest Tow]]</f>
        <v>0</v>
      </c>
      <c r="BM67" s="491" cm="1">
        <f t="array" aca="1" ref="BM67" ca="1">IF(TblConstr[[#This Row],[Hour]:[Hour]]&gt;12,OFFSET(TblConstr[[#This Row],[Tem]],-12,0),0)+OFFSET(TblConstr[[#This Row],[Tot Tem]],-1,0)-TblConstr[[#This Row],[Dest Tem]]</f>
        <v>0</v>
      </c>
      <c r="BN67" s="491"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44407.374999999847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1">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81">
        <f ca="1">OFFSET(TblConstr[[#This Row],[Mountain]],-1,0)+TblConstr[[#This Row],[Ch_Mountain]]</f>
        <v>20</v>
      </c>
      <c r="J68" s="485">
        <f ca="1">OFFSET(TblConstr[[#This Row],[Hill]],-1,0)+TblConstr[[#This Row],[Ch_Hill]]</f>
        <v>20</v>
      </c>
      <c r="K68" s="489">
        <f ca="1">OFFSET(TblConstr[[#This Row],[Swamp]],-1,0)+TblConstr[[#This Row],[Ch_Swamp]]</f>
        <v>20</v>
      </c>
      <c r="L68" s="239">
        <f ca="1">OFFSET(TblConstr[[#This Row],[Cavern]],-1,0)+TblConstr[[#This Row],[Ch_Cavern]]</f>
        <v>20</v>
      </c>
      <c r="M68" s="240">
        <f ca="1">OFFSET(TblConstr[[#This Row],[Water]],-1,0)+TblConstr[[#This Row],[Ch_Water]]</f>
        <v>20</v>
      </c>
      <c r="N68" s="479">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44407.416666666511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3" cm="1">
        <f t="array" aca="1" ref="BF68" ca="1">IF(TblConstr[[#This Row],[Hour]:[Hour]]&gt;12,OFFSET(TblConstr[[#This Row],[OM]],-12,0),0)+OFFSET(TblConstr[[#This Row],[Tot OM]],-1,0)-TblConstr[[#This Row],[Dest OM]]</f>
        <v>0</v>
      </c>
      <c r="BG68" s="483" cm="1">
        <f t="array" aca="1" ref="BG68" ca="1">IF(TblConstr[[#This Row],[Hour]:[Hour]]&gt;12,OFFSET(TblConstr[[#This Row],[GN]],-12,0),0)+OFFSET(TblConstr[[#This Row],[Tot GN]],-1,0)-TblConstr[[#This Row],[Dest GN]]</f>
        <v>0</v>
      </c>
      <c r="BH68" s="487" cm="1">
        <f t="array" aca="1" ref="BH68" ca="1">IF(TblConstr[[#This Row],[Hour]:[Hour]]&gt;12,OFFSET(TblConstr[[#This Row],[Fac]],-12,0),0)+OFFSET(TblConstr[[#This Row],[Tot Fac]],-1,0)-TblConstr[[#This Row],[Dest Fac]]</f>
        <v>0</v>
      </c>
      <c r="BI68" s="487" cm="1">
        <f t="array" aca="1" ref="BI68" ca="1">IF(TblConstr[[#This Row],[Hour]:[Hour]]&gt;12,OFFSET(TblConstr[[#This Row],[GT]],-12,0),0)+OFFSET(TblConstr[[#This Row],[Tot GT]],-1,0)-TblConstr[[#This Row],[Dest GT]]</f>
        <v>0</v>
      </c>
      <c r="BJ68" s="487" cm="1">
        <f t="array" aca="1" ref="BJ68" ca="1">IF(TblConstr[[#This Row],[Hour]:[Hour]]&gt;12,OFFSET(TblConstr[[#This Row],[Bar]],-12,0),0)+OFFSET(TblConstr[[#This Row],[Tot Bar]],-1,0)-TblConstr[[#This Row],[Dest Bar]]</f>
        <v>0</v>
      </c>
      <c r="BK68" s="487" cm="1">
        <f t="array" aca="1" ref="BK68" ca="1">IF(TblConstr[[#This Row],[Hour]:[Hour]]&gt;12,OFFSET(TblConstr[[#This Row],[Shr]],-12,0),0)+OFFSET(TblConstr[[#This Row],[Tot Shr]],-1,0)-TblConstr[[#This Row],[Dest Shr]]</f>
        <v>0</v>
      </c>
      <c r="BL68" s="491" cm="1">
        <f t="array" aca="1" ref="BL68" ca="1">IF(TblConstr[[#This Row],[Hour]:[Hour]]&gt;12,OFFSET(TblConstr[[#This Row],[Tow]],-12,0),0)+OFFSET(TblConstr[[#This Row],[Tot Tow]],-1,0)-TblConstr[[#This Row],[Dest Tow]]</f>
        <v>0</v>
      </c>
      <c r="BM68" s="491" cm="1">
        <f t="array" aca="1" ref="BM68" ca="1">IF(TblConstr[[#This Row],[Hour]:[Hour]]&gt;12,OFFSET(TblConstr[[#This Row],[Tem]],-12,0),0)+OFFSET(TblConstr[[#This Row],[Tot Tem]],-1,0)-TblConstr[[#This Row],[Dest Tem]]</f>
        <v>0</v>
      </c>
      <c r="BN68" s="491"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44407.416666666511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1">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81">
        <f ca="1">OFFSET(TblConstr[[#This Row],[Mountain]],-1,0)+TblConstr[[#This Row],[Ch_Mountain]]</f>
        <v>20</v>
      </c>
      <c r="J69" s="485">
        <f ca="1">OFFSET(TblConstr[[#This Row],[Hill]],-1,0)+TblConstr[[#This Row],[Ch_Hill]]</f>
        <v>20</v>
      </c>
      <c r="K69" s="489">
        <f ca="1">OFFSET(TblConstr[[#This Row],[Swamp]],-1,0)+TblConstr[[#This Row],[Ch_Swamp]]</f>
        <v>20</v>
      </c>
      <c r="L69" s="239">
        <f ca="1">OFFSET(TblConstr[[#This Row],[Cavern]],-1,0)+TblConstr[[#This Row],[Ch_Cavern]]</f>
        <v>20</v>
      </c>
      <c r="M69" s="240">
        <f ca="1">OFFSET(TblConstr[[#This Row],[Water]],-1,0)+TblConstr[[#This Row],[Ch_Water]]</f>
        <v>20</v>
      </c>
      <c r="N69" s="479">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44407.458333333176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3" cm="1">
        <f t="array" aca="1" ref="BF69" ca="1">IF(TblConstr[[#This Row],[Hour]:[Hour]]&gt;12,OFFSET(TblConstr[[#This Row],[OM]],-12,0),0)+OFFSET(TblConstr[[#This Row],[Tot OM]],-1,0)-TblConstr[[#This Row],[Dest OM]]</f>
        <v>0</v>
      </c>
      <c r="BG69" s="483" cm="1">
        <f t="array" aca="1" ref="BG69" ca="1">IF(TblConstr[[#This Row],[Hour]:[Hour]]&gt;12,OFFSET(TblConstr[[#This Row],[GN]],-12,0),0)+OFFSET(TblConstr[[#This Row],[Tot GN]],-1,0)-TblConstr[[#This Row],[Dest GN]]</f>
        <v>0</v>
      </c>
      <c r="BH69" s="487" cm="1">
        <f t="array" aca="1" ref="BH69" ca="1">IF(TblConstr[[#This Row],[Hour]:[Hour]]&gt;12,OFFSET(TblConstr[[#This Row],[Fac]],-12,0),0)+OFFSET(TblConstr[[#This Row],[Tot Fac]],-1,0)-TblConstr[[#This Row],[Dest Fac]]</f>
        <v>0</v>
      </c>
      <c r="BI69" s="487" cm="1">
        <f t="array" aca="1" ref="BI69" ca="1">IF(TblConstr[[#This Row],[Hour]:[Hour]]&gt;12,OFFSET(TblConstr[[#This Row],[GT]],-12,0),0)+OFFSET(TblConstr[[#This Row],[Tot GT]],-1,0)-TblConstr[[#This Row],[Dest GT]]</f>
        <v>0</v>
      </c>
      <c r="BJ69" s="487" cm="1">
        <f t="array" aca="1" ref="BJ69" ca="1">IF(TblConstr[[#This Row],[Hour]:[Hour]]&gt;12,OFFSET(TblConstr[[#This Row],[Bar]],-12,0),0)+OFFSET(TblConstr[[#This Row],[Tot Bar]],-1,0)-TblConstr[[#This Row],[Dest Bar]]</f>
        <v>0</v>
      </c>
      <c r="BK69" s="487" cm="1">
        <f t="array" aca="1" ref="BK69" ca="1">IF(TblConstr[[#This Row],[Hour]:[Hour]]&gt;12,OFFSET(TblConstr[[#This Row],[Shr]],-12,0),0)+OFFSET(TblConstr[[#This Row],[Tot Shr]],-1,0)-TblConstr[[#This Row],[Dest Shr]]</f>
        <v>0</v>
      </c>
      <c r="BL69" s="491" cm="1">
        <f t="array" aca="1" ref="BL69" ca="1">IF(TblConstr[[#This Row],[Hour]:[Hour]]&gt;12,OFFSET(TblConstr[[#This Row],[Tow]],-12,0),0)+OFFSET(TblConstr[[#This Row],[Tot Tow]],-1,0)-TblConstr[[#This Row],[Dest Tow]]</f>
        <v>0</v>
      </c>
      <c r="BM69" s="491" cm="1">
        <f t="array" aca="1" ref="BM69" ca="1">IF(TblConstr[[#This Row],[Hour]:[Hour]]&gt;12,OFFSET(TblConstr[[#This Row],[Tem]],-12,0),0)+OFFSET(TblConstr[[#This Row],[Tot Tem]],-1,0)-TblConstr[[#This Row],[Dest Tem]]</f>
        <v>0</v>
      </c>
      <c r="BN69" s="491"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44407.458333333176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1">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81">
        <f ca="1">OFFSET(TblConstr[[#This Row],[Mountain]],-1,0)+TblConstr[[#This Row],[Ch_Mountain]]</f>
        <v>20</v>
      </c>
      <c r="J70" s="485">
        <f ca="1">OFFSET(TblConstr[[#This Row],[Hill]],-1,0)+TblConstr[[#This Row],[Ch_Hill]]</f>
        <v>20</v>
      </c>
      <c r="K70" s="489">
        <f ca="1">OFFSET(TblConstr[[#This Row],[Swamp]],-1,0)+TblConstr[[#This Row],[Ch_Swamp]]</f>
        <v>20</v>
      </c>
      <c r="L70" s="239">
        <f ca="1">OFFSET(TblConstr[[#This Row],[Cavern]],-1,0)+TblConstr[[#This Row],[Ch_Cavern]]</f>
        <v>20</v>
      </c>
      <c r="M70" s="240">
        <f ca="1">OFFSET(TblConstr[[#This Row],[Water]],-1,0)+TblConstr[[#This Row],[Ch_Water]]</f>
        <v>20</v>
      </c>
      <c r="N70" s="479">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44407.49999999984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3" cm="1">
        <f t="array" aca="1" ref="BF70" ca="1">IF(TblConstr[[#This Row],[Hour]:[Hour]]&gt;12,OFFSET(TblConstr[[#This Row],[OM]],-12,0),0)+OFFSET(TblConstr[[#This Row],[Tot OM]],-1,0)-TblConstr[[#This Row],[Dest OM]]</f>
        <v>0</v>
      </c>
      <c r="BG70" s="483" cm="1">
        <f t="array" aca="1" ref="BG70" ca="1">IF(TblConstr[[#This Row],[Hour]:[Hour]]&gt;12,OFFSET(TblConstr[[#This Row],[GN]],-12,0),0)+OFFSET(TblConstr[[#This Row],[Tot GN]],-1,0)-TblConstr[[#This Row],[Dest GN]]</f>
        <v>0</v>
      </c>
      <c r="BH70" s="487" cm="1">
        <f t="array" aca="1" ref="BH70" ca="1">IF(TblConstr[[#This Row],[Hour]:[Hour]]&gt;12,OFFSET(TblConstr[[#This Row],[Fac]],-12,0),0)+OFFSET(TblConstr[[#This Row],[Tot Fac]],-1,0)-TblConstr[[#This Row],[Dest Fac]]</f>
        <v>0</v>
      </c>
      <c r="BI70" s="487" cm="1">
        <f t="array" aca="1" ref="BI70" ca="1">IF(TblConstr[[#This Row],[Hour]:[Hour]]&gt;12,OFFSET(TblConstr[[#This Row],[GT]],-12,0),0)+OFFSET(TblConstr[[#This Row],[Tot GT]],-1,0)-TblConstr[[#This Row],[Dest GT]]</f>
        <v>0</v>
      </c>
      <c r="BJ70" s="487" cm="1">
        <f t="array" aca="1" ref="BJ70" ca="1">IF(TblConstr[[#This Row],[Hour]:[Hour]]&gt;12,OFFSET(TblConstr[[#This Row],[Bar]],-12,0),0)+OFFSET(TblConstr[[#This Row],[Tot Bar]],-1,0)-TblConstr[[#This Row],[Dest Bar]]</f>
        <v>0</v>
      </c>
      <c r="BK70" s="487" cm="1">
        <f t="array" aca="1" ref="BK70" ca="1">IF(TblConstr[[#This Row],[Hour]:[Hour]]&gt;12,OFFSET(TblConstr[[#This Row],[Shr]],-12,0),0)+OFFSET(TblConstr[[#This Row],[Tot Shr]],-1,0)-TblConstr[[#This Row],[Dest Shr]]</f>
        <v>0</v>
      </c>
      <c r="BL70" s="491" cm="1">
        <f t="array" aca="1" ref="BL70" ca="1">IF(TblConstr[[#This Row],[Hour]:[Hour]]&gt;12,OFFSET(TblConstr[[#This Row],[Tow]],-12,0),0)+OFFSET(TblConstr[[#This Row],[Tot Tow]],-1,0)-TblConstr[[#This Row],[Dest Tow]]</f>
        <v>0</v>
      </c>
      <c r="BM70" s="491" cm="1">
        <f t="array" aca="1" ref="BM70" ca="1">IF(TblConstr[[#This Row],[Hour]:[Hour]]&gt;12,OFFSET(TblConstr[[#This Row],[Tem]],-12,0),0)+OFFSET(TblConstr[[#This Row],[Tot Tem]],-1,0)-TblConstr[[#This Row],[Dest Tem]]</f>
        <v>0</v>
      </c>
      <c r="BN70" s="491"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44407.49999999984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1">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81">
        <f ca="1">OFFSET(TblConstr[[#This Row],[Mountain]],-1,0)+TblConstr[[#This Row],[Ch_Mountain]]</f>
        <v>20</v>
      </c>
      <c r="J71" s="485">
        <f ca="1">OFFSET(TblConstr[[#This Row],[Hill]],-1,0)+TblConstr[[#This Row],[Ch_Hill]]</f>
        <v>20</v>
      </c>
      <c r="K71" s="489">
        <f ca="1">OFFSET(TblConstr[[#This Row],[Swamp]],-1,0)+TblConstr[[#This Row],[Ch_Swamp]]</f>
        <v>20</v>
      </c>
      <c r="L71" s="239">
        <f ca="1">OFFSET(TblConstr[[#This Row],[Cavern]],-1,0)+TblConstr[[#This Row],[Ch_Cavern]]</f>
        <v>20</v>
      </c>
      <c r="M71" s="240">
        <f ca="1">OFFSET(TblConstr[[#This Row],[Water]],-1,0)+TblConstr[[#This Row],[Ch_Water]]</f>
        <v>20</v>
      </c>
      <c r="N71" s="479">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44407.541666666504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3" cm="1">
        <f t="array" aca="1" ref="BF71" ca="1">IF(TblConstr[[#This Row],[Hour]:[Hour]]&gt;12,OFFSET(TblConstr[[#This Row],[OM]],-12,0),0)+OFFSET(TblConstr[[#This Row],[Tot OM]],-1,0)-TblConstr[[#This Row],[Dest OM]]</f>
        <v>0</v>
      </c>
      <c r="BG71" s="483" cm="1">
        <f t="array" aca="1" ref="BG71" ca="1">IF(TblConstr[[#This Row],[Hour]:[Hour]]&gt;12,OFFSET(TblConstr[[#This Row],[GN]],-12,0),0)+OFFSET(TblConstr[[#This Row],[Tot GN]],-1,0)-TblConstr[[#This Row],[Dest GN]]</f>
        <v>0</v>
      </c>
      <c r="BH71" s="487" cm="1">
        <f t="array" aca="1" ref="BH71" ca="1">IF(TblConstr[[#This Row],[Hour]:[Hour]]&gt;12,OFFSET(TblConstr[[#This Row],[Fac]],-12,0),0)+OFFSET(TblConstr[[#This Row],[Tot Fac]],-1,0)-TblConstr[[#This Row],[Dest Fac]]</f>
        <v>0</v>
      </c>
      <c r="BI71" s="487" cm="1">
        <f t="array" aca="1" ref="BI71" ca="1">IF(TblConstr[[#This Row],[Hour]:[Hour]]&gt;12,OFFSET(TblConstr[[#This Row],[GT]],-12,0),0)+OFFSET(TblConstr[[#This Row],[Tot GT]],-1,0)-TblConstr[[#This Row],[Dest GT]]</f>
        <v>0</v>
      </c>
      <c r="BJ71" s="487" cm="1">
        <f t="array" aca="1" ref="BJ71" ca="1">IF(TblConstr[[#This Row],[Hour]:[Hour]]&gt;12,OFFSET(TblConstr[[#This Row],[Bar]],-12,0),0)+OFFSET(TblConstr[[#This Row],[Tot Bar]],-1,0)-TblConstr[[#This Row],[Dest Bar]]</f>
        <v>0</v>
      </c>
      <c r="BK71" s="487" cm="1">
        <f t="array" aca="1" ref="BK71" ca="1">IF(TblConstr[[#This Row],[Hour]:[Hour]]&gt;12,OFFSET(TblConstr[[#This Row],[Shr]],-12,0),0)+OFFSET(TblConstr[[#This Row],[Tot Shr]],-1,0)-TblConstr[[#This Row],[Dest Shr]]</f>
        <v>0</v>
      </c>
      <c r="BL71" s="491" cm="1">
        <f t="array" aca="1" ref="BL71" ca="1">IF(TblConstr[[#This Row],[Hour]:[Hour]]&gt;12,OFFSET(TblConstr[[#This Row],[Tow]],-12,0),0)+OFFSET(TblConstr[[#This Row],[Tot Tow]],-1,0)-TblConstr[[#This Row],[Dest Tow]]</f>
        <v>0</v>
      </c>
      <c r="BM71" s="491" cm="1">
        <f t="array" aca="1" ref="BM71" ca="1">IF(TblConstr[[#This Row],[Hour]:[Hour]]&gt;12,OFFSET(TblConstr[[#This Row],[Tem]],-12,0),0)+OFFSET(TblConstr[[#This Row],[Tot Tem]],-1,0)-TblConstr[[#This Row],[Dest Tem]]</f>
        <v>0</v>
      </c>
      <c r="BN71" s="491"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44407.541666666504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1">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81">
        <f ca="1">OFFSET(TblConstr[[#This Row],[Mountain]],-1,0)+TblConstr[[#This Row],[Ch_Mountain]]</f>
        <v>20</v>
      </c>
      <c r="J72" s="485">
        <f ca="1">OFFSET(TblConstr[[#This Row],[Hill]],-1,0)+TblConstr[[#This Row],[Ch_Hill]]</f>
        <v>20</v>
      </c>
      <c r="K72" s="489">
        <f ca="1">OFFSET(TblConstr[[#This Row],[Swamp]],-1,0)+TblConstr[[#This Row],[Ch_Swamp]]</f>
        <v>20</v>
      </c>
      <c r="L72" s="239">
        <f ca="1">OFFSET(TblConstr[[#This Row],[Cavern]],-1,0)+TblConstr[[#This Row],[Ch_Cavern]]</f>
        <v>20</v>
      </c>
      <c r="M72" s="240">
        <f ca="1">OFFSET(TblConstr[[#This Row],[Water]],-1,0)+TblConstr[[#This Row],[Ch_Water]]</f>
        <v>20</v>
      </c>
      <c r="N72" s="479">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44407.583333333168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3" cm="1">
        <f t="array" aca="1" ref="BF72" ca="1">IF(TblConstr[[#This Row],[Hour]:[Hour]]&gt;12,OFFSET(TblConstr[[#This Row],[OM]],-12,0),0)+OFFSET(TblConstr[[#This Row],[Tot OM]],-1,0)-TblConstr[[#This Row],[Dest OM]]</f>
        <v>0</v>
      </c>
      <c r="BG72" s="483" cm="1">
        <f t="array" aca="1" ref="BG72" ca="1">IF(TblConstr[[#This Row],[Hour]:[Hour]]&gt;12,OFFSET(TblConstr[[#This Row],[GN]],-12,0),0)+OFFSET(TblConstr[[#This Row],[Tot GN]],-1,0)-TblConstr[[#This Row],[Dest GN]]</f>
        <v>0</v>
      </c>
      <c r="BH72" s="487" cm="1">
        <f t="array" aca="1" ref="BH72" ca="1">IF(TblConstr[[#This Row],[Hour]:[Hour]]&gt;12,OFFSET(TblConstr[[#This Row],[Fac]],-12,0),0)+OFFSET(TblConstr[[#This Row],[Tot Fac]],-1,0)-TblConstr[[#This Row],[Dest Fac]]</f>
        <v>0</v>
      </c>
      <c r="BI72" s="487" cm="1">
        <f t="array" aca="1" ref="BI72" ca="1">IF(TblConstr[[#This Row],[Hour]:[Hour]]&gt;12,OFFSET(TblConstr[[#This Row],[GT]],-12,0),0)+OFFSET(TblConstr[[#This Row],[Tot GT]],-1,0)-TblConstr[[#This Row],[Dest GT]]</f>
        <v>0</v>
      </c>
      <c r="BJ72" s="487" cm="1">
        <f t="array" aca="1" ref="BJ72" ca="1">IF(TblConstr[[#This Row],[Hour]:[Hour]]&gt;12,OFFSET(TblConstr[[#This Row],[Bar]],-12,0),0)+OFFSET(TblConstr[[#This Row],[Tot Bar]],-1,0)-TblConstr[[#This Row],[Dest Bar]]</f>
        <v>0</v>
      </c>
      <c r="BK72" s="487" cm="1">
        <f t="array" aca="1" ref="BK72" ca="1">IF(TblConstr[[#This Row],[Hour]:[Hour]]&gt;12,OFFSET(TblConstr[[#This Row],[Shr]],-12,0),0)+OFFSET(TblConstr[[#This Row],[Tot Shr]],-1,0)-TblConstr[[#This Row],[Dest Shr]]</f>
        <v>0</v>
      </c>
      <c r="BL72" s="491" cm="1">
        <f t="array" aca="1" ref="BL72" ca="1">IF(TblConstr[[#This Row],[Hour]:[Hour]]&gt;12,OFFSET(TblConstr[[#This Row],[Tow]],-12,0),0)+OFFSET(TblConstr[[#This Row],[Tot Tow]],-1,0)-TblConstr[[#This Row],[Dest Tow]]</f>
        <v>0</v>
      </c>
      <c r="BM72" s="491" cm="1">
        <f t="array" aca="1" ref="BM72" ca="1">IF(TblConstr[[#This Row],[Hour]:[Hour]]&gt;12,OFFSET(TblConstr[[#This Row],[Tem]],-12,0),0)+OFFSET(TblConstr[[#This Row],[Tot Tem]],-1,0)-TblConstr[[#This Row],[Dest Tem]]</f>
        <v>0</v>
      </c>
      <c r="BN72" s="491"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44407.583333333168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1">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81">
        <f ca="1">OFFSET(TblConstr[[#This Row],[Mountain]],-1,0)+TblConstr[[#This Row],[Ch_Mountain]]</f>
        <v>20</v>
      </c>
      <c r="J73" s="485">
        <f ca="1">OFFSET(TblConstr[[#This Row],[Hill]],-1,0)+TblConstr[[#This Row],[Ch_Hill]]</f>
        <v>20</v>
      </c>
      <c r="K73" s="489">
        <f ca="1">OFFSET(TblConstr[[#This Row],[Swamp]],-1,0)+TblConstr[[#This Row],[Ch_Swamp]]</f>
        <v>20</v>
      </c>
      <c r="L73" s="239">
        <f ca="1">OFFSET(TblConstr[[#This Row],[Cavern]],-1,0)+TblConstr[[#This Row],[Ch_Cavern]]</f>
        <v>20</v>
      </c>
      <c r="M73" s="240">
        <f ca="1">OFFSET(TblConstr[[#This Row],[Water]],-1,0)+TblConstr[[#This Row],[Ch_Water]]</f>
        <v>20</v>
      </c>
      <c r="N73" s="479">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44407.624999999833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3" cm="1">
        <f t="array" aca="1" ref="BF73" ca="1">IF(TblConstr[[#This Row],[Hour]:[Hour]]&gt;12,OFFSET(TblConstr[[#This Row],[OM]],-12,0),0)+OFFSET(TblConstr[[#This Row],[Tot OM]],-1,0)-TblConstr[[#This Row],[Dest OM]]</f>
        <v>0</v>
      </c>
      <c r="BG73" s="483" cm="1">
        <f t="array" aca="1" ref="BG73" ca="1">IF(TblConstr[[#This Row],[Hour]:[Hour]]&gt;12,OFFSET(TblConstr[[#This Row],[GN]],-12,0),0)+OFFSET(TblConstr[[#This Row],[Tot GN]],-1,0)-TblConstr[[#This Row],[Dest GN]]</f>
        <v>0</v>
      </c>
      <c r="BH73" s="487" cm="1">
        <f t="array" aca="1" ref="BH73" ca="1">IF(TblConstr[[#This Row],[Hour]:[Hour]]&gt;12,OFFSET(TblConstr[[#This Row],[Fac]],-12,0),0)+OFFSET(TblConstr[[#This Row],[Tot Fac]],-1,0)-TblConstr[[#This Row],[Dest Fac]]</f>
        <v>0</v>
      </c>
      <c r="BI73" s="487" cm="1">
        <f t="array" aca="1" ref="BI73" ca="1">IF(TblConstr[[#This Row],[Hour]:[Hour]]&gt;12,OFFSET(TblConstr[[#This Row],[GT]],-12,0),0)+OFFSET(TblConstr[[#This Row],[Tot GT]],-1,0)-TblConstr[[#This Row],[Dest GT]]</f>
        <v>0</v>
      </c>
      <c r="BJ73" s="487" cm="1">
        <f t="array" aca="1" ref="BJ73" ca="1">IF(TblConstr[[#This Row],[Hour]:[Hour]]&gt;12,OFFSET(TblConstr[[#This Row],[Bar]],-12,0),0)+OFFSET(TblConstr[[#This Row],[Tot Bar]],-1,0)-TblConstr[[#This Row],[Dest Bar]]</f>
        <v>0</v>
      </c>
      <c r="BK73" s="487" cm="1">
        <f t="array" aca="1" ref="BK73" ca="1">IF(TblConstr[[#This Row],[Hour]:[Hour]]&gt;12,OFFSET(TblConstr[[#This Row],[Shr]],-12,0),0)+OFFSET(TblConstr[[#This Row],[Tot Shr]],-1,0)-TblConstr[[#This Row],[Dest Shr]]</f>
        <v>0</v>
      </c>
      <c r="BL73" s="491" cm="1">
        <f t="array" aca="1" ref="BL73" ca="1">IF(TblConstr[[#This Row],[Hour]:[Hour]]&gt;12,OFFSET(TblConstr[[#This Row],[Tow]],-12,0),0)+OFFSET(TblConstr[[#This Row],[Tot Tow]],-1,0)-TblConstr[[#This Row],[Dest Tow]]</f>
        <v>0</v>
      </c>
      <c r="BM73" s="491" cm="1">
        <f t="array" aca="1" ref="BM73" ca="1">IF(TblConstr[[#This Row],[Hour]:[Hour]]&gt;12,OFFSET(TblConstr[[#This Row],[Tem]],-12,0),0)+OFFSET(TblConstr[[#This Row],[Tot Tem]],-1,0)-TblConstr[[#This Row],[Dest Tem]]</f>
        <v>0</v>
      </c>
      <c r="BN73" s="491"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44407.624999999833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1">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81">
        <f ca="1">OFFSET(TblConstr[[#This Row],[Mountain]],-1,0)+TblConstr[[#This Row],[Ch_Mountain]]</f>
        <v>20</v>
      </c>
      <c r="J74" s="485">
        <f ca="1">OFFSET(TblConstr[[#This Row],[Hill]],-1,0)+TblConstr[[#This Row],[Ch_Hill]]</f>
        <v>20</v>
      </c>
      <c r="K74" s="489">
        <f ca="1">OFFSET(TblConstr[[#This Row],[Swamp]],-1,0)+TblConstr[[#This Row],[Ch_Swamp]]</f>
        <v>20</v>
      </c>
      <c r="L74" s="239">
        <f ca="1">OFFSET(TblConstr[[#This Row],[Cavern]],-1,0)+TblConstr[[#This Row],[Ch_Cavern]]</f>
        <v>20</v>
      </c>
      <c r="M74" s="240">
        <f ca="1">OFFSET(TblConstr[[#This Row],[Water]],-1,0)+TblConstr[[#This Row],[Ch_Water]]</f>
        <v>20</v>
      </c>
      <c r="N74" s="479">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44407.666666666497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3" cm="1">
        <f t="array" aca="1" ref="BF74" ca="1">IF(TblConstr[[#This Row],[Hour]:[Hour]]&gt;12,OFFSET(TblConstr[[#This Row],[OM]],-12,0),0)+OFFSET(TblConstr[[#This Row],[Tot OM]],-1,0)-TblConstr[[#This Row],[Dest OM]]</f>
        <v>0</v>
      </c>
      <c r="BG74" s="483" cm="1">
        <f t="array" aca="1" ref="BG74" ca="1">IF(TblConstr[[#This Row],[Hour]:[Hour]]&gt;12,OFFSET(TblConstr[[#This Row],[GN]],-12,0),0)+OFFSET(TblConstr[[#This Row],[Tot GN]],-1,0)-TblConstr[[#This Row],[Dest GN]]</f>
        <v>0</v>
      </c>
      <c r="BH74" s="487" cm="1">
        <f t="array" aca="1" ref="BH74" ca="1">IF(TblConstr[[#This Row],[Hour]:[Hour]]&gt;12,OFFSET(TblConstr[[#This Row],[Fac]],-12,0),0)+OFFSET(TblConstr[[#This Row],[Tot Fac]],-1,0)-TblConstr[[#This Row],[Dest Fac]]</f>
        <v>0</v>
      </c>
      <c r="BI74" s="487" cm="1">
        <f t="array" aca="1" ref="BI74" ca="1">IF(TblConstr[[#This Row],[Hour]:[Hour]]&gt;12,OFFSET(TblConstr[[#This Row],[GT]],-12,0),0)+OFFSET(TblConstr[[#This Row],[Tot GT]],-1,0)-TblConstr[[#This Row],[Dest GT]]</f>
        <v>0</v>
      </c>
      <c r="BJ74" s="487" cm="1">
        <f t="array" aca="1" ref="BJ74" ca="1">IF(TblConstr[[#This Row],[Hour]:[Hour]]&gt;12,OFFSET(TblConstr[[#This Row],[Bar]],-12,0),0)+OFFSET(TblConstr[[#This Row],[Tot Bar]],-1,0)-TblConstr[[#This Row],[Dest Bar]]</f>
        <v>0</v>
      </c>
      <c r="BK74" s="487" cm="1">
        <f t="array" aca="1" ref="BK74" ca="1">IF(TblConstr[[#This Row],[Hour]:[Hour]]&gt;12,OFFSET(TblConstr[[#This Row],[Shr]],-12,0),0)+OFFSET(TblConstr[[#This Row],[Tot Shr]],-1,0)-TblConstr[[#This Row],[Dest Shr]]</f>
        <v>0</v>
      </c>
      <c r="BL74" s="491" cm="1">
        <f t="array" aca="1" ref="BL74" ca="1">IF(TblConstr[[#This Row],[Hour]:[Hour]]&gt;12,OFFSET(TblConstr[[#This Row],[Tow]],-12,0),0)+OFFSET(TblConstr[[#This Row],[Tot Tow]],-1,0)-TblConstr[[#This Row],[Dest Tow]]</f>
        <v>0</v>
      </c>
      <c r="BM74" s="491" cm="1">
        <f t="array" aca="1" ref="BM74" ca="1">IF(TblConstr[[#This Row],[Hour]:[Hour]]&gt;12,OFFSET(TblConstr[[#This Row],[Tem]],-12,0),0)+OFFSET(TblConstr[[#This Row],[Tot Tem]],-1,0)-TblConstr[[#This Row],[Dest Tem]]</f>
        <v>0</v>
      </c>
      <c r="BN74" s="491"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44407.666666666497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1">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81">
        <f ca="1">OFFSET(TblConstr[[#This Row],[Mountain]],-1,0)+TblConstr[[#This Row],[Ch_Mountain]]</f>
        <v>20</v>
      </c>
      <c r="J75" s="485">
        <f ca="1">OFFSET(TblConstr[[#This Row],[Hill]],-1,0)+TblConstr[[#This Row],[Ch_Hill]]</f>
        <v>20</v>
      </c>
      <c r="K75" s="489">
        <f ca="1">OFFSET(TblConstr[[#This Row],[Swamp]],-1,0)+TblConstr[[#This Row],[Ch_Swamp]]</f>
        <v>20</v>
      </c>
      <c r="L75" s="239">
        <f ca="1">OFFSET(TblConstr[[#This Row],[Cavern]],-1,0)+TblConstr[[#This Row],[Ch_Cavern]]</f>
        <v>20</v>
      </c>
      <c r="M75" s="240">
        <f ca="1">OFFSET(TblConstr[[#This Row],[Water]],-1,0)+TblConstr[[#This Row],[Ch_Water]]</f>
        <v>20</v>
      </c>
      <c r="N75" s="479">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44407.708333333161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3" cm="1">
        <f t="array" aca="1" ref="BF75" ca="1">IF(TblConstr[[#This Row],[Hour]:[Hour]]&gt;12,OFFSET(TblConstr[[#This Row],[OM]],-12,0),0)+OFFSET(TblConstr[[#This Row],[Tot OM]],-1,0)-TblConstr[[#This Row],[Dest OM]]</f>
        <v>0</v>
      </c>
      <c r="BG75" s="483" cm="1">
        <f t="array" aca="1" ref="BG75" ca="1">IF(TblConstr[[#This Row],[Hour]:[Hour]]&gt;12,OFFSET(TblConstr[[#This Row],[GN]],-12,0),0)+OFFSET(TblConstr[[#This Row],[Tot GN]],-1,0)-TblConstr[[#This Row],[Dest GN]]</f>
        <v>0</v>
      </c>
      <c r="BH75" s="487" cm="1">
        <f t="array" aca="1" ref="BH75" ca="1">IF(TblConstr[[#This Row],[Hour]:[Hour]]&gt;12,OFFSET(TblConstr[[#This Row],[Fac]],-12,0),0)+OFFSET(TblConstr[[#This Row],[Tot Fac]],-1,0)-TblConstr[[#This Row],[Dest Fac]]</f>
        <v>0</v>
      </c>
      <c r="BI75" s="487" cm="1">
        <f t="array" aca="1" ref="BI75" ca="1">IF(TblConstr[[#This Row],[Hour]:[Hour]]&gt;12,OFFSET(TblConstr[[#This Row],[GT]],-12,0),0)+OFFSET(TblConstr[[#This Row],[Tot GT]],-1,0)-TblConstr[[#This Row],[Dest GT]]</f>
        <v>0</v>
      </c>
      <c r="BJ75" s="487" cm="1">
        <f t="array" aca="1" ref="BJ75" ca="1">IF(TblConstr[[#This Row],[Hour]:[Hour]]&gt;12,OFFSET(TblConstr[[#This Row],[Bar]],-12,0),0)+OFFSET(TblConstr[[#This Row],[Tot Bar]],-1,0)-TblConstr[[#This Row],[Dest Bar]]</f>
        <v>0</v>
      </c>
      <c r="BK75" s="487" cm="1">
        <f t="array" aca="1" ref="BK75" ca="1">IF(TblConstr[[#This Row],[Hour]:[Hour]]&gt;12,OFFSET(TblConstr[[#This Row],[Shr]],-12,0),0)+OFFSET(TblConstr[[#This Row],[Tot Shr]],-1,0)-TblConstr[[#This Row],[Dest Shr]]</f>
        <v>0</v>
      </c>
      <c r="BL75" s="491" cm="1">
        <f t="array" aca="1" ref="BL75" ca="1">IF(TblConstr[[#This Row],[Hour]:[Hour]]&gt;12,OFFSET(TblConstr[[#This Row],[Tow]],-12,0),0)+OFFSET(TblConstr[[#This Row],[Tot Tow]],-1,0)-TblConstr[[#This Row],[Dest Tow]]</f>
        <v>0</v>
      </c>
      <c r="BM75" s="491" cm="1">
        <f t="array" aca="1" ref="BM75" ca="1">IF(TblConstr[[#This Row],[Hour]:[Hour]]&gt;12,OFFSET(TblConstr[[#This Row],[Tem]],-12,0),0)+OFFSET(TblConstr[[#This Row],[Tot Tem]],-1,0)-TblConstr[[#This Row],[Dest Tem]]</f>
        <v>0</v>
      </c>
      <c r="BN75" s="491"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44407.708333333161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1">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82">
        <f ca="1">OFFSET(TblConstr[[#This Row],[Mountain]],-1,0)+TblConstr[[#This Row],[Ch_Mountain]]</f>
        <v>20</v>
      </c>
      <c r="J76" s="486">
        <f ca="1">OFFSET(TblConstr[[#This Row],[Hill]],-1,0)+TblConstr[[#This Row],[Ch_Hill]]</f>
        <v>20</v>
      </c>
      <c r="K76" s="490">
        <f ca="1">OFFSET(TblConstr[[#This Row],[Swamp]],-1,0)+TblConstr[[#This Row],[Ch_Swamp]]</f>
        <v>20</v>
      </c>
      <c r="L76" s="257">
        <f ca="1">OFFSET(TblConstr[[#This Row],[Cavern]],-1,0)+TblConstr[[#This Row],[Ch_Cavern]]</f>
        <v>20</v>
      </c>
      <c r="M76" s="258">
        <f ca="1">OFFSET(TblConstr[[#This Row],[Water]],-1,0)+TblConstr[[#This Row],[Ch_Water]]</f>
        <v>20</v>
      </c>
      <c r="N76" s="480">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44407.749999999825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4" cm="1">
        <f t="array" aca="1" ref="BF76" ca="1">IF(TblConstr[[#This Row],[Hour]:[Hour]]&gt;12,OFFSET(TblConstr[[#This Row],[OM]],-12,0),0)+OFFSET(TblConstr[[#This Row],[Tot OM]],-1,0)-TblConstr[[#This Row],[Dest OM]]</f>
        <v>0</v>
      </c>
      <c r="BG76" s="483" cm="1">
        <f t="array" aca="1" ref="BG76" ca="1">IF(TblConstr[[#This Row],[Hour]:[Hour]]&gt;12,OFFSET(TblConstr[[#This Row],[GN]],-12,0),0)+OFFSET(TblConstr[[#This Row],[Tot GN]],-1,0)-TblConstr[[#This Row],[Dest GN]]</f>
        <v>0</v>
      </c>
      <c r="BH76" s="488" cm="1">
        <f t="array" aca="1" ref="BH76" ca="1">IF(TblConstr[[#This Row],[Hour]:[Hour]]&gt;12,OFFSET(TblConstr[[#This Row],[Fac]],-12,0),0)+OFFSET(TblConstr[[#This Row],[Tot Fac]],-1,0)-TblConstr[[#This Row],[Dest Fac]]</f>
        <v>0</v>
      </c>
      <c r="BI76" s="488" cm="1">
        <f t="array" aca="1" ref="BI76" ca="1">IF(TblConstr[[#This Row],[Hour]:[Hour]]&gt;12,OFFSET(TblConstr[[#This Row],[GT]],-12,0),0)+OFFSET(TblConstr[[#This Row],[Tot GT]],-1,0)-TblConstr[[#This Row],[Dest GT]]</f>
        <v>0</v>
      </c>
      <c r="BJ76" s="488" cm="1">
        <f t="array" aca="1" ref="BJ76" ca="1">IF(TblConstr[[#This Row],[Hour]:[Hour]]&gt;12,OFFSET(TblConstr[[#This Row],[Bar]],-12,0),0)+OFFSET(TblConstr[[#This Row],[Tot Bar]],-1,0)-TblConstr[[#This Row],[Dest Bar]]</f>
        <v>0</v>
      </c>
      <c r="BK76" s="488" cm="1">
        <f t="array" aca="1" ref="BK76" ca="1">IF(TblConstr[[#This Row],[Hour]:[Hour]]&gt;12,OFFSET(TblConstr[[#This Row],[Shr]],-12,0),0)+OFFSET(TblConstr[[#This Row],[Tot Shr]],-1,0)-TblConstr[[#This Row],[Dest Shr]]</f>
        <v>0</v>
      </c>
      <c r="BL76" s="492" cm="1">
        <f t="array" aca="1" ref="BL76" ca="1">IF(TblConstr[[#This Row],[Hour]:[Hour]]&gt;12,OFFSET(TblConstr[[#This Row],[Tow]],-12,0),0)+OFFSET(TblConstr[[#This Row],[Tot Tow]],-1,0)-TblConstr[[#This Row],[Dest Tow]]</f>
        <v>0</v>
      </c>
      <c r="BM76" s="492" cm="1">
        <f t="array" aca="1" ref="BM76" ca="1">IF(TblConstr[[#This Row],[Hour]:[Hour]]&gt;12,OFFSET(TblConstr[[#This Row],[Tem]],-12,0),0)+OFFSET(TblConstr[[#This Row],[Tot Tem]],-1,0)-TblConstr[[#This Row],[Dest Tem]]</f>
        <v>0</v>
      </c>
      <c r="BN76" s="492"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44407.749999999825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2">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81">
        <f ca="1">OFFSET(TblConstr[[#This Row],[Mountain]],-1,0)+TblConstr[[#This Row],[Ch_Mountain]]</f>
        <v>20</v>
      </c>
      <c r="J77" s="485">
        <f ca="1">OFFSET(TblConstr[[#This Row],[Hill]],-1,0)+TblConstr[[#This Row],[Ch_Hill]]</f>
        <v>20</v>
      </c>
      <c r="K77" s="489">
        <f ca="1">OFFSET(TblConstr[[#This Row],[Swamp]],-1,0)+TblConstr[[#This Row],[Ch_Swamp]]</f>
        <v>20</v>
      </c>
      <c r="L77" s="239">
        <f ca="1">OFFSET(TblConstr[[#This Row],[Cavern]],-1,0)+TblConstr[[#This Row],[Ch_Cavern]]</f>
        <v>20</v>
      </c>
      <c r="M77" s="240">
        <f ca="1">OFFSET(TblConstr[[#This Row],[Water]],-1,0)+TblConstr[[#This Row],[Ch_Water]]</f>
        <v>20</v>
      </c>
      <c r="N77" s="479">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44407.79166666649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3" cm="1">
        <f t="array" aca="1" ref="BF77" ca="1">IF(TblConstr[[#This Row],[Hour]:[Hour]]&gt;12,OFFSET(TblConstr[[#This Row],[OM]],-12,0),0)+OFFSET(TblConstr[[#This Row],[Tot OM]],-1,0)-TblConstr[[#This Row],[Dest OM]]</f>
        <v>0</v>
      </c>
      <c r="BG77" s="483" cm="1">
        <f t="array" aca="1" ref="BG77" ca="1">IF(TblConstr[[#This Row],[Hour]:[Hour]]&gt;12,OFFSET(TblConstr[[#This Row],[GN]],-12,0),0)+OFFSET(TblConstr[[#This Row],[Tot GN]],-1,0)-TblConstr[[#This Row],[Dest GN]]</f>
        <v>0</v>
      </c>
      <c r="BH77" s="487" cm="1">
        <f t="array" aca="1" ref="BH77" ca="1">IF(TblConstr[[#This Row],[Hour]:[Hour]]&gt;12,OFFSET(TblConstr[[#This Row],[Fac]],-12,0),0)+OFFSET(TblConstr[[#This Row],[Tot Fac]],-1,0)-TblConstr[[#This Row],[Dest Fac]]</f>
        <v>0</v>
      </c>
      <c r="BI77" s="487" cm="1">
        <f t="array" aca="1" ref="BI77" ca="1">IF(TblConstr[[#This Row],[Hour]:[Hour]]&gt;12,OFFSET(TblConstr[[#This Row],[GT]],-12,0),0)+OFFSET(TblConstr[[#This Row],[Tot GT]],-1,0)-TblConstr[[#This Row],[Dest GT]]</f>
        <v>0</v>
      </c>
      <c r="BJ77" s="487" cm="1">
        <f t="array" aca="1" ref="BJ77" ca="1">IF(TblConstr[[#This Row],[Hour]:[Hour]]&gt;12,OFFSET(TblConstr[[#This Row],[Bar]],-12,0),0)+OFFSET(TblConstr[[#This Row],[Tot Bar]],-1,0)-TblConstr[[#This Row],[Dest Bar]]</f>
        <v>0</v>
      </c>
      <c r="BK77" s="487" cm="1">
        <f t="array" aca="1" ref="BK77" ca="1">IF(TblConstr[[#This Row],[Hour]:[Hour]]&gt;12,OFFSET(TblConstr[[#This Row],[Shr]],-12,0),0)+OFFSET(TblConstr[[#This Row],[Tot Shr]],-1,0)-TblConstr[[#This Row],[Dest Shr]]</f>
        <v>0</v>
      </c>
      <c r="BL77" s="491" cm="1">
        <f t="array" aca="1" ref="BL77" ca="1">IF(TblConstr[[#This Row],[Hour]:[Hour]]&gt;12,OFFSET(TblConstr[[#This Row],[Tow]],-12,0),0)+OFFSET(TblConstr[[#This Row],[Tot Tow]],-1,0)-TblConstr[[#This Row],[Dest Tow]]</f>
        <v>0</v>
      </c>
      <c r="BM77" s="491" cm="1">
        <f t="array" aca="1" ref="BM77" ca="1">IF(TblConstr[[#This Row],[Hour]:[Hour]]&gt;12,OFFSET(TblConstr[[#This Row],[Tem]],-12,0),0)+OFFSET(TblConstr[[#This Row],[Tot Tem]],-1,0)-TblConstr[[#This Row],[Dest Tem]]</f>
        <v>0</v>
      </c>
      <c r="BN77" s="491"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44407.79166666649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1">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81">
        <f ca="1">OFFSET(TblConstr[[#This Row],[Mountain]],-1,0)+TblConstr[[#This Row],[Ch_Mountain]]</f>
        <v>20</v>
      </c>
      <c r="J78" s="485">
        <f ca="1">OFFSET(TblConstr[[#This Row],[Hill]],-1,0)+TblConstr[[#This Row],[Ch_Hill]]</f>
        <v>20</v>
      </c>
      <c r="K78" s="489">
        <f ca="1">OFFSET(TblConstr[[#This Row],[Swamp]],-1,0)+TblConstr[[#This Row],[Ch_Swamp]]</f>
        <v>20</v>
      </c>
      <c r="L78" s="239">
        <f ca="1">OFFSET(TblConstr[[#This Row],[Cavern]],-1,0)+TblConstr[[#This Row],[Ch_Cavern]]</f>
        <v>20</v>
      </c>
      <c r="M78" s="240">
        <f ca="1">OFFSET(TblConstr[[#This Row],[Water]],-1,0)+TblConstr[[#This Row],[Ch_Water]]</f>
        <v>20</v>
      </c>
      <c r="N78" s="479">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44407.833333333154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3" cm="1">
        <f t="array" aca="1" ref="BF78" ca="1">IF(TblConstr[[#This Row],[Hour]:[Hour]]&gt;12,OFFSET(TblConstr[[#This Row],[OM]],-12,0),0)+OFFSET(TblConstr[[#This Row],[Tot OM]],-1,0)-TblConstr[[#This Row],[Dest OM]]</f>
        <v>0</v>
      </c>
      <c r="BG78" s="483" cm="1">
        <f t="array" aca="1" ref="BG78" ca="1">IF(TblConstr[[#This Row],[Hour]:[Hour]]&gt;12,OFFSET(TblConstr[[#This Row],[GN]],-12,0),0)+OFFSET(TblConstr[[#This Row],[Tot GN]],-1,0)-TblConstr[[#This Row],[Dest GN]]</f>
        <v>0</v>
      </c>
      <c r="BH78" s="487" cm="1">
        <f t="array" aca="1" ref="BH78" ca="1">IF(TblConstr[[#This Row],[Hour]:[Hour]]&gt;12,OFFSET(TblConstr[[#This Row],[Fac]],-12,0),0)+OFFSET(TblConstr[[#This Row],[Tot Fac]],-1,0)-TblConstr[[#This Row],[Dest Fac]]</f>
        <v>0</v>
      </c>
      <c r="BI78" s="487" cm="1">
        <f t="array" aca="1" ref="BI78" ca="1">IF(TblConstr[[#This Row],[Hour]:[Hour]]&gt;12,OFFSET(TblConstr[[#This Row],[GT]],-12,0),0)+OFFSET(TblConstr[[#This Row],[Tot GT]],-1,0)-TblConstr[[#This Row],[Dest GT]]</f>
        <v>0</v>
      </c>
      <c r="BJ78" s="487" cm="1">
        <f t="array" aca="1" ref="BJ78" ca="1">IF(TblConstr[[#This Row],[Hour]:[Hour]]&gt;12,OFFSET(TblConstr[[#This Row],[Bar]],-12,0),0)+OFFSET(TblConstr[[#This Row],[Tot Bar]],-1,0)-TblConstr[[#This Row],[Dest Bar]]</f>
        <v>0</v>
      </c>
      <c r="BK78" s="487" cm="1">
        <f t="array" aca="1" ref="BK78" ca="1">IF(TblConstr[[#This Row],[Hour]:[Hour]]&gt;12,OFFSET(TblConstr[[#This Row],[Shr]],-12,0),0)+OFFSET(TblConstr[[#This Row],[Tot Shr]],-1,0)-TblConstr[[#This Row],[Dest Shr]]</f>
        <v>0</v>
      </c>
      <c r="BL78" s="491" cm="1">
        <f t="array" aca="1" ref="BL78" ca="1">IF(TblConstr[[#This Row],[Hour]:[Hour]]&gt;12,OFFSET(TblConstr[[#This Row],[Tow]],-12,0),0)+OFFSET(TblConstr[[#This Row],[Tot Tow]],-1,0)-TblConstr[[#This Row],[Dest Tow]]</f>
        <v>0</v>
      </c>
      <c r="BM78" s="491" cm="1">
        <f t="array" aca="1" ref="BM78" ca="1">IF(TblConstr[[#This Row],[Hour]:[Hour]]&gt;12,OFFSET(TblConstr[[#This Row],[Tem]],-12,0),0)+OFFSET(TblConstr[[#This Row],[Tot Tem]],-1,0)-TblConstr[[#This Row],[Dest Tem]]</f>
        <v>0</v>
      </c>
      <c r="BN78" s="491"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44407.833333333154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1">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81">
        <f ca="1">OFFSET(TblConstr[[#This Row],[Mountain]],-1,0)+TblConstr[[#This Row],[Ch_Mountain]]</f>
        <v>20</v>
      </c>
      <c r="J79" s="485">
        <f ca="1">OFFSET(TblConstr[[#This Row],[Hill]],-1,0)+TblConstr[[#This Row],[Ch_Hill]]</f>
        <v>20</v>
      </c>
      <c r="K79" s="489">
        <f ca="1">OFFSET(TblConstr[[#This Row],[Swamp]],-1,0)+TblConstr[[#This Row],[Ch_Swamp]]</f>
        <v>20</v>
      </c>
      <c r="L79" s="239">
        <f ca="1">OFFSET(TblConstr[[#This Row],[Cavern]],-1,0)+TblConstr[[#This Row],[Ch_Cavern]]</f>
        <v>20</v>
      </c>
      <c r="M79" s="240">
        <f ca="1">OFFSET(TblConstr[[#This Row],[Water]],-1,0)+TblConstr[[#This Row],[Ch_Water]]</f>
        <v>20</v>
      </c>
      <c r="N79" s="479">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44407.874999999818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3" cm="1">
        <f t="array" aca="1" ref="BF79" ca="1">IF(TblConstr[[#This Row],[Hour]:[Hour]]&gt;12,OFFSET(TblConstr[[#This Row],[OM]],-12,0),0)+OFFSET(TblConstr[[#This Row],[Tot OM]],-1,0)-TblConstr[[#This Row],[Dest OM]]</f>
        <v>0</v>
      </c>
      <c r="BG79" s="483" cm="1">
        <f t="array" aca="1" ref="BG79" ca="1">IF(TblConstr[[#This Row],[Hour]:[Hour]]&gt;12,OFFSET(TblConstr[[#This Row],[GN]],-12,0),0)+OFFSET(TblConstr[[#This Row],[Tot GN]],-1,0)-TblConstr[[#This Row],[Dest GN]]</f>
        <v>0</v>
      </c>
      <c r="BH79" s="487" cm="1">
        <f t="array" aca="1" ref="BH79" ca="1">IF(TblConstr[[#This Row],[Hour]:[Hour]]&gt;12,OFFSET(TblConstr[[#This Row],[Fac]],-12,0),0)+OFFSET(TblConstr[[#This Row],[Tot Fac]],-1,0)-TblConstr[[#This Row],[Dest Fac]]</f>
        <v>0</v>
      </c>
      <c r="BI79" s="487" cm="1">
        <f t="array" aca="1" ref="BI79" ca="1">IF(TblConstr[[#This Row],[Hour]:[Hour]]&gt;12,OFFSET(TblConstr[[#This Row],[GT]],-12,0),0)+OFFSET(TblConstr[[#This Row],[Tot GT]],-1,0)-TblConstr[[#This Row],[Dest GT]]</f>
        <v>0</v>
      </c>
      <c r="BJ79" s="487" cm="1">
        <f t="array" aca="1" ref="BJ79" ca="1">IF(TblConstr[[#This Row],[Hour]:[Hour]]&gt;12,OFFSET(TblConstr[[#This Row],[Bar]],-12,0),0)+OFFSET(TblConstr[[#This Row],[Tot Bar]],-1,0)-TblConstr[[#This Row],[Dest Bar]]</f>
        <v>0</v>
      </c>
      <c r="BK79" s="487" cm="1">
        <f t="array" aca="1" ref="BK79" ca="1">IF(TblConstr[[#This Row],[Hour]:[Hour]]&gt;12,OFFSET(TblConstr[[#This Row],[Shr]],-12,0),0)+OFFSET(TblConstr[[#This Row],[Tot Shr]],-1,0)-TblConstr[[#This Row],[Dest Shr]]</f>
        <v>0</v>
      </c>
      <c r="BL79" s="491" cm="1">
        <f t="array" aca="1" ref="BL79" ca="1">IF(TblConstr[[#This Row],[Hour]:[Hour]]&gt;12,OFFSET(TblConstr[[#This Row],[Tow]],-12,0),0)+OFFSET(TblConstr[[#This Row],[Tot Tow]],-1,0)-TblConstr[[#This Row],[Dest Tow]]</f>
        <v>0</v>
      </c>
      <c r="BM79" s="491" cm="1">
        <f t="array" aca="1" ref="BM79" ca="1">IF(TblConstr[[#This Row],[Hour]:[Hour]]&gt;12,OFFSET(TblConstr[[#This Row],[Tem]],-12,0),0)+OFFSET(TblConstr[[#This Row],[Tot Tem]],-1,0)-TblConstr[[#This Row],[Dest Tem]]</f>
        <v>0</v>
      </c>
      <c r="BN79" s="491"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44407.874999999818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1">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81">
        <f ca="1">OFFSET(TblConstr[[#This Row],[Mountain]],-1,0)+TblConstr[[#This Row],[Ch_Mountain]]</f>
        <v>20</v>
      </c>
      <c r="J80" s="485">
        <f ca="1">OFFSET(TblConstr[[#This Row],[Hill]],-1,0)+TblConstr[[#This Row],[Ch_Hill]]</f>
        <v>20</v>
      </c>
      <c r="K80" s="489">
        <f ca="1">OFFSET(TblConstr[[#This Row],[Swamp]],-1,0)+TblConstr[[#This Row],[Ch_Swamp]]</f>
        <v>20</v>
      </c>
      <c r="L80" s="239">
        <f ca="1">OFFSET(TblConstr[[#This Row],[Cavern]],-1,0)+TblConstr[[#This Row],[Ch_Cavern]]</f>
        <v>20</v>
      </c>
      <c r="M80" s="240">
        <f ca="1">OFFSET(TblConstr[[#This Row],[Water]],-1,0)+TblConstr[[#This Row],[Ch_Water]]</f>
        <v>20</v>
      </c>
      <c r="N80" s="479">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44407.916666666482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3" cm="1">
        <f t="array" aca="1" ref="BF80" ca="1">IF(TblConstr[[#This Row],[Hour]:[Hour]]&gt;12,OFFSET(TblConstr[[#This Row],[OM]],-12,0),0)+OFFSET(TblConstr[[#This Row],[Tot OM]],-1,0)-TblConstr[[#This Row],[Dest OM]]</f>
        <v>0</v>
      </c>
      <c r="BG80" s="483" cm="1">
        <f t="array" aca="1" ref="BG80" ca="1">IF(TblConstr[[#This Row],[Hour]:[Hour]]&gt;12,OFFSET(TblConstr[[#This Row],[GN]],-12,0),0)+OFFSET(TblConstr[[#This Row],[Tot GN]],-1,0)-TblConstr[[#This Row],[Dest GN]]</f>
        <v>0</v>
      </c>
      <c r="BH80" s="487" cm="1">
        <f t="array" aca="1" ref="BH80" ca="1">IF(TblConstr[[#This Row],[Hour]:[Hour]]&gt;12,OFFSET(TblConstr[[#This Row],[Fac]],-12,0),0)+OFFSET(TblConstr[[#This Row],[Tot Fac]],-1,0)-TblConstr[[#This Row],[Dest Fac]]</f>
        <v>0</v>
      </c>
      <c r="BI80" s="487" cm="1">
        <f t="array" aca="1" ref="BI80" ca="1">IF(TblConstr[[#This Row],[Hour]:[Hour]]&gt;12,OFFSET(TblConstr[[#This Row],[GT]],-12,0),0)+OFFSET(TblConstr[[#This Row],[Tot GT]],-1,0)-TblConstr[[#This Row],[Dest GT]]</f>
        <v>0</v>
      </c>
      <c r="BJ80" s="487" cm="1">
        <f t="array" aca="1" ref="BJ80" ca="1">IF(TblConstr[[#This Row],[Hour]:[Hour]]&gt;12,OFFSET(TblConstr[[#This Row],[Bar]],-12,0),0)+OFFSET(TblConstr[[#This Row],[Tot Bar]],-1,0)-TblConstr[[#This Row],[Dest Bar]]</f>
        <v>0</v>
      </c>
      <c r="BK80" s="487" cm="1">
        <f t="array" aca="1" ref="BK80" ca="1">IF(TblConstr[[#This Row],[Hour]:[Hour]]&gt;12,OFFSET(TblConstr[[#This Row],[Shr]],-12,0),0)+OFFSET(TblConstr[[#This Row],[Tot Shr]],-1,0)-TblConstr[[#This Row],[Dest Shr]]</f>
        <v>0</v>
      </c>
      <c r="BL80" s="491" cm="1">
        <f t="array" aca="1" ref="BL80" ca="1">IF(TblConstr[[#This Row],[Hour]:[Hour]]&gt;12,OFFSET(TblConstr[[#This Row],[Tow]],-12,0),0)+OFFSET(TblConstr[[#This Row],[Tot Tow]],-1,0)-TblConstr[[#This Row],[Dest Tow]]</f>
        <v>0</v>
      </c>
      <c r="BM80" s="491" cm="1">
        <f t="array" aca="1" ref="BM80" ca="1">IF(TblConstr[[#This Row],[Hour]:[Hour]]&gt;12,OFFSET(TblConstr[[#This Row],[Tem]],-12,0),0)+OFFSET(TblConstr[[#This Row],[Tot Tem]],-1,0)-TblConstr[[#This Row],[Dest Tem]]</f>
        <v>0</v>
      </c>
      <c r="BN80" s="491"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44407.916666666482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1">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81">
        <f ca="1">OFFSET(TblConstr[[#This Row],[Mountain]],-1,0)+TblConstr[[#This Row],[Ch_Mountain]]</f>
        <v>20</v>
      </c>
      <c r="J81" s="485">
        <f ca="1">OFFSET(TblConstr[[#This Row],[Hill]],-1,0)+TblConstr[[#This Row],[Ch_Hill]]</f>
        <v>20</v>
      </c>
      <c r="K81" s="489">
        <f ca="1">OFFSET(TblConstr[[#This Row],[Swamp]],-1,0)+TblConstr[[#This Row],[Ch_Swamp]]</f>
        <v>20</v>
      </c>
      <c r="L81" s="239">
        <f ca="1">OFFSET(TblConstr[[#This Row],[Cavern]],-1,0)+TblConstr[[#This Row],[Ch_Cavern]]</f>
        <v>20</v>
      </c>
      <c r="M81" s="240">
        <f ca="1">OFFSET(TblConstr[[#This Row],[Water]],-1,0)+TblConstr[[#This Row],[Ch_Water]]</f>
        <v>20</v>
      </c>
      <c r="N81" s="479">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44407.958333333147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3" cm="1">
        <f t="array" aca="1" ref="BF81" ca="1">IF(TblConstr[[#This Row],[Hour]:[Hour]]&gt;12,OFFSET(TblConstr[[#This Row],[OM]],-12,0),0)+OFFSET(TblConstr[[#This Row],[Tot OM]],-1,0)-TblConstr[[#This Row],[Dest OM]]</f>
        <v>0</v>
      </c>
      <c r="BG81" s="483" cm="1">
        <f t="array" aca="1" ref="BG81" ca="1">IF(TblConstr[[#This Row],[Hour]:[Hour]]&gt;12,OFFSET(TblConstr[[#This Row],[GN]],-12,0),0)+OFFSET(TblConstr[[#This Row],[Tot GN]],-1,0)-TblConstr[[#This Row],[Dest GN]]</f>
        <v>0</v>
      </c>
      <c r="BH81" s="487" cm="1">
        <f t="array" aca="1" ref="BH81" ca="1">IF(TblConstr[[#This Row],[Hour]:[Hour]]&gt;12,OFFSET(TblConstr[[#This Row],[Fac]],-12,0),0)+OFFSET(TblConstr[[#This Row],[Tot Fac]],-1,0)-TblConstr[[#This Row],[Dest Fac]]</f>
        <v>0</v>
      </c>
      <c r="BI81" s="487" cm="1">
        <f t="array" aca="1" ref="BI81" ca="1">IF(TblConstr[[#This Row],[Hour]:[Hour]]&gt;12,OFFSET(TblConstr[[#This Row],[GT]],-12,0),0)+OFFSET(TblConstr[[#This Row],[Tot GT]],-1,0)-TblConstr[[#This Row],[Dest GT]]</f>
        <v>0</v>
      </c>
      <c r="BJ81" s="487" cm="1">
        <f t="array" aca="1" ref="BJ81" ca="1">IF(TblConstr[[#This Row],[Hour]:[Hour]]&gt;12,OFFSET(TblConstr[[#This Row],[Bar]],-12,0),0)+OFFSET(TblConstr[[#This Row],[Tot Bar]],-1,0)-TblConstr[[#This Row],[Dest Bar]]</f>
        <v>0</v>
      </c>
      <c r="BK81" s="487" cm="1">
        <f t="array" aca="1" ref="BK81" ca="1">IF(TblConstr[[#This Row],[Hour]:[Hour]]&gt;12,OFFSET(TblConstr[[#This Row],[Shr]],-12,0),0)+OFFSET(TblConstr[[#This Row],[Tot Shr]],-1,0)-TblConstr[[#This Row],[Dest Shr]]</f>
        <v>0</v>
      </c>
      <c r="BL81" s="491" cm="1">
        <f t="array" aca="1" ref="BL81" ca="1">IF(TblConstr[[#This Row],[Hour]:[Hour]]&gt;12,OFFSET(TblConstr[[#This Row],[Tow]],-12,0),0)+OFFSET(TblConstr[[#This Row],[Tot Tow]],-1,0)-TblConstr[[#This Row],[Dest Tow]]</f>
        <v>0</v>
      </c>
      <c r="BM81" s="491" cm="1">
        <f t="array" aca="1" ref="BM81" ca="1">IF(TblConstr[[#This Row],[Hour]:[Hour]]&gt;12,OFFSET(TblConstr[[#This Row],[Tem]],-12,0),0)+OFFSET(TblConstr[[#This Row],[Tot Tem]],-1,0)-TblConstr[[#This Row],[Dest Tem]]</f>
        <v>0</v>
      </c>
      <c r="BN81" s="491"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44407.958333333147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1">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81">
        <f ca="1">OFFSET(TblConstr[[#This Row],[Mountain]],-1,0)+TblConstr[[#This Row],[Ch_Mountain]]</f>
        <v>20</v>
      </c>
      <c r="J82" s="485">
        <f ca="1">OFFSET(TblConstr[[#This Row],[Hill]],-1,0)+TblConstr[[#This Row],[Ch_Hill]]</f>
        <v>20</v>
      </c>
      <c r="K82" s="489">
        <f ca="1">OFFSET(TblConstr[[#This Row],[Swamp]],-1,0)+TblConstr[[#This Row],[Ch_Swamp]]</f>
        <v>20</v>
      </c>
      <c r="L82" s="239">
        <f ca="1">OFFSET(TblConstr[[#This Row],[Cavern]],-1,0)+TblConstr[[#This Row],[Ch_Cavern]]</f>
        <v>20</v>
      </c>
      <c r="M82" s="240">
        <f ca="1">OFFSET(TblConstr[[#This Row],[Water]],-1,0)+TblConstr[[#This Row],[Ch_Water]]</f>
        <v>20</v>
      </c>
      <c r="N82" s="479">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44407.999999999811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3" cm="1">
        <f t="array" aca="1" ref="BF82" ca="1">IF(TblConstr[[#This Row],[Hour]:[Hour]]&gt;12,OFFSET(TblConstr[[#This Row],[OM]],-12,0),0)+OFFSET(TblConstr[[#This Row],[Tot OM]],-1,0)-TblConstr[[#This Row],[Dest OM]]</f>
        <v>0</v>
      </c>
      <c r="BG82" s="483" cm="1">
        <f t="array" aca="1" ref="BG82" ca="1">IF(TblConstr[[#This Row],[Hour]:[Hour]]&gt;12,OFFSET(TblConstr[[#This Row],[GN]],-12,0),0)+OFFSET(TblConstr[[#This Row],[Tot GN]],-1,0)-TblConstr[[#This Row],[Dest GN]]</f>
        <v>0</v>
      </c>
      <c r="BH82" s="487" cm="1">
        <f t="array" aca="1" ref="BH82" ca="1">IF(TblConstr[[#This Row],[Hour]:[Hour]]&gt;12,OFFSET(TblConstr[[#This Row],[Fac]],-12,0),0)+OFFSET(TblConstr[[#This Row],[Tot Fac]],-1,0)-TblConstr[[#This Row],[Dest Fac]]</f>
        <v>0</v>
      </c>
      <c r="BI82" s="487" cm="1">
        <f t="array" aca="1" ref="BI82" ca="1">IF(TblConstr[[#This Row],[Hour]:[Hour]]&gt;12,OFFSET(TblConstr[[#This Row],[GT]],-12,0),0)+OFFSET(TblConstr[[#This Row],[Tot GT]],-1,0)-TblConstr[[#This Row],[Dest GT]]</f>
        <v>0</v>
      </c>
      <c r="BJ82" s="487" cm="1">
        <f t="array" aca="1" ref="BJ82" ca="1">IF(TblConstr[[#This Row],[Hour]:[Hour]]&gt;12,OFFSET(TblConstr[[#This Row],[Bar]],-12,0),0)+OFFSET(TblConstr[[#This Row],[Tot Bar]],-1,0)-TblConstr[[#This Row],[Dest Bar]]</f>
        <v>0</v>
      </c>
      <c r="BK82" s="487" cm="1">
        <f t="array" aca="1" ref="BK82" ca="1">IF(TblConstr[[#This Row],[Hour]:[Hour]]&gt;12,OFFSET(TblConstr[[#This Row],[Shr]],-12,0),0)+OFFSET(TblConstr[[#This Row],[Tot Shr]],-1,0)-TblConstr[[#This Row],[Dest Shr]]</f>
        <v>0</v>
      </c>
      <c r="BL82" s="491" cm="1">
        <f t="array" aca="1" ref="BL82" ca="1">IF(TblConstr[[#This Row],[Hour]:[Hour]]&gt;12,OFFSET(TblConstr[[#This Row],[Tow]],-12,0),0)+OFFSET(TblConstr[[#This Row],[Tot Tow]],-1,0)-TblConstr[[#This Row],[Dest Tow]]</f>
        <v>0</v>
      </c>
      <c r="BM82" s="491" cm="1">
        <f t="array" aca="1" ref="BM82" ca="1">IF(TblConstr[[#This Row],[Hour]:[Hour]]&gt;12,OFFSET(TblConstr[[#This Row],[Tem]],-12,0),0)+OFFSET(TblConstr[[#This Row],[Tot Tem]],-1,0)-TblConstr[[#This Row],[Dest Tem]]</f>
        <v>0</v>
      </c>
      <c r="BN82" s="491"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44407.999999999811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1">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81">
        <f ca="1">OFFSET(TblConstr[[#This Row],[Mountain]],-1,0)+TblConstr[[#This Row],[Ch_Mountain]]</f>
        <v>20</v>
      </c>
      <c r="J83" s="485">
        <f ca="1">OFFSET(TblConstr[[#This Row],[Hill]],-1,0)+TblConstr[[#This Row],[Ch_Hill]]</f>
        <v>20</v>
      </c>
      <c r="K83" s="489">
        <f ca="1">OFFSET(TblConstr[[#This Row],[Swamp]],-1,0)+TblConstr[[#This Row],[Ch_Swamp]]</f>
        <v>20</v>
      </c>
      <c r="L83" s="239">
        <f ca="1">OFFSET(TblConstr[[#This Row],[Cavern]],-1,0)+TblConstr[[#This Row],[Ch_Cavern]]</f>
        <v>20</v>
      </c>
      <c r="M83" s="240">
        <f ca="1">OFFSET(TblConstr[[#This Row],[Water]],-1,0)+TblConstr[[#This Row],[Ch_Water]]</f>
        <v>20</v>
      </c>
      <c r="N83" s="479">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44408.041666666475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3" cm="1">
        <f t="array" aca="1" ref="BF83" ca="1">IF(TblConstr[[#This Row],[Hour]:[Hour]]&gt;12,OFFSET(TblConstr[[#This Row],[OM]],-12,0),0)+OFFSET(TblConstr[[#This Row],[Tot OM]],-1,0)-TblConstr[[#This Row],[Dest OM]]</f>
        <v>0</v>
      </c>
      <c r="BG83" s="483" cm="1">
        <f t="array" aca="1" ref="BG83" ca="1">IF(TblConstr[[#This Row],[Hour]:[Hour]]&gt;12,OFFSET(TblConstr[[#This Row],[GN]],-12,0),0)+OFFSET(TblConstr[[#This Row],[Tot GN]],-1,0)-TblConstr[[#This Row],[Dest GN]]</f>
        <v>0</v>
      </c>
      <c r="BH83" s="487" cm="1">
        <f t="array" aca="1" ref="BH83" ca="1">IF(TblConstr[[#This Row],[Hour]:[Hour]]&gt;12,OFFSET(TblConstr[[#This Row],[Fac]],-12,0),0)+OFFSET(TblConstr[[#This Row],[Tot Fac]],-1,0)-TblConstr[[#This Row],[Dest Fac]]</f>
        <v>0</v>
      </c>
      <c r="BI83" s="487" cm="1">
        <f t="array" aca="1" ref="BI83" ca="1">IF(TblConstr[[#This Row],[Hour]:[Hour]]&gt;12,OFFSET(TblConstr[[#This Row],[GT]],-12,0),0)+OFFSET(TblConstr[[#This Row],[Tot GT]],-1,0)-TblConstr[[#This Row],[Dest GT]]</f>
        <v>0</v>
      </c>
      <c r="BJ83" s="487" cm="1">
        <f t="array" aca="1" ref="BJ83" ca="1">IF(TblConstr[[#This Row],[Hour]:[Hour]]&gt;12,OFFSET(TblConstr[[#This Row],[Bar]],-12,0),0)+OFFSET(TblConstr[[#This Row],[Tot Bar]],-1,0)-TblConstr[[#This Row],[Dest Bar]]</f>
        <v>0</v>
      </c>
      <c r="BK83" s="487" cm="1">
        <f t="array" aca="1" ref="BK83" ca="1">IF(TblConstr[[#This Row],[Hour]:[Hour]]&gt;12,OFFSET(TblConstr[[#This Row],[Shr]],-12,0),0)+OFFSET(TblConstr[[#This Row],[Tot Shr]],-1,0)-TblConstr[[#This Row],[Dest Shr]]</f>
        <v>0</v>
      </c>
      <c r="BL83" s="491" cm="1">
        <f t="array" aca="1" ref="BL83" ca="1">IF(TblConstr[[#This Row],[Hour]:[Hour]]&gt;12,OFFSET(TblConstr[[#This Row],[Tow]],-12,0),0)+OFFSET(TblConstr[[#This Row],[Tot Tow]],-1,0)-TblConstr[[#This Row],[Dest Tow]]</f>
        <v>0</v>
      </c>
      <c r="BM83" s="491" cm="1">
        <f t="array" aca="1" ref="BM83" ca="1">IF(TblConstr[[#This Row],[Hour]:[Hour]]&gt;12,OFFSET(TblConstr[[#This Row],[Tem]],-12,0),0)+OFFSET(TblConstr[[#This Row],[Tot Tem]],-1,0)-TblConstr[[#This Row],[Dest Tem]]</f>
        <v>0</v>
      </c>
      <c r="BN83" s="491"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44408.041666666475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1">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81">
        <f ca="1">OFFSET(TblConstr[[#This Row],[Mountain]],-1,0)+TblConstr[[#This Row],[Ch_Mountain]]</f>
        <v>20</v>
      </c>
      <c r="J84" s="485">
        <f ca="1">OFFSET(TblConstr[[#This Row],[Hill]],-1,0)+TblConstr[[#This Row],[Ch_Hill]]</f>
        <v>20</v>
      </c>
      <c r="K84" s="489">
        <f ca="1">OFFSET(TblConstr[[#This Row],[Swamp]],-1,0)+TblConstr[[#This Row],[Ch_Swamp]]</f>
        <v>20</v>
      </c>
      <c r="L84" s="239">
        <f ca="1">OFFSET(TblConstr[[#This Row],[Cavern]],-1,0)+TblConstr[[#This Row],[Ch_Cavern]]</f>
        <v>20</v>
      </c>
      <c r="M84" s="240">
        <f ca="1">OFFSET(TblConstr[[#This Row],[Water]],-1,0)+TblConstr[[#This Row],[Ch_Water]]</f>
        <v>20</v>
      </c>
      <c r="N84" s="479">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44408.083333333139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3" cm="1">
        <f t="array" aca="1" ref="BF84" ca="1">IF(TblConstr[[#This Row],[Hour]:[Hour]]&gt;12,OFFSET(TblConstr[[#This Row],[OM]],-12,0),0)+OFFSET(TblConstr[[#This Row],[Tot OM]],-1,0)-TblConstr[[#This Row],[Dest OM]]</f>
        <v>0</v>
      </c>
      <c r="BG84" s="483" cm="1">
        <f t="array" aca="1" ref="BG84" ca="1">IF(TblConstr[[#This Row],[Hour]:[Hour]]&gt;12,OFFSET(TblConstr[[#This Row],[GN]],-12,0),0)+OFFSET(TblConstr[[#This Row],[Tot GN]],-1,0)-TblConstr[[#This Row],[Dest GN]]</f>
        <v>0</v>
      </c>
      <c r="BH84" s="487" cm="1">
        <f t="array" aca="1" ref="BH84" ca="1">IF(TblConstr[[#This Row],[Hour]:[Hour]]&gt;12,OFFSET(TblConstr[[#This Row],[Fac]],-12,0),0)+OFFSET(TblConstr[[#This Row],[Tot Fac]],-1,0)-TblConstr[[#This Row],[Dest Fac]]</f>
        <v>0</v>
      </c>
      <c r="BI84" s="487" cm="1">
        <f t="array" aca="1" ref="BI84" ca="1">IF(TblConstr[[#This Row],[Hour]:[Hour]]&gt;12,OFFSET(TblConstr[[#This Row],[GT]],-12,0),0)+OFFSET(TblConstr[[#This Row],[Tot GT]],-1,0)-TblConstr[[#This Row],[Dest GT]]</f>
        <v>0</v>
      </c>
      <c r="BJ84" s="487" cm="1">
        <f t="array" aca="1" ref="BJ84" ca="1">IF(TblConstr[[#This Row],[Hour]:[Hour]]&gt;12,OFFSET(TblConstr[[#This Row],[Bar]],-12,0),0)+OFFSET(TblConstr[[#This Row],[Tot Bar]],-1,0)-TblConstr[[#This Row],[Dest Bar]]</f>
        <v>0</v>
      </c>
      <c r="BK84" s="487" cm="1">
        <f t="array" aca="1" ref="BK84" ca="1">IF(TblConstr[[#This Row],[Hour]:[Hour]]&gt;12,OFFSET(TblConstr[[#This Row],[Shr]],-12,0),0)+OFFSET(TblConstr[[#This Row],[Tot Shr]],-1,0)-TblConstr[[#This Row],[Dest Shr]]</f>
        <v>0</v>
      </c>
      <c r="BL84" s="491" cm="1">
        <f t="array" aca="1" ref="BL84" ca="1">IF(TblConstr[[#This Row],[Hour]:[Hour]]&gt;12,OFFSET(TblConstr[[#This Row],[Tow]],-12,0),0)+OFFSET(TblConstr[[#This Row],[Tot Tow]],-1,0)-TblConstr[[#This Row],[Dest Tow]]</f>
        <v>0</v>
      </c>
      <c r="BM84" s="491" cm="1">
        <f t="array" aca="1" ref="BM84" ca="1">IF(TblConstr[[#This Row],[Hour]:[Hour]]&gt;12,OFFSET(TblConstr[[#This Row],[Tem]],-12,0),0)+OFFSET(TblConstr[[#This Row],[Tot Tem]],-1,0)-TblConstr[[#This Row],[Dest Tem]]</f>
        <v>0</v>
      </c>
      <c r="BN84" s="491"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44408.083333333139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1">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81">
        <f ca="1">OFFSET(TblConstr[[#This Row],[Mountain]],-1,0)+TblConstr[[#This Row],[Ch_Mountain]]</f>
        <v>20</v>
      </c>
      <c r="J85" s="485">
        <f ca="1">OFFSET(TblConstr[[#This Row],[Hill]],-1,0)+TblConstr[[#This Row],[Ch_Hill]]</f>
        <v>20</v>
      </c>
      <c r="K85" s="489">
        <f ca="1">OFFSET(TblConstr[[#This Row],[Swamp]],-1,0)+TblConstr[[#This Row],[Ch_Swamp]]</f>
        <v>20</v>
      </c>
      <c r="L85" s="239">
        <f ca="1">OFFSET(TblConstr[[#This Row],[Cavern]],-1,0)+TblConstr[[#This Row],[Ch_Cavern]]</f>
        <v>20</v>
      </c>
      <c r="M85" s="240">
        <f ca="1">OFFSET(TblConstr[[#This Row],[Water]],-1,0)+TblConstr[[#This Row],[Ch_Water]]</f>
        <v>20</v>
      </c>
      <c r="N85" s="479">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44408.124999999804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3" cm="1">
        <f t="array" aca="1" ref="BF85" ca="1">IF(TblConstr[[#This Row],[Hour]:[Hour]]&gt;12,OFFSET(TblConstr[[#This Row],[OM]],-12,0),0)+OFFSET(TblConstr[[#This Row],[Tot OM]],-1,0)-TblConstr[[#This Row],[Dest OM]]</f>
        <v>0</v>
      </c>
      <c r="BG85" s="483" cm="1">
        <f t="array" aca="1" ref="BG85" ca="1">IF(TblConstr[[#This Row],[Hour]:[Hour]]&gt;12,OFFSET(TblConstr[[#This Row],[GN]],-12,0),0)+OFFSET(TblConstr[[#This Row],[Tot GN]],-1,0)-TblConstr[[#This Row],[Dest GN]]</f>
        <v>0</v>
      </c>
      <c r="BH85" s="487" cm="1">
        <f t="array" aca="1" ref="BH85" ca="1">IF(TblConstr[[#This Row],[Hour]:[Hour]]&gt;12,OFFSET(TblConstr[[#This Row],[Fac]],-12,0),0)+OFFSET(TblConstr[[#This Row],[Tot Fac]],-1,0)-TblConstr[[#This Row],[Dest Fac]]</f>
        <v>0</v>
      </c>
      <c r="BI85" s="487" cm="1">
        <f t="array" aca="1" ref="BI85" ca="1">IF(TblConstr[[#This Row],[Hour]:[Hour]]&gt;12,OFFSET(TblConstr[[#This Row],[GT]],-12,0),0)+OFFSET(TblConstr[[#This Row],[Tot GT]],-1,0)-TblConstr[[#This Row],[Dest GT]]</f>
        <v>0</v>
      </c>
      <c r="BJ85" s="487" cm="1">
        <f t="array" aca="1" ref="BJ85" ca="1">IF(TblConstr[[#This Row],[Hour]:[Hour]]&gt;12,OFFSET(TblConstr[[#This Row],[Bar]],-12,0),0)+OFFSET(TblConstr[[#This Row],[Tot Bar]],-1,0)-TblConstr[[#This Row],[Dest Bar]]</f>
        <v>0</v>
      </c>
      <c r="BK85" s="487" cm="1">
        <f t="array" aca="1" ref="BK85" ca="1">IF(TblConstr[[#This Row],[Hour]:[Hour]]&gt;12,OFFSET(TblConstr[[#This Row],[Shr]],-12,0),0)+OFFSET(TblConstr[[#This Row],[Tot Shr]],-1,0)-TblConstr[[#This Row],[Dest Shr]]</f>
        <v>0</v>
      </c>
      <c r="BL85" s="491" cm="1">
        <f t="array" aca="1" ref="BL85" ca="1">IF(TblConstr[[#This Row],[Hour]:[Hour]]&gt;12,OFFSET(TblConstr[[#This Row],[Tow]],-12,0),0)+OFFSET(TblConstr[[#This Row],[Tot Tow]],-1,0)-TblConstr[[#This Row],[Dest Tow]]</f>
        <v>0</v>
      </c>
      <c r="BM85" s="491" cm="1">
        <f t="array" aca="1" ref="BM85" ca="1">IF(TblConstr[[#This Row],[Hour]:[Hour]]&gt;12,OFFSET(TblConstr[[#This Row],[Tem]],-12,0),0)+OFFSET(TblConstr[[#This Row],[Tot Tem]],-1,0)-TblConstr[[#This Row],[Dest Tem]]</f>
        <v>0</v>
      </c>
      <c r="BN85" s="491"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44408.124999999804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1">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81">
        <f ca="1">OFFSET(TblConstr[[#This Row],[Mountain]],-1,0)+TblConstr[[#This Row],[Ch_Mountain]]</f>
        <v>20</v>
      </c>
      <c r="J86" s="485">
        <f ca="1">OFFSET(TblConstr[[#This Row],[Hill]],-1,0)+TblConstr[[#This Row],[Ch_Hill]]</f>
        <v>20</v>
      </c>
      <c r="K86" s="489">
        <f ca="1">OFFSET(TblConstr[[#This Row],[Swamp]],-1,0)+TblConstr[[#This Row],[Ch_Swamp]]</f>
        <v>20</v>
      </c>
      <c r="L86" s="239">
        <f ca="1">OFFSET(TblConstr[[#This Row],[Cavern]],-1,0)+TblConstr[[#This Row],[Ch_Cavern]]</f>
        <v>20</v>
      </c>
      <c r="M86" s="240">
        <f ca="1">OFFSET(TblConstr[[#This Row],[Water]],-1,0)+TblConstr[[#This Row],[Ch_Water]]</f>
        <v>20</v>
      </c>
      <c r="N86" s="479">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44408.166666666468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3" cm="1">
        <f t="array" aca="1" ref="BF86" ca="1">IF(TblConstr[[#This Row],[Hour]:[Hour]]&gt;12,OFFSET(TblConstr[[#This Row],[OM]],-12,0),0)+OFFSET(TblConstr[[#This Row],[Tot OM]],-1,0)-TblConstr[[#This Row],[Dest OM]]</f>
        <v>0</v>
      </c>
      <c r="BG86" s="483" cm="1">
        <f t="array" aca="1" ref="BG86" ca="1">IF(TblConstr[[#This Row],[Hour]:[Hour]]&gt;12,OFFSET(TblConstr[[#This Row],[GN]],-12,0),0)+OFFSET(TblConstr[[#This Row],[Tot GN]],-1,0)-TblConstr[[#This Row],[Dest GN]]</f>
        <v>0</v>
      </c>
      <c r="BH86" s="487" cm="1">
        <f t="array" aca="1" ref="BH86" ca="1">IF(TblConstr[[#This Row],[Hour]:[Hour]]&gt;12,OFFSET(TblConstr[[#This Row],[Fac]],-12,0),0)+OFFSET(TblConstr[[#This Row],[Tot Fac]],-1,0)-TblConstr[[#This Row],[Dest Fac]]</f>
        <v>0</v>
      </c>
      <c r="BI86" s="487" cm="1">
        <f t="array" aca="1" ref="BI86" ca="1">IF(TblConstr[[#This Row],[Hour]:[Hour]]&gt;12,OFFSET(TblConstr[[#This Row],[GT]],-12,0),0)+OFFSET(TblConstr[[#This Row],[Tot GT]],-1,0)-TblConstr[[#This Row],[Dest GT]]</f>
        <v>0</v>
      </c>
      <c r="BJ86" s="487" cm="1">
        <f t="array" aca="1" ref="BJ86" ca="1">IF(TblConstr[[#This Row],[Hour]:[Hour]]&gt;12,OFFSET(TblConstr[[#This Row],[Bar]],-12,0),0)+OFFSET(TblConstr[[#This Row],[Tot Bar]],-1,0)-TblConstr[[#This Row],[Dest Bar]]</f>
        <v>0</v>
      </c>
      <c r="BK86" s="487" cm="1">
        <f t="array" aca="1" ref="BK86" ca="1">IF(TblConstr[[#This Row],[Hour]:[Hour]]&gt;12,OFFSET(TblConstr[[#This Row],[Shr]],-12,0),0)+OFFSET(TblConstr[[#This Row],[Tot Shr]],-1,0)-TblConstr[[#This Row],[Dest Shr]]</f>
        <v>0</v>
      </c>
      <c r="BL86" s="491" cm="1">
        <f t="array" aca="1" ref="BL86" ca="1">IF(TblConstr[[#This Row],[Hour]:[Hour]]&gt;12,OFFSET(TblConstr[[#This Row],[Tow]],-12,0),0)+OFFSET(TblConstr[[#This Row],[Tot Tow]],-1,0)-TblConstr[[#This Row],[Dest Tow]]</f>
        <v>0</v>
      </c>
      <c r="BM86" s="491" cm="1">
        <f t="array" aca="1" ref="BM86" ca="1">IF(TblConstr[[#This Row],[Hour]:[Hour]]&gt;12,OFFSET(TblConstr[[#This Row],[Tem]],-12,0),0)+OFFSET(TblConstr[[#This Row],[Tot Tem]],-1,0)-TblConstr[[#This Row],[Dest Tem]]</f>
        <v>0</v>
      </c>
      <c r="BN86" s="491"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44408.166666666468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1">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81">
        <f ca="1">OFFSET(TblConstr[[#This Row],[Mountain]],-1,0)+TblConstr[[#This Row],[Ch_Mountain]]</f>
        <v>20</v>
      </c>
      <c r="J87" s="485">
        <f ca="1">OFFSET(TblConstr[[#This Row],[Hill]],-1,0)+TblConstr[[#This Row],[Ch_Hill]]</f>
        <v>20</v>
      </c>
      <c r="K87" s="489">
        <f ca="1">OFFSET(TblConstr[[#This Row],[Swamp]],-1,0)+TblConstr[[#This Row],[Ch_Swamp]]</f>
        <v>20</v>
      </c>
      <c r="L87" s="239">
        <f ca="1">OFFSET(TblConstr[[#This Row],[Cavern]],-1,0)+TblConstr[[#This Row],[Ch_Cavern]]</f>
        <v>20</v>
      </c>
      <c r="M87" s="240">
        <f ca="1">OFFSET(TblConstr[[#This Row],[Water]],-1,0)+TblConstr[[#This Row],[Ch_Water]]</f>
        <v>20</v>
      </c>
      <c r="N87" s="479">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44408.208333333132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3" cm="1">
        <f t="array" aca="1" ref="BF87" ca="1">IF(TblConstr[[#This Row],[Hour]:[Hour]]&gt;12,OFFSET(TblConstr[[#This Row],[OM]],-12,0),0)+OFFSET(TblConstr[[#This Row],[Tot OM]],-1,0)-TblConstr[[#This Row],[Dest OM]]</f>
        <v>0</v>
      </c>
      <c r="BG87" s="483" cm="1">
        <f t="array" aca="1" ref="BG87" ca="1">IF(TblConstr[[#This Row],[Hour]:[Hour]]&gt;12,OFFSET(TblConstr[[#This Row],[GN]],-12,0),0)+OFFSET(TblConstr[[#This Row],[Tot GN]],-1,0)-TblConstr[[#This Row],[Dest GN]]</f>
        <v>0</v>
      </c>
      <c r="BH87" s="487" cm="1">
        <f t="array" aca="1" ref="BH87" ca="1">IF(TblConstr[[#This Row],[Hour]:[Hour]]&gt;12,OFFSET(TblConstr[[#This Row],[Fac]],-12,0),0)+OFFSET(TblConstr[[#This Row],[Tot Fac]],-1,0)-TblConstr[[#This Row],[Dest Fac]]</f>
        <v>0</v>
      </c>
      <c r="BI87" s="487" cm="1">
        <f t="array" aca="1" ref="BI87" ca="1">IF(TblConstr[[#This Row],[Hour]:[Hour]]&gt;12,OFFSET(TblConstr[[#This Row],[GT]],-12,0),0)+OFFSET(TblConstr[[#This Row],[Tot GT]],-1,0)-TblConstr[[#This Row],[Dest GT]]</f>
        <v>0</v>
      </c>
      <c r="BJ87" s="487" cm="1">
        <f t="array" aca="1" ref="BJ87" ca="1">IF(TblConstr[[#This Row],[Hour]:[Hour]]&gt;12,OFFSET(TblConstr[[#This Row],[Bar]],-12,0),0)+OFFSET(TblConstr[[#This Row],[Tot Bar]],-1,0)-TblConstr[[#This Row],[Dest Bar]]</f>
        <v>0</v>
      </c>
      <c r="BK87" s="487" cm="1">
        <f t="array" aca="1" ref="BK87" ca="1">IF(TblConstr[[#This Row],[Hour]:[Hour]]&gt;12,OFFSET(TblConstr[[#This Row],[Shr]],-12,0),0)+OFFSET(TblConstr[[#This Row],[Tot Shr]],-1,0)-TblConstr[[#This Row],[Dest Shr]]</f>
        <v>0</v>
      </c>
      <c r="BL87" s="491" cm="1">
        <f t="array" aca="1" ref="BL87" ca="1">IF(TblConstr[[#This Row],[Hour]:[Hour]]&gt;12,OFFSET(TblConstr[[#This Row],[Tow]],-12,0),0)+OFFSET(TblConstr[[#This Row],[Tot Tow]],-1,0)-TblConstr[[#This Row],[Dest Tow]]</f>
        <v>0</v>
      </c>
      <c r="BM87" s="491" cm="1">
        <f t="array" aca="1" ref="BM87" ca="1">IF(TblConstr[[#This Row],[Hour]:[Hour]]&gt;12,OFFSET(TblConstr[[#This Row],[Tem]],-12,0),0)+OFFSET(TblConstr[[#This Row],[Tot Tem]],-1,0)-TblConstr[[#This Row],[Dest Tem]]</f>
        <v>0</v>
      </c>
      <c r="BN87" s="491"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44408.208333333132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1">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81">
        <f ca="1">OFFSET(TblConstr[[#This Row],[Mountain]],-1,0)+TblConstr[[#This Row],[Ch_Mountain]]</f>
        <v>20</v>
      </c>
      <c r="J88" s="485">
        <f ca="1">OFFSET(TblConstr[[#This Row],[Hill]],-1,0)+TblConstr[[#This Row],[Ch_Hill]]</f>
        <v>20</v>
      </c>
      <c r="K88" s="489">
        <f ca="1">OFFSET(TblConstr[[#This Row],[Swamp]],-1,0)+TblConstr[[#This Row],[Ch_Swamp]]</f>
        <v>20</v>
      </c>
      <c r="L88" s="239">
        <f ca="1">OFFSET(TblConstr[[#This Row],[Cavern]],-1,0)+TblConstr[[#This Row],[Ch_Cavern]]</f>
        <v>20</v>
      </c>
      <c r="M88" s="240">
        <f ca="1">OFFSET(TblConstr[[#This Row],[Water]],-1,0)+TblConstr[[#This Row],[Ch_Water]]</f>
        <v>20</v>
      </c>
      <c r="N88" s="479">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44408.249999999796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3" cm="1">
        <f t="array" aca="1" ref="BF88" ca="1">IF(TblConstr[[#This Row],[Hour]:[Hour]]&gt;12,OFFSET(TblConstr[[#This Row],[OM]],-12,0),0)+OFFSET(TblConstr[[#This Row],[Tot OM]],-1,0)-TblConstr[[#This Row],[Dest OM]]</f>
        <v>0</v>
      </c>
      <c r="BG88" s="483" cm="1">
        <f t="array" aca="1" ref="BG88" ca="1">IF(TblConstr[[#This Row],[Hour]:[Hour]]&gt;12,OFFSET(TblConstr[[#This Row],[GN]],-12,0),0)+OFFSET(TblConstr[[#This Row],[Tot GN]],-1,0)-TblConstr[[#This Row],[Dest GN]]</f>
        <v>0</v>
      </c>
      <c r="BH88" s="487" cm="1">
        <f t="array" aca="1" ref="BH88" ca="1">IF(TblConstr[[#This Row],[Hour]:[Hour]]&gt;12,OFFSET(TblConstr[[#This Row],[Fac]],-12,0),0)+OFFSET(TblConstr[[#This Row],[Tot Fac]],-1,0)-TblConstr[[#This Row],[Dest Fac]]</f>
        <v>0</v>
      </c>
      <c r="BI88" s="487" cm="1">
        <f t="array" aca="1" ref="BI88" ca="1">IF(TblConstr[[#This Row],[Hour]:[Hour]]&gt;12,OFFSET(TblConstr[[#This Row],[GT]],-12,0),0)+OFFSET(TblConstr[[#This Row],[Tot GT]],-1,0)-TblConstr[[#This Row],[Dest GT]]</f>
        <v>0</v>
      </c>
      <c r="BJ88" s="487" cm="1">
        <f t="array" aca="1" ref="BJ88" ca="1">IF(TblConstr[[#This Row],[Hour]:[Hour]]&gt;12,OFFSET(TblConstr[[#This Row],[Bar]],-12,0),0)+OFFSET(TblConstr[[#This Row],[Tot Bar]],-1,0)-TblConstr[[#This Row],[Dest Bar]]</f>
        <v>0</v>
      </c>
      <c r="BK88" s="487" cm="1">
        <f t="array" aca="1" ref="BK88" ca="1">IF(TblConstr[[#This Row],[Hour]:[Hour]]&gt;12,OFFSET(TblConstr[[#This Row],[Shr]],-12,0),0)+OFFSET(TblConstr[[#This Row],[Tot Shr]],-1,0)-TblConstr[[#This Row],[Dest Shr]]</f>
        <v>0</v>
      </c>
      <c r="BL88" s="491" cm="1">
        <f t="array" aca="1" ref="BL88" ca="1">IF(TblConstr[[#This Row],[Hour]:[Hour]]&gt;12,OFFSET(TblConstr[[#This Row],[Tow]],-12,0),0)+OFFSET(TblConstr[[#This Row],[Tot Tow]],-1,0)-TblConstr[[#This Row],[Dest Tow]]</f>
        <v>0</v>
      </c>
      <c r="BM88" s="491" cm="1">
        <f t="array" aca="1" ref="BM88" ca="1">IF(TblConstr[[#This Row],[Hour]:[Hour]]&gt;12,OFFSET(TblConstr[[#This Row],[Tem]],-12,0),0)+OFFSET(TblConstr[[#This Row],[Tot Tem]],-1,0)-TblConstr[[#This Row],[Dest Tem]]</f>
        <v>0</v>
      </c>
      <c r="BN88" s="491"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44408.249999999796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1">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81">
        <f ca="1">OFFSET(TblConstr[[#This Row],[Mountain]],-1,0)+TblConstr[[#This Row],[Ch_Mountain]]</f>
        <v>20</v>
      </c>
      <c r="J89" s="485">
        <f ca="1">OFFSET(TblConstr[[#This Row],[Hill]],-1,0)+TblConstr[[#This Row],[Ch_Hill]]</f>
        <v>20</v>
      </c>
      <c r="K89" s="489">
        <f ca="1">OFFSET(TblConstr[[#This Row],[Swamp]],-1,0)+TblConstr[[#This Row],[Ch_Swamp]]</f>
        <v>20</v>
      </c>
      <c r="L89" s="239">
        <f ca="1">OFFSET(TblConstr[[#This Row],[Cavern]],-1,0)+TblConstr[[#This Row],[Ch_Cavern]]</f>
        <v>20</v>
      </c>
      <c r="M89" s="240">
        <f ca="1">OFFSET(TblConstr[[#This Row],[Water]],-1,0)+TblConstr[[#This Row],[Ch_Water]]</f>
        <v>20</v>
      </c>
      <c r="N89" s="479">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44408.291666666461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3" cm="1">
        <f t="array" aca="1" ref="BF89" ca="1">IF(TblConstr[[#This Row],[Hour]:[Hour]]&gt;12,OFFSET(TblConstr[[#This Row],[OM]],-12,0),0)+OFFSET(TblConstr[[#This Row],[Tot OM]],-1,0)-TblConstr[[#This Row],[Dest OM]]</f>
        <v>0</v>
      </c>
      <c r="BG89" s="483" cm="1">
        <f t="array" aca="1" ref="BG89" ca="1">IF(TblConstr[[#This Row],[Hour]:[Hour]]&gt;12,OFFSET(TblConstr[[#This Row],[GN]],-12,0),0)+OFFSET(TblConstr[[#This Row],[Tot GN]],-1,0)-TblConstr[[#This Row],[Dest GN]]</f>
        <v>0</v>
      </c>
      <c r="BH89" s="487" cm="1">
        <f t="array" aca="1" ref="BH89" ca="1">IF(TblConstr[[#This Row],[Hour]:[Hour]]&gt;12,OFFSET(TblConstr[[#This Row],[Fac]],-12,0),0)+OFFSET(TblConstr[[#This Row],[Tot Fac]],-1,0)-TblConstr[[#This Row],[Dest Fac]]</f>
        <v>0</v>
      </c>
      <c r="BI89" s="487" cm="1">
        <f t="array" aca="1" ref="BI89" ca="1">IF(TblConstr[[#This Row],[Hour]:[Hour]]&gt;12,OFFSET(TblConstr[[#This Row],[GT]],-12,0),0)+OFFSET(TblConstr[[#This Row],[Tot GT]],-1,0)-TblConstr[[#This Row],[Dest GT]]</f>
        <v>0</v>
      </c>
      <c r="BJ89" s="487" cm="1">
        <f t="array" aca="1" ref="BJ89" ca="1">IF(TblConstr[[#This Row],[Hour]:[Hour]]&gt;12,OFFSET(TblConstr[[#This Row],[Bar]],-12,0),0)+OFFSET(TblConstr[[#This Row],[Tot Bar]],-1,0)-TblConstr[[#This Row],[Dest Bar]]</f>
        <v>0</v>
      </c>
      <c r="BK89" s="487" cm="1">
        <f t="array" aca="1" ref="BK89" ca="1">IF(TblConstr[[#This Row],[Hour]:[Hour]]&gt;12,OFFSET(TblConstr[[#This Row],[Shr]],-12,0),0)+OFFSET(TblConstr[[#This Row],[Tot Shr]],-1,0)-TblConstr[[#This Row],[Dest Shr]]</f>
        <v>0</v>
      </c>
      <c r="BL89" s="491" cm="1">
        <f t="array" aca="1" ref="BL89" ca="1">IF(TblConstr[[#This Row],[Hour]:[Hour]]&gt;12,OFFSET(TblConstr[[#This Row],[Tow]],-12,0),0)+OFFSET(TblConstr[[#This Row],[Tot Tow]],-1,0)-TblConstr[[#This Row],[Dest Tow]]</f>
        <v>0</v>
      </c>
      <c r="BM89" s="491" cm="1">
        <f t="array" aca="1" ref="BM89" ca="1">IF(TblConstr[[#This Row],[Hour]:[Hour]]&gt;12,OFFSET(TblConstr[[#This Row],[Tem]],-12,0),0)+OFFSET(TblConstr[[#This Row],[Tot Tem]],-1,0)-TblConstr[[#This Row],[Dest Tem]]</f>
        <v>0</v>
      </c>
      <c r="BN89" s="491"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44408.291666666461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1">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81">
        <f ca="1">OFFSET(TblConstr[[#This Row],[Mountain]],-1,0)+TblConstr[[#This Row],[Ch_Mountain]]</f>
        <v>20</v>
      </c>
      <c r="J90" s="485">
        <f ca="1">OFFSET(TblConstr[[#This Row],[Hill]],-1,0)+TblConstr[[#This Row],[Ch_Hill]]</f>
        <v>20</v>
      </c>
      <c r="K90" s="489">
        <f ca="1">OFFSET(TblConstr[[#This Row],[Swamp]],-1,0)+TblConstr[[#This Row],[Ch_Swamp]]</f>
        <v>20</v>
      </c>
      <c r="L90" s="239">
        <f ca="1">OFFSET(TblConstr[[#This Row],[Cavern]],-1,0)+TblConstr[[#This Row],[Ch_Cavern]]</f>
        <v>20</v>
      </c>
      <c r="M90" s="240">
        <f ca="1">OFFSET(TblConstr[[#This Row],[Water]],-1,0)+TblConstr[[#This Row],[Ch_Water]]</f>
        <v>20</v>
      </c>
      <c r="N90" s="479">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44408.333333333125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3" cm="1">
        <f t="array" aca="1" ref="BF90" ca="1">IF(TblConstr[[#This Row],[Hour]:[Hour]]&gt;12,OFFSET(TblConstr[[#This Row],[OM]],-12,0),0)+OFFSET(TblConstr[[#This Row],[Tot OM]],-1,0)-TblConstr[[#This Row],[Dest OM]]</f>
        <v>0</v>
      </c>
      <c r="BG90" s="483" cm="1">
        <f t="array" aca="1" ref="BG90" ca="1">IF(TblConstr[[#This Row],[Hour]:[Hour]]&gt;12,OFFSET(TblConstr[[#This Row],[GN]],-12,0),0)+OFFSET(TblConstr[[#This Row],[Tot GN]],-1,0)-TblConstr[[#This Row],[Dest GN]]</f>
        <v>0</v>
      </c>
      <c r="BH90" s="487" cm="1">
        <f t="array" aca="1" ref="BH90" ca="1">IF(TblConstr[[#This Row],[Hour]:[Hour]]&gt;12,OFFSET(TblConstr[[#This Row],[Fac]],-12,0),0)+OFFSET(TblConstr[[#This Row],[Tot Fac]],-1,0)-TblConstr[[#This Row],[Dest Fac]]</f>
        <v>0</v>
      </c>
      <c r="BI90" s="487" cm="1">
        <f t="array" aca="1" ref="BI90" ca="1">IF(TblConstr[[#This Row],[Hour]:[Hour]]&gt;12,OFFSET(TblConstr[[#This Row],[GT]],-12,0),0)+OFFSET(TblConstr[[#This Row],[Tot GT]],-1,0)-TblConstr[[#This Row],[Dest GT]]</f>
        <v>0</v>
      </c>
      <c r="BJ90" s="487" cm="1">
        <f t="array" aca="1" ref="BJ90" ca="1">IF(TblConstr[[#This Row],[Hour]:[Hour]]&gt;12,OFFSET(TblConstr[[#This Row],[Bar]],-12,0),0)+OFFSET(TblConstr[[#This Row],[Tot Bar]],-1,0)-TblConstr[[#This Row],[Dest Bar]]</f>
        <v>0</v>
      </c>
      <c r="BK90" s="487" cm="1">
        <f t="array" aca="1" ref="BK90" ca="1">IF(TblConstr[[#This Row],[Hour]:[Hour]]&gt;12,OFFSET(TblConstr[[#This Row],[Shr]],-12,0),0)+OFFSET(TblConstr[[#This Row],[Tot Shr]],-1,0)-TblConstr[[#This Row],[Dest Shr]]</f>
        <v>0</v>
      </c>
      <c r="BL90" s="491" cm="1">
        <f t="array" aca="1" ref="BL90" ca="1">IF(TblConstr[[#This Row],[Hour]:[Hour]]&gt;12,OFFSET(TblConstr[[#This Row],[Tow]],-12,0),0)+OFFSET(TblConstr[[#This Row],[Tot Tow]],-1,0)-TblConstr[[#This Row],[Dest Tow]]</f>
        <v>0</v>
      </c>
      <c r="BM90" s="491" cm="1">
        <f t="array" aca="1" ref="BM90" ca="1">IF(TblConstr[[#This Row],[Hour]:[Hour]]&gt;12,OFFSET(TblConstr[[#This Row],[Tem]],-12,0),0)+OFFSET(TblConstr[[#This Row],[Tot Tem]],-1,0)-TblConstr[[#This Row],[Dest Tem]]</f>
        <v>0</v>
      </c>
      <c r="BN90" s="491"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44408.333333333125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1">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81">
        <f ca="1">OFFSET(TblConstr[[#This Row],[Mountain]],-1,0)+TblConstr[[#This Row],[Ch_Mountain]]</f>
        <v>20</v>
      </c>
      <c r="J91" s="485">
        <f ca="1">OFFSET(TblConstr[[#This Row],[Hill]],-1,0)+TblConstr[[#This Row],[Ch_Hill]]</f>
        <v>20</v>
      </c>
      <c r="K91" s="489">
        <f ca="1">OFFSET(TblConstr[[#This Row],[Swamp]],-1,0)+TblConstr[[#This Row],[Ch_Swamp]]</f>
        <v>20</v>
      </c>
      <c r="L91" s="239">
        <f ca="1">OFFSET(TblConstr[[#This Row],[Cavern]],-1,0)+TblConstr[[#This Row],[Ch_Cavern]]</f>
        <v>20</v>
      </c>
      <c r="M91" s="240">
        <f ca="1">OFFSET(TblConstr[[#This Row],[Water]],-1,0)+TblConstr[[#This Row],[Ch_Water]]</f>
        <v>20</v>
      </c>
      <c r="N91" s="479">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44408.374999999789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3" cm="1">
        <f t="array" aca="1" ref="BF91" ca="1">IF(TblConstr[[#This Row],[Hour]:[Hour]]&gt;12,OFFSET(TblConstr[[#This Row],[OM]],-12,0),0)+OFFSET(TblConstr[[#This Row],[Tot OM]],-1,0)-TblConstr[[#This Row],[Dest OM]]</f>
        <v>0</v>
      </c>
      <c r="BG91" s="483" cm="1">
        <f t="array" aca="1" ref="BG91" ca="1">IF(TblConstr[[#This Row],[Hour]:[Hour]]&gt;12,OFFSET(TblConstr[[#This Row],[GN]],-12,0),0)+OFFSET(TblConstr[[#This Row],[Tot GN]],-1,0)-TblConstr[[#This Row],[Dest GN]]</f>
        <v>0</v>
      </c>
      <c r="BH91" s="487" cm="1">
        <f t="array" aca="1" ref="BH91" ca="1">IF(TblConstr[[#This Row],[Hour]:[Hour]]&gt;12,OFFSET(TblConstr[[#This Row],[Fac]],-12,0),0)+OFFSET(TblConstr[[#This Row],[Tot Fac]],-1,0)-TblConstr[[#This Row],[Dest Fac]]</f>
        <v>0</v>
      </c>
      <c r="BI91" s="487" cm="1">
        <f t="array" aca="1" ref="BI91" ca="1">IF(TblConstr[[#This Row],[Hour]:[Hour]]&gt;12,OFFSET(TblConstr[[#This Row],[GT]],-12,0),0)+OFFSET(TblConstr[[#This Row],[Tot GT]],-1,0)-TblConstr[[#This Row],[Dest GT]]</f>
        <v>0</v>
      </c>
      <c r="BJ91" s="487" cm="1">
        <f t="array" aca="1" ref="BJ91" ca="1">IF(TblConstr[[#This Row],[Hour]:[Hour]]&gt;12,OFFSET(TblConstr[[#This Row],[Bar]],-12,0),0)+OFFSET(TblConstr[[#This Row],[Tot Bar]],-1,0)-TblConstr[[#This Row],[Dest Bar]]</f>
        <v>0</v>
      </c>
      <c r="BK91" s="487" cm="1">
        <f t="array" aca="1" ref="BK91" ca="1">IF(TblConstr[[#This Row],[Hour]:[Hour]]&gt;12,OFFSET(TblConstr[[#This Row],[Shr]],-12,0),0)+OFFSET(TblConstr[[#This Row],[Tot Shr]],-1,0)-TblConstr[[#This Row],[Dest Shr]]</f>
        <v>0</v>
      </c>
      <c r="BL91" s="491" cm="1">
        <f t="array" aca="1" ref="BL91" ca="1">IF(TblConstr[[#This Row],[Hour]:[Hour]]&gt;12,OFFSET(TblConstr[[#This Row],[Tow]],-12,0),0)+OFFSET(TblConstr[[#This Row],[Tot Tow]],-1,0)-TblConstr[[#This Row],[Dest Tow]]</f>
        <v>0</v>
      </c>
      <c r="BM91" s="491" cm="1">
        <f t="array" aca="1" ref="BM91" ca="1">IF(TblConstr[[#This Row],[Hour]:[Hour]]&gt;12,OFFSET(TblConstr[[#This Row],[Tem]],-12,0),0)+OFFSET(TblConstr[[#This Row],[Tot Tem]],-1,0)-TblConstr[[#This Row],[Dest Tem]]</f>
        <v>0</v>
      </c>
      <c r="BN91" s="491"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44408.374999999789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1">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81">
        <f ca="1">OFFSET(TblConstr[[#This Row],[Mountain]],-1,0)+TblConstr[[#This Row],[Ch_Mountain]]</f>
        <v>20</v>
      </c>
      <c r="J92" s="485">
        <f ca="1">OFFSET(TblConstr[[#This Row],[Hill]],-1,0)+TblConstr[[#This Row],[Ch_Hill]]</f>
        <v>20</v>
      </c>
      <c r="K92" s="489">
        <f ca="1">OFFSET(TblConstr[[#This Row],[Swamp]],-1,0)+TblConstr[[#This Row],[Ch_Swamp]]</f>
        <v>20</v>
      </c>
      <c r="L92" s="239">
        <f ca="1">OFFSET(TblConstr[[#This Row],[Cavern]],-1,0)+TblConstr[[#This Row],[Ch_Cavern]]</f>
        <v>20</v>
      </c>
      <c r="M92" s="240">
        <f ca="1">OFFSET(TblConstr[[#This Row],[Water]],-1,0)+TblConstr[[#This Row],[Ch_Water]]</f>
        <v>20</v>
      </c>
      <c r="N92" s="479">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44408.416666666453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3" cm="1">
        <f t="array" aca="1" ref="BF92" ca="1">IF(TblConstr[[#This Row],[Hour]:[Hour]]&gt;12,OFFSET(TblConstr[[#This Row],[OM]],-12,0),0)+OFFSET(TblConstr[[#This Row],[Tot OM]],-1,0)-TblConstr[[#This Row],[Dest OM]]</f>
        <v>0</v>
      </c>
      <c r="BG92" s="483" cm="1">
        <f t="array" aca="1" ref="BG92" ca="1">IF(TblConstr[[#This Row],[Hour]:[Hour]]&gt;12,OFFSET(TblConstr[[#This Row],[GN]],-12,0),0)+OFFSET(TblConstr[[#This Row],[Tot GN]],-1,0)-TblConstr[[#This Row],[Dest GN]]</f>
        <v>0</v>
      </c>
      <c r="BH92" s="487" cm="1">
        <f t="array" aca="1" ref="BH92" ca="1">IF(TblConstr[[#This Row],[Hour]:[Hour]]&gt;12,OFFSET(TblConstr[[#This Row],[Fac]],-12,0),0)+OFFSET(TblConstr[[#This Row],[Tot Fac]],-1,0)-TblConstr[[#This Row],[Dest Fac]]</f>
        <v>0</v>
      </c>
      <c r="BI92" s="487" cm="1">
        <f t="array" aca="1" ref="BI92" ca="1">IF(TblConstr[[#This Row],[Hour]:[Hour]]&gt;12,OFFSET(TblConstr[[#This Row],[GT]],-12,0),0)+OFFSET(TblConstr[[#This Row],[Tot GT]],-1,0)-TblConstr[[#This Row],[Dest GT]]</f>
        <v>0</v>
      </c>
      <c r="BJ92" s="487" cm="1">
        <f t="array" aca="1" ref="BJ92" ca="1">IF(TblConstr[[#This Row],[Hour]:[Hour]]&gt;12,OFFSET(TblConstr[[#This Row],[Bar]],-12,0),0)+OFFSET(TblConstr[[#This Row],[Tot Bar]],-1,0)-TblConstr[[#This Row],[Dest Bar]]</f>
        <v>0</v>
      </c>
      <c r="BK92" s="487" cm="1">
        <f t="array" aca="1" ref="BK92" ca="1">IF(TblConstr[[#This Row],[Hour]:[Hour]]&gt;12,OFFSET(TblConstr[[#This Row],[Shr]],-12,0),0)+OFFSET(TblConstr[[#This Row],[Tot Shr]],-1,0)-TblConstr[[#This Row],[Dest Shr]]</f>
        <v>0</v>
      </c>
      <c r="BL92" s="491" cm="1">
        <f t="array" aca="1" ref="BL92" ca="1">IF(TblConstr[[#This Row],[Hour]:[Hour]]&gt;12,OFFSET(TblConstr[[#This Row],[Tow]],-12,0),0)+OFFSET(TblConstr[[#This Row],[Tot Tow]],-1,0)-TblConstr[[#This Row],[Dest Tow]]</f>
        <v>0</v>
      </c>
      <c r="BM92" s="491" cm="1">
        <f t="array" aca="1" ref="BM92" ca="1">IF(TblConstr[[#This Row],[Hour]:[Hour]]&gt;12,OFFSET(TblConstr[[#This Row],[Tem]],-12,0),0)+OFFSET(TblConstr[[#This Row],[Tot Tem]],-1,0)-TblConstr[[#This Row],[Dest Tem]]</f>
        <v>0</v>
      </c>
      <c r="BN92" s="491"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44408.416666666453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1">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81">
        <f ca="1">OFFSET(TblConstr[[#This Row],[Mountain]],-1,0)+TblConstr[[#This Row],[Ch_Mountain]]</f>
        <v>20</v>
      </c>
      <c r="J93" s="485">
        <f ca="1">OFFSET(TblConstr[[#This Row],[Hill]],-1,0)+TblConstr[[#This Row],[Ch_Hill]]</f>
        <v>20</v>
      </c>
      <c r="K93" s="489">
        <f ca="1">OFFSET(TblConstr[[#This Row],[Swamp]],-1,0)+TblConstr[[#This Row],[Ch_Swamp]]</f>
        <v>20</v>
      </c>
      <c r="L93" s="239">
        <f ca="1">OFFSET(TblConstr[[#This Row],[Cavern]],-1,0)+TblConstr[[#This Row],[Ch_Cavern]]</f>
        <v>20</v>
      </c>
      <c r="M93" s="240">
        <f ca="1">OFFSET(TblConstr[[#This Row],[Water]],-1,0)+TblConstr[[#This Row],[Ch_Water]]</f>
        <v>20</v>
      </c>
      <c r="N93" s="479">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44408.458333333117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3" cm="1">
        <f t="array" aca="1" ref="BF93" ca="1">IF(TblConstr[[#This Row],[Hour]:[Hour]]&gt;12,OFFSET(TblConstr[[#This Row],[OM]],-12,0),0)+OFFSET(TblConstr[[#This Row],[Tot OM]],-1,0)-TblConstr[[#This Row],[Dest OM]]</f>
        <v>0</v>
      </c>
      <c r="BG93" s="483" cm="1">
        <f t="array" aca="1" ref="BG93" ca="1">IF(TblConstr[[#This Row],[Hour]:[Hour]]&gt;12,OFFSET(TblConstr[[#This Row],[GN]],-12,0),0)+OFFSET(TblConstr[[#This Row],[Tot GN]],-1,0)-TblConstr[[#This Row],[Dest GN]]</f>
        <v>0</v>
      </c>
      <c r="BH93" s="487" cm="1">
        <f t="array" aca="1" ref="BH93" ca="1">IF(TblConstr[[#This Row],[Hour]:[Hour]]&gt;12,OFFSET(TblConstr[[#This Row],[Fac]],-12,0),0)+OFFSET(TblConstr[[#This Row],[Tot Fac]],-1,0)-TblConstr[[#This Row],[Dest Fac]]</f>
        <v>0</v>
      </c>
      <c r="BI93" s="487" cm="1">
        <f t="array" aca="1" ref="BI93" ca="1">IF(TblConstr[[#This Row],[Hour]:[Hour]]&gt;12,OFFSET(TblConstr[[#This Row],[GT]],-12,0),0)+OFFSET(TblConstr[[#This Row],[Tot GT]],-1,0)-TblConstr[[#This Row],[Dest GT]]</f>
        <v>0</v>
      </c>
      <c r="BJ93" s="487" cm="1">
        <f t="array" aca="1" ref="BJ93" ca="1">IF(TblConstr[[#This Row],[Hour]:[Hour]]&gt;12,OFFSET(TblConstr[[#This Row],[Bar]],-12,0),0)+OFFSET(TblConstr[[#This Row],[Tot Bar]],-1,0)-TblConstr[[#This Row],[Dest Bar]]</f>
        <v>0</v>
      </c>
      <c r="BK93" s="487" cm="1">
        <f t="array" aca="1" ref="BK93" ca="1">IF(TblConstr[[#This Row],[Hour]:[Hour]]&gt;12,OFFSET(TblConstr[[#This Row],[Shr]],-12,0),0)+OFFSET(TblConstr[[#This Row],[Tot Shr]],-1,0)-TblConstr[[#This Row],[Dest Shr]]</f>
        <v>0</v>
      </c>
      <c r="BL93" s="491" cm="1">
        <f t="array" aca="1" ref="BL93" ca="1">IF(TblConstr[[#This Row],[Hour]:[Hour]]&gt;12,OFFSET(TblConstr[[#This Row],[Tow]],-12,0),0)+OFFSET(TblConstr[[#This Row],[Tot Tow]],-1,0)-TblConstr[[#This Row],[Dest Tow]]</f>
        <v>0</v>
      </c>
      <c r="BM93" s="491" cm="1">
        <f t="array" aca="1" ref="BM93" ca="1">IF(TblConstr[[#This Row],[Hour]:[Hour]]&gt;12,OFFSET(TblConstr[[#This Row],[Tem]],-12,0),0)+OFFSET(TblConstr[[#This Row],[Tot Tem]],-1,0)-TblConstr[[#This Row],[Dest Tem]]</f>
        <v>0</v>
      </c>
      <c r="BN93" s="491"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44408.458333333117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1">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81">
        <f ca="1">OFFSET(TblConstr[[#This Row],[Mountain]],-1,0)+TblConstr[[#This Row],[Ch_Mountain]]</f>
        <v>20</v>
      </c>
      <c r="J94" s="485">
        <f ca="1">OFFSET(TblConstr[[#This Row],[Hill]],-1,0)+TblConstr[[#This Row],[Ch_Hill]]</f>
        <v>20</v>
      </c>
      <c r="K94" s="489">
        <f ca="1">OFFSET(TblConstr[[#This Row],[Swamp]],-1,0)+TblConstr[[#This Row],[Ch_Swamp]]</f>
        <v>20</v>
      </c>
      <c r="L94" s="239">
        <f ca="1">OFFSET(TblConstr[[#This Row],[Cavern]],-1,0)+TblConstr[[#This Row],[Ch_Cavern]]</f>
        <v>20</v>
      </c>
      <c r="M94" s="240">
        <f ca="1">OFFSET(TblConstr[[#This Row],[Water]],-1,0)+TblConstr[[#This Row],[Ch_Water]]</f>
        <v>20</v>
      </c>
      <c r="N94" s="479">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44408.499999999782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3" cm="1">
        <f t="array" aca="1" ref="BF94" ca="1">IF(TblConstr[[#This Row],[Hour]:[Hour]]&gt;12,OFFSET(TblConstr[[#This Row],[OM]],-12,0),0)+OFFSET(TblConstr[[#This Row],[Tot OM]],-1,0)-TblConstr[[#This Row],[Dest OM]]</f>
        <v>0</v>
      </c>
      <c r="BG94" s="483" cm="1">
        <f t="array" aca="1" ref="BG94" ca="1">IF(TblConstr[[#This Row],[Hour]:[Hour]]&gt;12,OFFSET(TblConstr[[#This Row],[GN]],-12,0),0)+OFFSET(TblConstr[[#This Row],[Tot GN]],-1,0)-TblConstr[[#This Row],[Dest GN]]</f>
        <v>0</v>
      </c>
      <c r="BH94" s="487" cm="1">
        <f t="array" aca="1" ref="BH94" ca="1">IF(TblConstr[[#This Row],[Hour]:[Hour]]&gt;12,OFFSET(TblConstr[[#This Row],[Fac]],-12,0),0)+OFFSET(TblConstr[[#This Row],[Tot Fac]],-1,0)-TblConstr[[#This Row],[Dest Fac]]</f>
        <v>0</v>
      </c>
      <c r="BI94" s="487" cm="1">
        <f t="array" aca="1" ref="BI94" ca="1">IF(TblConstr[[#This Row],[Hour]:[Hour]]&gt;12,OFFSET(TblConstr[[#This Row],[GT]],-12,0),0)+OFFSET(TblConstr[[#This Row],[Tot GT]],-1,0)-TblConstr[[#This Row],[Dest GT]]</f>
        <v>0</v>
      </c>
      <c r="BJ94" s="487" cm="1">
        <f t="array" aca="1" ref="BJ94" ca="1">IF(TblConstr[[#This Row],[Hour]:[Hour]]&gt;12,OFFSET(TblConstr[[#This Row],[Bar]],-12,0),0)+OFFSET(TblConstr[[#This Row],[Tot Bar]],-1,0)-TblConstr[[#This Row],[Dest Bar]]</f>
        <v>0</v>
      </c>
      <c r="BK94" s="487" cm="1">
        <f t="array" aca="1" ref="BK94" ca="1">IF(TblConstr[[#This Row],[Hour]:[Hour]]&gt;12,OFFSET(TblConstr[[#This Row],[Shr]],-12,0),0)+OFFSET(TblConstr[[#This Row],[Tot Shr]],-1,0)-TblConstr[[#This Row],[Dest Shr]]</f>
        <v>0</v>
      </c>
      <c r="BL94" s="491" cm="1">
        <f t="array" aca="1" ref="BL94" ca="1">IF(TblConstr[[#This Row],[Hour]:[Hour]]&gt;12,OFFSET(TblConstr[[#This Row],[Tow]],-12,0),0)+OFFSET(TblConstr[[#This Row],[Tot Tow]],-1,0)-TblConstr[[#This Row],[Dest Tow]]</f>
        <v>0</v>
      </c>
      <c r="BM94" s="491" cm="1">
        <f t="array" aca="1" ref="BM94" ca="1">IF(TblConstr[[#This Row],[Hour]:[Hour]]&gt;12,OFFSET(TblConstr[[#This Row],[Tem]],-12,0),0)+OFFSET(TblConstr[[#This Row],[Tot Tem]],-1,0)-TblConstr[[#This Row],[Dest Tem]]</f>
        <v>0</v>
      </c>
      <c r="BN94" s="491"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44408.499999999782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1">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81">
        <f ca="1">OFFSET(TblConstr[[#This Row],[Mountain]],-1,0)+TblConstr[[#This Row],[Ch_Mountain]]</f>
        <v>20</v>
      </c>
      <c r="J95" s="485">
        <f ca="1">OFFSET(TblConstr[[#This Row],[Hill]],-1,0)+TblConstr[[#This Row],[Ch_Hill]]</f>
        <v>20</v>
      </c>
      <c r="K95" s="489">
        <f ca="1">OFFSET(TblConstr[[#This Row],[Swamp]],-1,0)+TblConstr[[#This Row],[Ch_Swamp]]</f>
        <v>20</v>
      </c>
      <c r="L95" s="239">
        <f ca="1">OFFSET(TblConstr[[#This Row],[Cavern]],-1,0)+TblConstr[[#This Row],[Ch_Cavern]]</f>
        <v>20</v>
      </c>
      <c r="M95" s="240">
        <f ca="1">OFFSET(TblConstr[[#This Row],[Water]],-1,0)+TblConstr[[#This Row],[Ch_Water]]</f>
        <v>20</v>
      </c>
      <c r="N95" s="479">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44408.541666666446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3" cm="1">
        <f t="array" aca="1" ref="BF95" ca="1">IF(TblConstr[[#This Row],[Hour]:[Hour]]&gt;12,OFFSET(TblConstr[[#This Row],[OM]],-12,0),0)+OFFSET(TblConstr[[#This Row],[Tot OM]],-1,0)-TblConstr[[#This Row],[Dest OM]]</f>
        <v>0</v>
      </c>
      <c r="BG95" s="483" cm="1">
        <f t="array" aca="1" ref="BG95" ca="1">IF(TblConstr[[#This Row],[Hour]:[Hour]]&gt;12,OFFSET(TblConstr[[#This Row],[GN]],-12,0),0)+OFFSET(TblConstr[[#This Row],[Tot GN]],-1,0)-TblConstr[[#This Row],[Dest GN]]</f>
        <v>0</v>
      </c>
      <c r="BH95" s="487" cm="1">
        <f t="array" aca="1" ref="BH95" ca="1">IF(TblConstr[[#This Row],[Hour]:[Hour]]&gt;12,OFFSET(TblConstr[[#This Row],[Fac]],-12,0),0)+OFFSET(TblConstr[[#This Row],[Tot Fac]],-1,0)-TblConstr[[#This Row],[Dest Fac]]</f>
        <v>0</v>
      </c>
      <c r="BI95" s="487" cm="1">
        <f t="array" aca="1" ref="BI95" ca="1">IF(TblConstr[[#This Row],[Hour]:[Hour]]&gt;12,OFFSET(TblConstr[[#This Row],[GT]],-12,0),0)+OFFSET(TblConstr[[#This Row],[Tot GT]],-1,0)-TblConstr[[#This Row],[Dest GT]]</f>
        <v>0</v>
      </c>
      <c r="BJ95" s="487" cm="1">
        <f t="array" aca="1" ref="BJ95" ca="1">IF(TblConstr[[#This Row],[Hour]:[Hour]]&gt;12,OFFSET(TblConstr[[#This Row],[Bar]],-12,0),0)+OFFSET(TblConstr[[#This Row],[Tot Bar]],-1,0)-TblConstr[[#This Row],[Dest Bar]]</f>
        <v>0</v>
      </c>
      <c r="BK95" s="487" cm="1">
        <f t="array" aca="1" ref="BK95" ca="1">IF(TblConstr[[#This Row],[Hour]:[Hour]]&gt;12,OFFSET(TblConstr[[#This Row],[Shr]],-12,0),0)+OFFSET(TblConstr[[#This Row],[Tot Shr]],-1,0)-TblConstr[[#This Row],[Dest Shr]]</f>
        <v>0</v>
      </c>
      <c r="BL95" s="491" cm="1">
        <f t="array" aca="1" ref="BL95" ca="1">IF(TblConstr[[#This Row],[Hour]:[Hour]]&gt;12,OFFSET(TblConstr[[#This Row],[Tow]],-12,0),0)+OFFSET(TblConstr[[#This Row],[Tot Tow]],-1,0)-TblConstr[[#This Row],[Dest Tow]]</f>
        <v>0</v>
      </c>
      <c r="BM95" s="491" cm="1">
        <f t="array" aca="1" ref="BM95" ca="1">IF(TblConstr[[#This Row],[Hour]:[Hour]]&gt;12,OFFSET(TblConstr[[#This Row],[Tem]],-12,0),0)+OFFSET(TblConstr[[#This Row],[Tot Tem]],-1,0)-TblConstr[[#This Row],[Dest Tem]]</f>
        <v>0</v>
      </c>
      <c r="BN95" s="491"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44408.541666666446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1">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81">
        <f ca="1">OFFSET(TblConstr[[#This Row],[Mountain]],-1,0)+TblConstr[[#This Row],[Ch_Mountain]]</f>
        <v>20</v>
      </c>
      <c r="J96" s="485">
        <f ca="1">OFFSET(TblConstr[[#This Row],[Hill]],-1,0)+TblConstr[[#This Row],[Ch_Hill]]</f>
        <v>20</v>
      </c>
      <c r="K96" s="489">
        <f ca="1">OFFSET(TblConstr[[#This Row],[Swamp]],-1,0)+TblConstr[[#This Row],[Ch_Swamp]]</f>
        <v>20</v>
      </c>
      <c r="L96" s="239">
        <f ca="1">OFFSET(TblConstr[[#This Row],[Cavern]],-1,0)+TblConstr[[#This Row],[Ch_Cavern]]</f>
        <v>20</v>
      </c>
      <c r="M96" s="240">
        <f ca="1">OFFSET(TblConstr[[#This Row],[Water]],-1,0)+TblConstr[[#This Row],[Ch_Water]]</f>
        <v>20</v>
      </c>
      <c r="N96" s="479">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44408.58333333311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3" cm="1">
        <f t="array" aca="1" ref="BF96" ca="1">IF(TblConstr[[#This Row],[Hour]:[Hour]]&gt;12,OFFSET(TblConstr[[#This Row],[OM]],-12,0),0)+OFFSET(TblConstr[[#This Row],[Tot OM]],-1,0)-TblConstr[[#This Row],[Dest OM]]</f>
        <v>0</v>
      </c>
      <c r="BG96" s="483" cm="1">
        <f t="array" aca="1" ref="BG96" ca="1">IF(TblConstr[[#This Row],[Hour]:[Hour]]&gt;12,OFFSET(TblConstr[[#This Row],[GN]],-12,0),0)+OFFSET(TblConstr[[#This Row],[Tot GN]],-1,0)-TblConstr[[#This Row],[Dest GN]]</f>
        <v>0</v>
      </c>
      <c r="BH96" s="487" cm="1">
        <f t="array" aca="1" ref="BH96" ca="1">IF(TblConstr[[#This Row],[Hour]:[Hour]]&gt;12,OFFSET(TblConstr[[#This Row],[Fac]],-12,0),0)+OFFSET(TblConstr[[#This Row],[Tot Fac]],-1,0)-TblConstr[[#This Row],[Dest Fac]]</f>
        <v>0</v>
      </c>
      <c r="BI96" s="487" cm="1">
        <f t="array" aca="1" ref="BI96" ca="1">IF(TblConstr[[#This Row],[Hour]:[Hour]]&gt;12,OFFSET(TblConstr[[#This Row],[GT]],-12,0),0)+OFFSET(TblConstr[[#This Row],[Tot GT]],-1,0)-TblConstr[[#This Row],[Dest GT]]</f>
        <v>0</v>
      </c>
      <c r="BJ96" s="487" cm="1">
        <f t="array" aca="1" ref="BJ96" ca="1">IF(TblConstr[[#This Row],[Hour]:[Hour]]&gt;12,OFFSET(TblConstr[[#This Row],[Bar]],-12,0),0)+OFFSET(TblConstr[[#This Row],[Tot Bar]],-1,0)-TblConstr[[#This Row],[Dest Bar]]</f>
        <v>0</v>
      </c>
      <c r="BK96" s="487" cm="1">
        <f t="array" aca="1" ref="BK96" ca="1">IF(TblConstr[[#This Row],[Hour]:[Hour]]&gt;12,OFFSET(TblConstr[[#This Row],[Shr]],-12,0),0)+OFFSET(TblConstr[[#This Row],[Tot Shr]],-1,0)-TblConstr[[#This Row],[Dest Shr]]</f>
        <v>0</v>
      </c>
      <c r="BL96" s="491" cm="1">
        <f t="array" aca="1" ref="BL96" ca="1">IF(TblConstr[[#This Row],[Hour]:[Hour]]&gt;12,OFFSET(TblConstr[[#This Row],[Tow]],-12,0),0)+OFFSET(TblConstr[[#This Row],[Tot Tow]],-1,0)-TblConstr[[#This Row],[Dest Tow]]</f>
        <v>0</v>
      </c>
      <c r="BM96" s="491" cm="1">
        <f t="array" aca="1" ref="BM96" ca="1">IF(TblConstr[[#This Row],[Hour]:[Hour]]&gt;12,OFFSET(TblConstr[[#This Row],[Tem]],-12,0),0)+OFFSET(TblConstr[[#This Row],[Tot Tem]],-1,0)-TblConstr[[#This Row],[Dest Tem]]</f>
        <v>0</v>
      </c>
      <c r="BN96" s="491"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44408.58333333311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1">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81">
        <f ca="1">OFFSET(TblConstr[[#This Row],[Mountain]],-1,0)+TblConstr[[#This Row],[Ch_Mountain]]</f>
        <v>20</v>
      </c>
      <c r="J97" s="485">
        <f ca="1">OFFSET(TblConstr[[#This Row],[Hill]],-1,0)+TblConstr[[#This Row],[Ch_Hill]]</f>
        <v>20</v>
      </c>
      <c r="K97" s="489">
        <f ca="1">OFFSET(TblConstr[[#This Row],[Swamp]],-1,0)+TblConstr[[#This Row],[Ch_Swamp]]</f>
        <v>20</v>
      </c>
      <c r="L97" s="239">
        <f ca="1">OFFSET(TblConstr[[#This Row],[Cavern]],-1,0)+TblConstr[[#This Row],[Ch_Cavern]]</f>
        <v>20</v>
      </c>
      <c r="M97" s="240">
        <f ca="1">OFFSET(TblConstr[[#This Row],[Water]],-1,0)+TblConstr[[#This Row],[Ch_Water]]</f>
        <v>20</v>
      </c>
      <c r="N97" s="479">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44408.624999999774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3" cm="1">
        <f t="array" aca="1" ref="BF97" ca="1">IF(TblConstr[[#This Row],[Hour]:[Hour]]&gt;12,OFFSET(TblConstr[[#This Row],[OM]],-12,0),0)+OFFSET(TblConstr[[#This Row],[Tot OM]],-1,0)-TblConstr[[#This Row],[Dest OM]]</f>
        <v>0</v>
      </c>
      <c r="BG97" s="483" cm="1">
        <f t="array" aca="1" ref="BG97" ca="1">IF(TblConstr[[#This Row],[Hour]:[Hour]]&gt;12,OFFSET(TblConstr[[#This Row],[GN]],-12,0),0)+OFFSET(TblConstr[[#This Row],[Tot GN]],-1,0)-TblConstr[[#This Row],[Dest GN]]</f>
        <v>0</v>
      </c>
      <c r="BH97" s="487" cm="1">
        <f t="array" aca="1" ref="BH97" ca="1">IF(TblConstr[[#This Row],[Hour]:[Hour]]&gt;12,OFFSET(TblConstr[[#This Row],[Fac]],-12,0),0)+OFFSET(TblConstr[[#This Row],[Tot Fac]],-1,0)-TblConstr[[#This Row],[Dest Fac]]</f>
        <v>0</v>
      </c>
      <c r="BI97" s="487" cm="1">
        <f t="array" aca="1" ref="BI97" ca="1">IF(TblConstr[[#This Row],[Hour]:[Hour]]&gt;12,OFFSET(TblConstr[[#This Row],[GT]],-12,0),0)+OFFSET(TblConstr[[#This Row],[Tot GT]],-1,0)-TblConstr[[#This Row],[Dest GT]]</f>
        <v>0</v>
      </c>
      <c r="BJ97" s="487" cm="1">
        <f t="array" aca="1" ref="BJ97" ca="1">IF(TblConstr[[#This Row],[Hour]:[Hour]]&gt;12,OFFSET(TblConstr[[#This Row],[Bar]],-12,0),0)+OFFSET(TblConstr[[#This Row],[Tot Bar]],-1,0)-TblConstr[[#This Row],[Dest Bar]]</f>
        <v>0</v>
      </c>
      <c r="BK97" s="487" cm="1">
        <f t="array" aca="1" ref="BK97" ca="1">IF(TblConstr[[#This Row],[Hour]:[Hour]]&gt;12,OFFSET(TblConstr[[#This Row],[Shr]],-12,0),0)+OFFSET(TblConstr[[#This Row],[Tot Shr]],-1,0)-TblConstr[[#This Row],[Dest Shr]]</f>
        <v>0</v>
      </c>
      <c r="BL97" s="491" cm="1">
        <f t="array" aca="1" ref="BL97" ca="1">IF(TblConstr[[#This Row],[Hour]:[Hour]]&gt;12,OFFSET(TblConstr[[#This Row],[Tow]],-12,0),0)+OFFSET(TblConstr[[#This Row],[Tot Tow]],-1,0)-TblConstr[[#This Row],[Dest Tow]]</f>
        <v>0</v>
      </c>
      <c r="BM97" s="491" cm="1">
        <f t="array" aca="1" ref="BM97" ca="1">IF(TblConstr[[#This Row],[Hour]:[Hour]]&gt;12,OFFSET(TblConstr[[#This Row],[Tem]],-12,0),0)+OFFSET(TblConstr[[#This Row],[Tot Tem]],-1,0)-TblConstr[[#This Row],[Dest Tem]]</f>
        <v>0</v>
      </c>
      <c r="BN97" s="491"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44408.624999999774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1">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81">
        <f ca="1">OFFSET(TblConstr[[#This Row],[Mountain]],-1,0)+TblConstr[[#This Row],[Ch_Mountain]]</f>
        <v>20</v>
      </c>
      <c r="J98" s="485">
        <f ca="1">OFFSET(TblConstr[[#This Row],[Hill]],-1,0)+TblConstr[[#This Row],[Ch_Hill]]</f>
        <v>20</v>
      </c>
      <c r="K98" s="489">
        <f ca="1">OFFSET(TblConstr[[#This Row],[Swamp]],-1,0)+TblConstr[[#This Row],[Ch_Swamp]]</f>
        <v>20</v>
      </c>
      <c r="L98" s="239">
        <f ca="1">OFFSET(TblConstr[[#This Row],[Cavern]],-1,0)+TblConstr[[#This Row],[Ch_Cavern]]</f>
        <v>20</v>
      </c>
      <c r="M98" s="240">
        <f ca="1">OFFSET(TblConstr[[#This Row],[Water]],-1,0)+TblConstr[[#This Row],[Ch_Water]]</f>
        <v>20</v>
      </c>
      <c r="N98" s="479">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44408.666666666439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3" cm="1">
        <f t="array" aca="1" ref="BF98" ca="1">IF(TblConstr[[#This Row],[Hour]:[Hour]]&gt;12,OFFSET(TblConstr[[#This Row],[OM]],-12,0),0)+OFFSET(TblConstr[[#This Row],[Tot OM]],-1,0)-TblConstr[[#This Row],[Dest OM]]</f>
        <v>0</v>
      </c>
      <c r="BG98" s="483" cm="1">
        <f t="array" aca="1" ref="BG98" ca="1">IF(TblConstr[[#This Row],[Hour]:[Hour]]&gt;12,OFFSET(TblConstr[[#This Row],[GN]],-12,0),0)+OFFSET(TblConstr[[#This Row],[Tot GN]],-1,0)-TblConstr[[#This Row],[Dest GN]]</f>
        <v>0</v>
      </c>
      <c r="BH98" s="487" cm="1">
        <f t="array" aca="1" ref="BH98" ca="1">IF(TblConstr[[#This Row],[Hour]:[Hour]]&gt;12,OFFSET(TblConstr[[#This Row],[Fac]],-12,0),0)+OFFSET(TblConstr[[#This Row],[Tot Fac]],-1,0)-TblConstr[[#This Row],[Dest Fac]]</f>
        <v>0</v>
      </c>
      <c r="BI98" s="487" cm="1">
        <f t="array" aca="1" ref="BI98" ca="1">IF(TblConstr[[#This Row],[Hour]:[Hour]]&gt;12,OFFSET(TblConstr[[#This Row],[GT]],-12,0),0)+OFFSET(TblConstr[[#This Row],[Tot GT]],-1,0)-TblConstr[[#This Row],[Dest GT]]</f>
        <v>0</v>
      </c>
      <c r="BJ98" s="487" cm="1">
        <f t="array" aca="1" ref="BJ98" ca="1">IF(TblConstr[[#This Row],[Hour]:[Hour]]&gt;12,OFFSET(TblConstr[[#This Row],[Bar]],-12,0),0)+OFFSET(TblConstr[[#This Row],[Tot Bar]],-1,0)-TblConstr[[#This Row],[Dest Bar]]</f>
        <v>0</v>
      </c>
      <c r="BK98" s="487" cm="1">
        <f t="array" aca="1" ref="BK98" ca="1">IF(TblConstr[[#This Row],[Hour]:[Hour]]&gt;12,OFFSET(TblConstr[[#This Row],[Shr]],-12,0),0)+OFFSET(TblConstr[[#This Row],[Tot Shr]],-1,0)-TblConstr[[#This Row],[Dest Shr]]</f>
        <v>0</v>
      </c>
      <c r="BL98" s="491" cm="1">
        <f t="array" aca="1" ref="BL98" ca="1">IF(TblConstr[[#This Row],[Hour]:[Hour]]&gt;12,OFFSET(TblConstr[[#This Row],[Tow]],-12,0),0)+OFFSET(TblConstr[[#This Row],[Tot Tow]],-1,0)-TblConstr[[#This Row],[Dest Tow]]</f>
        <v>0</v>
      </c>
      <c r="BM98" s="491" cm="1">
        <f t="array" aca="1" ref="BM98" ca="1">IF(TblConstr[[#This Row],[Hour]:[Hour]]&gt;12,OFFSET(TblConstr[[#This Row],[Tem]],-12,0),0)+OFFSET(TblConstr[[#This Row],[Tot Tem]],-1,0)-TblConstr[[#This Row],[Dest Tem]]</f>
        <v>0</v>
      </c>
      <c r="BN98" s="491"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44408.666666666439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1">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81">
        <f ca="1">OFFSET(TblConstr[[#This Row],[Mountain]],-1,0)+TblConstr[[#This Row],[Ch_Mountain]]</f>
        <v>20</v>
      </c>
      <c r="J99" s="485">
        <f ca="1">OFFSET(TblConstr[[#This Row],[Hill]],-1,0)+TblConstr[[#This Row],[Ch_Hill]]</f>
        <v>20</v>
      </c>
      <c r="K99" s="489">
        <f ca="1">OFFSET(TblConstr[[#This Row],[Swamp]],-1,0)+TblConstr[[#This Row],[Ch_Swamp]]</f>
        <v>20</v>
      </c>
      <c r="L99" s="239">
        <f ca="1">OFFSET(TblConstr[[#This Row],[Cavern]],-1,0)+TblConstr[[#This Row],[Ch_Cavern]]</f>
        <v>20</v>
      </c>
      <c r="M99" s="240">
        <f ca="1">OFFSET(TblConstr[[#This Row],[Water]],-1,0)+TblConstr[[#This Row],[Ch_Water]]</f>
        <v>20</v>
      </c>
      <c r="N99" s="479">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44408.708333333103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3" cm="1">
        <f t="array" aca="1" ref="BF99" ca="1">IF(TblConstr[[#This Row],[Hour]:[Hour]]&gt;12,OFFSET(TblConstr[[#This Row],[OM]],-12,0),0)+OFFSET(TblConstr[[#This Row],[Tot OM]],-1,0)-TblConstr[[#This Row],[Dest OM]]</f>
        <v>0</v>
      </c>
      <c r="BG99" s="483" cm="1">
        <f t="array" aca="1" ref="BG99" ca="1">IF(TblConstr[[#This Row],[Hour]:[Hour]]&gt;12,OFFSET(TblConstr[[#This Row],[GN]],-12,0),0)+OFFSET(TblConstr[[#This Row],[Tot GN]],-1,0)-TblConstr[[#This Row],[Dest GN]]</f>
        <v>0</v>
      </c>
      <c r="BH99" s="487" cm="1">
        <f t="array" aca="1" ref="BH99" ca="1">IF(TblConstr[[#This Row],[Hour]:[Hour]]&gt;12,OFFSET(TblConstr[[#This Row],[Fac]],-12,0),0)+OFFSET(TblConstr[[#This Row],[Tot Fac]],-1,0)-TblConstr[[#This Row],[Dest Fac]]</f>
        <v>0</v>
      </c>
      <c r="BI99" s="487" cm="1">
        <f t="array" aca="1" ref="BI99" ca="1">IF(TblConstr[[#This Row],[Hour]:[Hour]]&gt;12,OFFSET(TblConstr[[#This Row],[GT]],-12,0),0)+OFFSET(TblConstr[[#This Row],[Tot GT]],-1,0)-TblConstr[[#This Row],[Dest GT]]</f>
        <v>0</v>
      </c>
      <c r="BJ99" s="487" cm="1">
        <f t="array" aca="1" ref="BJ99" ca="1">IF(TblConstr[[#This Row],[Hour]:[Hour]]&gt;12,OFFSET(TblConstr[[#This Row],[Bar]],-12,0),0)+OFFSET(TblConstr[[#This Row],[Tot Bar]],-1,0)-TblConstr[[#This Row],[Dest Bar]]</f>
        <v>0</v>
      </c>
      <c r="BK99" s="487" cm="1">
        <f t="array" aca="1" ref="BK99" ca="1">IF(TblConstr[[#This Row],[Hour]:[Hour]]&gt;12,OFFSET(TblConstr[[#This Row],[Shr]],-12,0),0)+OFFSET(TblConstr[[#This Row],[Tot Shr]],-1,0)-TblConstr[[#This Row],[Dest Shr]]</f>
        <v>0</v>
      </c>
      <c r="BL99" s="491" cm="1">
        <f t="array" aca="1" ref="BL99" ca="1">IF(TblConstr[[#This Row],[Hour]:[Hour]]&gt;12,OFFSET(TblConstr[[#This Row],[Tow]],-12,0),0)+OFFSET(TblConstr[[#This Row],[Tot Tow]],-1,0)-TblConstr[[#This Row],[Dest Tow]]</f>
        <v>0</v>
      </c>
      <c r="BM99" s="491" cm="1">
        <f t="array" aca="1" ref="BM99" ca="1">IF(TblConstr[[#This Row],[Hour]:[Hour]]&gt;12,OFFSET(TblConstr[[#This Row],[Tem]],-12,0),0)+OFFSET(TblConstr[[#This Row],[Tot Tem]],-1,0)-TblConstr[[#This Row],[Dest Tem]]</f>
        <v>0</v>
      </c>
      <c r="BN99" s="491"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44408.708333333103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1">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81">
        <f ca="1">OFFSET(TblConstr[[#This Row],[Mountain]],-1,0)+TblConstr[[#This Row],[Ch_Mountain]]</f>
        <v>20</v>
      </c>
      <c r="J100" s="485">
        <f ca="1">OFFSET(TblConstr[[#This Row],[Hill]],-1,0)+TblConstr[[#This Row],[Ch_Hill]]</f>
        <v>20</v>
      </c>
      <c r="K100" s="489">
        <f ca="1">OFFSET(TblConstr[[#This Row],[Swamp]],-1,0)+TblConstr[[#This Row],[Ch_Swamp]]</f>
        <v>20</v>
      </c>
      <c r="L100" s="239">
        <f ca="1">OFFSET(TblConstr[[#This Row],[Cavern]],-1,0)+TblConstr[[#This Row],[Ch_Cavern]]</f>
        <v>20</v>
      </c>
      <c r="M100" s="240">
        <f ca="1">OFFSET(TblConstr[[#This Row],[Water]],-1,0)+TblConstr[[#This Row],[Ch_Water]]</f>
        <v>20</v>
      </c>
      <c r="N100" s="479">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44408.749999999767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3" cm="1">
        <f t="array" aca="1" ref="BF100" ca="1">IF(TblConstr[[#This Row],[Hour]:[Hour]]&gt;12,OFFSET(TblConstr[[#This Row],[OM]],-12,0),0)+OFFSET(TblConstr[[#This Row],[Tot OM]],-1,0)-TblConstr[[#This Row],[Dest OM]]</f>
        <v>0</v>
      </c>
      <c r="BG100" s="483" cm="1">
        <f t="array" aca="1" ref="BG100" ca="1">IF(TblConstr[[#This Row],[Hour]:[Hour]]&gt;12,OFFSET(TblConstr[[#This Row],[GN]],-12,0),0)+OFFSET(TblConstr[[#This Row],[Tot GN]],-1,0)-TblConstr[[#This Row],[Dest GN]]</f>
        <v>0</v>
      </c>
      <c r="BH100" s="487" cm="1">
        <f t="array" aca="1" ref="BH100" ca="1">IF(TblConstr[[#This Row],[Hour]:[Hour]]&gt;12,OFFSET(TblConstr[[#This Row],[Fac]],-12,0),0)+OFFSET(TblConstr[[#This Row],[Tot Fac]],-1,0)-TblConstr[[#This Row],[Dest Fac]]</f>
        <v>0</v>
      </c>
      <c r="BI100" s="487" cm="1">
        <f t="array" aca="1" ref="BI100" ca="1">IF(TblConstr[[#This Row],[Hour]:[Hour]]&gt;12,OFFSET(TblConstr[[#This Row],[GT]],-12,0),0)+OFFSET(TblConstr[[#This Row],[Tot GT]],-1,0)-TblConstr[[#This Row],[Dest GT]]</f>
        <v>0</v>
      </c>
      <c r="BJ100" s="487" cm="1">
        <f t="array" aca="1" ref="BJ100" ca="1">IF(TblConstr[[#This Row],[Hour]:[Hour]]&gt;12,OFFSET(TblConstr[[#This Row],[Bar]],-12,0),0)+OFFSET(TblConstr[[#This Row],[Tot Bar]],-1,0)-TblConstr[[#This Row],[Dest Bar]]</f>
        <v>0</v>
      </c>
      <c r="BK100" s="487" cm="1">
        <f t="array" aca="1" ref="BK100" ca="1">IF(TblConstr[[#This Row],[Hour]:[Hour]]&gt;12,OFFSET(TblConstr[[#This Row],[Shr]],-12,0),0)+OFFSET(TblConstr[[#This Row],[Tot Shr]],-1,0)-TblConstr[[#This Row],[Dest Shr]]</f>
        <v>0</v>
      </c>
      <c r="BL100" s="491" cm="1">
        <f t="array" aca="1" ref="BL100" ca="1">IF(TblConstr[[#This Row],[Hour]:[Hour]]&gt;12,OFFSET(TblConstr[[#This Row],[Tow]],-12,0),0)+OFFSET(TblConstr[[#This Row],[Tot Tow]],-1,0)-TblConstr[[#This Row],[Dest Tow]]</f>
        <v>0</v>
      </c>
      <c r="BM100" s="491" cm="1">
        <f t="array" aca="1" ref="BM100" ca="1">IF(TblConstr[[#This Row],[Hour]:[Hour]]&gt;12,OFFSET(TblConstr[[#This Row],[Tem]],-12,0),0)+OFFSET(TblConstr[[#This Row],[Tot Tem]],-1,0)-TblConstr[[#This Row],[Dest Tem]]</f>
        <v>0</v>
      </c>
      <c r="BN100" s="491"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44408.749999999767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1">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81">
        <f ca="1">OFFSET(TblConstr[[#This Row],[Mountain]],-1,0)+TblConstr[[#This Row],[Ch_Mountain]]</f>
        <v>20</v>
      </c>
      <c r="J101" s="485">
        <f ca="1">OFFSET(TblConstr[[#This Row],[Hill]],-1,0)+TblConstr[[#This Row],[Ch_Hill]]</f>
        <v>20</v>
      </c>
      <c r="K101" s="489">
        <f ca="1">OFFSET(TblConstr[[#This Row],[Swamp]],-1,0)+TblConstr[[#This Row],[Ch_Swamp]]</f>
        <v>20</v>
      </c>
      <c r="L101" s="239">
        <f ca="1">OFFSET(TblConstr[[#This Row],[Cavern]],-1,0)+TblConstr[[#This Row],[Ch_Cavern]]</f>
        <v>20</v>
      </c>
      <c r="M101" s="240">
        <f ca="1">OFFSET(TblConstr[[#This Row],[Water]],-1,0)+TblConstr[[#This Row],[Ch_Water]]</f>
        <v>20</v>
      </c>
      <c r="N101" s="479">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44408.791666666431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3" cm="1">
        <f t="array" aca="1" ref="BF101" ca="1">IF(TblConstr[[#This Row],[Hour]:[Hour]]&gt;12,OFFSET(TblConstr[[#This Row],[OM]],-12,0),0)+OFFSET(TblConstr[[#This Row],[Tot OM]],-1,0)-TblConstr[[#This Row],[Dest OM]]</f>
        <v>0</v>
      </c>
      <c r="BG101" s="483" cm="1">
        <f t="array" aca="1" ref="BG101" ca="1">IF(TblConstr[[#This Row],[Hour]:[Hour]]&gt;12,OFFSET(TblConstr[[#This Row],[GN]],-12,0),0)+OFFSET(TblConstr[[#This Row],[Tot GN]],-1,0)-TblConstr[[#This Row],[Dest GN]]</f>
        <v>0</v>
      </c>
      <c r="BH101" s="487" cm="1">
        <f t="array" aca="1" ref="BH101" ca="1">IF(TblConstr[[#This Row],[Hour]:[Hour]]&gt;12,OFFSET(TblConstr[[#This Row],[Fac]],-12,0),0)+OFFSET(TblConstr[[#This Row],[Tot Fac]],-1,0)-TblConstr[[#This Row],[Dest Fac]]</f>
        <v>0</v>
      </c>
      <c r="BI101" s="487" cm="1">
        <f t="array" aca="1" ref="BI101" ca="1">IF(TblConstr[[#This Row],[Hour]:[Hour]]&gt;12,OFFSET(TblConstr[[#This Row],[GT]],-12,0),0)+OFFSET(TblConstr[[#This Row],[Tot GT]],-1,0)-TblConstr[[#This Row],[Dest GT]]</f>
        <v>0</v>
      </c>
      <c r="BJ101" s="487" cm="1">
        <f t="array" aca="1" ref="BJ101" ca="1">IF(TblConstr[[#This Row],[Hour]:[Hour]]&gt;12,OFFSET(TblConstr[[#This Row],[Bar]],-12,0),0)+OFFSET(TblConstr[[#This Row],[Tot Bar]],-1,0)-TblConstr[[#This Row],[Dest Bar]]</f>
        <v>0</v>
      </c>
      <c r="BK101" s="487" cm="1">
        <f t="array" aca="1" ref="BK101" ca="1">IF(TblConstr[[#This Row],[Hour]:[Hour]]&gt;12,OFFSET(TblConstr[[#This Row],[Shr]],-12,0),0)+OFFSET(TblConstr[[#This Row],[Tot Shr]],-1,0)-TblConstr[[#This Row],[Dest Shr]]</f>
        <v>0</v>
      </c>
      <c r="BL101" s="491" cm="1">
        <f t="array" aca="1" ref="BL101" ca="1">IF(TblConstr[[#This Row],[Hour]:[Hour]]&gt;12,OFFSET(TblConstr[[#This Row],[Tow]],-12,0),0)+OFFSET(TblConstr[[#This Row],[Tot Tow]],-1,0)-TblConstr[[#This Row],[Dest Tow]]</f>
        <v>0</v>
      </c>
      <c r="BM101" s="491" cm="1">
        <f t="array" aca="1" ref="BM101" ca="1">IF(TblConstr[[#This Row],[Hour]:[Hour]]&gt;12,OFFSET(TblConstr[[#This Row],[Tem]],-12,0),0)+OFFSET(TblConstr[[#This Row],[Tot Tem]],-1,0)-TblConstr[[#This Row],[Dest Tem]]</f>
        <v>0</v>
      </c>
      <c r="BN101" s="491"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44408.791666666431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1">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81">
        <f ca="1">OFFSET(TblConstr[[#This Row],[Mountain]],-1,0)+TblConstr[[#This Row],[Ch_Mountain]]</f>
        <v>20</v>
      </c>
      <c r="J102" s="485">
        <f ca="1">OFFSET(TblConstr[[#This Row],[Hill]],-1,0)+TblConstr[[#This Row],[Ch_Hill]]</f>
        <v>20</v>
      </c>
      <c r="K102" s="489">
        <f ca="1">OFFSET(TblConstr[[#This Row],[Swamp]],-1,0)+TblConstr[[#This Row],[Ch_Swamp]]</f>
        <v>20</v>
      </c>
      <c r="L102" s="239">
        <f ca="1">OFFSET(TblConstr[[#This Row],[Cavern]],-1,0)+TblConstr[[#This Row],[Ch_Cavern]]</f>
        <v>20</v>
      </c>
      <c r="M102" s="240">
        <f ca="1">OFFSET(TblConstr[[#This Row],[Water]],-1,0)+TblConstr[[#This Row],[Ch_Water]]</f>
        <v>20</v>
      </c>
      <c r="N102" s="479">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44408.833333333096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3" cm="1">
        <f t="array" aca="1" ref="BF102" ca="1">IF(TblConstr[[#This Row],[Hour]:[Hour]]&gt;12,OFFSET(TblConstr[[#This Row],[OM]],-12,0),0)+OFFSET(TblConstr[[#This Row],[Tot OM]],-1,0)-TblConstr[[#This Row],[Dest OM]]</f>
        <v>0</v>
      </c>
      <c r="BG102" s="483" cm="1">
        <f t="array" aca="1" ref="BG102" ca="1">IF(TblConstr[[#This Row],[Hour]:[Hour]]&gt;12,OFFSET(TblConstr[[#This Row],[GN]],-12,0),0)+OFFSET(TblConstr[[#This Row],[Tot GN]],-1,0)-TblConstr[[#This Row],[Dest GN]]</f>
        <v>0</v>
      </c>
      <c r="BH102" s="487" cm="1">
        <f t="array" aca="1" ref="BH102" ca="1">IF(TblConstr[[#This Row],[Hour]:[Hour]]&gt;12,OFFSET(TblConstr[[#This Row],[Fac]],-12,0),0)+OFFSET(TblConstr[[#This Row],[Tot Fac]],-1,0)-TblConstr[[#This Row],[Dest Fac]]</f>
        <v>0</v>
      </c>
      <c r="BI102" s="487" cm="1">
        <f t="array" aca="1" ref="BI102" ca="1">IF(TblConstr[[#This Row],[Hour]:[Hour]]&gt;12,OFFSET(TblConstr[[#This Row],[GT]],-12,0),0)+OFFSET(TblConstr[[#This Row],[Tot GT]],-1,0)-TblConstr[[#This Row],[Dest GT]]</f>
        <v>0</v>
      </c>
      <c r="BJ102" s="487" cm="1">
        <f t="array" aca="1" ref="BJ102" ca="1">IF(TblConstr[[#This Row],[Hour]:[Hour]]&gt;12,OFFSET(TblConstr[[#This Row],[Bar]],-12,0),0)+OFFSET(TblConstr[[#This Row],[Tot Bar]],-1,0)-TblConstr[[#This Row],[Dest Bar]]</f>
        <v>0</v>
      </c>
      <c r="BK102" s="487" cm="1">
        <f t="array" aca="1" ref="BK102" ca="1">IF(TblConstr[[#This Row],[Hour]:[Hour]]&gt;12,OFFSET(TblConstr[[#This Row],[Shr]],-12,0),0)+OFFSET(TblConstr[[#This Row],[Tot Shr]],-1,0)-TblConstr[[#This Row],[Dest Shr]]</f>
        <v>0</v>
      </c>
      <c r="BL102" s="491" cm="1">
        <f t="array" aca="1" ref="BL102" ca="1">IF(TblConstr[[#This Row],[Hour]:[Hour]]&gt;12,OFFSET(TblConstr[[#This Row],[Tow]],-12,0),0)+OFFSET(TblConstr[[#This Row],[Tot Tow]],-1,0)-TblConstr[[#This Row],[Dest Tow]]</f>
        <v>0</v>
      </c>
      <c r="BM102" s="491" cm="1">
        <f t="array" aca="1" ref="BM102" ca="1">IF(TblConstr[[#This Row],[Hour]:[Hour]]&gt;12,OFFSET(TblConstr[[#This Row],[Tem]],-12,0),0)+OFFSET(TblConstr[[#This Row],[Tot Tem]],-1,0)-TblConstr[[#This Row],[Dest Tem]]</f>
        <v>0</v>
      </c>
      <c r="BN102" s="491"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44408.833333333096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1">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81">
        <f ca="1">OFFSET(TblConstr[[#This Row],[Mountain]],-1,0)+TblConstr[[#This Row],[Ch_Mountain]]</f>
        <v>20</v>
      </c>
      <c r="J103" s="485">
        <f ca="1">OFFSET(TblConstr[[#This Row],[Hill]],-1,0)+TblConstr[[#This Row],[Ch_Hill]]</f>
        <v>20</v>
      </c>
      <c r="K103" s="489">
        <f ca="1">OFFSET(TblConstr[[#This Row],[Swamp]],-1,0)+TblConstr[[#This Row],[Ch_Swamp]]</f>
        <v>20</v>
      </c>
      <c r="L103" s="239">
        <f ca="1">OFFSET(TblConstr[[#This Row],[Cavern]],-1,0)+TblConstr[[#This Row],[Ch_Cavern]]</f>
        <v>20</v>
      </c>
      <c r="M103" s="240">
        <f ca="1">OFFSET(TblConstr[[#This Row],[Water]],-1,0)+TblConstr[[#This Row],[Ch_Water]]</f>
        <v>20</v>
      </c>
      <c r="N103" s="479">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44408.87499999976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3" cm="1">
        <f t="array" aca="1" ref="BF103" ca="1">IF(TblConstr[[#This Row],[Hour]:[Hour]]&gt;12,OFFSET(TblConstr[[#This Row],[OM]],-12,0),0)+OFFSET(TblConstr[[#This Row],[Tot OM]],-1,0)-TblConstr[[#This Row],[Dest OM]]</f>
        <v>0</v>
      </c>
      <c r="BG103" s="483" cm="1">
        <f t="array" aca="1" ref="BG103" ca="1">IF(TblConstr[[#This Row],[Hour]:[Hour]]&gt;12,OFFSET(TblConstr[[#This Row],[GN]],-12,0),0)+OFFSET(TblConstr[[#This Row],[Tot GN]],-1,0)-TblConstr[[#This Row],[Dest GN]]</f>
        <v>0</v>
      </c>
      <c r="BH103" s="487" cm="1">
        <f t="array" aca="1" ref="BH103" ca="1">IF(TblConstr[[#This Row],[Hour]:[Hour]]&gt;12,OFFSET(TblConstr[[#This Row],[Fac]],-12,0),0)+OFFSET(TblConstr[[#This Row],[Tot Fac]],-1,0)-TblConstr[[#This Row],[Dest Fac]]</f>
        <v>0</v>
      </c>
      <c r="BI103" s="487" cm="1">
        <f t="array" aca="1" ref="BI103" ca="1">IF(TblConstr[[#This Row],[Hour]:[Hour]]&gt;12,OFFSET(TblConstr[[#This Row],[GT]],-12,0),0)+OFFSET(TblConstr[[#This Row],[Tot GT]],-1,0)-TblConstr[[#This Row],[Dest GT]]</f>
        <v>0</v>
      </c>
      <c r="BJ103" s="487" cm="1">
        <f t="array" aca="1" ref="BJ103" ca="1">IF(TblConstr[[#This Row],[Hour]:[Hour]]&gt;12,OFFSET(TblConstr[[#This Row],[Bar]],-12,0),0)+OFFSET(TblConstr[[#This Row],[Tot Bar]],-1,0)-TblConstr[[#This Row],[Dest Bar]]</f>
        <v>0</v>
      </c>
      <c r="BK103" s="487" cm="1">
        <f t="array" aca="1" ref="BK103" ca="1">IF(TblConstr[[#This Row],[Hour]:[Hour]]&gt;12,OFFSET(TblConstr[[#This Row],[Shr]],-12,0),0)+OFFSET(TblConstr[[#This Row],[Tot Shr]],-1,0)-TblConstr[[#This Row],[Dest Shr]]</f>
        <v>0</v>
      </c>
      <c r="BL103" s="491" cm="1">
        <f t="array" aca="1" ref="BL103" ca="1">IF(TblConstr[[#This Row],[Hour]:[Hour]]&gt;12,OFFSET(TblConstr[[#This Row],[Tow]],-12,0),0)+OFFSET(TblConstr[[#This Row],[Tot Tow]],-1,0)-TblConstr[[#This Row],[Dest Tow]]</f>
        <v>0</v>
      </c>
      <c r="BM103" s="491" cm="1">
        <f t="array" aca="1" ref="BM103" ca="1">IF(TblConstr[[#This Row],[Hour]:[Hour]]&gt;12,OFFSET(TblConstr[[#This Row],[Tem]],-12,0),0)+OFFSET(TblConstr[[#This Row],[Tot Tem]],-1,0)-TblConstr[[#This Row],[Dest Tem]]</f>
        <v>0</v>
      </c>
      <c r="BN103" s="491"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44408.87499999976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1">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81">
        <f ca="1">OFFSET(TblConstr[[#This Row],[Mountain]],-1,0)+TblConstr[[#This Row],[Ch_Mountain]]</f>
        <v>20</v>
      </c>
      <c r="J104" s="485">
        <f ca="1">OFFSET(TblConstr[[#This Row],[Hill]],-1,0)+TblConstr[[#This Row],[Ch_Hill]]</f>
        <v>20</v>
      </c>
      <c r="K104" s="489">
        <f ca="1">OFFSET(TblConstr[[#This Row],[Swamp]],-1,0)+TblConstr[[#This Row],[Ch_Swamp]]</f>
        <v>20</v>
      </c>
      <c r="L104" s="239">
        <f ca="1">OFFSET(TblConstr[[#This Row],[Cavern]],-1,0)+TblConstr[[#This Row],[Ch_Cavern]]</f>
        <v>20</v>
      </c>
      <c r="M104" s="240">
        <f ca="1">OFFSET(TblConstr[[#This Row],[Water]],-1,0)+TblConstr[[#This Row],[Ch_Water]]</f>
        <v>20</v>
      </c>
      <c r="N104" s="479">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44408.916666666424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3" cm="1">
        <f t="array" aca="1" ref="BF104" ca="1">IF(TblConstr[[#This Row],[Hour]:[Hour]]&gt;12,OFFSET(TblConstr[[#This Row],[OM]],-12,0),0)+OFFSET(TblConstr[[#This Row],[Tot OM]],-1,0)-TblConstr[[#This Row],[Dest OM]]</f>
        <v>0</v>
      </c>
      <c r="BG104" s="483" cm="1">
        <f t="array" aca="1" ref="BG104" ca="1">IF(TblConstr[[#This Row],[Hour]:[Hour]]&gt;12,OFFSET(TblConstr[[#This Row],[GN]],-12,0),0)+OFFSET(TblConstr[[#This Row],[Tot GN]],-1,0)-TblConstr[[#This Row],[Dest GN]]</f>
        <v>0</v>
      </c>
      <c r="BH104" s="487" cm="1">
        <f t="array" aca="1" ref="BH104" ca="1">IF(TblConstr[[#This Row],[Hour]:[Hour]]&gt;12,OFFSET(TblConstr[[#This Row],[Fac]],-12,0),0)+OFFSET(TblConstr[[#This Row],[Tot Fac]],-1,0)-TblConstr[[#This Row],[Dest Fac]]</f>
        <v>0</v>
      </c>
      <c r="BI104" s="487" cm="1">
        <f t="array" aca="1" ref="BI104" ca="1">IF(TblConstr[[#This Row],[Hour]:[Hour]]&gt;12,OFFSET(TblConstr[[#This Row],[GT]],-12,0),0)+OFFSET(TblConstr[[#This Row],[Tot GT]],-1,0)-TblConstr[[#This Row],[Dest GT]]</f>
        <v>0</v>
      </c>
      <c r="BJ104" s="487" cm="1">
        <f t="array" aca="1" ref="BJ104" ca="1">IF(TblConstr[[#This Row],[Hour]:[Hour]]&gt;12,OFFSET(TblConstr[[#This Row],[Bar]],-12,0),0)+OFFSET(TblConstr[[#This Row],[Tot Bar]],-1,0)-TblConstr[[#This Row],[Dest Bar]]</f>
        <v>0</v>
      </c>
      <c r="BK104" s="487" cm="1">
        <f t="array" aca="1" ref="BK104" ca="1">IF(TblConstr[[#This Row],[Hour]:[Hour]]&gt;12,OFFSET(TblConstr[[#This Row],[Shr]],-12,0),0)+OFFSET(TblConstr[[#This Row],[Tot Shr]],-1,0)-TblConstr[[#This Row],[Dest Shr]]</f>
        <v>0</v>
      </c>
      <c r="BL104" s="491" cm="1">
        <f t="array" aca="1" ref="BL104" ca="1">IF(TblConstr[[#This Row],[Hour]:[Hour]]&gt;12,OFFSET(TblConstr[[#This Row],[Tow]],-12,0),0)+OFFSET(TblConstr[[#This Row],[Tot Tow]],-1,0)-TblConstr[[#This Row],[Dest Tow]]</f>
        <v>0</v>
      </c>
      <c r="BM104" s="491" cm="1">
        <f t="array" aca="1" ref="BM104" ca="1">IF(TblConstr[[#This Row],[Hour]:[Hour]]&gt;12,OFFSET(TblConstr[[#This Row],[Tem]],-12,0),0)+OFFSET(TblConstr[[#This Row],[Tot Tem]],-1,0)-TblConstr[[#This Row],[Dest Tem]]</f>
        <v>0</v>
      </c>
      <c r="BN104" s="491"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44408.916666666424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1">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81">
        <f ca="1">OFFSET(TblConstr[[#This Row],[Mountain]],-1,0)+TblConstr[[#This Row],[Ch_Mountain]]</f>
        <v>20</v>
      </c>
      <c r="J105" s="485">
        <f ca="1">OFFSET(TblConstr[[#This Row],[Hill]],-1,0)+TblConstr[[#This Row],[Ch_Hill]]</f>
        <v>20</v>
      </c>
      <c r="K105" s="489">
        <f ca="1">OFFSET(TblConstr[[#This Row],[Swamp]],-1,0)+TblConstr[[#This Row],[Ch_Swamp]]</f>
        <v>20</v>
      </c>
      <c r="L105" s="239">
        <f ca="1">OFFSET(TblConstr[[#This Row],[Cavern]],-1,0)+TblConstr[[#This Row],[Ch_Cavern]]</f>
        <v>20</v>
      </c>
      <c r="M105" s="240">
        <f ca="1">OFFSET(TblConstr[[#This Row],[Water]],-1,0)+TblConstr[[#This Row],[Ch_Water]]</f>
        <v>20</v>
      </c>
      <c r="N105" s="479">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44408.958333333088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3" cm="1">
        <f t="array" aca="1" ref="BF105" ca="1">IF(TblConstr[[#This Row],[Hour]:[Hour]]&gt;12,OFFSET(TblConstr[[#This Row],[OM]],-12,0),0)+OFFSET(TblConstr[[#This Row],[Tot OM]],-1,0)-TblConstr[[#This Row],[Dest OM]]</f>
        <v>0</v>
      </c>
      <c r="BG105" s="483" cm="1">
        <f t="array" aca="1" ref="BG105" ca="1">IF(TblConstr[[#This Row],[Hour]:[Hour]]&gt;12,OFFSET(TblConstr[[#This Row],[GN]],-12,0),0)+OFFSET(TblConstr[[#This Row],[Tot GN]],-1,0)-TblConstr[[#This Row],[Dest GN]]</f>
        <v>0</v>
      </c>
      <c r="BH105" s="487" cm="1">
        <f t="array" aca="1" ref="BH105" ca="1">IF(TblConstr[[#This Row],[Hour]:[Hour]]&gt;12,OFFSET(TblConstr[[#This Row],[Fac]],-12,0),0)+OFFSET(TblConstr[[#This Row],[Tot Fac]],-1,0)-TblConstr[[#This Row],[Dest Fac]]</f>
        <v>0</v>
      </c>
      <c r="BI105" s="487" cm="1">
        <f t="array" aca="1" ref="BI105" ca="1">IF(TblConstr[[#This Row],[Hour]:[Hour]]&gt;12,OFFSET(TblConstr[[#This Row],[GT]],-12,0),0)+OFFSET(TblConstr[[#This Row],[Tot GT]],-1,0)-TblConstr[[#This Row],[Dest GT]]</f>
        <v>0</v>
      </c>
      <c r="BJ105" s="487" cm="1">
        <f t="array" aca="1" ref="BJ105" ca="1">IF(TblConstr[[#This Row],[Hour]:[Hour]]&gt;12,OFFSET(TblConstr[[#This Row],[Bar]],-12,0),0)+OFFSET(TblConstr[[#This Row],[Tot Bar]],-1,0)-TblConstr[[#This Row],[Dest Bar]]</f>
        <v>0</v>
      </c>
      <c r="BK105" s="487" cm="1">
        <f t="array" aca="1" ref="BK105" ca="1">IF(TblConstr[[#This Row],[Hour]:[Hour]]&gt;12,OFFSET(TblConstr[[#This Row],[Shr]],-12,0),0)+OFFSET(TblConstr[[#This Row],[Tot Shr]],-1,0)-TblConstr[[#This Row],[Dest Shr]]</f>
        <v>0</v>
      </c>
      <c r="BL105" s="491" cm="1">
        <f t="array" aca="1" ref="BL105" ca="1">IF(TblConstr[[#This Row],[Hour]:[Hour]]&gt;12,OFFSET(TblConstr[[#This Row],[Tow]],-12,0),0)+OFFSET(TblConstr[[#This Row],[Tot Tow]],-1,0)-TblConstr[[#This Row],[Dest Tow]]</f>
        <v>0</v>
      </c>
      <c r="BM105" s="491" cm="1">
        <f t="array" aca="1" ref="BM105" ca="1">IF(TblConstr[[#This Row],[Hour]:[Hour]]&gt;12,OFFSET(TblConstr[[#This Row],[Tem]],-12,0),0)+OFFSET(TblConstr[[#This Row],[Tot Tem]],-1,0)-TblConstr[[#This Row],[Dest Tem]]</f>
        <v>0</v>
      </c>
      <c r="BN105" s="491"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44408.958333333088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1">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81">
        <f ca="1">OFFSET(TblConstr[[#This Row],[Mountain]],-1,0)+TblConstr[[#This Row],[Ch_Mountain]]</f>
        <v>20</v>
      </c>
      <c r="J106" s="485">
        <f ca="1">OFFSET(TblConstr[[#This Row],[Hill]],-1,0)+TblConstr[[#This Row],[Ch_Hill]]</f>
        <v>20</v>
      </c>
      <c r="K106" s="489">
        <f ca="1">OFFSET(TblConstr[[#This Row],[Swamp]],-1,0)+TblConstr[[#This Row],[Ch_Swamp]]</f>
        <v>20</v>
      </c>
      <c r="L106" s="239">
        <f ca="1">OFFSET(TblConstr[[#This Row],[Cavern]],-1,0)+TblConstr[[#This Row],[Ch_Cavern]]</f>
        <v>20</v>
      </c>
      <c r="M106" s="240">
        <f ca="1">OFFSET(TblConstr[[#This Row],[Water]],-1,0)+TblConstr[[#This Row],[Ch_Water]]</f>
        <v>20</v>
      </c>
      <c r="N106" s="479">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44408.999999999753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3" cm="1">
        <f t="array" aca="1" ref="BF106" ca="1">IF(TblConstr[[#This Row],[Hour]:[Hour]]&gt;12,OFFSET(TblConstr[[#This Row],[OM]],-12,0),0)+OFFSET(TblConstr[[#This Row],[Tot OM]],-1,0)-TblConstr[[#This Row],[Dest OM]]</f>
        <v>0</v>
      </c>
      <c r="BG106" s="483" cm="1">
        <f t="array" aca="1" ref="BG106" ca="1">IF(TblConstr[[#This Row],[Hour]:[Hour]]&gt;12,OFFSET(TblConstr[[#This Row],[GN]],-12,0),0)+OFFSET(TblConstr[[#This Row],[Tot GN]],-1,0)-TblConstr[[#This Row],[Dest GN]]</f>
        <v>0</v>
      </c>
      <c r="BH106" s="487" cm="1">
        <f t="array" aca="1" ref="BH106" ca="1">IF(TblConstr[[#This Row],[Hour]:[Hour]]&gt;12,OFFSET(TblConstr[[#This Row],[Fac]],-12,0),0)+OFFSET(TblConstr[[#This Row],[Tot Fac]],-1,0)-TblConstr[[#This Row],[Dest Fac]]</f>
        <v>0</v>
      </c>
      <c r="BI106" s="487" cm="1">
        <f t="array" aca="1" ref="BI106" ca="1">IF(TblConstr[[#This Row],[Hour]:[Hour]]&gt;12,OFFSET(TblConstr[[#This Row],[GT]],-12,0),0)+OFFSET(TblConstr[[#This Row],[Tot GT]],-1,0)-TblConstr[[#This Row],[Dest GT]]</f>
        <v>0</v>
      </c>
      <c r="BJ106" s="487" cm="1">
        <f t="array" aca="1" ref="BJ106" ca="1">IF(TblConstr[[#This Row],[Hour]:[Hour]]&gt;12,OFFSET(TblConstr[[#This Row],[Bar]],-12,0),0)+OFFSET(TblConstr[[#This Row],[Tot Bar]],-1,0)-TblConstr[[#This Row],[Dest Bar]]</f>
        <v>0</v>
      </c>
      <c r="BK106" s="487" cm="1">
        <f t="array" aca="1" ref="BK106" ca="1">IF(TblConstr[[#This Row],[Hour]:[Hour]]&gt;12,OFFSET(TblConstr[[#This Row],[Shr]],-12,0),0)+OFFSET(TblConstr[[#This Row],[Tot Shr]],-1,0)-TblConstr[[#This Row],[Dest Shr]]</f>
        <v>0</v>
      </c>
      <c r="BL106" s="491" cm="1">
        <f t="array" aca="1" ref="BL106" ca="1">IF(TblConstr[[#This Row],[Hour]:[Hour]]&gt;12,OFFSET(TblConstr[[#This Row],[Tow]],-12,0),0)+OFFSET(TblConstr[[#This Row],[Tot Tow]],-1,0)-TblConstr[[#This Row],[Dest Tow]]</f>
        <v>0</v>
      </c>
      <c r="BM106" s="491" cm="1">
        <f t="array" aca="1" ref="BM106" ca="1">IF(TblConstr[[#This Row],[Hour]:[Hour]]&gt;12,OFFSET(TblConstr[[#This Row],[Tem]],-12,0),0)+OFFSET(TblConstr[[#This Row],[Tot Tem]],-1,0)-TblConstr[[#This Row],[Dest Tem]]</f>
        <v>0</v>
      </c>
      <c r="BN106" s="491"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44408.999999999753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1">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81">
        <f ca="1">OFFSET(TblConstr[[#This Row],[Mountain]],-1,0)+TblConstr[[#This Row],[Ch_Mountain]]</f>
        <v>20</v>
      </c>
      <c r="J107" s="485">
        <f ca="1">OFFSET(TblConstr[[#This Row],[Hill]],-1,0)+TblConstr[[#This Row],[Ch_Hill]]</f>
        <v>20</v>
      </c>
      <c r="K107" s="489">
        <f ca="1">OFFSET(TblConstr[[#This Row],[Swamp]],-1,0)+TblConstr[[#This Row],[Ch_Swamp]]</f>
        <v>20</v>
      </c>
      <c r="L107" s="239">
        <f ca="1">OFFSET(TblConstr[[#This Row],[Cavern]],-1,0)+TblConstr[[#This Row],[Ch_Cavern]]</f>
        <v>20</v>
      </c>
      <c r="M107" s="240">
        <f ca="1">OFFSET(TblConstr[[#This Row],[Water]],-1,0)+TblConstr[[#This Row],[Ch_Water]]</f>
        <v>20</v>
      </c>
      <c r="N107" s="479">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44409.041666666417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3" cm="1">
        <f t="array" aca="1" ref="BF107" ca="1">IF(TblConstr[[#This Row],[Hour]:[Hour]]&gt;12,OFFSET(TblConstr[[#This Row],[OM]],-12,0),0)+OFFSET(TblConstr[[#This Row],[Tot OM]],-1,0)-TblConstr[[#This Row],[Dest OM]]</f>
        <v>0</v>
      </c>
      <c r="BG107" s="483" cm="1">
        <f t="array" aca="1" ref="BG107" ca="1">IF(TblConstr[[#This Row],[Hour]:[Hour]]&gt;12,OFFSET(TblConstr[[#This Row],[GN]],-12,0),0)+OFFSET(TblConstr[[#This Row],[Tot GN]],-1,0)-TblConstr[[#This Row],[Dest GN]]</f>
        <v>0</v>
      </c>
      <c r="BH107" s="487" cm="1">
        <f t="array" aca="1" ref="BH107" ca="1">IF(TblConstr[[#This Row],[Hour]:[Hour]]&gt;12,OFFSET(TblConstr[[#This Row],[Fac]],-12,0),0)+OFFSET(TblConstr[[#This Row],[Tot Fac]],-1,0)-TblConstr[[#This Row],[Dest Fac]]</f>
        <v>0</v>
      </c>
      <c r="BI107" s="487" cm="1">
        <f t="array" aca="1" ref="BI107" ca="1">IF(TblConstr[[#This Row],[Hour]:[Hour]]&gt;12,OFFSET(TblConstr[[#This Row],[GT]],-12,0),0)+OFFSET(TblConstr[[#This Row],[Tot GT]],-1,0)-TblConstr[[#This Row],[Dest GT]]</f>
        <v>0</v>
      </c>
      <c r="BJ107" s="487" cm="1">
        <f t="array" aca="1" ref="BJ107" ca="1">IF(TblConstr[[#This Row],[Hour]:[Hour]]&gt;12,OFFSET(TblConstr[[#This Row],[Bar]],-12,0),0)+OFFSET(TblConstr[[#This Row],[Tot Bar]],-1,0)-TblConstr[[#This Row],[Dest Bar]]</f>
        <v>0</v>
      </c>
      <c r="BK107" s="487" cm="1">
        <f t="array" aca="1" ref="BK107" ca="1">IF(TblConstr[[#This Row],[Hour]:[Hour]]&gt;12,OFFSET(TblConstr[[#This Row],[Shr]],-12,0),0)+OFFSET(TblConstr[[#This Row],[Tot Shr]],-1,0)-TblConstr[[#This Row],[Dest Shr]]</f>
        <v>0</v>
      </c>
      <c r="BL107" s="491" cm="1">
        <f t="array" aca="1" ref="BL107" ca="1">IF(TblConstr[[#This Row],[Hour]:[Hour]]&gt;12,OFFSET(TblConstr[[#This Row],[Tow]],-12,0),0)+OFFSET(TblConstr[[#This Row],[Tot Tow]],-1,0)-TblConstr[[#This Row],[Dest Tow]]</f>
        <v>0</v>
      </c>
      <c r="BM107" s="491" cm="1">
        <f t="array" aca="1" ref="BM107" ca="1">IF(TblConstr[[#This Row],[Hour]:[Hour]]&gt;12,OFFSET(TblConstr[[#This Row],[Tem]],-12,0),0)+OFFSET(TblConstr[[#This Row],[Tot Tem]],-1,0)-TblConstr[[#This Row],[Dest Tem]]</f>
        <v>0</v>
      </c>
      <c r="BN107" s="491"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44409.041666666417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1">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81">
        <f ca="1">OFFSET(TblConstr[[#This Row],[Mountain]],-1,0)+TblConstr[[#This Row],[Ch_Mountain]]</f>
        <v>20</v>
      </c>
      <c r="J108" s="485">
        <f ca="1">OFFSET(TblConstr[[#This Row],[Hill]],-1,0)+TblConstr[[#This Row],[Ch_Hill]]</f>
        <v>20</v>
      </c>
      <c r="K108" s="489">
        <f ca="1">OFFSET(TblConstr[[#This Row],[Swamp]],-1,0)+TblConstr[[#This Row],[Ch_Swamp]]</f>
        <v>20</v>
      </c>
      <c r="L108" s="239">
        <f ca="1">OFFSET(TblConstr[[#This Row],[Cavern]],-1,0)+TblConstr[[#This Row],[Ch_Cavern]]</f>
        <v>20</v>
      </c>
      <c r="M108" s="240">
        <f ca="1">OFFSET(TblConstr[[#This Row],[Water]],-1,0)+TblConstr[[#This Row],[Ch_Water]]</f>
        <v>20</v>
      </c>
      <c r="N108" s="479">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44409.083333333081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3" cm="1">
        <f t="array" aca="1" ref="BF108" ca="1">IF(TblConstr[[#This Row],[Hour]:[Hour]]&gt;12,OFFSET(TblConstr[[#This Row],[OM]],-12,0),0)+OFFSET(TblConstr[[#This Row],[Tot OM]],-1,0)-TblConstr[[#This Row],[Dest OM]]</f>
        <v>0</v>
      </c>
      <c r="BG108" s="483" cm="1">
        <f t="array" aca="1" ref="BG108" ca="1">IF(TblConstr[[#This Row],[Hour]:[Hour]]&gt;12,OFFSET(TblConstr[[#This Row],[GN]],-12,0),0)+OFFSET(TblConstr[[#This Row],[Tot GN]],-1,0)-TblConstr[[#This Row],[Dest GN]]</f>
        <v>0</v>
      </c>
      <c r="BH108" s="487" cm="1">
        <f t="array" aca="1" ref="BH108" ca="1">IF(TblConstr[[#This Row],[Hour]:[Hour]]&gt;12,OFFSET(TblConstr[[#This Row],[Fac]],-12,0),0)+OFFSET(TblConstr[[#This Row],[Tot Fac]],-1,0)-TblConstr[[#This Row],[Dest Fac]]</f>
        <v>0</v>
      </c>
      <c r="BI108" s="487" cm="1">
        <f t="array" aca="1" ref="BI108" ca="1">IF(TblConstr[[#This Row],[Hour]:[Hour]]&gt;12,OFFSET(TblConstr[[#This Row],[GT]],-12,0),0)+OFFSET(TblConstr[[#This Row],[Tot GT]],-1,0)-TblConstr[[#This Row],[Dest GT]]</f>
        <v>0</v>
      </c>
      <c r="BJ108" s="487" cm="1">
        <f t="array" aca="1" ref="BJ108" ca="1">IF(TblConstr[[#This Row],[Hour]:[Hour]]&gt;12,OFFSET(TblConstr[[#This Row],[Bar]],-12,0),0)+OFFSET(TblConstr[[#This Row],[Tot Bar]],-1,0)-TblConstr[[#This Row],[Dest Bar]]</f>
        <v>0</v>
      </c>
      <c r="BK108" s="487" cm="1">
        <f t="array" aca="1" ref="BK108" ca="1">IF(TblConstr[[#This Row],[Hour]:[Hour]]&gt;12,OFFSET(TblConstr[[#This Row],[Shr]],-12,0),0)+OFFSET(TblConstr[[#This Row],[Tot Shr]],-1,0)-TblConstr[[#This Row],[Dest Shr]]</f>
        <v>0</v>
      </c>
      <c r="BL108" s="491" cm="1">
        <f t="array" aca="1" ref="BL108" ca="1">IF(TblConstr[[#This Row],[Hour]:[Hour]]&gt;12,OFFSET(TblConstr[[#This Row],[Tow]],-12,0),0)+OFFSET(TblConstr[[#This Row],[Tot Tow]],-1,0)-TblConstr[[#This Row],[Dest Tow]]</f>
        <v>0</v>
      </c>
      <c r="BM108" s="491" cm="1">
        <f t="array" aca="1" ref="BM108" ca="1">IF(TblConstr[[#This Row],[Hour]:[Hour]]&gt;12,OFFSET(TblConstr[[#This Row],[Tem]],-12,0),0)+OFFSET(TblConstr[[#This Row],[Tot Tem]],-1,0)-TblConstr[[#This Row],[Dest Tem]]</f>
        <v>0</v>
      </c>
      <c r="BN108" s="491"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44409.083333333081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1">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81">
        <f ca="1">OFFSET(TblConstr[[#This Row],[Mountain]],-1,0)+TblConstr[[#This Row],[Ch_Mountain]]</f>
        <v>20</v>
      </c>
      <c r="J109" s="485">
        <f ca="1">OFFSET(TblConstr[[#This Row],[Hill]],-1,0)+TblConstr[[#This Row],[Ch_Hill]]</f>
        <v>20</v>
      </c>
      <c r="K109" s="489">
        <f ca="1">OFFSET(TblConstr[[#This Row],[Swamp]],-1,0)+TblConstr[[#This Row],[Ch_Swamp]]</f>
        <v>20</v>
      </c>
      <c r="L109" s="239">
        <f ca="1">OFFSET(TblConstr[[#This Row],[Cavern]],-1,0)+TblConstr[[#This Row],[Ch_Cavern]]</f>
        <v>20</v>
      </c>
      <c r="M109" s="240">
        <f ca="1">OFFSET(TblConstr[[#This Row],[Water]],-1,0)+TblConstr[[#This Row],[Ch_Water]]</f>
        <v>20</v>
      </c>
      <c r="N109" s="479">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44409.124999999745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3" cm="1">
        <f t="array" aca="1" ref="BF109" ca="1">IF(TblConstr[[#This Row],[Hour]:[Hour]]&gt;12,OFFSET(TblConstr[[#This Row],[OM]],-12,0),0)+OFFSET(TblConstr[[#This Row],[Tot OM]],-1,0)-TblConstr[[#This Row],[Dest OM]]</f>
        <v>0</v>
      </c>
      <c r="BG109" s="483" cm="1">
        <f t="array" aca="1" ref="BG109" ca="1">IF(TblConstr[[#This Row],[Hour]:[Hour]]&gt;12,OFFSET(TblConstr[[#This Row],[GN]],-12,0),0)+OFFSET(TblConstr[[#This Row],[Tot GN]],-1,0)-TblConstr[[#This Row],[Dest GN]]</f>
        <v>0</v>
      </c>
      <c r="BH109" s="487" cm="1">
        <f t="array" aca="1" ref="BH109" ca="1">IF(TblConstr[[#This Row],[Hour]:[Hour]]&gt;12,OFFSET(TblConstr[[#This Row],[Fac]],-12,0),0)+OFFSET(TblConstr[[#This Row],[Tot Fac]],-1,0)-TblConstr[[#This Row],[Dest Fac]]</f>
        <v>0</v>
      </c>
      <c r="BI109" s="487" cm="1">
        <f t="array" aca="1" ref="BI109" ca="1">IF(TblConstr[[#This Row],[Hour]:[Hour]]&gt;12,OFFSET(TblConstr[[#This Row],[GT]],-12,0),0)+OFFSET(TblConstr[[#This Row],[Tot GT]],-1,0)-TblConstr[[#This Row],[Dest GT]]</f>
        <v>0</v>
      </c>
      <c r="BJ109" s="487" cm="1">
        <f t="array" aca="1" ref="BJ109" ca="1">IF(TblConstr[[#This Row],[Hour]:[Hour]]&gt;12,OFFSET(TblConstr[[#This Row],[Bar]],-12,0),0)+OFFSET(TblConstr[[#This Row],[Tot Bar]],-1,0)-TblConstr[[#This Row],[Dest Bar]]</f>
        <v>0</v>
      </c>
      <c r="BK109" s="487" cm="1">
        <f t="array" aca="1" ref="BK109" ca="1">IF(TblConstr[[#This Row],[Hour]:[Hour]]&gt;12,OFFSET(TblConstr[[#This Row],[Shr]],-12,0),0)+OFFSET(TblConstr[[#This Row],[Tot Shr]],-1,0)-TblConstr[[#This Row],[Dest Shr]]</f>
        <v>0</v>
      </c>
      <c r="BL109" s="491" cm="1">
        <f t="array" aca="1" ref="BL109" ca="1">IF(TblConstr[[#This Row],[Hour]:[Hour]]&gt;12,OFFSET(TblConstr[[#This Row],[Tow]],-12,0),0)+OFFSET(TblConstr[[#This Row],[Tot Tow]],-1,0)-TblConstr[[#This Row],[Dest Tow]]</f>
        <v>0</v>
      </c>
      <c r="BM109" s="491" cm="1">
        <f t="array" aca="1" ref="BM109" ca="1">IF(TblConstr[[#This Row],[Hour]:[Hour]]&gt;12,OFFSET(TblConstr[[#This Row],[Tem]],-12,0),0)+OFFSET(TblConstr[[#This Row],[Tot Tem]],-1,0)-TblConstr[[#This Row],[Dest Tem]]</f>
        <v>0</v>
      </c>
      <c r="BN109" s="491"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44409.124999999745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1">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81">
        <f ca="1">OFFSET(TblConstr[[#This Row],[Mountain]],-1,0)+TblConstr[[#This Row],[Ch_Mountain]]</f>
        <v>20</v>
      </c>
      <c r="J110" s="485">
        <f ca="1">OFFSET(TblConstr[[#This Row],[Hill]],-1,0)+TblConstr[[#This Row],[Ch_Hill]]</f>
        <v>20</v>
      </c>
      <c r="K110" s="489">
        <f ca="1">OFFSET(TblConstr[[#This Row],[Swamp]],-1,0)+TblConstr[[#This Row],[Ch_Swamp]]</f>
        <v>20</v>
      </c>
      <c r="L110" s="239">
        <f ca="1">OFFSET(TblConstr[[#This Row],[Cavern]],-1,0)+TblConstr[[#This Row],[Ch_Cavern]]</f>
        <v>20</v>
      </c>
      <c r="M110" s="240">
        <f ca="1">OFFSET(TblConstr[[#This Row],[Water]],-1,0)+TblConstr[[#This Row],[Ch_Water]]</f>
        <v>20</v>
      </c>
      <c r="N110" s="479">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44409.16666666641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3" cm="1">
        <f t="array" aca="1" ref="BF110" ca="1">IF(TblConstr[[#This Row],[Hour]:[Hour]]&gt;12,OFFSET(TblConstr[[#This Row],[OM]],-12,0),0)+OFFSET(TblConstr[[#This Row],[Tot OM]],-1,0)-TblConstr[[#This Row],[Dest OM]]</f>
        <v>0</v>
      </c>
      <c r="BG110" s="483" cm="1">
        <f t="array" aca="1" ref="BG110" ca="1">IF(TblConstr[[#This Row],[Hour]:[Hour]]&gt;12,OFFSET(TblConstr[[#This Row],[GN]],-12,0),0)+OFFSET(TblConstr[[#This Row],[Tot GN]],-1,0)-TblConstr[[#This Row],[Dest GN]]</f>
        <v>0</v>
      </c>
      <c r="BH110" s="487" cm="1">
        <f t="array" aca="1" ref="BH110" ca="1">IF(TblConstr[[#This Row],[Hour]:[Hour]]&gt;12,OFFSET(TblConstr[[#This Row],[Fac]],-12,0),0)+OFFSET(TblConstr[[#This Row],[Tot Fac]],-1,0)-TblConstr[[#This Row],[Dest Fac]]</f>
        <v>0</v>
      </c>
      <c r="BI110" s="487" cm="1">
        <f t="array" aca="1" ref="BI110" ca="1">IF(TblConstr[[#This Row],[Hour]:[Hour]]&gt;12,OFFSET(TblConstr[[#This Row],[GT]],-12,0),0)+OFFSET(TblConstr[[#This Row],[Tot GT]],-1,0)-TblConstr[[#This Row],[Dest GT]]</f>
        <v>0</v>
      </c>
      <c r="BJ110" s="487" cm="1">
        <f t="array" aca="1" ref="BJ110" ca="1">IF(TblConstr[[#This Row],[Hour]:[Hour]]&gt;12,OFFSET(TblConstr[[#This Row],[Bar]],-12,0),0)+OFFSET(TblConstr[[#This Row],[Tot Bar]],-1,0)-TblConstr[[#This Row],[Dest Bar]]</f>
        <v>0</v>
      </c>
      <c r="BK110" s="487" cm="1">
        <f t="array" aca="1" ref="BK110" ca="1">IF(TblConstr[[#This Row],[Hour]:[Hour]]&gt;12,OFFSET(TblConstr[[#This Row],[Shr]],-12,0),0)+OFFSET(TblConstr[[#This Row],[Tot Shr]],-1,0)-TblConstr[[#This Row],[Dest Shr]]</f>
        <v>0</v>
      </c>
      <c r="BL110" s="491" cm="1">
        <f t="array" aca="1" ref="BL110" ca="1">IF(TblConstr[[#This Row],[Hour]:[Hour]]&gt;12,OFFSET(TblConstr[[#This Row],[Tow]],-12,0),0)+OFFSET(TblConstr[[#This Row],[Tot Tow]],-1,0)-TblConstr[[#This Row],[Dest Tow]]</f>
        <v>0</v>
      </c>
      <c r="BM110" s="491" cm="1">
        <f t="array" aca="1" ref="BM110" ca="1">IF(TblConstr[[#This Row],[Hour]:[Hour]]&gt;12,OFFSET(TblConstr[[#This Row],[Tem]],-12,0),0)+OFFSET(TblConstr[[#This Row],[Tot Tem]],-1,0)-TblConstr[[#This Row],[Dest Tem]]</f>
        <v>0</v>
      </c>
      <c r="BN110" s="491"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44409.16666666641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1">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81">
        <f ca="1">OFFSET(TblConstr[[#This Row],[Mountain]],-1,0)+TblConstr[[#This Row],[Ch_Mountain]]</f>
        <v>20</v>
      </c>
      <c r="J111" s="485">
        <f ca="1">OFFSET(TblConstr[[#This Row],[Hill]],-1,0)+TblConstr[[#This Row],[Ch_Hill]]</f>
        <v>20</v>
      </c>
      <c r="K111" s="489">
        <f ca="1">OFFSET(TblConstr[[#This Row],[Swamp]],-1,0)+TblConstr[[#This Row],[Ch_Swamp]]</f>
        <v>20</v>
      </c>
      <c r="L111" s="239">
        <f ca="1">OFFSET(TblConstr[[#This Row],[Cavern]],-1,0)+TblConstr[[#This Row],[Ch_Cavern]]</f>
        <v>20</v>
      </c>
      <c r="M111" s="240">
        <f ca="1">OFFSET(TblConstr[[#This Row],[Water]],-1,0)+TblConstr[[#This Row],[Ch_Water]]</f>
        <v>20</v>
      </c>
      <c r="N111" s="479">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44409.208333333074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3" cm="1">
        <f t="array" aca="1" ref="BF111" ca="1">IF(TblConstr[[#This Row],[Hour]:[Hour]]&gt;12,OFFSET(TblConstr[[#This Row],[OM]],-12,0),0)+OFFSET(TblConstr[[#This Row],[Tot OM]],-1,0)-TblConstr[[#This Row],[Dest OM]]</f>
        <v>0</v>
      </c>
      <c r="BG111" s="483" cm="1">
        <f t="array" aca="1" ref="BG111" ca="1">IF(TblConstr[[#This Row],[Hour]:[Hour]]&gt;12,OFFSET(TblConstr[[#This Row],[GN]],-12,0),0)+OFFSET(TblConstr[[#This Row],[Tot GN]],-1,0)-TblConstr[[#This Row],[Dest GN]]</f>
        <v>0</v>
      </c>
      <c r="BH111" s="487" cm="1">
        <f t="array" aca="1" ref="BH111" ca="1">IF(TblConstr[[#This Row],[Hour]:[Hour]]&gt;12,OFFSET(TblConstr[[#This Row],[Fac]],-12,0),0)+OFFSET(TblConstr[[#This Row],[Tot Fac]],-1,0)-TblConstr[[#This Row],[Dest Fac]]</f>
        <v>0</v>
      </c>
      <c r="BI111" s="487" cm="1">
        <f t="array" aca="1" ref="BI111" ca="1">IF(TblConstr[[#This Row],[Hour]:[Hour]]&gt;12,OFFSET(TblConstr[[#This Row],[GT]],-12,0),0)+OFFSET(TblConstr[[#This Row],[Tot GT]],-1,0)-TblConstr[[#This Row],[Dest GT]]</f>
        <v>0</v>
      </c>
      <c r="BJ111" s="487" cm="1">
        <f t="array" aca="1" ref="BJ111" ca="1">IF(TblConstr[[#This Row],[Hour]:[Hour]]&gt;12,OFFSET(TblConstr[[#This Row],[Bar]],-12,0),0)+OFFSET(TblConstr[[#This Row],[Tot Bar]],-1,0)-TblConstr[[#This Row],[Dest Bar]]</f>
        <v>0</v>
      </c>
      <c r="BK111" s="487" cm="1">
        <f t="array" aca="1" ref="BK111" ca="1">IF(TblConstr[[#This Row],[Hour]:[Hour]]&gt;12,OFFSET(TblConstr[[#This Row],[Shr]],-12,0),0)+OFFSET(TblConstr[[#This Row],[Tot Shr]],-1,0)-TblConstr[[#This Row],[Dest Shr]]</f>
        <v>0</v>
      </c>
      <c r="BL111" s="491" cm="1">
        <f t="array" aca="1" ref="BL111" ca="1">IF(TblConstr[[#This Row],[Hour]:[Hour]]&gt;12,OFFSET(TblConstr[[#This Row],[Tow]],-12,0),0)+OFFSET(TblConstr[[#This Row],[Tot Tow]],-1,0)-TblConstr[[#This Row],[Dest Tow]]</f>
        <v>0</v>
      </c>
      <c r="BM111" s="491" cm="1">
        <f t="array" aca="1" ref="BM111" ca="1">IF(TblConstr[[#This Row],[Hour]:[Hour]]&gt;12,OFFSET(TblConstr[[#This Row],[Tem]],-12,0),0)+OFFSET(TblConstr[[#This Row],[Tot Tem]],-1,0)-TblConstr[[#This Row],[Dest Tem]]</f>
        <v>0</v>
      </c>
      <c r="BN111" s="491"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44409.208333333074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1">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81">
        <f ca="1">OFFSET(TblConstr[[#This Row],[Mountain]],-1,0)+TblConstr[[#This Row],[Ch_Mountain]]</f>
        <v>20</v>
      </c>
      <c r="J112" s="485">
        <f ca="1">OFFSET(TblConstr[[#This Row],[Hill]],-1,0)+TblConstr[[#This Row],[Ch_Hill]]</f>
        <v>20</v>
      </c>
      <c r="K112" s="489">
        <f ca="1">OFFSET(TblConstr[[#This Row],[Swamp]],-1,0)+TblConstr[[#This Row],[Ch_Swamp]]</f>
        <v>20</v>
      </c>
      <c r="L112" s="239">
        <f ca="1">OFFSET(TblConstr[[#This Row],[Cavern]],-1,0)+TblConstr[[#This Row],[Ch_Cavern]]</f>
        <v>20</v>
      </c>
      <c r="M112" s="240">
        <f ca="1">OFFSET(TblConstr[[#This Row],[Water]],-1,0)+TblConstr[[#This Row],[Ch_Water]]</f>
        <v>20</v>
      </c>
      <c r="N112" s="479">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44409.249999999738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3" cm="1">
        <f t="array" aca="1" ref="BF112" ca="1">IF(TblConstr[[#This Row],[Hour]:[Hour]]&gt;12,OFFSET(TblConstr[[#This Row],[OM]],-12,0),0)+OFFSET(TblConstr[[#This Row],[Tot OM]],-1,0)-TblConstr[[#This Row],[Dest OM]]</f>
        <v>0</v>
      </c>
      <c r="BG112" s="483" cm="1">
        <f t="array" aca="1" ref="BG112" ca="1">IF(TblConstr[[#This Row],[Hour]:[Hour]]&gt;12,OFFSET(TblConstr[[#This Row],[GN]],-12,0),0)+OFFSET(TblConstr[[#This Row],[Tot GN]],-1,0)-TblConstr[[#This Row],[Dest GN]]</f>
        <v>0</v>
      </c>
      <c r="BH112" s="487" cm="1">
        <f t="array" aca="1" ref="BH112" ca="1">IF(TblConstr[[#This Row],[Hour]:[Hour]]&gt;12,OFFSET(TblConstr[[#This Row],[Fac]],-12,0),0)+OFFSET(TblConstr[[#This Row],[Tot Fac]],-1,0)-TblConstr[[#This Row],[Dest Fac]]</f>
        <v>0</v>
      </c>
      <c r="BI112" s="487" cm="1">
        <f t="array" aca="1" ref="BI112" ca="1">IF(TblConstr[[#This Row],[Hour]:[Hour]]&gt;12,OFFSET(TblConstr[[#This Row],[GT]],-12,0),0)+OFFSET(TblConstr[[#This Row],[Tot GT]],-1,0)-TblConstr[[#This Row],[Dest GT]]</f>
        <v>0</v>
      </c>
      <c r="BJ112" s="487" cm="1">
        <f t="array" aca="1" ref="BJ112" ca="1">IF(TblConstr[[#This Row],[Hour]:[Hour]]&gt;12,OFFSET(TblConstr[[#This Row],[Bar]],-12,0),0)+OFFSET(TblConstr[[#This Row],[Tot Bar]],-1,0)-TblConstr[[#This Row],[Dest Bar]]</f>
        <v>0</v>
      </c>
      <c r="BK112" s="487" cm="1">
        <f t="array" aca="1" ref="BK112" ca="1">IF(TblConstr[[#This Row],[Hour]:[Hour]]&gt;12,OFFSET(TblConstr[[#This Row],[Shr]],-12,0),0)+OFFSET(TblConstr[[#This Row],[Tot Shr]],-1,0)-TblConstr[[#This Row],[Dest Shr]]</f>
        <v>0</v>
      </c>
      <c r="BL112" s="491" cm="1">
        <f t="array" aca="1" ref="BL112" ca="1">IF(TblConstr[[#This Row],[Hour]:[Hour]]&gt;12,OFFSET(TblConstr[[#This Row],[Tow]],-12,0),0)+OFFSET(TblConstr[[#This Row],[Tot Tow]],-1,0)-TblConstr[[#This Row],[Dest Tow]]</f>
        <v>0</v>
      </c>
      <c r="BM112" s="491" cm="1">
        <f t="array" aca="1" ref="BM112" ca="1">IF(TblConstr[[#This Row],[Hour]:[Hour]]&gt;12,OFFSET(TblConstr[[#This Row],[Tem]],-12,0),0)+OFFSET(TblConstr[[#This Row],[Tot Tem]],-1,0)-TblConstr[[#This Row],[Dest Tem]]</f>
        <v>0</v>
      </c>
      <c r="BN112" s="491"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44409.249999999738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1">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81">
        <f ca="1">OFFSET(TblConstr[[#This Row],[Mountain]],-1,0)+TblConstr[[#This Row],[Ch_Mountain]]</f>
        <v>20</v>
      </c>
      <c r="J113" s="485">
        <f ca="1">OFFSET(TblConstr[[#This Row],[Hill]],-1,0)+TblConstr[[#This Row],[Ch_Hill]]</f>
        <v>20</v>
      </c>
      <c r="K113" s="489">
        <f ca="1">OFFSET(TblConstr[[#This Row],[Swamp]],-1,0)+TblConstr[[#This Row],[Ch_Swamp]]</f>
        <v>20</v>
      </c>
      <c r="L113" s="239">
        <f ca="1">OFFSET(TblConstr[[#This Row],[Cavern]],-1,0)+TblConstr[[#This Row],[Ch_Cavern]]</f>
        <v>20</v>
      </c>
      <c r="M113" s="240">
        <f ca="1">OFFSET(TblConstr[[#This Row],[Water]],-1,0)+TblConstr[[#This Row],[Ch_Water]]</f>
        <v>20</v>
      </c>
      <c r="N113" s="479">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44409.291666666402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3" cm="1">
        <f t="array" aca="1" ref="BF113" ca="1">IF(TblConstr[[#This Row],[Hour]:[Hour]]&gt;12,OFFSET(TblConstr[[#This Row],[OM]],-12,0),0)+OFFSET(TblConstr[[#This Row],[Tot OM]],-1,0)-TblConstr[[#This Row],[Dest OM]]</f>
        <v>0</v>
      </c>
      <c r="BG113" s="483" cm="1">
        <f t="array" aca="1" ref="BG113" ca="1">IF(TblConstr[[#This Row],[Hour]:[Hour]]&gt;12,OFFSET(TblConstr[[#This Row],[GN]],-12,0),0)+OFFSET(TblConstr[[#This Row],[Tot GN]],-1,0)-TblConstr[[#This Row],[Dest GN]]</f>
        <v>0</v>
      </c>
      <c r="BH113" s="487" cm="1">
        <f t="array" aca="1" ref="BH113" ca="1">IF(TblConstr[[#This Row],[Hour]:[Hour]]&gt;12,OFFSET(TblConstr[[#This Row],[Fac]],-12,0),0)+OFFSET(TblConstr[[#This Row],[Tot Fac]],-1,0)-TblConstr[[#This Row],[Dest Fac]]</f>
        <v>0</v>
      </c>
      <c r="BI113" s="487" cm="1">
        <f t="array" aca="1" ref="BI113" ca="1">IF(TblConstr[[#This Row],[Hour]:[Hour]]&gt;12,OFFSET(TblConstr[[#This Row],[GT]],-12,0),0)+OFFSET(TblConstr[[#This Row],[Tot GT]],-1,0)-TblConstr[[#This Row],[Dest GT]]</f>
        <v>0</v>
      </c>
      <c r="BJ113" s="487" cm="1">
        <f t="array" aca="1" ref="BJ113" ca="1">IF(TblConstr[[#This Row],[Hour]:[Hour]]&gt;12,OFFSET(TblConstr[[#This Row],[Bar]],-12,0),0)+OFFSET(TblConstr[[#This Row],[Tot Bar]],-1,0)-TblConstr[[#This Row],[Dest Bar]]</f>
        <v>0</v>
      </c>
      <c r="BK113" s="487" cm="1">
        <f t="array" aca="1" ref="BK113" ca="1">IF(TblConstr[[#This Row],[Hour]:[Hour]]&gt;12,OFFSET(TblConstr[[#This Row],[Shr]],-12,0),0)+OFFSET(TblConstr[[#This Row],[Tot Shr]],-1,0)-TblConstr[[#This Row],[Dest Shr]]</f>
        <v>0</v>
      </c>
      <c r="BL113" s="491" cm="1">
        <f t="array" aca="1" ref="BL113" ca="1">IF(TblConstr[[#This Row],[Hour]:[Hour]]&gt;12,OFFSET(TblConstr[[#This Row],[Tow]],-12,0),0)+OFFSET(TblConstr[[#This Row],[Tot Tow]],-1,0)-TblConstr[[#This Row],[Dest Tow]]</f>
        <v>0</v>
      </c>
      <c r="BM113" s="491" cm="1">
        <f t="array" aca="1" ref="BM113" ca="1">IF(TblConstr[[#This Row],[Hour]:[Hour]]&gt;12,OFFSET(TblConstr[[#This Row],[Tem]],-12,0),0)+OFFSET(TblConstr[[#This Row],[Tot Tem]],-1,0)-TblConstr[[#This Row],[Dest Tem]]</f>
        <v>0</v>
      </c>
      <c r="BN113" s="491"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44409.291666666402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1">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81">
        <f ca="1">OFFSET(TblConstr[[#This Row],[Mountain]],-1,0)+TblConstr[[#This Row],[Ch_Mountain]]</f>
        <v>20</v>
      </c>
      <c r="J114" s="485">
        <f ca="1">OFFSET(TblConstr[[#This Row],[Hill]],-1,0)+TblConstr[[#This Row],[Ch_Hill]]</f>
        <v>20</v>
      </c>
      <c r="K114" s="489">
        <f ca="1">OFFSET(TblConstr[[#This Row],[Swamp]],-1,0)+TblConstr[[#This Row],[Ch_Swamp]]</f>
        <v>20</v>
      </c>
      <c r="L114" s="239">
        <f ca="1">OFFSET(TblConstr[[#This Row],[Cavern]],-1,0)+TblConstr[[#This Row],[Ch_Cavern]]</f>
        <v>20</v>
      </c>
      <c r="M114" s="240">
        <f ca="1">OFFSET(TblConstr[[#This Row],[Water]],-1,0)+TblConstr[[#This Row],[Ch_Water]]</f>
        <v>20</v>
      </c>
      <c r="N114" s="479">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44409.333333333067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3" cm="1">
        <f t="array" aca="1" ref="BF114" ca="1">IF(TblConstr[[#This Row],[Hour]:[Hour]]&gt;12,OFFSET(TblConstr[[#This Row],[OM]],-12,0),0)+OFFSET(TblConstr[[#This Row],[Tot OM]],-1,0)-TblConstr[[#This Row],[Dest OM]]</f>
        <v>0</v>
      </c>
      <c r="BG114" s="483" cm="1">
        <f t="array" aca="1" ref="BG114" ca="1">IF(TblConstr[[#This Row],[Hour]:[Hour]]&gt;12,OFFSET(TblConstr[[#This Row],[GN]],-12,0),0)+OFFSET(TblConstr[[#This Row],[Tot GN]],-1,0)-TblConstr[[#This Row],[Dest GN]]</f>
        <v>0</v>
      </c>
      <c r="BH114" s="487" cm="1">
        <f t="array" aca="1" ref="BH114" ca="1">IF(TblConstr[[#This Row],[Hour]:[Hour]]&gt;12,OFFSET(TblConstr[[#This Row],[Fac]],-12,0),0)+OFFSET(TblConstr[[#This Row],[Tot Fac]],-1,0)-TblConstr[[#This Row],[Dest Fac]]</f>
        <v>0</v>
      </c>
      <c r="BI114" s="487" cm="1">
        <f t="array" aca="1" ref="BI114" ca="1">IF(TblConstr[[#This Row],[Hour]:[Hour]]&gt;12,OFFSET(TblConstr[[#This Row],[GT]],-12,0),0)+OFFSET(TblConstr[[#This Row],[Tot GT]],-1,0)-TblConstr[[#This Row],[Dest GT]]</f>
        <v>0</v>
      </c>
      <c r="BJ114" s="487" cm="1">
        <f t="array" aca="1" ref="BJ114" ca="1">IF(TblConstr[[#This Row],[Hour]:[Hour]]&gt;12,OFFSET(TblConstr[[#This Row],[Bar]],-12,0),0)+OFFSET(TblConstr[[#This Row],[Tot Bar]],-1,0)-TblConstr[[#This Row],[Dest Bar]]</f>
        <v>0</v>
      </c>
      <c r="BK114" s="487" cm="1">
        <f t="array" aca="1" ref="BK114" ca="1">IF(TblConstr[[#This Row],[Hour]:[Hour]]&gt;12,OFFSET(TblConstr[[#This Row],[Shr]],-12,0),0)+OFFSET(TblConstr[[#This Row],[Tot Shr]],-1,0)-TblConstr[[#This Row],[Dest Shr]]</f>
        <v>0</v>
      </c>
      <c r="BL114" s="491" cm="1">
        <f t="array" aca="1" ref="BL114" ca="1">IF(TblConstr[[#This Row],[Hour]:[Hour]]&gt;12,OFFSET(TblConstr[[#This Row],[Tow]],-12,0),0)+OFFSET(TblConstr[[#This Row],[Tot Tow]],-1,0)-TblConstr[[#This Row],[Dest Tow]]</f>
        <v>0</v>
      </c>
      <c r="BM114" s="491" cm="1">
        <f t="array" aca="1" ref="BM114" ca="1">IF(TblConstr[[#This Row],[Hour]:[Hour]]&gt;12,OFFSET(TblConstr[[#This Row],[Tem]],-12,0),0)+OFFSET(TblConstr[[#This Row],[Tot Tem]],-1,0)-TblConstr[[#This Row],[Dest Tem]]</f>
        <v>0</v>
      </c>
      <c r="BN114" s="491"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44409.333333333067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1">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81">
        <f ca="1">OFFSET(TblConstr[[#This Row],[Mountain]],-1,0)+TblConstr[[#This Row],[Ch_Mountain]]</f>
        <v>20</v>
      </c>
      <c r="J115" s="485">
        <f ca="1">OFFSET(TblConstr[[#This Row],[Hill]],-1,0)+TblConstr[[#This Row],[Ch_Hill]]</f>
        <v>20</v>
      </c>
      <c r="K115" s="489">
        <f ca="1">OFFSET(TblConstr[[#This Row],[Swamp]],-1,0)+TblConstr[[#This Row],[Ch_Swamp]]</f>
        <v>20</v>
      </c>
      <c r="L115" s="239">
        <f ca="1">OFFSET(TblConstr[[#This Row],[Cavern]],-1,0)+TblConstr[[#This Row],[Ch_Cavern]]</f>
        <v>20</v>
      </c>
      <c r="M115" s="240">
        <f ca="1">OFFSET(TblConstr[[#This Row],[Water]],-1,0)+TblConstr[[#This Row],[Ch_Water]]</f>
        <v>20</v>
      </c>
      <c r="N115" s="479">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44409.374999999731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3" cm="1">
        <f t="array" aca="1" ref="BF115" ca="1">IF(TblConstr[[#This Row],[Hour]:[Hour]]&gt;12,OFFSET(TblConstr[[#This Row],[OM]],-12,0),0)+OFFSET(TblConstr[[#This Row],[Tot OM]],-1,0)-TblConstr[[#This Row],[Dest OM]]</f>
        <v>0</v>
      </c>
      <c r="BG115" s="483" cm="1">
        <f t="array" aca="1" ref="BG115" ca="1">IF(TblConstr[[#This Row],[Hour]:[Hour]]&gt;12,OFFSET(TblConstr[[#This Row],[GN]],-12,0),0)+OFFSET(TblConstr[[#This Row],[Tot GN]],-1,0)-TblConstr[[#This Row],[Dest GN]]</f>
        <v>0</v>
      </c>
      <c r="BH115" s="487" cm="1">
        <f t="array" aca="1" ref="BH115" ca="1">IF(TblConstr[[#This Row],[Hour]:[Hour]]&gt;12,OFFSET(TblConstr[[#This Row],[Fac]],-12,0),0)+OFFSET(TblConstr[[#This Row],[Tot Fac]],-1,0)-TblConstr[[#This Row],[Dest Fac]]</f>
        <v>0</v>
      </c>
      <c r="BI115" s="487" cm="1">
        <f t="array" aca="1" ref="BI115" ca="1">IF(TblConstr[[#This Row],[Hour]:[Hour]]&gt;12,OFFSET(TblConstr[[#This Row],[GT]],-12,0),0)+OFFSET(TblConstr[[#This Row],[Tot GT]],-1,0)-TblConstr[[#This Row],[Dest GT]]</f>
        <v>0</v>
      </c>
      <c r="BJ115" s="487" cm="1">
        <f t="array" aca="1" ref="BJ115" ca="1">IF(TblConstr[[#This Row],[Hour]:[Hour]]&gt;12,OFFSET(TblConstr[[#This Row],[Bar]],-12,0),0)+OFFSET(TblConstr[[#This Row],[Tot Bar]],-1,0)-TblConstr[[#This Row],[Dest Bar]]</f>
        <v>0</v>
      </c>
      <c r="BK115" s="487" cm="1">
        <f t="array" aca="1" ref="BK115" ca="1">IF(TblConstr[[#This Row],[Hour]:[Hour]]&gt;12,OFFSET(TblConstr[[#This Row],[Shr]],-12,0),0)+OFFSET(TblConstr[[#This Row],[Tot Shr]],-1,0)-TblConstr[[#This Row],[Dest Shr]]</f>
        <v>0</v>
      </c>
      <c r="BL115" s="491" cm="1">
        <f t="array" aca="1" ref="BL115" ca="1">IF(TblConstr[[#This Row],[Hour]:[Hour]]&gt;12,OFFSET(TblConstr[[#This Row],[Tow]],-12,0),0)+OFFSET(TblConstr[[#This Row],[Tot Tow]],-1,0)-TblConstr[[#This Row],[Dest Tow]]</f>
        <v>0</v>
      </c>
      <c r="BM115" s="491" cm="1">
        <f t="array" aca="1" ref="BM115" ca="1">IF(TblConstr[[#This Row],[Hour]:[Hour]]&gt;12,OFFSET(TblConstr[[#This Row],[Tem]],-12,0),0)+OFFSET(TblConstr[[#This Row],[Tot Tem]],-1,0)-TblConstr[[#This Row],[Dest Tem]]</f>
        <v>0</v>
      </c>
      <c r="BN115" s="491"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44409.374999999731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1">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81">
        <f ca="1">OFFSET(TblConstr[[#This Row],[Mountain]],-1,0)+TblConstr[[#This Row],[Ch_Mountain]]</f>
        <v>20</v>
      </c>
      <c r="J116" s="485">
        <f ca="1">OFFSET(TblConstr[[#This Row],[Hill]],-1,0)+TblConstr[[#This Row],[Ch_Hill]]</f>
        <v>20</v>
      </c>
      <c r="K116" s="489">
        <f ca="1">OFFSET(TblConstr[[#This Row],[Swamp]],-1,0)+TblConstr[[#This Row],[Ch_Swamp]]</f>
        <v>20</v>
      </c>
      <c r="L116" s="239">
        <f ca="1">OFFSET(TblConstr[[#This Row],[Cavern]],-1,0)+TblConstr[[#This Row],[Ch_Cavern]]</f>
        <v>20</v>
      </c>
      <c r="M116" s="240">
        <f ca="1">OFFSET(TblConstr[[#This Row],[Water]],-1,0)+TblConstr[[#This Row],[Ch_Water]]</f>
        <v>20</v>
      </c>
      <c r="N116" s="479">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44409.416666666395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3" cm="1">
        <f t="array" aca="1" ref="BF116" ca="1">IF(TblConstr[[#This Row],[Hour]:[Hour]]&gt;12,OFFSET(TblConstr[[#This Row],[OM]],-12,0),0)+OFFSET(TblConstr[[#This Row],[Tot OM]],-1,0)-TblConstr[[#This Row],[Dest OM]]</f>
        <v>0</v>
      </c>
      <c r="BG116" s="483" cm="1">
        <f t="array" aca="1" ref="BG116" ca="1">IF(TblConstr[[#This Row],[Hour]:[Hour]]&gt;12,OFFSET(TblConstr[[#This Row],[GN]],-12,0),0)+OFFSET(TblConstr[[#This Row],[Tot GN]],-1,0)-TblConstr[[#This Row],[Dest GN]]</f>
        <v>0</v>
      </c>
      <c r="BH116" s="487" cm="1">
        <f t="array" aca="1" ref="BH116" ca="1">IF(TblConstr[[#This Row],[Hour]:[Hour]]&gt;12,OFFSET(TblConstr[[#This Row],[Fac]],-12,0),0)+OFFSET(TblConstr[[#This Row],[Tot Fac]],-1,0)-TblConstr[[#This Row],[Dest Fac]]</f>
        <v>0</v>
      </c>
      <c r="BI116" s="487" cm="1">
        <f t="array" aca="1" ref="BI116" ca="1">IF(TblConstr[[#This Row],[Hour]:[Hour]]&gt;12,OFFSET(TblConstr[[#This Row],[GT]],-12,0),0)+OFFSET(TblConstr[[#This Row],[Tot GT]],-1,0)-TblConstr[[#This Row],[Dest GT]]</f>
        <v>0</v>
      </c>
      <c r="BJ116" s="487" cm="1">
        <f t="array" aca="1" ref="BJ116" ca="1">IF(TblConstr[[#This Row],[Hour]:[Hour]]&gt;12,OFFSET(TblConstr[[#This Row],[Bar]],-12,0),0)+OFFSET(TblConstr[[#This Row],[Tot Bar]],-1,0)-TblConstr[[#This Row],[Dest Bar]]</f>
        <v>0</v>
      </c>
      <c r="BK116" s="487" cm="1">
        <f t="array" aca="1" ref="BK116" ca="1">IF(TblConstr[[#This Row],[Hour]:[Hour]]&gt;12,OFFSET(TblConstr[[#This Row],[Shr]],-12,0),0)+OFFSET(TblConstr[[#This Row],[Tot Shr]],-1,0)-TblConstr[[#This Row],[Dest Shr]]</f>
        <v>0</v>
      </c>
      <c r="BL116" s="491" cm="1">
        <f t="array" aca="1" ref="BL116" ca="1">IF(TblConstr[[#This Row],[Hour]:[Hour]]&gt;12,OFFSET(TblConstr[[#This Row],[Tow]],-12,0),0)+OFFSET(TblConstr[[#This Row],[Tot Tow]],-1,0)-TblConstr[[#This Row],[Dest Tow]]</f>
        <v>0</v>
      </c>
      <c r="BM116" s="491" cm="1">
        <f t="array" aca="1" ref="BM116" ca="1">IF(TblConstr[[#This Row],[Hour]:[Hour]]&gt;12,OFFSET(TblConstr[[#This Row],[Tem]],-12,0),0)+OFFSET(TblConstr[[#This Row],[Tot Tem]],-1,0)-TblConstr[[#This Row],[Dest Tem]]</f>
        <v>0</v>
      </c>
      <c r="BN116" s="491"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44409.416666666395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1">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81">
        <f ca="1">OFFSET(TblConstr[[#This Row],[Mountain]],-1,0)+TblConstr[[#This Row],[Ch_Mountain]]</f>
        <v>20</v>
      </c>
      <c r="J117" s="485">
        <f ca="1">OFFSET(TblConstr[[#This Row],[Hill]],-1,0)+TblConstr[[#This Row],[Ch_Hill]]</f>
        <v>20</v>
      </c>
      <c r="K117" s="489">
        <f ca="1">OFFSET(TblConstr[[#This Row],[Swamp]],-1,0)+TblConstr[[#This Row],[Ch_Swamp]]</f>
        <v>20</v>
      </c>
      <c r="L117" s="239">
        <f ca="1">OFFSET(TblConstr[[#This Row],[Cavern]],-1,0)+TblConstr[[#This Row],[Ch_Cavern]]</f>
        <v>20</v>
      </c>
      <c r="M117" s="240">
        <f ca="1">OFFSET(TblConstr[[#This Row],[Water]],-1,0)+TblConstr[[#This Row],[Ch_Water]]</f>
        <v>20</v>
      </c>
      <c r="N117" s="479">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44409.458333333059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3" cm="1">
        <f t="array" aca="1" ref="BF117" ca="1">IF(TblConstr[[#This Row],[Hour]:[Hour]]&gt;12,OFFSET(TblConstr[[#This Row],[OM]],-12,0),0)+OFFSET(TblConstr[[#This Row],[Tot OM]],-1,0)-TblConstr[[#This Row],[Dest OM]]</f>
        <v>0</v>
      </c>
      <c r="BG117" s="483" cm="1">
        <f t="array" aca="1" ref="BG117" ca="1">IF(TblConstr[[#This Row],[Hour]:[Hour]]&gt;12,OFFSET(TblConstr[[#This Row],[GN]],-12,0),0)+OFFSET(TblConstr[[#This Row],[Tot GN]],-1,0)-TblConstr[[#This Row],[Dest GN]]</f>
        <v>0</v>
      </c>
      <c r="BH117" s="487" cm="1">
        <f t="array" aca="1" ref="BH117" ca="1">IF(TblConstr[[#This Row],[Hour]:[Hour]]&gt;12,OFFSET(TblConstr[[#This Row],[Fac]],-12,0),0)+OFFSET(TblConstr[[#This Row],[Tot Fac]],-1,0)-TblConstr[[#This Row],[Dest Fac]]</f>
        <v>0</v>
      </c>
      <c r="BI117" s="487" cm="1">
        <f t="array" aca="1" ref="BI117" ca="1">IF(TblConstr[[#This Row],[Hour]:[Hour]]&gt;12,OFFSET(TblConstr[[#This Row],[GT]],-12,0),0)+OFFSET(TblConstr[[#This Row],[Tot GT]],-1,0)-TblConstr[[#This Row],[Dest GT]]</f>
        <v>0</v>
      </c>
      <c r="BJ117" s="487" cm="1">
        <f t="array" aca="1" ref="BJ117" ca="1">IF(TblConstr[[#This Row],[Hour]:[Hour]]&gt;12,OFFSET(TblConstr[[#This Row],[Bar]],-12,0),0)+OFFSET(TblConstr[[#This Row],[Tot Bar]],-1,0)-TblConstr[[#This Row],[Dest Bar]]</f>
        <v>0</v>
      </c>
      <c r="BK117" s="487" cm="1">
        <f t="array" aca="1" ref="BK117" ca="1">IF(TblConstr[[#This Row],[Hour]:[Hour]]&gt;12,OFFSET(TblConstr[[#This Row],[Shr]],-12,0),0)+OFFSET(TblConstr[[#This Row],[Tot Shr]],-1,0)-TblConstr[[#This Row],[Dest Shr]]</f>
        <v>0</v>
      </c>
      <c r="BL117" s="491" cm="1">
        <f t="array" aca="1" ref="BL117" ca="1">IF(TblConstr[[#This Row],[Hour]:[Hour]]&gt;12,OFFSET(TblConstr[[#This Row],[Tow]],-12,0),0)+OFFSET(TblConstr[[#This Row],[Tot Tow]],-1,0)-TblConstr[[#This Row],[Dest Tow]]</f>
        <v>0</v>
      </c>
      <c r="BM117" s="491" cm="1">
        <f t="array" aca="1" ref="BM117" ca="1">IF(TblConstr[[#This Row],[Hour]:[Hour]]&gt;12,OFFSET(TblConstr[[#This Row],[Tem]],-12,0),0)+OFFSET(TblConstr[[#This Row],[Tot Tem]],-1,0)-TblConstr[[#This Row],[Dest Tem]]</f>
        <v>0</v>
      </c>
      <c r="BN117" s="491"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44409.458333333059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1">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81">
        <f ca="1">OFFSET(TblConstr[[#This Row],[Mountain]],-1,0)+TblConstr[[#This Row],[Ch_Mountain]]</f>
        <v>20</v>
      </c>
      <c r="J118" s="485">
        <f ca="1">OFFSET(TblConstr[[#This Row],[Hill]],-1,0)+TblConstr[[#This Row],[Ch_Hill]]</f>
        <v>20</v>
      </c>
      <c r="K118" s="489">
        <f ca="1">OFFSET(TblConstr[[#This Row],[Swamp]],-1,0)+TblConstr[[#This Row],[Ch_Swamp]]</f>
        <v>20</v>
      </c>
      <c r="L118" s="239">
        <f ca="1">OFFSET(TblConstr[[#This Row],[Cavern]],-1,0)+TblConstr[[#This Row],[Ch_Cavern]]</f>
        <v>20</v>
      </c>
      <c r="M118" s="240">
        <f ca="1">OFFSET(TblConstr[[#This Row],[Water]],-1,0)+TblConstr[[#This Row],[Ch_Water]]</f>
        <v>20</v>
      </c>
      <c r="N118" s="479">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44409.499999999724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3" cm="1">
        <f t="array" aca="1" ref="BF118" ca="1">IF(TblConstr[[#This Row],[Hour]:[Hour]]&gt;12,OFFSET(TblConstr[[#This Row],[OM]],-12,0),0)+OFFSET(TblConstr[[#This Row],[Tot OM]],-1,0)-TblConstr[[#This Row],[Dest OM]]</f>
        <v>0</v>
      </c>
      <c r="BG118" s="483" cm="1">
        <f t="array" aca="1" ref="BG118" ca="1">IF(TblConstr[[#This Row],[Hour]:[Hour]]&gt;12,OFFSET(TblConstr[[#This Row],[GN]],-12,0),0)+OFFSET(TblConstr[[#This Row],[Tot GN]],-1,0)-TblConstr[[#This Row],[Dest GN]]</f>
        <v>0</v>
      </c>
      <c r="BH118" s="487" cm="1">
        <f t="array" aca="1" ref="BH118" ca="1">IF(TblConstr[[#This Row],[Hour]:[Hour]]&gt;12,OFFSET(TblConstr[[#This Row],[Fac]],-12,0),0)+OFFSET(TblConstr[[#This Row],[Tot Fac]],-1,0)-TblConstr[[#This Row],[Dest Fac]]</f>
        <v>0</v>
      </c>
      <c r="BI118" s="487" cm="1">
        <f t="array" aca="1" ref="BI118" ca="1">IF(TblConstr[[#This Row],[Hour]:[Hour]]&gt;12,OFFSET(TblConstr[[#This Row],[GT]],-12,0),0)+OFFSET(TblConstr[[#This Row],[Tot GT]],-1,0)-TblConstr[[#This Row],[Dest GT]]</f>
        <v>0</v>
      </c>
      <c r="BJ118" s="487" cm="1">
        <f t="array" aca="1" ref="BJ118" ca="1">IF(TblConstr[[#This Row],[Hour]:[Hour]]&gt;12,OFFSET(TblConstr[[#This Row],[Bar]],-12,0),0)+OFFSET(TblConstr[[#This Row],[Tot Bar]],-1,0)-TblConstr[[#This Row],[Dest Bar]]</f>
        <v>0</v>
      </c>
      <c r="BK118" s="487" cm="1">
        <f t="array" aca="1" ref="BK118" ca="1">IF(TblConstr[[#This Row],[Hour]:[Hour]]&gt;12,OFFSET(TblConstr[[#This Row],[Shr]],-12,0),0)+OFFSET(TblConstr[[#This Row],[Tot Shr]],-1,0)-TblConstr[[#This Row],[Dest Shr]]</f>
        <v>0</v>
      </c>
      <c r="BL118" s="491" cm="1">
        <f t="array" aca="1" ref="BL118" ca="1">IF(TblConstr[[#This Row],[Hour]:[Hour]]&gt;12,OFFSET(TblConstr[[#This Row],[Tow]],-12,0),0)+OFFSET(TblConstr[[#This Row],[Tot Tow]],-1,0)-TblConstr[[#This Row],[Dest Tow]]</f>
        <v>0</v>
      </c>
      <c r="BM118" s="491" cm="1">
        <f t="array" aca="1" ref="BM118" ca="1">IF(TblConstr[[#This Row],[Hour]:[Hour]]&gt;12,OFFSET(TblConstr[[#This Row],[Tem]],-12,0),0)+OFFSET(TblConstr[[#This Row],[Tot Tem]],-1,0)-TblConstr[[#This Row],[Dest Tem]]</f>
        <v>0</v>
      </c>
      <c r="BN118" s="491"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44409.499999999724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1">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81">
        <f ca="1">OFFSET(TblConstr[[#This Row],[Mountain]],-1,0)+TblConstr[[#This Row],[Ch_Mountain]]</f>
        <v>20</v>
      </c>
      <c r="J119" s="485">
        <f ca="1">OFFSET(TblConstr[[#This Row],[Hill]],-1,0)+TblConstr[[#This Row],[Ch_Hill]]</f>
        <v>20</v>
      </c>
      <c r="K119" s="489">
        <f ca="1">OFFSET(TblConstr[[#This Row],[Swamp]],-1,0)+TblConstr[[#This Row],[Ch_Swamp]]</f>
        <v>20</v>
      </c>
      <c r="L119" s="239">
        <f ca="1">OFFSET(TblConstr[[#This Row],[Cavern]],-1,0)+TblConstr[[#This Row],[Ch_Cavern]]</f>
        <v>20</v>
      </c>
      <c r="M119" s="240">
        <f ca="1">OFFSET(TblConstr[[#This Row],[Water]],-1,0)+TblConstr[[#This Row],[Ch_Water]]</f>
        <v>20</v>
      </c>
      <c r="N119" s="479">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44409.541666666388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3" cm="1">
        <f t="array" aca="1" ref="BF119" ca="1">IF(TblConstr[[#This Row],[Hour]:[Hour]]&gt;12,OFFSET(TblConstr[[#This Row],[OM]],-12,0),0)+OFFSET(TblConstr[[#This Row],[Tot OM]],-1,0)-TblConstr[[#This Row],[Dest OM]]</f>
        <v>0</v>
      </c>
      <c r="BG119" s="483" cm="1">
        <f t="array" aca="1" ref="BG119" ca="1">IF(TblConstr[[#This Row],[Hour]:[Hour]]&gt;12,OFFSET(TblConstr[[#This Row],[GN]],-12,0),0)+OFFSET(TblConstr[[#This Row],[Tot GN]],-1,0)-TblConstr[[#This Row],[Dest GN]]</f>
        <v>0</v>
      </c>
      <c r="BH119" s="487" cm="1">
        <f t="array" aca="1" ref="BH119" ca="1">IF(TblConstr[[#This Row],[Hour]:[Hour]]&gt;12,OFFSET(TblConstr[[#This Row],[Fac]],-12,0),0)+OFFSET(TblConstr[[#This Row],[Tot Fac]],-1,0)-TblConstr[[#This Row],[Dest Fac]]</f>
        <v>0</v>
      </c>
      <c r="BI119" s="487" cm="1">
        <f t="array" aca="1" ref="BI119" ca="1">IF(TblConstr[[#This Row],[Hour]:[Hour]]&gt;12,OFFSET(TblConstr[[#This Row],[GT]],-12,0),0)+OFFSET(TblConstr[[#This Row],[Tot GT]],-1,0)-TblConstr[[#This Row],[Dest GT]]</f>
        <v>0</v>
      </c>
      <c r="BJ119" s="487" cm="1">
        <f t="array" aca="1" ref="BJ119" ca="1">IF(TblConstr[[#This Row],[Hour]:[Hour]]&gt;12,OFFSET(TblConstr[[#This Row],[Bar]],-12,0),0)+OFFSET(TblConstr[[#This Row],[Tot Bar]],-1,0)-TblConstr[[#This Row],[Dest Bar]]</f>
        <v>0</v>
      </c>
      <c r="BK119" s="487" cm="1">
        <f t="array" aca="1" ref="BK119" ca="1">IF(TblConstr[[#This Row],[Hour]:[Hour]]&gt;12,OFFSET(TblConstr[[#This Row],[Shr]],-12,0),0)+OFFSET(TblConstr[[#This Row],[Tot Shr]],-1,0)-TblConstr[[#This Row],[Dest Shr]]</f>
        <v>0</v>
      </c>
      <c r="BL119" s="491" cm="1">
        <f t="array" aca="1" ref="BL119" ca="1">IF(TblConstr[[#This Row],[Hour]:[Hour]]&gt;12,OFFSET(TblConstr[[#This Row],[Tow]],-12,0),0)+OFFSET(TblConstr[[#This Row],[Tot Tow]],-1,0)-TblConstr[[#This Row],[Dest Tow]]</f>
        <v>0</v>
      </c>
      <c r="BM119" s="491" cm="1">
        <f t="array" aca="1" ref="BM119" ca="1">IF(TblConstr[[#This Row],[Hour]:[Hour]]&gt;12,OFFSET(TblConstr[[#This Row],[Tem]],-12,0),0)+OFFSET(TblConstr[[#This Row],[Tot Tem]],-1,0)-TblConstr[[#This Row],[Dest Tem]]</f>
        <v>0</v>
      </c>
      <c r="BN119" s="491"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44409.541666666388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1">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81">
        <f ca="1">OFFSET(TblConstr[[#This Row],[Mountain]],-1,0)+TblConstr[[#This Row],[Ch_Mountain]]</f>
        <v>20</v>
      </c>
      <c r="J120" s="485">
        <f ca="1">OFFSET(TblConstr[[#This Row],[Hill]],-1,0)+TblConstr[[#This Row],[Ch_Hill]]</f>
        <v>20</v>
      </c>
      <c r="K120" s="489">
        <f ca="1">OFFSET(TblConstr[[#This Row],[Swamp]],-1,0)+TblConstr[[#This Row],[Ch_Swamp]]</f>
        <v>20</v>
      </c>
      <c r="L120" s="239">
        <f ca="1">OFFSET(TblConstr[[#This Row],[Cavern]],-1,0)+TblConstr[[#This Row],[Ch_Cavern]]</f>
        <v>20</v>
      </c>
      <c r="M120" s="240">
        <f ca="1">OFFSET(TblConstr[[#This Row],[Water]],-1,0)+TblConstr[[#This Row],[Ch_Water]]</f>
        <v>20</v>
      </c>
      <c r="N120" s="479">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44409.583333333052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3" cm="1">
        <f t="array" aca="1" ref="BF120" ca="1">IF(TblConstr[[#This Row],[Hour]:[Hour]]&gt;12,OFFSET(TblConstr[[#This Row],[OM]],-12,0),0)+OFFSET(TblConstr[[#This Row],[Tot OM]],-1,0)-TblConstr[[#This Row],[Dest OM]]</f>
        <v>0</v>
      </c>
      <c r="BG120" s="483" cm="1">
        <f t="array" aca="1" ref="BG120" ca="1">IF(TblConstr[[#This Row],[Hour]:[Hour]]&gt;12,OFFSET(TblConstr[[#This Row],[GN]],-12,0),0)+OFFSET(TblConstr[[#This Row],[Tot GN]],-1,0)-TblConstr[[#This Row],[Dest GN]]</f>
        <v>0</v>
      </c>
      <c r="BH120" s="487" cm="1">
        <f t="array" aca="1" ref="BH120" ca="1">IF(TblConstr[[#This Row],[Hour]:[Hour]]&gt;12,OFFSET(TblConstr[[#This Row],[Fac]],-12,0),0)+OFFSET(TblConstr[[#This Row],[Tot Fac]],-1,0)-TblConstr[[#This Row],[Dest Fac]]</f>
        <v>0</v>
      </c>
      <c r="BI120" s="487" cm="1">
        <f t="array" aca="1" ref="BI120" ca="1">IF(TblConstr[[#This Row],[Hour]:[Hour]]&gt;12,OFFSET(TblConstr[[#This Row],[GT]],-12,0),0)+OFFSET(TblConstr[[#This Row],[Tot GT]],-1,0)-TblConstr[[#This Row],[Dest GT]]</f>
        <v>0</v>
      </c>
      <c r="BJ120" s="487" cm="1">
        <f t="array" aca="1" ref="BJ120" ca="1">IF(TblConstr[[#This Row],[Hour]:[Hour]]&gt;12,OFFSET(TblConstr[[#This Row],[Bar]],-12,0),0)+OFFSET(TblConstr[[#This Row],[Tot Bar]],-1,0)-TblConstr[[#This Row],[Dest Bar]]</f>
        <v>0</v>
      </c>
      <c r="BK120" s="487" cm="1">
        <f t="array" aca="1" ref="BK120" ca="1">IF(TblConstr[[#This Row],[Hour]:[Hour]]&gt;12,OFFSET(TblConstr[[#This Row],[Shr]],-12,0),0)+OFFSET(TblConstr[[#This Row],[Tot Shr]],-1,0)-TblConstr[[#This Row],[Dest Shr]]</f>
        <v>0</v>
      </c>
      <c r="BL120" s="491" cm="1">
        <f t="array" aca="1" ref="BL120" ca="1">IF(TblConstr[[#This Row],[Hour]:[Hour]]&gt;12,OFFSET(TblConstr[[#This Row],[Tow]],-12,0),0)+OFFSET(TblConstr[[#This Row],[Tot Tow]],-1,0)-TblConstr[[#This Row],[Dest Tow]]</f>
        <v>0</v>
      </c>
      <c r="BM120" s="491" cm="1">
        <f t="array" aca="1" ref="BM120" ca="1">IF(TblConstr[[#This Row],[Hour]:[Hour]]&gt;12,OFFSET(TblConstr[[#This Row],[Tem]],-12,0),0)+OFFSET(TblConstr[[#This Row],[Tot Tem]],-1,0)-TblConstr[[#This Row],[Dest Tem]]</f>
        <v>0</v>
      </c>
      <c r="BN120" s="491"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44409.583333333052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1">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81">
        <f ca="1">OFFSET(TblConstr[[#This Row],[Mountain]],-1,0)+TblConstr[[#This Row],[Ch_Mountain]]</f>
        <v>20</v>
      </c>
      <c r="J121" s="485">
        <f ca="1">OFFSET(TblConstr[[#This Row],[Hill]],-1,0)+TblConstr[[#This Row],[Ch_Hill]]</f>
        <v>20</v>
      </c>
      <c r="K121" s="489">
        <f ca="1">OFFSET(TblConstr[[#This Row],[Swamp]],-1,0)+TblConstr[[#This Row],[Ch_Swamp]]</f>
        <v>20</v>
      </c>
      <c r="L121" s="239">
        <f ca="1">OFFSET(TblConstr[[#This Row],[Cavern]],-1,0)+TblConstr[[#This Row],[Ch_Cavern]]</f>
        <v>20</v>
      </c>
      <c r="M121" s="240">
        <f ca="1">OFFSET(TblConstr[[#This Row],[Water]],-1,0)+TblConstr[[#This Row],[Ch_Water]]</f>
        <v>20</v>
      </c>
      <c r="N121" s="479">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44409.624999999716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3" cm="1">
        <f t="array" aca="1" ref="BF121" ca="1">IF(TblConstr[[#This Row],[Hour]:[Hour]]&gt;12,OFFSET(TblConstr[[#This Row],[OM]],-12,0),0)+OFFSET(TblConstr[[#This Row],[Tot OM]],-1,0)-TblConstr[[#This Row],[Dest OM]]</f>
        <v>0</v>
      </c>
      <c r="BG121" s="483" cm="1">
        <f t="array" aca="1" ref="BG121" ca="1">IF(TblConstr[[#This Row],[Hour]:[Hour]]&gt;12,OFFSET(TblConstr[[#This Row],[GN]],-12,0),0)+OFFSET(TblConstr[[#This Row],[Tot GN]],-1,0)-TblConstr[[#This Row],[Dest GN]]</f>
        <v>0</v>
      </c>
      <c r="BH121" s="487" cm="1">
        <f t="array" aca="1" ref="BH121" ca="1">IF(TblConstr[[#This Row],[Hour]:[Hour]]&gt;12,OFFSET(TblConstr[[#This Row],[Fac]],-12,0),0)+OFFSET(TblConstr[[#This Row],[Tot Fac]],-1,0)-TblConstr[[#This Row],[Dest Fac]]</f>
        <v>0</v>
      </c>
      <c r="BI121" s="487" cm="1">
        <f t="array" aca="1" ref="BI121" ca="1">IF(TblConstr[[#This Row],[Hour]:[Hour]]&gt;12,OFFSET(TblConstr[[#This Row],[GT]],-12,0),0)+OFFSET(TblConstr[[#This Row],[Tot GT]],-1,0)-TblConstr[[#This Row],[Dest GT]]</f>
        <v>0</v>
      </c>
      <c r="BJ121" s="487" cm="1">
        <f t="array" aca="1" ref="BJ121" ca="1">IF(TblConstr[[#This Row],[Hour]:[Hour]]&gt;12,OFFSET(TblConstr[[#This Row],[Bar]],-12,0),0)+OFFSET(TblConstr[[#This Row],[Tot Bar]],-1,0)-TblConstr[[#This Row],[Dest Bar]]</f>
        <v>0</v>
      </c>
      <c r="BK121" s="487" cm="1">
        <f t="array" aca="1" ref="BK121" ca="1">IF(TblConstr[[#This Row],[Hour]:[Hour]]&gt;12,OFFSET(TblConstr[[#This Row],[Shr]],-12,0),0)+OFFSET(TblConstr[[#This Row],[Tot Shr]],-1,0)-TblConstr[[#This Row],[Dest Shr]]</f>
        <v>0</v>
      </c>
      <c r="BL121" s="491" cm="1">
        <f t="array" aca="1" ref="BL121" ca="1">IF(TblConstr[[#This Row],[Hour]:[Hour]]&gt;12,OFFSET(TblConstr[[#This Row],[Tow]],-12,0),0)+OFFSET(TblConstr[[#This Row],[Tot Tow]],-1,0)-TblConstr[[#This Row],[Dest Tow]]</f>
        <v>0</v>
      </c>
      <c r="BM121" s="491" cm="1">
        <f t="array" aca="1" ref="BM121" ca="1">IF(TblConstr[[#This Row],[Hour]:[Hour]]&gt;12,OFFSET(TblConstr[[#This Row],[Tem]],-12,0),0)+OFFSET(TblConstr[[#This Row],[Tot Tem]],-1,0)-TblConstr[[#This Row],[Dest Tem]]</f>
        <v>0</v>
      </c>
      <c r="BN121" s="491"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44409.624999999716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1">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81">
        <f ca="1">OFFSET(TblConstr[[#This Row],[Mountain]],-1,0)+TblConstr[[#This Row],[Ch_Mountain]]</f>
        <v>20</v>
      </c>
      <c r="J122" s="485">
        <f ca="1">OFFSET(TblConstr[[#This Row],[Hill]],-1,0)+TblConstr[[#This Row],[Ch_Hill]]</f>
        <v>20</v>
      </c>
      <c r="K122" s="489">
        <f ca="1">OFFSET(TblConstr[[#This Row],[Swamp]],-1,0)+TblConstr[[#This Row],[Ch_Swamp]]</f>
        <v>20</v>
      </c>
      <c r="L122" s="239">
        <f ca="1">OFFSET(TblConstr[[#This Row],[Cavern]],-1,0)+TblConstr[[#This Row],[Ch_Cavern]]</f>
        <v>20</v>
      </c>
      <c r="M122" s="240">
        <f ca="1">OFFSET(TblConstr[[#This Row],[Water]],-1,0)+TblConstr[[#This Row],[Ch_Water]]</f>
        <v>20</v>
      </c>
      <c r="N122" s="479">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44409.66666666638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3" cm="1">
        <f t="array" aca="1" ref="BF122" ca="1">IF(TblConstr[[#This Row],[Hour]:[Hour]]&gt;12,OFFSET(TblConstr[[#This Row],[OM]],-12,0),0)+OFFSET(TblConstr[[#This Row],[Tot OM]],-1,0)-TblConstr[[#This Row],[Dest OM]]</f>
        <v>0</v>
      </c>
      <c r="BG122" s="483" cm="1">
        <f t="array" aca="1" ref="BG122" ca="1">IF(TblConstr[[#This Row],[Hour]:[Hour]]&gt;12,OFFSET(TblConstr[[#This Row],[GN]],-12,0),0)+OFFSET(TblConstr[[#This Row],[Tot GN]],-1,0)-TblConstr[[#This Row],[Dest GN]]</f>
        <v>0</v>
      </c>
      <c r="BH122" s="487" cm="1">
        <f t="array" aca="1" ref="BH122" ca="1">IF(TblConstr[[#This Row],[Hour]:[Hour]]&gt;12,OFFSET(TblConstr[[#This Row],[Fac]],-12,0),0)+OFFSET(TblConstr[[#This Row],[Tot Fac]],-1,0)-TblConstr[[#This Row],[Dest Fac]]</f>
        <v>0</v>
      </c>
      <c r="BI122" s="487" cm="1">
        <f t="array" aca="1" ref="BI122" ca="1">IF(TblConstr[[#This Row],[Hour]:[Hour]]&gt;12,OFFSET(TblConstr[[#This Row],[GT]],-12,0),0)+OFFSET(TblConstr[[#This Row],[Tot GT]],-1,0)-TblConstr[[#This Row],[Dest GT]]</f>
        <v>0</v>
      </c>
      <c r="BJ122" s="487" cm="1">
        <f t="array" aca="1" ref="BJ122" ca="1">IF(TblConstr[[#This Row],[Hour]:[Hour]]&gt;12,OFFSET(TblConstr[[#This Row],[Bar]],-12,0),0)+OFFSET(TblConstr[[#This Row],[Tot Bar]],-1,0)-TblConstr[[#This Row],[Dest Bar]]</f>
        <v>0</v>
      </c>
      <c r="BK122" s="487" cm="1">
        <f t="array" aca="1" ref="BK122" ca="1">IF(TblConstr[[#This Row],[Hour]:[Hour]]&gt;12,OFFSET(TblConstr[[#This Row],[Shr]],-12,0),0)+OFFSET(TblConstr[[#This Row],[Tot Shr]],-1,0)-TblConstr[[#This Row],[Dest Shr]]</f>
        <v>0</v>
      </c>
      <c r="BL122" s="491" cm="1">
        <f t="array" aca="1" ref="BL122" ca="1">IF(TblConstr[[#This Row],[Hour]:[Hour]]&gt;12,OFFSET(TblConstr[[#This Row],[Tow]],-12,0),0)+OFFSET(TblConstr[[#This Row],[Tot Tow]],-1,0)-TblConstr[[#This Row],[Dest Tow]]</f>
        <v>0</v>
      </c>
      <c r="BM122" s="491" cm="1">
        <f t="array" aca="1" ref="BM122" ca="1">IF(TblConstr[[#This Row],[Hour]:[Hour]]&gt;12,OFFSET(TblConstr[[#This Row],[Tem]],-12,0),0)+OFFSET(TblConstr[[#This Row],[Tot Tem]],-1,0)-TblConstr[[#This Row],[Dest Tem]]</f>
        <v>0</v>
      </c>
      <c r="BN122" s="491"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44409.66666666638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1">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81">
        <f ca="1">OFFSET(TblConstr[[#This Row],[Mountain]],-1,0)+TblConstr[[#This Row],[Ch_Mountain]]</f>
        <v>20</v>
      </c>
      <c r="J123" s="485">
        <f ca="1">OFFSET(TblConstr[[#This Row],[Hill]],-1,0)+TblConstr[[#This Row],[Ch_Hill]]</f>
        <v>20</v>
      </c>
      <c r="K123" s="489">
        <f ca="1">OFFSET(TblConstr[[#This Row],[Swamp]],-1,0)+TblConstr[[#This Row],[Ch_Swamp]]</f>
        <v>20</v>
      </c>
      <c r="L123" s="239">
        <f ca="1">OFFSET(TblConstr[[#This Row],[Cavern]],-1,0)+TblConstr[[#This Row],[Ch_Cavern]]</f>
        <v>20</v>
      </c>
      <c r="M123" s="240">
        <f ca="1">OFFSET(TblConstr[[#This Row],[Water]],-1,0)+TblConstr[[#This Row],[Ch_Water]]</f>
        <v>20</v>
      </c>
      <c r="N123" s="479">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44409.708333333045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3" cm="1">
        <f t="array" aca="1" ref="BF123" ca="1">IF(TblConstr[[#This Row],[Hour]:[Hour]]&gt;12,OFFSET(TblConstr[[#This Row],[OM]],-12,0),0)+OFFSET(TblConstr[[#This Row],[Tot OM]],-1,0)-TblConstr[[#This Row],[Dest OM]]</f>
        <v>0</v>
      </c>
      <c r="BG123" s="483" cm="1">
        <f t="array" aca="1" ref="BG123" ca="1">IF(TblConstr[[#This Row],[Hour]:[Hour]]&gt;12,OFFSET(TblConstr[[#This Row],[GN]],-12,0),0)+OFFSET(TblConstr[[#This Row],[Tot GN]],-1,0)-TblConstr[[#This Row],[Dest GN]]</f>
        <v>0</v>
      </c>
      <c r="BH123" s="487" cm="1">
        <f t="array" aca="1" ref="BH123" ca="1">IF(TblConstr[[#This Row],[Hour]:[Hour]]&gt;12,OFFSET(TblConstr[[#This Row],[Fac]],-12,0),0)+OFFSET(TblConstr[[#This Row],[Tot Fac]],-1,0)-TblConstr[[#This Row],[Dest Fac]]</f>
        <v>0</v>
      </c>
      <c r="BI123" s="487" cm="1">
        <f t="array" aca="1" ref="BI123" ca="1">IF(TblConstr[[#This Row],[Hour]:[Hour]]&gt;12,OFFSET(TblConstr[[#This Row],[GT]],-12,0),0)+OFFSET(TblConstr[[#This Row],[Tot GT]],-1,0)-TblConstr[[#This Row],[Dest GT]]</f>
        <v>0</v>
      </c>
      <c r="BJ123" s="487" cm="1">
        <f t="array" aca="1" ref="BJ123" ca="1">IF(TblConstr[[#This Row],[Hour]:[Hour]]&gt;12,OFFSET(TblConstr[[#This Row],[Bar]],-12,0),0)+OFFSET(TblConstr[[#This Row],[Tot Bar]],-1,0)-TblConstr[[#This Row],[Dest Bar]]</f>
        <v>0</v>
      </c>
      <c r="BK123" s="487" cm="1">
        <f t="array" aca="1" ref="BK123" ca="1">IF(TblConstr[[#This Row],[Hour]:[Hour]]&gt;12,OFFSET(TblConstr[[#This Row],[Shr]],-12,0),0)+OFFSET(TblConstr[[#This Row],[Tot Shr]],-1,0)-TblConstr[[#This Row],[Dest Shr]]</f>
        <v>0</v>
      </c>
      <c r="BL123" s="491" cm="1">
        <f t="array" aca="1" ref="BL123" ca="1">IF(TblConstr[[#This Row],[Hour]:[Hour]]&gt;12,OFFSET(TblConstr[[#This Row],[Tow]],-12,0),0)+OFFSET(TblConstr[[#This Row],[Tot Tow]],-1,0)-TblConstr[[#This Row],[Dest Tow]]</f>
        <v>0</v>
      </c>
      <c r="BM123" s="491" cm="1">
        <f t="array" aca="1" ref="BM123" ca="1">IF(TblConstr[[#This Row],[Hour]:[Hour]]&gt;12,OFFSET(TblConstr[[#This Row],[Tem]],-12,0),0)+OFFSET(TblConstr[[#This Row],[Tot Tem]],-1,0)-TblConstr[[#This Row],[Dest Tem]]</f>
        <v>0</v>
      </c>
      <c r="BN123" s="491"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44409.708333333045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1">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81">
        <f ca="1">OFFSET(TblConstr[[#This Row],[Mountain]],-1,0)+TblConstr[[#This Row],[Ch_Mountain]]</f>
        <v>20</v>
      </c>
      <c r="J124" s="485">
        <f ca="1">OFFSET(TblConstr[[#This Row],[Hill]],-1,0)+TblConstr[[#This Row],[Ch_Hill]]</f>
        <v>20</v>
      </c>
      <c r="K124" s="489">
        <f ca="1">OFFSET(TblConstr[[#This Row],[Swamp]],-1,0)+TblConstr[[#This Row],[Ch_Swamp]]</f>
        <v>20</v>
      </c>
      <c r="L124" s="239">
        <f ca="1">OFFSET(TblConstr[[#This Row],[Cavern]],-1,0)+TblConstr[[#This Row],[Ch_Cavern]]</f>
        <v>20</v>
      </c>
      <c r="M124" s="240">
        <f ca="1">OFFSET(TblConstr[[#This Row],[Water]],-1,0)+TblConstr[[#This Row],[Ch_Water]]</f>
        <v>20</v>
      </c>
      <c r="N124" s="479">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44409.749999999709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3" cm="1">
        <f t="array" aca="1" ref="BF124" ca="1">IF(TblConstr[[#This Row],[Hour]:[Hour]]&gt;12,OFFSET(TblConstr[[#This Row],[OM]],-12,0),0)+OFFSET(TblConstr[[#This Row],[Tot OM]],-1,0)-TblConstr[[#This Row],[Dest OM]]</f>
        <v>0</v>
      </c>
      <c r="BG124" s="483" cm="1">
        <f t="array" aca="1" ref="BG124" ca="1">IF(TblConstr[[#This Row],[Hour]:[Hour]]&gt;12,OFFSET(TblConstr[[#This Row],[GN]],-12,0),0)+OFFSET(TblConstr[[#This Row],[Tot GN]],-1,0)-TblConstr[[#This Row],[Dest GN]]</f>
        <v>0</v>
      </c>
      <c r="BH124" s="487" cm="1">
        <f t="array" aca="1" ref="BH124" ca="1">IF(TblConstr[[#This Row],[Hour]:[Hour]]&gt;12,OFFSET(TblConstr[[#This Row],[Fac]],-12,0),0)+OFFSET(TblConstr[[#This Row],[Tot Fac]],-1,0)-TblConstr[[#This Row],[Dest Fac]]</f>
        <v>0</v>
      </c>
      <c r="BI124" s="487" cm="1">
        <f t="array" aca="1" ref="BI124" ca="1">IF(TblConstr[[#This Row],[Hour]:[Hour]]&gt;12,OFFSET(TblConstr[[#This Row],[GT]],-12,0),0)+OFFSET(TblConstr[[#This Row],[Tot GT]],-1,0)-TblConstr[[#This Row],[Dest GT]]</f>
        <v>0</v>
      </c>
      <c r="BJ124" s="487" cm="1">
        <f t="array" aca="1" ref="BJ124" ca="1">IF(TblConstr[[#This Row],[Hour]:[Hour]]&gt;12,OFFSET(TblConstr[[#This Row],[Bar]],-12,0),0)+OFFSET(TblConstr[[#This Row],[Tot Bar]],-1,0)-TblConstr[[#This Row],[Dest Bar]]</f>
        <v>0</v>
      </c>
      <c r="BK124" s="487" cm="1">
        <f t="array" aca="1" ref="BK124" ca="1">IF(TblConstr[[#This Row],[Hour]:[Hour]]&gt;12,OFFSET(TblConstr[[#This Row],[Shr]],-12,0),0)+OFFSET(TblConstr[[#This Row],[Tot Shr]],-1,0)-TblConstr[[#This Row],[Dest Shr]]</f>
        <v>0</v>
      </c>
      <c r="BL124" s="491" cm="1">
        <f t="array" aca="1" ref="BL124" ca="1">IF(TblConstr[[#This Row],[Hour]:[Hour]]&gt;12,OFFSET(TblConstr[[#This Row],[Tow]],-12,0),0)+OFFSET(TblConstr[[#This Row],[Tot Tow]],-1,0)-TblConstr[[#This Row],[Dest Tow]]</f>
        <v>0</v>
      </c>
      <c r="BM124" s="491" cm="1">
        <f t="array" aca="1" ref="BM124" ca="1">IF(TblConstr[[#This Row],[Hour]:[Hour]]&gt;12,OFFSET(TblConstr[[#This Row],[Tem]],-12,0),0)+OFFSET(TblConstr[[#This Row],[Tot Tem]],-1,0)-TblConstr[[#This Row],[Dest Tem]]</f>
        <v>0</v>
      </c>
      <c r="BN124" s="491"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44409.749999999709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1">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81">
        <f ca="1">OFFSET(TblConstr[[#This Row],[Mountain]],-1,0)+TblConstr[[#This Row],[Ch_Mountain]]</f>
        <v>20</v>
      </c>
      <c r="J125" s="485">
        <f ca="1">OFFSET(TblConstr[[#This Row],[Hill]],-1,0)+TblConstr[[#This Row],[Ch_Hill]]</f>
        <v>20</v>
      </c>
      <c r="K125" s="489">
        <f ca="1">OFFSET(TblConstr[[#This Row],[Swamp]],-1,0)+TblConstr[[#This Row],[Ch_Swamp]]</f>
        <v>20</v>
      </c>
      <c r="L125" s="239">
        <f ca="1">OFFSET(TblConstr[[#This Row],[Cavern]],-1,0)+TblConstr[[#This Row],[Ch_Cavern]]</f>
        <v>20</v>
      </c>
      <c r="M125" s="240">
        <f ca="1">OFFSET(TblConstr[[#This Row],[Water]],-1,0)+TblConstr[[#This Row],[Ch_Water]]</f>
        <v>20</v>
      </c>
      <c r="N125" s="479">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44409.791666666373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3" cm="1">
        <f t="array" aca="1" ref="BF125" ca="1">IF(TblConstr[[#This Row],[Hour]:[Hour]]&gt;12,OFFSET(TblConstr[[#This Row],[OM]],-12,0),0)+OFFSET(TblConstr[[#This Row],[Tot OM]],-1,0)-TblConstr[[#This Row],[Dest OM]]</f>
        <v>0</v>
      </c>
      <c r="BG125" s="483" cm="1">
        <f t="array" aca="1" ref="BG125" ca="1">IF(TblConstr[[#This Row],[Hour]:[Hour]]&gt;12,OFFSET(TblConstr[[#This Row],[GN]],-12,0),0)+OFFSET(TblConstr[[#This Row],[Tot GN]],-1,0)-TblConstr[[#This Row],[Dest GN]]</f>
        <v>0</v>
      </c>
      <c r="BH125" s="487" cm="1">
        <f t="array" aca="1" ref="BH125" ca="1">IF(TblConstr[[#This Row],[Hour]:[Hour]]&gt;12,OFFSET(TblConstr[[#This Row],[Fac]],-12,0),0)+OFFSET(TblConstr[[#This Row],[Tot Fac]],-1,0)-TblConstr[[#This Row],[Dest Fac]]</f>
        <v>0</v>
      </c>
      <c r="BI125" s="487" cm="1">
        <f t="array" aca="1" ref="BI125" ca="1">IF(TblConstr[[#This Row],[Hour]:[Hour]]&gt;12,OFFSET(TblConstr[[#This Row],[GT]],-12,0),0)+OFFSET(TblConstr[[#This Row],[Tot GT]],-1,0)-TblConstr[[#This Row],[Dest GT]]</f>
        <v>0</v>
      </c>
      <c r="BJ125" s="487" cm="1">
        <f t="array" aca="1" ref="BJ125" ca="1">IF(TblConstr[[#This Row],[Hour]:[Hour]]&gt;12,OFFSET(TblConstr[[#This Row],[Bar]],-12,0),0)+OFFSET(TblConstr[[#This Row],[Tot Bar]],-1,0)-TblConstr[[#This Row],[Dest Bar]]</f>
        <v>0</v>
      </c>
      <c r="BK125" s="487" cm="1">
        <f t="array" aca="1" ref="BK125" ca="1">IF(TblConstr[[#This Row],[Hour]:[Hour]]&gt;12,OFFSET(TblConstr[[#This Row],[Shr]],-12,0),0)+OFFSET(TblConstr[[#This Row],[Tot Shr]],-1,0)-TblConstr[[#This Row],[Dest Shr]]</f>
        <v>0</v>
      </c>
      <c r="BL125" s="491" cm="1">
        <f t="array" aca="1" ref="BL125" ca="1">IF(TblConstr[[#This Row],[Hour]:[Hour]]&gt;12,OFFSET(TblConstr[[#This Row],[Tow]],-12,0),0)+OFFSET(TblConstr[[#This Row],[Tot Tow]],-1,0)-TblConstr[[#This Row],[Dest Tow]]</f>
        <v>0</v>
      </c>
      <c r="BM125" s="491" cm="1">
        <f t="array" aca="1" ref="BM125" ca="1">IF(TblConstr[[#This Row],[Hour]:[Hour]]&gt;12,OFFSET(TblConstr[[#This Row],[Tem]],-12,0),0)+OFFSET(TblConstr[[#This Row],[Tot Tem]],-1,0)-TblConstr[[#This Row],[Dest Tem]]</f>
        <v>0</v>
      </c>
      <c r="BN125" s="491"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44409.791666666373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1">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81">
        <f ca="1">OFFSET(TblConstr[[#This Row],[Mountain]],-1,0)+TblConstr[[#This Row],[Ch_Mountain]]</f>
        <v>20</v>
      </c>
      <c r="J126" s="485">
        <f ca="1">OFFSET(TblConstr[[#This Row],[Hill]],-1,0)+TblConstr[[#This Row],[Ch_Hill]]</f>
        <v>20</v>
      </c>
      <c r="K126" s="489">
        <f ca="1">OFFSET(TblConstr[[#This Row],[Swamp]],-1,0)+TblConstr[[#This Row],[Ch_Swamp]]</f>
        <v>20</v>
      </c>
      <c r="L126" s="239">
        <f ca="1">OFFSET(TblConstr[[#This Row],[Cavern]],-1,0)+TblConstr[[#This Row],[Ch_Cavern]]</f>
        <v>20</v>
      </c>
      <c r="M126" s="240">
        <f ca="1">OFFSET(TblConstr[[#This Row],[Water]],-1,0)+TblConstr[[#This Row],[Ch_Water]]</f>
        <v>20</v>
      </c>
      <c r="N126" s="479">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44409.833333333037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3" cm="1">
        <f t="array" aca="1" ref="BF126" ca="1">IF(TblConstr[[#This Row],[Hour]:[Hour]]&gt;12,OFFSET(TblConstr[[#This Row],[OM]],-12,0),0)+OFFSET(TblConstr[[#This Row],[Tot OM]],-1,0)-TblConstr[[#This Row],[Dest OM]]</f>
        <v>0</v>
      </c>
      <c r="BG126" s="483" cm="1">
        <f t="array" aca="1" ref="BG126" ca="1">IF(TblConstr[[#This Row],[Hour]:[Hour]]&gt;12,OFFSET(TblConstr[[#This Row],[GN]],-12,0),0)+OFFSET(TblConstr[[#This Row],[Tot GN]],-1,0)-TblConstr[[#This Row],[Dest GN]]</f>
        <v>0</v>
      </c>
      <c r="BH126" s="487" cm="1">
        <f t="array" aca="1" ref="BH126" ca="1">IF(TblConstr[[#This Row],[Hour]:[Hour]]&gt;12,OFFSET(TblConstr[[#This Row],[Fac]],-12,0),0)+OFFSET(TblConstr[[#This Row],[Tot Fac]],-1,0)-TblConstr[[#This Row],[Dest Fac]]</f>
        <v>0</v>
      </c>
      <c r="BI126" s="487" cm="1">
        <f t="array" aca="1" ref="BI126" ca="1">IF(TblConstr[[#This Row],[Hour]:[Hour]]&gt;12,OFFSET(TblConstr[[#This Row],[GT]],-12,0),0)+OFFSET(TblConstr[[#This Row],[Tot GT]],-1,0)-TblConstr[[#This Row],[Dest GT]]</f>
        <v>0</v>
      </c>
      <c r="BJ126" s="487" cm="1">
        <f t="array" aca="1" ref="BJ126" ca="1">IF(TblConstr[[#This Row],[Hour]:[Hour]]&gt;12,OFFSET(TblConstr[[#This Row],[Bar]],-12,0),0)+OFFSET(TblConstr[[#This Row],[Tot Bar]],-1,0)-TblConstr[[#This Row],[Dest Bar]]</f>
        <v>0</v>
      </c>
      <c r="BK126" s="487" cm="1">
        <f t="array" aca="1" ref="BK126" ca="1">IF(TblConstr[[#This Row],[Hour]:[Hour]]&gt;12,OFFSET(TblConstr[[#This Row],[Shr]],-12,0),0)+OFFSET(TblConstr[[#This Row],[Tot Shr]],-1,0)-TblConstr[[#This Row],[Dest Shr]]</f>
        <v>0</v>
      </c>
      <c r="BL126" s="491" cm="1">
        <f t="array" aca="1" ref="BL126" ca="1">IF(TblConstr[[#This Row],[Hour]:[Hour]]&gt;12,OFFSET(TblConstr[[#This Row],[Tow]],-12,0),0)+OFFSET(TblConstr[[#This Row],[Tot Tow]],-1,0)-TblConstr[[#This Row],[Dest Tow]]</f>
        <v>0</v>
      </c>
      <c r="BM126" s="491" cm="1">
        <f t="array" aca="1" ref="BM126" ca="1">IF(TblConstr[[#This Row],[Hour]:[Hour]]&gt;12,OFFSET(TblConstr[[#This Row],[Tem]],-12,0),0)+OFFSET(TblConstr[[#This Row],[Tot Tem]],-1,0)-TblConstr[[#This Row],[Dest Tem]]</f>
        <v>0</v>
      </c>
      <c r="BN126" s="491"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44409.833333333037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1">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81">
        <f ca="1">OFFSET(TblConstr[[#This Row],[Mountain]],-1,0)+TblConstr[[#This Row],[Ch_Mountain]]</f>
        <v>20</v>
      </c>
      <c r="J127" s="485">
        <f ca="1">OFFSET(TblConstr[[#This Row],[Hill]],-1,0)+TblConstr[[#This Row],[Ch_Hill]]</f>
        <v>20</v>
      </c>
      <c r="K127" s="489">
        <f ca="1">OFFSET(TblConstr[[#This Row],[Swamp]],-1,0)+TblConstr[[#This Row],[Ch_Swamp]]</f>
        <v>20</v>
      </c>
      <c r="L127" s="239">
        <f ca="1">OFFSET(TblConstr[[#This Row],[Cavern]],-1,0)+TblConstr[[#This Row],[Ch_Cavern]]</f>
        <v>20</v>
      </c>
      <c r="M127" s="240">
        <f ca="1">OFFSET(TblConstr[[#This Row],[Water]],-1,0)+TblConstr[[#This Row],[Ch_Water]]</f>
        <v>20</v>
      </c>
      <c r="N127" s="479">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44409.874999999702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3" cm="1">
        <f t="array" aca="1" ref="BF127" ca="1">IF(TblConstr[[#This Row],[Hour]:[Hour]]&gt;12,OFFSET(TblConstr[[#This Row],[OM]],-12,0),0)+OFFSET(TblConstr[[#This Row],[Tot OM]],-1,0)-TblConstr[[#This Row],[Dest OM]]</f>
        <v>0</v>
      </c>
      <c r="BG127" s="483" cm="1">
        <f t="array" aca="1" ref="BG127" ca="1">IF(TblConstr[[#This Row],[Hour]:[Hour]]&gt;12,OFFSET(TblConstr[[#This Row],[GN]],-12,0),0)+OFFSET(TblConstr[[#This Row],[Tot GN]],-1,0)-TblConstr[[#This Row],[Dest GN]]</f>
        <v>0</v>
      </c>
      <c r="BH127" s="487" cm="1">
        <f t="array" aca="1" ref="BH127" ca="1">IF(TblConstr[[#This Row],[Hour]:[Hour]]&gt;12,OFFSET(TblConstr[[#This Row],[Fac]],-12,0),0)+OFFSET(TblConstr[[#This Row],[Tot Fac]],-1,0)-TblConstr[[#This Row],[Dest Fac]]</f>
        <v>0</v>
      </c>
      <c r="BI127" s="487" cm="1">
        <f t="array" aca="1" ref="BI127" ca="1">IF(TblConstr[[#This Row],[Hour]:[Hour]]&gt;12,OFFSET(TblConstr[[#This Row],[GT]],-12,0),0)+OFFSET(TblConstr[[#This Row],[Tot GT]],-1,0)-TblConstr[[#This Row],[Dest GT]]</f>
        <v>0</v>
      </c>
      <c r="BJ127" s="487" cm="1">
        <f t="array" aca="1" ref="BJ127" ca="1">IF(TblConstr[[#This Row],[Hour]:[Hour]]&gt;12,OFFSET(TblConstr[[#This Row],[Bar]],-12,0),0)+OFFSET(TblConstr[[#This Row],[Tot Bar]],-1,0)-TblConstr[[#This Row],[Dest Bar]]</f>
        <v>0</v>
      </c>
      <c r="BK127" s="487" cm="1">
        <f t="array" aca="1" ref="BK127" ca="1">IF(TblConstr[[#This Row],[Hour]:[Hour]]&gt;12,OFFSET(TblConstr[[#This Row],[Shr]],-12,0),0)+OFFSET(TblConstr[[#This Row],[Tot Shr]],-1,0)-TblConstr[[#This Row],[Dest Shr]]</f>
        <v>0</v>
      </c>
      <c r="BL127" s="491" cm="1">
        <f t="array" aca="1" ref="BL127" ca="1">IF(TblConstr[[#This Row],[Hour]:[Hour]]&gt;12,OFFSET(TblConstr[[#This Row],[Tow]],-12,0),0)+OFFSET(TblConstr[[#This Row],[Tot Tow]],-1,0)-TblConstr[[#This Row],[Dest Tow]]</f>
        <v>0</v>
      </c>
      <c r="BM127" s="491" cm="1">
        <f t="array" aca="1" ref="BM127" ca="1">IF(TblConstr[[#This Row],[Hour]:[Hour]]&gt;12,OFFSET(TblConstr[[#This Row],[Tem]],-12,0),0)+OFFSET(TblConstr[[#This Row],[Tot Tem]],-1,0)-TblConstr[[#This Row],[Dest Tem]]</f>
        <v>0</v>
      </c>
      <c r="BN127" s="491"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44409.874999999702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1">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81">
        <f ca="1">OFFSET(TblConstr[[#This Row],[Mountain]],-1,0)+TblConstr[[#This Row],[Ch_Mountain]]</f>
        <v>20</v>
      </c>
      <c r="J128" s="485">
        <f ca="1">OFFSET(TblConstr[[#This Row],[Hill]],-1,0)+TblConstr[[#This Row],[Ch_Hill]]</f>
        <v>20</v>
      </c>
      <c r="K128" s="489">
        <f ca="1">OFFSET(TblConstr[[#This Row],[Swamp]],-1,0)+TblConstr[[#This Row],[Ch_Swamp]]</f>
        <v>20</v>
      </c>
      <c r="L128" s="239">
        <f ca="1">OFFSET(TblConstr[[#This Row],[Cavern]],-1,0)+TblConstr[[#This Row],[Ch_Cavern]]</f>
        <v>20</v>
      </c>
      <c r="M128" s="240">
        <f ca="1">OFFSET(TblConstr[[#This Row],[Water]],-1,0)+TblConstr[[#This Row],[Ch_Water]]</f>
        <v>20</v>
      </c>
      <c r="N128" s="479">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44409.916666666366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3" cm="1">
        <f t="array" aca="1" ref="BF128" ca="1">IF(TblConstr[[#This Row],[Hour]:[Hour]]&gt;12,OFFSET(TblConstr[[#This Row],[OM]],-12,0),0)+OFFSET(TblConstr[[#This Row],[Tot OM]],-1,0)-TblConstr[[#This Row],[Dest OM]]</f>
        <v>0</v>
      </c>
      <c r="BG128" s="483" cm="1">
        <f t="array" aca="1" ref="BG128" ca="1">IF(TblConstr[[#This Row],[Hour]:[Hour]]&gt;12,OFFSET(TblConstr[[#This Row],[GN]],-12,0),0)+OFFSET(TblConstr[[#This Row],[Tot GN]],-1,0)-TblConstr[[#This Row],[Dest GN]]</f>
        <v>0</v>
      </c>
      <c r="BH128" s="487" cm="1">
        <f t="array" aca="1" ref="BH128" ca="1">IF(TblConstr[[#This Row],[Hour]:[Hour]]&gt;12,OFFSET(TblConstr[[#This Row],[Fac]],-12,0),0)+OFFSET(TblConstr[[#This Row],[Tot Fac]],-1,0)-TblConstr[[#This Row],[Dest Fac]]</f>
        <v>0</v>
      </c>
      <c r="BI128" s="487" cm="1">
        <f t="array" aca="1" ref="BI128" ca="1">IF(TblConstr[[#This Row],[Hour]:[Hour]]&gt;12,OFFSET(TblConstr[[#This Row],[GT]],-12,0),0)+OFFSET(TblConstr[[#This Row],[Tot GT]],-1,0)-TblConstr[[#This Row],[Dest GT]]</f>
        <v>0</v>
      </c>
      <c r="BJ128" s="487" cm="1">
        <f t="array" aca="1" ref="BJ128" ca="1">IF(TblConstr[[#This Row],[Hour]:[Hour]]&gt;12,OFFSET(TblConstr[[#This Row],[Bar]],-12,0),0)+OFFSET(TblConstr[[#This Row],[Tot Bar]],-1,0)-TblConstr[[#This Row],[Dest Bar]]</f>
        <v>0</v>
      </c>
      <c r="BK128" s="487" cm="1">
        <f t="array" aca="1" ref="BK128" ca="1">IF(TblConstr[[#This Row],[Hour]:[Hour]]&gt;12,OFFSET(TblConstr[[#This Row],[Shr]],-12,0),0)+OFFSET(TblConstr[[#This Row],[Tot Shr]],-1,0)-TblConstr[[#This Row],[Dest Shr]]</f>
        <v>0</v>
      </c>
      <c r="BL128" s="491" cm="1">
        <f t="array" aca="1" ref="BL128" ca="1">IF(TblConstr[[#This Row],[Hour]:[Hour]]&gt;12,OFFSET(TblConstr[[#This Row],[Tow]],-12,0),0)+OFFSET(TblConstr[[#This Row],[Tot Tow]],-1,0)-TblConstr[[#This Row],[Dest Tow]]</f>
        <v>0</v>
      </c>
      <c r="BM128" s="491" cm="1">
        <f t="array" aca="1" ref="BM128" ca="1">IF(TblConstr[[#This Row],[Hour]:[Hour]]&gt;12,OFFSET(TblConstr[[#This Row],[Tem]],-12,0),0)+OFFSET(TblConstr[[#This Row],[Tot Tem]],-1,0)-TblConstr[[#This Row],[Dest Tem]]</f>
        <v>0</v>
      </c>
      <c r="BN128" s="491"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44409.916666666366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1">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81">
        <f ca="1">OFFSET(TblConstr[[#This Row],[Mountain]],-1,0)+TblConstr[[#This Row],[Ch_Mountain]]</f>
        <v>20</v>
      </c>
      <c r="J129" s="485">
        <f ca="1">OFFSET(TblConstr[[#This Row],[Hill]],-1,0)+TblConstr[[#This Row],[Ch_Hill]]</f>
        <v>20</v>
      </c>
      <c r="K129" s="489">
        <f ca="1">OFFSET(TblConstr[[#This Row],[Swamp]],-1,0)+TblConstr[[#This Row],[Ch_Swamp]]</f>
        <v>20</v>
      </c>
      <c r="L129" s="239">
        <f ca="1">OFFSET(TblConstr[[#This Row],[Cavern]],-1,0)+TblConstr[[#This Row],[Ch_Cavern]]</f>
        <v>20</v>
      </c>
      <c r="M129" s="240">
        <f ca="1">OFFSET(TblConstr[[#This Row],[Water]],-1,0)+TblConstr[[#This Row],[Ch_Water]]</f>
        <v>20</v>
      </c>
      <c r="N129" s="479">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44409.95833333303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3" cm="1">
        <f t="array" aca="1" ref="BF129" ca="1">IF(TblConstr[[#This Row],[Hour]:[Hour]]&gt;12,OFFSET(TblConstr[[#This Row],[OM]],-12,0),0)+OFFSET(TblConstr[[#This Row],[Tot OM]],-1,0)-TblConstr[[#This Row],[Dest OM]]</f>
        <v>0</v>
      </c>
      <c r="BG129" s="483" cm="1">
        <f t="array" aca="1" ref="BG129" ca="1">IF(TblConstr[[#This Row],[Hour]:[Hour]]&gt;12,OFFSET(TblConstr[[#This Row],[GN]],-12,0),0)+OFFSET(TblConstr[[#This Row],[Tot GN]],-1,0)-TblConstr[[#This Row],[Dest GN]]</f>
        <v>0</v>
      </c>
      <c r="BH129" s="487" cm="1">
        <f t="array" aca="1" ref="BH129" ca="1">IF(TblConstr[[#This Row],[Hour]:[Hour]]&gt;12,OFFSET(TblConstr[[#This Row],[Fac]],-12,0),0)+OFFSET(TblConstr[[#This Row],[Tot Fac]],-1,0)-TblConstr[[#This Row],[Dest Fac]]</f>
        <v>0</v>
      </c>
      <c r="BI129" s="487" cm="1">
        <f t="array" aca="1" ref="BI129" ca="1">IF(TblConstr[[#This Row],[Hour]:[Hour]]&gt;12,OFFSET(TblConstr[[#This Row],[GT]],-12,0),0)+OFFSET(TblConstr[[#This Row],[Tot GT]],-1,0)-TblConstr[[#This Row],[Dest GT]]</f>
        <v>0</v>
      </c>
      <c r="BJ129" s="487" cm="1">
        <f t="array" aca="1" ref="BJ129" ca="1">IF(TblConstr[[#This Row],[Hour]:[Hour]]&gt;12,OFFSET(TblConstr[[#This Row],[Bar]],-12,0),0)+OFFSET(TblConstr[[#This Row],[Tot Bar]],-1,0)-TblConstr[[#This Row],[Dest Bar]]</f>
        <v>0</v>
      </c>
      <c r="BK129" s="487" cm="1">
        <f t="array" aca="1" ref="BK129" ca="1">IF(TblConstr[[#This Row],[Hour]:[Hour]]&gt;12,OFFSET(TblConstr[[#This Row],[Shr]],-12,0),0)+OFFSET(TblConstr[[#This Row],[Tot Shr]],-1,0)-TblConstr[[#This Row],[Dest Shr]]</f>
        <v>0</v>
      </c>
      <c r="BL129" s="491" cm="1">
        <f t="array" aca="1" ref="BL129" ca="1">IF(TblConstr[[#This Row],[Hour]:[Hour]]&gt;12,OFFSET(TblConstr[[#This Row],[Tow]],-12,0),0)+OFFSET(TblConstr[[#This Row],[Tot Tow]],-1,0)-TblConstr[[#This Row],[Dest Tow]]</f>
        <v>0</v>
      </c>
      <c r="BM129" s="491" cm="1">
        <f t="array" aca="1" ref="BM129" ca="1">IF(TblConstr[[#This Row],[Hour]:[Hour]]&gt;12,OFFSET(TblConstr[[#This Row],[Tem]],-12,0),0)+OFFSET(TblConstr[[#This Row],[Tot Tem]],-1,0)-TblConstr[[#This Row],[Dest Tem]]</f>
        <v>0</v>
      </c>
      <c r="BN129" s="491"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44409.95833333303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1">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81">
        <f ca="1">OFFSET(TblConstr[[#This Row],[Mountain]],-1,0)+TblConstr[[#This Row],[Ch_Mountain]]</f>
        <v>20</v>
      </c>
      <c r="J130" s="485">
        <f ca="1">OFFSET(TblConstr[[#This Row],[Hill]],-1,0)+TblConstr[[#This Row],[Ch_Hill]]</f>
        <v>20</v>
      </c>
      <c r="K130" s="489">
        <f ca="1">OFFSET(TblConstr[[#This Row],[Swamp]],-1,0)+TblConstr[[#This Row],[Ch_Swamp]]</f>
        <v>20</v>
      </c>
      <c r="L130" s="239">
        <f ca="1">OFFSET(TblConstr[[#This Row],[Cavern]],-1,0)+TblConstr[[#This Row],[Ch_Cavern]]</f>
        <v>20</v>
      </c>
      <c r="M130" s="240">
        <f ca="1">OFFSET(TblConstr[[#This Row],[Water]],-1,0)+TblConstr[[#This Row],[Ch_Water]]</f>
        <v>20</v>
      </c>
      <c r="N130" s="479">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44409.999999999694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3" cm="1">
        <f t="array" aca="1" ref="BF130" ca="1">IF(TblConstr[[#This Row],[Hour]:[Hour]]&gt;12,OFFSET(TblConstr[[#This Row],[OM]],-12,0),0)+OFFSET(TblConstr[[#This Row],[Tot OM]],-1,0)-TblConstr[[#This Row],[Dest OM]]</f>
        <v>0</v>
      </c>
      <c r="BG130" s="483" cm="1">
        <f t="array" aca="1" ref="BG130" ca="1">IF(TblConstr[[#This Row],[Hour]:[Hour]]&gt;12,OFFSET(TblConstr[[#This Row],[GN]],-12,0),0)+OFFSET(TblConstr[[#This Row],[Tot GN]],-1,0)-TblConstr[[#This Row],[Dest GN]]</f>
        <v>0</v>
      </c>
      <c r="BH130" s="487" cm="1">
        <f t="array" aca="1" ref="BH130" ca="1">IF(TblConstr[[#This Row],[Hour]:[Hour]]&gt;12,OFFSET(TblConstr[[#This Row],[Fac]],-12,0),0)+OFFSET(TblConstr[[#This Row],[Tot Fac]],-1,0)-TblConstr[[#This Row],[Dest Fac]]</f>
        <v>0</v>
      </c>
      <c r="BI130" s="487" cm="1">
        <f t="array" aca="1" ref="BI130" ca="1">IF(TblConstr[[#This Row],[Hour]:[Hour]]&gt;12,OFFSET(TblConstr[[#This Row],[GT]],-12,0),0)+OFFSET(TblConstr[[#This Row],[Tot GT]],-1,0)-TblConstr[[#This Row],[Dest GT]]</f>
        <v>0</v>
      </c>
      <c r="BJ130" s="487" cm="1">
        <f t="array" aca="1" ref="BJ130" ca="1">IF(TblConstr[[#This Row],[Hour]:[Hour]]&gt;12,OFFSET(TblConstr[[#This Row],[Bar]],-12,0),0)+OFFSET(TblConstr[[#This Row],[Tot Bar]],-1,0)-TblConstr[[#This Row],[Dest Bar]]</f>
        <v>0</v>
      </c>
      <c r="BK130" s="487" cm="1">
        <f t="array" aca="1" ref="BK130" ca="1">IF(TblConstr[[#This Row],[Hour]:[Hour]]&gt;12,OFFSET(TblConstr[[#This Row],[Shr]],-12,0),0)+OFFSET(TblConstr[[#This Row],[Tot Shr]],-1,0)-TblConstr[[#This Row],[Dest Shr]]</f>
        <v>0</v>
      </c>
      <c r="BL130" s="491" cm="1">
        <f t="array" aca="1" ref="BL130" ca="1">IF(TblConstr[[#This Row],[Hour]:[Hour]]&gt;12,OFFSET(TblConstr[[#This Row],[Tow]],-12,0),0)+OFFSET(TblConstr[[#This Row],[Tot Tow]],-1,0)-TblConstr[[#This Row],[Dest Tow]]</f>
        <v>0</v>
      </c>
      <c r="BM130" s="491" cm="1">
        <f t="array" aca="1" ref="BM130" ca="1">IF(TblConstr[[#This Row],[Hour]:[Hour]]&gt;12,OFFSET(TblConstr[[#This Row],[Tem]],-12,0),0)+OFFSET(TblConstr[[#This Row],[Tot Tem]],-1,0)-TblConstr[[#This Row],[Dest Tem]]</f>
        <v>0</v>
      </c>
      <c r="BN130" s="491"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44409.999999999694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1">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81">
        <f ca="1">OFFSET(TblConstr[[#This Row],[Mountain]],-1,0)+TblConstr[[#This Row],[Ch_Mountain]]</f>
        <v>20</v>
      </c>
      <c r="J131" s="485">
        <f ca="1">OFFSET(TblConstr[[#This Row],[Hill]],-1,0)+TblConstr[[#This Row],[Ch_Hill]]</f>
        <v>20</v>
      </c>
      <c r="K131" s="489">
        <f ca="1">OFFSET(TblConstr[[#This Row],[Swamp]],-1,0)+TblConstr[[#This Row],[Ch_Swamp]]</f>
        <v>20</v>
      </c>
      <c r="L131" s="239">
        <f ca="1">OFFSET(TblConstr[[#This Row],[Cavern]],-1,0)+TblConstr[[#This Row],[Ch_Cavern]]</f>
        <v>20</v>
      </c>
      <c r="M131" s="240">
        <f ca="1">OFFSET(TblConstr[[#This Row],[Water]],-1,0)+TblConstr[[#This Row],[Ch_Water]]</f>
        <v>20</v>
      </c>
      <c r="N131" s="479">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44410.041666666359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3" cm="1">
        <f t="array" aca="1" ref="BF131" ca="1">IF(TblConstr[[#This Row],[Hour]:[Hour]]&gt;12,OFFSET(TblConstr[[#This Row],[OM]],-12,0),0)+OFFSET(TblConstr[[#This Row],[Tot OM]],-1,0)-TblConstr[[#This Row],[Dest OM]]</f>
        <v>0</v>
      </c>
      <c r="BG131" s="483" cm="1">
        <f t="array" aca="1" ref="BG131" ca="1">IF(TblConstr[[#This Row],[Hour]:[Hour]]&gt;12,OFFSET(TblConstr[[#This Row],[GN]],-12,0),0)+OFFSET(TblConstr[[#This Row],[Tot GN]],-1,0)-TblConstr[[#This Row],[Dest GN]]</f>
        <v>0</v>
      </c>
      <c r="BH131" s="487" cm="1">
        <f t="array" aca="1" ref="BH131" ca="1">IF(TblConstr[[#This Row],[Hour]:[Hour]]&gt;12,OFFSET(TblConstr[[#This Row],[Fac]],-12,0),0)+OFFSET(TblConstr[[#This Row],[Tot Fac]],-1,0)-TblConstr[[#This Row],[Dest Fac]]</f>
        <v>0</v>
      </c>
      <c r="BI131" s="487" cm="1">
        <f t="array" aca="1" ref="BI131" ca="1">IF(TblConstr[[#This Row],[Hour]:[Hour]]&gt;12,OFFSET(TblConstr[[#This Row],[GT]],-12,0),0)+OFFSET(TblConstr[[#This Row],[Tot GT]],-1,0)-TblConstr[[#This Row],[Dest GT]]</f>
        <v>0</v>
      </c>
      <c r="BJ131" s="487" cm="1">
        <f t="array" aca="1" ref="BJ131" ca="1">IF(TblConstr[[#This Row],[Hour]:[Hour]]&gt;12,OFFSET(TblConstr[[#This Row],[Bar]],-12,0),0)+OFFSET(TblConstr[[#This Row],[Tot Bar]],-1,0)-TblConstr[[#This Row],[Dest Bar]]</f>
        <v>0</v>
      </c>
      <c r="BK131" s="487" cm="1">
        <f t="array" aca="1" ref="BK131" ca="1">IF(TblConstr[[#This Row],[Hour]:[Hour]]&gt;12,OFFSET(TblConstr[[#This Row],[Shr]],-12,0),0)+OFFSET(TblConstr[[#This Row],[Tot Shr]],-1,0)-TblConstr[[#This Row],[Dest Shr]]</f>
        <v>0</v>
      </c>
      <c r="BL131" s="491" cm="1">
        <f t="array" aca="1" ref="BL131" ca="1">IF(TblConstr[[#This Row],[Hour]:[Hour]]&gt;12,OFFSET(TblConstr[[#This Row],[Tow]],-12,0),0)+OFFSET(TblConstr[[#This Row],[Tot Tow]],-1,0)-TblConstr[[#This Row],[Dest Tow]]</f>
        <v>0</v>
      </c>
      <c r="BM131" s="491" cm="1">
        <f t="array" aca="1" ref="BM131" ca="1">IF(TblConstr[[#This Row],[Hour]:[Hour]]&gt;12,OFFSET(TblConstr[[#This Row],[Tem]],-12,0),0)+OFFSET(TblConstr[[#This Row],[Tot Tem]],-1,0)-TblConstr[[#This Row],[Dest Tem]]</f>
        <v>0</v>
      </c>
      <c r="BN131" s="491"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44410.041666666359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1">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81">
        <f ca="1">OFFSET(TblConstr[[#This Row],[Mountain]],-1,0)+TblConstr[[#This Row],[Ch_Mountain]]</f>
        <v>20</v>
      </c>
      <c r="J132" s="485">
        <f ca="1">OFFSET(TblConstr[[#This Row],[Hill]],-1,0)+TblConstr[[#This Row],[Ch_Hill]]</f>
        <v>20</v>
      </c>
      <c r="K132" s="489">
        <f ca="1">OFFSET(TblConstr[[#This Row],[Swamp]],-1,0)+TblConstr[[#This Row],[Ch_Swamp]]</f>
        <v>20</v>
      </c>
      <c r="L132" s="239">
        <f ca="1">OFFSET(TblConstr[[#This Row],[Cavern]],-1,0)+TblConstr[[#This Row],[Ch_Cavern]]</f>
        <v>20</v>
      </c>
      <c r="M132" s="240">
        <f ca="1">OFFSET(TblConstr[[#This Row],[Water]],-1,0)+TblConstr[[#This Row],[Ch_Water]]</f>
        <v>20</v>
      </c>
      <c r="N132" s="479">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44410.083333333023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3" cm="1">
        <f t="array" aca="1" ref="BF132" ca="1">IF(TblConstr[[#This Row],[Hour]:[Hour]]&gt;12,OFFSET(TblConstr[[#This Row],[OM]],-12,0),0)+OFFSET(TblConstr[[#This Row],[Tot OM]],-1,0)-TblConstr[[#This Row],[Dest OM]]</f>
        <v>0</v>
      </c>
      <c r="BG132" s="483" cm="1">
        <f t="array" aca="1" ref="BG132" ca="1">IF(TblConstr[[#This Row],[Hour]:[Hour]]&gt;12,OFFSET(TblConstr[[#This Row],[GN]],-12,0),0)+OFFSET(TblConstr[[#This Row],[Tot GN]],-1,0)-TblConstr[[#This Row],[Dest GN]]</f>
        <v>0</v>
      </c>
      <c r="BH132" s="487" cm="1">
        <f t="array" aca="1" ref="BH132" ca="1">IF(TblConstr[[#This Row],[Hour]:[Hour]]&gt;12,OFFSET(TblConstr[[#This Row],[Fac]],-12,0),0)+OFFSET(TblConstr[[#This Row],[Tot Fac]],-1,0)-TblConstr[[#This Row],[Dest Fac]]</f>
        <v>0</v>
      </c>
      <c r="BI132" s="487" cm="1">
        <f t="array" aca="1" ref="BI132" ca="1">IF(TblConstr[[#This Row],[Hour]:[Hour]]&gt;12,OFFSET(TblConstr[[#This Row],[GT]],-12,0),0)+OFFSET(TblConstr[[#This Row],[Tot GT]],-1,0)-TblConstr[[#This Row],[Dest GT]]</f>
        <v>0</v>
      </c>
      <c r="BJ132" s="487" cm="1">
        <f t="array" aca="1" ref="BJ132" ca="1">IF(TblConstr[[#This Row],[Hour]:[Hour]]&gt;12,OFFSET(TblConstr[[#This Row],[Bar]],-12,0),0)+OFFSET(TblConstr[[#This Row],[Tot Bar]],-1,0)-TblConstr[[#This Row],[Dest Bar]]</f>
        <v>0</v>
      </c>
      <c r="BK132" s="487" cm="1">
        <f t="array" aca="1" ref="BK132" ca="1">IF(TblConstr[[#This Row],[Hour]:[Hour]]&gt;12,OFFSET(TblConstr[[#This Row],[Shr]],-12,0),0)+OFFSET(TblConstr[[#This Row],[Tot Shr]],-1,0)-TblConstr[[#This Row],[Dest Shr]]</f>
        <v>0</v>
      </c>
      <c r="BL132" s="491" cm="1">
        <f t="array" aca="1" ref="BL132" ca="1">IF(TblConstr[[#This Row],[Hour]:[Hour]]&gt;12,OFFSET(TblConstr[[#This Row],[Tow]],-12,0),0)+OFFSET(TblConstr[[#This Row],[Tot Tow]],-1,0)-TblConstr[[#This Row],[Dest Tow]]</f>
        <v>0</v>
      </c>
      <c r="BM132" s="491" cm="1">
        <f t="array" aca="1" ref="BM132" ca="1">IF(TblConstr[[#This Row],[Hour]:[Hour]]&gt;12,OFFSET(TblConstr[[#This Row],[Tem]],-12,0),0)+OFFSET(TblConstr[[#This Row],[Tot Tem]],-1,0)-TblConstr[[#This Row],[Dest Tem]]</f>
        <v>0</v>
      </c>
      <c r="BN132" s="491"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44410.083333333023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1">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81">
        <f ca="1">OFFSET(TblConstr[[#This Row],[Mountain]],-1,0)+TblConstr[[#This Row],[Ch_Mountain]]</f>
        <v>20</v>
      </c>
      <c r="J133" s="485">
        <f ca="1">OFFSET(TblConstr[[#This Row],[Hill]],-1,0)+TblConstr[[#This Row],[Ch_Hill]]</f>
        <v>20</v>
      </c>
      <c r="K133" s="489">
        <f ca="1">OFFSET(TblConstr[[#This Row],[Swamp]],-1,0)+TblConstr[[#This Row],[Ch_Swamp]]</f>
        <v>20</v>
      </c>
      <c r="L133" s="239">
        <f ca="1">OFFSET(TblConstr[[#This Row],[Cavern]],-1,0)+TblConstr[[#This Row],[Ch_Cavern]]</f>
        <v>20</v>
      </c>
      <c r="M133" s="240">
        <f ca="1">OFFSET(TblConstr[[#This Row],[Water]],-1,0)+TblConstr[[#This Row],[Ch_Water]]</f>
        <v>20</v>
      </c>
      <c r="N133" s="479">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44410.124999999687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3" cm="1">
        <f t="array" aca="1" ref="BF133" ca="1">IF(TblConstr[[#This Row],[Hour]:[Hour]]&gt;12,OFFSET(TblConstr[[#This Row],[OM]],-12,0),0)+OFFSET(TblConstr[[#This Row],[Tot OM]],-1,0)-TblConstr[[#This Row],[Dest OM]]</f>
        <v>0</v>
      </c>
      <c r="BG133" s="483" cm="1">
        <f t="array" aca="1" ref="BG133" ca="1">IF(TblConstr[[#This Row],[Hour]:[Hour]]&gt;12,OFFSET(TblConstr[[#This Row],[GN]],-12,0),0)+OFFSET(TblConstr[[#This Row],[Tot GN]],-1,0)-TblConstr[[#This Row],[Dest GN]]</f>
        <v>0</v>
      </c>
      <c r="BH133" s="487" cm="1">
        <f t="array" aca="1" ref="BH133" ca="1">IF(TblConstr[[#This Row],[Hour]:[Hour]]&gt;12,OFFSET(TblConstr[[#This Row],[Fac]],-12,0),0)+OFFSET(TblConstr[[#This Row],[Tot Fac]],-1,0)-TblConstr[[#This Row],[Dest Fac]]</f>
        <v>0</v>
      </c>
      <c r="BI133" s="487" cm="1">
        <f t="array" aca="1" ref="BI133" ca="1">IF(TblConstr[[#This Row],[Hour]:[Hour]]&gt;12,OFFSET(TblConstr[[#This Row],[GT]],-12,0),0)+OFFSET(TblConstr[[#This Row],[Tot GT]],-1,0)-TblConstr[[#This Row],[Dest GT]]</f>
        <v>0</v>
      </c>
      <c r="BJ133" s="487" cm="1">
        <f t="array" aca="1" ref="BJ133" ca="1">IF(TblConstr[[#This Row],[Hour]:[Hour]]&gt;12,OFFSET(TblConstr[[#This Row],[Bar]],-12,0),0)+OFFSET(TblConstr[[#This Row],[Tot Bar]],-1,0)-TblConstr[[#This Row],[Dest Bar]]</f>
        <v>0</v>
      </c>
      <c r="BK133" s="487" cm="1">
        <f t="array" aca="1" ref="BK133" ca="1">IF(TblConstr[[#This Row],[Hour]:[Hour]]&gt;12,OFFSET(TblConstr[[#This Row],[Shr]],-12,0),0)+OFFSET(TblConstr[[#This Row],[Tot Shr]],-1,0)-TblConstr[[#This Row],[Dest Shr]]</f>
        <v>0</v>
      </c>
      <c r="BL133" s="491" cm="1">
        <f t="array" aca="1" ref="BL133" ca="1">IF(TblConstr[[#This Row],[Hour]:[Hour]]&gt;12,OFFSET(TblConstr[[#This Row],[Tow]],-12,0),0)+OFFSET(TblConstr[[#This Row],[Tot Tow]],-1,0)-TblConstr[[#This Row],[Dest Tow]]</f>
        <v>0</v>
      </c>
      <c r="BM133" s="491" cm="1">
        <f t="array" aca="1" ref="BM133" ca="1">IF(TblConstr[[#This Row],[Hour]:[Hour]]&gt;12,OFFSET(TblConstr[[#This Row],[Tem]],-12,0),0)+OFFSET(TblConstr[[#This Row],[Tot Tem]],-1,0)-TblConstr[[#This Row],[Dest Tem]]</f>
        <v>0</v>
      </c>
      <c r="BN133" s="491"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44410.124999999687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1">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81">
        <f ca="1">OFFSET(TblConstr[[#This Row],[Mountain]],-1,0)+TblConstr[[#This Row],[Ch_Mountain]]</f>
        <v>20</v>
      </c>
      <c r="J134" s="485">
        <f ca="1">OFFSET(TblConstr[[#This Row],[Hill]],-1,0)+TblConstr[[#This Row],[Ch_Hill]]</f>
        <v>20</v>
      </c>
      <c r="K134" s="489">
        <f ca="1">OFFSET(TblConstr[[#This Row],[Swamp]],-1,0)+TblConstr[[#This Row],[Ch_Swamp]]</f>
        <v>20</v>
      </c>
      <c r="L134" s="239">
        <f ca="1">OFFSET(TblConstr[[#This Row],[Cavern]],-1,0)+TblConstr[[#This Row],[Ch_Cavern]]</f>
        <v>20</v>
      </c>
      <c r="M134" s="240">
        <f ca="1">OFFSET(TblConstr[[#This Row],[Water]],-1,0)+TblConstr[[#This Row],[Ch_Water]]</f>
        <v>20</v>
      </c>
      <c r="N134" s="479">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44410.166666666351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3" cm="1">
        <f t="array" aca="1" ref="BF134" ca="1">IF(TblConstr[[#This Row],[Hour]:[Hour]]&gt;12,OFFSET(TblConstr[[#This Row],[OM]],-12,0),0)+OFFSET(TblConstr[[#This Row],[Tot OM]],-1,0)-TblConstr[[#This Row],[Dest OM]]</f>
        <v>0</v>
      </c>
      <c r="BG134" s="483" cm="1">
        <f t="array" aca="1" ref="BG134" ca="1">IF(TblConstr[[#This Row],[Hour]:[Hour]]&gt;12,OFFSET(TblConstr[[#This Row],[GN]],-12,0),0)+OFFSET(TblConstr[[#This Row],[Tot GN]],-1,0)-TblConstr[[#This Row],[Dest GN]]</f>
        <v>0</v>
      </c>
      <c r="BH134" s="487" cm="1">
        <f t="array" aca="1" ref="BH134" ca="1">IF(TblConstr[[#This Row],[Hour]:[Hour]]&gt;12,OFFSET(TblConstr[[#This Row],[Fac]],-12,0),0)+OFFSET(TblConstr[[#This Row],[Tot Fac]],-1,0)-TblConstr[[#This Row],[Dest Fac]]</f>
        <v>0</v>
      </c>
      <c r="BI134" s="487" cm="1">
        <f t="array" aca="1" ref="BI134" ca="1">IF(TblConstr[[#This Row],[Hour]:[Hour]]&gt;12,OFFSET(TblConstr[[#This Row],[GT]],-12,0),0)+OFFSET(TblConstr[[#This Row],[Tot GT]],-1,0)-TblConstr[[#This Row],[Dest GT]]</f>
        <v>0</v>
      </c>
      <c r="BJ134" s="487" cm="1">
        <f t="array" aca="1" ref="BJ134" ca="1">IF(TblConstr[[#This Row],[Hour]:[Hour]]&gt;12,OFFSET(TblConstr[[#This Row],[Bar]],-12,0),0)+OFFSET(TblConstr[[#This Row],[Tot Bar]],-1,0)-TblConstr[[#This Row],[Dest Bar]]</f>
        <v>0</v>
      </c>
      <c r="BK134" s="487" cm="1">
        <f t="array" aca="1" ref="BK134" ca="1">IF(TblConstr[[#This Row],[Hour]:[Hour]]&gt;12,OFFSET(TblConstr[[#This Row],[Shr]],-12,0),0)+OFFSET(TblConstr[[#This Row],[Tot Shr]],-1,0)-TblConstr[[#This Row],[Dest Shr]]</f>
        <v>0</v>
      </c>
      <c r="BL134" s="491" cm="1">
        <f t="array" aca="1" ref="BL134" ca="1">IF(TblConstr[[#This Row],[Hour]:[Hour]]&gt;12,OFFSET(TblConstr[[#This Row],[Tow]],-12,0),0)+OFFSET(TblConstr[[#This Row],[Tot Tow]],-1,0)-TblConstr[[#This Row],[Dest Tow]]</f>
        <v>0</v>
      </c>
      <c r="BM134" s="491" cm="1">
        <f t="array" aca="1" ref="BM134" ca="1">IF(TblConstr[[#This Row],[Hour]:[Hour]]&gt;12,OFFSET(TblConstr[[#This Row],[Tem]],-12,0),0)+OFFSET(TblConstr[[#This Row],[Tot Tem]],-1,0)-TblConstr[[#This Row],[Dest Tem]]</f>
        <v>0</v>
      </c>
      <c r="BN134" s="491"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44410.166666666351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1">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81">
        <f ca="1">OFFSET(TblConstr[[#This Row],[Mountain]],-1,0)+TblConstr[[#This Row],[Ch_Mountain]]</f>
        <v>20</v>
      </c>
      <c r="J135" s="485">
        <f ca="1">OFFSET(TblConstr[[#This Row],[Hill]],-1,0)+TblConstr[[#This Row],[Ch_Hill]]</f>
        <v>20</v>
      </c>
      <c r="K135" s="489">
        <f ca="1">OFFSET(TblConstr[[#This Row],[Swamp]],-1,0)+TblConstr[[#This Row],[Ch_Swamp]]</f>
        <v>20</v>
      </c>
      <c r="L135" s="239">
        <f ca="1">OFFSET(TblConstr[[#This Row],[Cavern]],-1,0)+TblConstr[[#This Row],[Ch_Cavern]]</f>
        <v>20</v>
      </c>
      <c r="M135" s="240">
        <f ca="1">OFFSET(TblConstr[[#This Row],[Water]],-1,0)+TblConstr[[#This Row],[Ch_Water]]</f>
        <v>20</v>
      </c>
      <c r="N135" s="479">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44410.208333333016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3" cm="1">
        <f t="array" aca="1" ref="BF135" ca="1">IF(TblConstr[[#This Row],[Hour]:[Hour]]&gt;12,OFFSET(TblConstr[[#This Row],[OM]],-12,0),0)+OFFSET(TblConstr[[#This Row],[Tot OM]],-1,0)-TblConstr[[#This Row],[Dest OM]]</f>
        <v>0</v>
      </c>
      <c r="BG135" s="483" cm="1">
        <f t="array" aca="1" ref="BG135" ca="1">IF(TblConstr[[#This Row],[Hour]:[Hour]]&gt;12,OFFSET(TblConstr[[#This Row],[GN]],-12,0),0)+OFFSET(TblConstr[[#This Row],[Tot GN]],-1,0)-TblConstr[[#This Row],[Dest GN]]</f>
        <v>0</v>
      </c>
      <c r="BH135" s="487" cm="1">
        <f t="array" aca="1" ref="BH135" ca="1">IF(TblConstr[[#This Row],[Hour]:[Hour]]&gt;12,OFFSET(TblConstr[[#This Row],[Fac]],-12,0),0)+OFFSET(TblConstr[[#This Row],[Tot Fac]],-1,0)-TblConstr[[#This Row],[Dest Fac]]</f>
        <v>0</v>
      </c>
      <c r="BI135" s="487" cm="1">
        <f t="array" aca="1" ref="BI135" ca="1">IF(TblConstr[[#This Row],[Hour]:[Hour]]&gt;12,OFFSET(TblConstr[[#This Row],[GT]],-12,0),0)+OFFSET(TblConstr[[#This Row],[Tot GT]],-1,0)-TblConstr[[#This Row],[Dest GT]]</f>
        <v>0</v>
      </c>
      <c r="BJ135" s="487" cm="1">
        <f t="array" aca="1" ref="BJ135" ca="1">IF(TblConstr[[#This Row],[Hour]:[Hour]]&gt;12,OFFSET(TblConstr[[#This Row],[Bar]],-12,0),0)+OFFSET(TblConstr[[#This Row],[Tot Bar]],-1,0)-TblConstr[[#This Row],[Dest Bar]]</f>
        <v>0</v>
      </c>
      <c r="BK135" s="487" cm="1">
        <f t="array" aca="1" ref="BK135" ca="1">IF(TblConstr[[#This Row],[Hour]:[Hour]]&gt;12,OFFSET(TblConstr[[#This Row],[Shr]],-12,0),0)+OFFSET(TblConstr[[#This Row],[Tot Shr]],-1,0)-TblConstr[[#This Row],[Dest Shr]]</f>
        <v>0</v>
      </c>
      <c r="BL135" s="491" cm="1">
        <f t="array" aca="1" ref="BL135" ca="1">IF(TblConstr[[#This Row],[Hour]:[Hour]]&gt;12,OFFSET(TblConstr[[#This Row],[Tow]],-12,0),0)+OFFSET(TblConstr[[#This Row],[Tot Tow]],-1,0)-TblConstr[[#This Row],[Dest Tow]]</f>
        <v>0</v>
      </c>
      <c r="BM135" s="491" cm="1">
        <f t="array" aca="1" ref="BM135" ca="1">IF(TblConstr[[#This Row],[Hour]:[Hour]]&gt;12,OFFSET(TblConstr[[#This Row],[Tem]],-12,0),0)+OFFSET(TblConstr[[#This Row],[Tot Tem]],-1,0)-TblConstr[[#This Row],[Dest Tem]]</f>
        <v>0</v>
      </c>
      <c r="BN135" s="491"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44410.208333333016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1">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81">
        <f ca="1">OFFSET(TblConstr[[#This Row],[Mountain]],-1,0)+TblConstr[[#This Row],[Ch_Mountain]]</f>
        <v>20</v>
      </c>
      <c r="J136" s="485">
        <f ca="1">OFFSET(TblConstr[[#This Row],[Hill]],-1,0)+TblConstr[[#This Row],[Ch_Hill]]</f>
        <v>20</v>
      </c>
      <c r="K136" s="489">
        <f ca="1">OFFSET(TblConstr[[#This Row],[Swamp]],-1,0)+TblConstr[[#This Row],[Ch_Swamp]]</f>
        <v>20</v>
      </c>
      <c r="L136" s="239">
        <f ca="1">OFFSET(TblConstr[[#This Row],[Cavern]],-1,0)+TblConstr[[#This Row],[Ch_Cavern]]</f>
        <v>20</v>
      </c>
      <c r="M136" s="240">
        <f ca="1">OFFSET(TblConstr[[#This Row],[Water]],-1,0)+TblConstr[[#This Row],[Ch_Water]]</f>
        <v>20</v>
      </c>
      <c r="N136" s="479">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44410.24999999968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3" cm="1">
        <f t="array" aca="1" ref="BF136" ca="1">IF(TblConstr[[#This Row],[Hour]:[Hour]]&gt;12,OFFSET(TblConstr[[#This Row],[OM]],-12,0),0)+OFFSET(TblConstr[[#This Row],[Tot OM]],-1,0)-TblConstr[[#This Row],[Dest OM]]</f>
        <v>0</v>
      </c>
      <c r="BG136" s="483" cm="1">
        <f t="array" aca="1" ref="BG136" ca="1">IF(TblConstr[[#This Row],[Hour]:[Hour]]&gt;12,OFFSET(TblConstr[[#This Row],[GN]],-12,0),0)+OFFSET(TblConstr[[#This Row],[Tot GN]],-1,0)-TblConstr[[#This Row],[Dest GN]]</f>
        <v>0</v>
      </c>
      <c r="BH136" s="487" cm="1">
        <f t="array" aca="1" ref="BH136" ca="1">IF(TblConstr[[#This Row],[Hour]:[Hour]]&gt;12,OFFSET(TblConstr[[#This Row],[Fac]],-12,0),0)+OFFSET(TblConstr[[#This Row],[Tot Fac]],-1,0)-TblConstr[[#This Row],[Dest Fac]]</f>
        <v>0</v>
      </c>
      <c r="BI136" s="487" cm="1">
        <f t="array" aca="1" ref="BI136" ca="1">IF(TblConstr[[#This Row],[Hour]:[Hour]]&gt;12,OFFSET(TblConstr[[#This Row],[GT]],-12,0),0)+OFFSET(TblConstr[[#This Row],[Tot GT]],-1,0)-TblConstr[[#This Row],[Dest GT]]</f>
        <v>0</v>
      </c>
      <c r="BJ136" s="487" cm="1">
        <f t="array" aca="1" ref="BJ136" ca="1">IF(TblConstr[[#This Row],[Hour]:[Hour]]&gt;12,OFFSET(TblConstr[[#This Row],[Bar]],-12,0),0)+OFFSET(TblConstr[[#This Row],[Tot Bar]],-1,0)-TblConstr[[#This Row],[Dest Bar]]</f>
        <v>0</v>
      </c>
      <c r="BK136" s="487" cm="1">
        <f t="array" aca="1" ref="BK136" ca="1">IF(TblConstr[[#This Row],[Hour]:[Hour]]&gt;12,OFFSET(TblConstr[[#This Row],[Shr]],-12,0),0)+OFFSET(TblConstr[[#This Row],[Tot Shr]],-1,0)-TblConstr[[#This Row],[Dest Shr]]</f>
        <v>0</v>
      </c>
      <c r="BL136" s="491" cm="1">
        <f t="array" aca="1" ref="BL136" ca="1">IF(TblConstr[[#This Row],[Hour]:[Hour]]&gt;12,OFFSET(TblConstr[[#This Row],[Tow]],-12,0),0)+OFFSET(TblConstr[[#This Row],[Tot Tow]],-1,0)-TblConstr[[#This Row],[Dest Tow]]</f>
        <v>0</v>
      </c>
      <c r="BM136" s="491" cm="1">
        <f t="array" aca="1" ref="BM136" ca="1">IF(TblConstr[[#This Row],[Hour]:[Hour]]&gt;12,OFFSET(TblConstr[[#This Row],[Tem]],-12,0),0)+OFFSET(TblConstr[[#This Row],[Tot Tem]],-1,0)-TblConstr[[#This Row],[Dest Tem]]</f>
        <v>0</v>
      </c>
      <c r="BN136" s="491"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44410.24999999968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1">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0" t="s">
        <v>327</v>
      </c>
      <c r="B1269" s="551"/>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57" priority="67" stopIfTrue="1">
      <formula>XEZ137&lt;0</formula>
    </cfRule>
  </conditionalFormatting>
  <conditionalFormatting sqref="A137:D1268 A1271:D65537 F1271:H65537 F137:H1268">
    <cfRule type="expression" dxfId="56" priority="68" stopIfTrue="1">
      <formula>XEV137&lt;0</formula>
    </cfRule>
  </conditionalFormatting>
  <conditionalFormatting sqref="E1271:E65537 E137:E1268">
    <cfRule type="expression" dxfId="55" priority="69" stopIfTrue="1">
      <formula>XEU137&lt;0</formula>
    </cfRule>
  </conditionalFormatting>
  <conditionalFormatting sqref="DI1271:DJ52023 O1271:AG52052 O137:AG1268 BV1271:DH52052 BV137:DJ1268">
    <cfRule type="expression" dxfId="54" priority="70" stopIfTrue="1">
      <formula>ROW()-2=#REF!</formula>
    </cfRule>
  </conditionalFormatting>
  <conditionalFormatting sqref="A1269:AG1270 BV1269:DJ1270">
    <cfRule type="expression" dxfId="53" priority="71" stopIfTrue="1">
      <formula>$A$1270&gt;144</formula>
    </cfRule>
  </conditionalFormatting>
  <conditionalFormatting sqref="K1271:L65537 K137:L1268">
    <cfRule type="expression" dxfId="52" priority="89" stopIfTrue="1">
      <formula>A137&lt;0</formula>
    </cfRule>
  </conditionalFormatting>
  <conditionalFormatting sqref="AY4:BQ136">
    <cfRule type="expression" dxfId="51" priority="1" stopIfTrue="1">
      <formula>OR(AY4&lt;0,ROW()-3=$A$1270)</formula>
    </cfRule>
  </conditionalFormatting>
  <conditionalFormatting sqref="I1271:J65537 I137:J1268">
    <cfRule type="expression" dxfId="50" priority="92" stopIfTrue="1">
      <formula>A137&lt;0</formula>
    </cfRule>
  </conditionalFormatting>
  <conditionalFormatting sqref="A4:DJ136">
    <cfRule type="expression" dxfId="49" priority="7" stopIfTrue="1">
      <formula>ROW()-3=$A$1270</formula>
    </cfRule>
    <cfRule type="expression" dxfId="48" priority="130">
      <formula>$A4=73</formula>
    </cfRule>
    <cfRule type="expression" dxfId="47" priority="131">
      <formula>ROUND(($A4-1)/12,0)=INT($A4-1)/12</formula>
    </cfRule>
  </conditionalFormatting>
  <conditionalFormatting sqref="A1:XFD3">
    <cfRule type="expression" dxfId="46"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2" t="s">
        <v>312</v>
      </c>
      <c r="M1" s="541"/>
      <c r="N1" s="541"/>
      <c r="O1" s="541"/>
      <c r="P1" s="541"/>
      <c r="Q1" s="541"/>
      <c r="R1" s="174"/>
      <c r="S1" s="90" t="s">
        <v>366</v>
      </c>
      <c r="T1" s="90" t="s">
        <v>187</v>
      </c>
      <c r="AB1" s="591" t="s">
        <v>77</v>
      </c>
      <c r="AC1" s="591"/>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1062</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1055</v>
      </c>
      <c r="U3" s="176" t="s">
        <v>1056</v>
      </c>
      <c r="V3" s="176" t="s">
        <v>1057</v>
      </c>
      <c r="W3" s="176" t="s">
        <v>1058</v>
      </c>
      <c r="X3" s="176" t="s">
        <v>1059</v>
      </c>
      <c r="Y3" s="176" t="s">
        <v>1060</v>
      </c>
      <c r="Z3" s="176" t="s">
        <v>1061</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20</v>
      </c>
      <c r="F4" s="481">
        <f ca="1">TblConstr[[#This Row],[Mountain]]</f>
        <v>20</v>
      </c>
      <c r="G4" s="485">
        <f ca="1">TblConstr[[#This Row],[Hill]]</f>
        <v>20</v>
      </c>
      <c r="H4" s="489">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44404.75</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81">
        <f ca="1">TblConstr[[#This Row],[Mountain]]</f>
        <v>20</v>
      </c>
      <c r="G5" s="485">
        <f ca="1">TblConstr[[#This Row],[Hill]]</f>
        <v>20</v>
      </c>
      <c r="H5" s="489">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44404.791666666664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81">
        <f ca="1">TblConstr[[#This Row],[Mountain]]</f>
        <v>20</v>
      </c>
      <c r="G6" s="485">
        <f ca="1">TblConstr[[#This Row],[Hill]]</f>
        <v>20</v>
      </c>
      <c r="H6" s="489">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44404.833333333328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81">
        <f ca="1">TblConstr[[#This Row],[Mountain]]</f>
        <v>20</v>
      </c>
      <c r="G7" s="485">
        <f ca="1">TblConstr[[#This Row],[Hill]]</f>
        <v>20</v>
      </c>
      <c r="H7" s="489">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44404.874999999993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81">
        <f ca="1">TblConstr[[#This Row],[Mountain]]</f>
        <v>20</v>
      </c>
      <c r="G8" s="485">
        <f ca="1">TblConstr[[#This Row],[Hill]]</f>
        <v>20</v>
      </c>
      <c r="H8" s="489">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44404.916666666657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81">
        <f ca="1">TblConstr[[#This Row],[Mountain]]</f>
        <v>20</v>
      </c>
      <c r="G9" s="485">
        <f ca="1">TblConstr[[#This Row],[Hill]]</f>
        <v>20</v>
      </c>
      <c r="H9" s="489">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44404.958333333321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81">
        <f ca="1">TblConstr[[#This Row],[Mountain]]</f>
        <v>20</v>
      </c>
      <c r="G10" s="485">
        <f ca="1">TblConstr[[#This Row],[Hill]]</f>
        <v>20</v>
      </c>
      <c r="H10" s="489">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44404.999999999985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81">
        <f ca="1">TblConstr[[#This Row],[Mountain]]</f>
        <v>20</v>
      </c>
      <c r="G11" s="485">
        <f ca="1">TblConstr[[#This Row],[Hill]]</f>
        <v>20</v>
      </c>
      <c r="H11" s="489">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44405.04166666665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81">
        <f ca="1">TblConstr[[#This Row],[Mountain]]</f>
        <v>20</v>
      </c>
      <c r="G12" s="485">
        <f ca="1">TblConstr[[#This Row],[Hill]]</f>
        <v>20</v>
      </c>
      <c r="H12" s="489">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44405.083333333314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81">
        <f ca="1">TblConstr[[#This Row],[Mountain]]</f>
        <v>20</v>
      </c>
      <c r="G13" s="485">
        <f ca="1">TblConstr[[#This Row],[Hill]]</f>
        <v>20</v>
      </c>
      <c r="H13" s="489">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44405.124999999978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81">
        <f ca="1">TblConstr[[#This Row],[Mountain]]</f>
        <v>20</v>
      </c>
      <c r="G14" s="485">
        <f ca="1">TblConstr[[#This Row],[Hill]]</f>
        <v>20</v>
      </c>
      <c r="H14" s="489">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44405.166666666642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81">
        <f ca="1">TblConstr[[#This Row],[Mountain]]</f>
        <v>20</v>
      </c>
      <c r="G15" s="485">
        <f ca="1">TblConstr[[#This Row],[Hill]]</f>
        <v>20</v>
      </c>
      <c r="H15" s="489">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44405.208333333307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81">
        <f ca="1">TblConstr[[#This Row],[Mountain]]</f>
        <v>20</v>
      </c>
      <c r="G16" s="485">
        <f ca="1">TblConstr[[#This Row],[Hill]]</f>
        <v>20</v>
      </c>
      <c r="H16" s="489">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44405.249999999971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81">
        <f ca="1">TblConstr[[#This Row],[Mountain]]</f>
        <v>20</v>
      </c>
      <c r="G17" s="485">
        <f ca="1">TblConstr[[#This Row],[Hill]]</f>
        <v>20</v>
      </c>
      <c r="H17" s="489">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44405.291666666635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81">
        <f ca="1">TblConstr[[#This Row],[Mountain]]</f>
        <v>20</v>
      </c>
      <c r="G18" s="485">
        <f ca="1">TblConstr[[#This Row],[Hill]]</f>
        <v>20</v>
      </c>
      <c r="H18" s="489">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44405.333333333299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81">
        <f ca="1">TblConstr[[#This Row],[Mountain]]</f>
        <v>20</v>
      </c>
      <c r="G19" s="485">
        <f ca="1">TblConstr[[#This Row],[Hill]]</f>
        <v>20</v>
      </c>
      <c r="H19" s="489">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44405.374999999964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81">
        <f ca="1">TblConstr[[#This Row],[Mountain]]</f>
        <v>20</v>
      </c>
      <c r="G20" s="485">
        <f ca="1">TblConstr[[#This Row],[Hill]]</f>
        <v>20</v>
      </c>
      <c r="H20" s="489">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44405.416666666628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81">
        <f ca="1">TblConstr[[#This Row],[Mountain]]</f>
        <v>20</v>
      </c>
      <c r="G21" s="485">
        <f ca="1">TblConstr[[#This Row],[Hill]]</f>
        <v>20</v>
      </c>
      <c r="H21" s="489">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44405.458333333292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81">
        <f ca="1">TblConstr[[#This Row],[Mountain]]</f>
        <v>20</v>
      </c>
      <c r="G22" s="485">
        <f ca="1">TblConstr[[#This Row],[Hill]]</f>
        <v>20</v>
      </c>
      <c r="H22" s="489">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44405.499999999956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81">
        <f ca="1">TblConstr[[#This Row],[Mountain]]</f>
        <v>20</v>
      </c>
      <c r="G23" s="485">
        <f ca="1">TblConstr[[#This Row],[Hill]]</f>
        <v>20</v>
      </c>
      <c r="H23" s="489">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44405.541666666621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81">
        <f ca="1">TblConstr[[#This Row],[Mountain]]</f>
        <v>20</v>
      </c>
      <c r="G24" s="485">
        <f ca="1">TblConstr[[#This Row],[Hill]]</f>
        <v>20</v>
      </c>
      <c r="H24" s="489">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44405.583333333285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81">
        <f ca="1">TblConstr[[#This Row],[Mountain]]</f>
        <v>20</v>
      </c>
      <c r="G25" s="485">
        <f ca="1">TblConstr[[#This Row],[Hill]]</f>
        <v>20</v>
      </c>
      <c r="H25" s="489">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44405.624999999949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81">
        <f ca="1">TblConstr[[#This Row],[Mountain]]</f>
        <v>20</v>
      </c>
      <c r="G26" s="485">
        <f ca="1">TblConstr[[#This Row],[Hill]]</f>
        <v>20</v>
      </c>
      <c r="H26" s="489">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44405.666666666613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81">
        <f ca="1">TblConstr[[#This Row],[Mountain]]</f>
        <v>20</v>
      </c>
      <c r="G27" s="485">
        <f ca="1">TblConstr[[#This Row],[Hill]]</f>
        <v>20</v>
      </c>
      <c r="H27" s="489">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44405.708333333278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81">
        <f ca="1">TblConstr[[#This Row],[Mountain]]</f>
        <v>20</v>
      </c>
      <c r="G28" s="485">
        <f ca="1">TblConstr[[#This Row],[Hill]]</f>
        <v>20</v>
      </c>
      <c r="H28" s="489">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44405.749999999942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81">
        <f ca="1">TblConstr[[#This Row],[Mountain]]</f>
        <v>20</v>
      </c>
      <c r="G29" s="485">
        <f ca="1">TblConstr[[#This Row],[Hill]]</f>
        <v>20</v>
      </c>
      <c r="H29" s="489">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44405.791666666606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81">
        <f ca="1">TblConstr[[#This Row],[Mountain]]</f>
        <v>20</v>
      </c>
      <c r="G30" s="485">
        <f ca="1">TblConstr[[#This Row],[Hill]]</f>
        <v>20</v>
      </c>
      <c r="H30" s="489">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44405.83333333327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81">
        <f ca="1">TblConstr[[#This Row],[Mountain]]</f>
        <v>20</v>
      </c>
      <c r="G31" s="485">
        <f ca="1">TblConstr[[#This Row],[Hill]]</f>
        <v>20</v>
      </c>
      <c r="H31" s="489">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44405.874999999935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81">
        <f ca="1">TblConstr[[#This Row],[Mountain]]</f>
        <v>20</v>
      </c>
      <c r="G32" s="485">
        <f ca="1">TblConstr[[#This Row],[Hill]]</f>
        <v>20</v>
      </c>
      <c r="H32" s="489">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44405.916666666599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81">
        <f ca="1">TblConstr[[#This Row],[Mountain]]</f>
        <v>20</v>
      </c>
      <c r="G33" s="485">
        <f ca="1">TblConstr[[#This Row],[Hill]]</f>
        <v>20</v>
      </c>
      <c r="H33" s="489">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44405.958333333263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81">
        <f ca="1">TblConstr[[#This Row],[Mountain]]</f>
        <v>20</v>
      </c>
      <c r="G34" s="485">
        <f ca="1">TblConstr[[#This Row],[Hill]]</f>
        <v>20</v>
      </c>
      <c r="H34" s="489">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44405.999999999927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81">
        <f ca="1">TblConstr[[#This Row],[Mountain]]</f>
        <v>20</v>
      </c>
      <c r="G35" s="485">
        <f ca="1">TblConstr[[#This Row],[Hill]]</f>
        <v>20</v>
      </c>
      <c r="H35" s="489">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44406.041666666591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81">
        <f ca="1">TblConstr[[#This Row],[Mountain]]</f>
        <v>20</v>
      </c>
      <c r="G36" s="485">
        <f ca="1">TblConstr[[#This Row],[Hill]]</f>
        <v>20</v>
      </c>
      <c r="H36" s="489">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44406.083333333256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81">
        <f ca="1">TblConstr[[#This Row],[Mountain]]</f>
        <v>20</v>
      </c>
      <c r="G37" s="485">
        <f ca="1">TblConstr[[#This Row],[Hill]]</f>
        <v>20</v>
      </c>
      <c r="H37" s="489">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44406.12499999992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81">
        <f ca="1">TblConstr[[#This Row],[Mountain]]</f>
        <v>20</v>
      </c>
      <c r="G38" s="485">
        <f ca="1">TblConstr[[#This Row],[Hill]]</f>
        <v>20</v>
      </c>
      <c r="H38" s="489">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44406.166666666584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81">
        <f ca="1">TblConstr[[#This Row],[Mountain]]</f>
        <v>20</v>
      </c>
      <c r="G39" s="485">
        <f ca="1">TblConstr[[#This Row],[Hill]]</f>
        <v>20</v>
      </c>
      <c r="H39" s="489">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44406.208333333248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81">
        <f ca="1">TblConstr[[#This Row],[Mountain]]</f>
        <v>20</v>
      </c>
      <c r="G40" s="485">
        <f ca="1">TblConstr[[#This Row],[Hill]]</f>
        <v>20</v>
      </c>
      <c r="H40" s="489">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44406.249999999913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81">
        <f ca="1">TblConstr[[#This Row],[Mountain]]</f>
        <v>20</v>
      </c>
      <c r="G41" s="485">
        <f ca="1">TblConstr[[#This Row],[Hill]]</f>
        <v>20</v>
      </c>
      <c r="H41" s="489">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44406.291666666577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81">
        <f ca="1">TblConstr[[#This Row],[Mountain]]</f>
        <v>20</v>
      </c>
      <c r="G42" s="485">
        <f ca="1">TblConstr[[#This Row],[Hill]]</f>
        <v>20</v>
      </c>
      <c r="H42" s="489">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44406.333333333241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81">
        <f ca="1">TblConstr[[#This Row],[Mountain]]</f>
        <v>20</v>
      </c>
      <c r="G43" s="485">
        <f ca="1">TblConstr[[#This Row],[Hill]]</f>
        <v>20</v>
      </c>
      <c r="H43" s="489">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44406.374999999905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81">
        <f ca="1">TblConstr[[#This Row],[Mountain]]</f>
        <v>20</v>
      </c>
      <c r="G44" s="485">
        <f ca="1">TblConstr[[#This Row],[Hill]]</f>
        <v>20</v>
      </c>
      <c r="H44" s="489">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44406.41666666657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81">
        <f ca="1">TblConstr[[#This Row],[Mountain]]</f>
        <v>20</v>
      </c>
      <c r="G45" s="485">
        <f ca="1">TblConstr[[#This Row],[Hill]]</f>
        <v>20</v>
      </c>
      <c r="H45" s="489">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44406.458333333234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81">
        <f ca="1">TblConstr[[#This Row],[Mountain]]</f>
        <v>20</v>
      </c>
      <c r="G46" s="485">
        <f ca="1">TblConstr[[#This Row],[Hill]]</f>
        <v>20</v>
      </c>
      <c r="H46" s="489">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44406.499999999898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81">
        <f ca="1">TblConstr[[#This Row],[Mountain]]</f>
        <v>20</v>
      </c>
      <c r="G47" s="485">
        <f ca="1">TblConstr[[#This Row],[Hill]]</f>
        <v>20</v>
      </c>
      <c r="H47" s="489">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44406.541666666562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81">
        <f ca="1">TblConstr[[#This Row],[Mountain]]</f>
        <v>20</v>
      </c>
      <c r="G48" s="485">
        <f ca="1">TblConstr[[#This Row],[Hill]]</f>
        <v>20</v>
      </c>
      <c r="H48" s="489">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44406.583333333227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81">
        <f ca="1">TblConstr[[#This Row],[Mountain]]</f>
        <v>20</v>
      </c>
      <c r="G49" s="485">
        <f ca="1">TblConstr[[#This Row],[Hill]]</f>
        <v>20</v>
      </c>
      <c r="H49" s="489">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44406.624999999891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81">
        <f ca="1">TblConstr[[#This Row],[Mountain]]</f>
        <v>20</v>
      </c>
      <c r="G50" s="485">
        <f ca="1">TblConstr[[#This Row],[Hill]]</f>
        <v>20</v>
      </c>
      <c r="H50" s="489">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44406.666666666555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81">
        <f ca="1">TblConstr[[#This Row],[Mountain]]</f>
        <v>20</v>
      </c>
      <c r="G51" s="485">
        <f ca="1">TblConstr[[#This Row],[Hill]]</f>
        <v>20</v>
      </c>
      <c r="H51" s="489">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44406.708333333219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81">
        <f ca="1">TblConstr[[#This Row],[Mountain]]</f>
        <v>20</v>
      </c>
      <c r="G52" s="485">
        <f ca="1">TblConstr[[#This Row],[Hill]]</f>
        <v>20</v>
      </c>
      <c r="H52" s="489">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44406.749999999884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81">
        <f ca="1">TblConstr[[#This Row],[Mountain]]</f>
        <v>20</v>
      </c>
      <c r="G53" s="485">
        <f ca="1">TblConstr[[#This Row],[Hill]]</f>
        <v>20</v>
      </c>
      <c r="H53" s="489">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44406.791666666548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81">
        <f ca="1">TblConstr[[#This Row],[Mountain]]</f>
        <v>20</v>
      </c>
      <c r="G54" s="485">
        <f ca="1">TblConstr[[#This Row],[Hill]]</f>
        <v>20</v>
      </c>
      <c r="H54" s="489">
        <f ca="1">TblConstr[[#This Row],[Swamp]]</f>
        <v>20</v>
      </c>
      <c r="I54" s="239">
        <f ca="1">TblConstr[[#This Row],[Cavern]]</f>
        <v>20</v>
      </c>
      <c r="J54" s="240">
        <f ca="1">TblConstr[[#This Row],[Water]]</f>
        <v>20</v>
      </c>
      <c r="K54" s="275"/>
      <c r="L54" s="493" t="s">
        <v>1083</v>
      </c>
      <c r="M54" s="494"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44406.833333333212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81">
        <f ca="1">TblConstr[[#This Row],[Mountain]]</f>
        <v>20</v>
      </c>
      <c r="G55" s="485">
        <f ca="1">TblConstr[[#This Row],[Hill]]</f>
        <v>20</v>
      </c>
      <c r="H55" s="489">
        <f ca="1">TblConstr[[#This Row],[Swamp]]</f>
        <v>20</v>
      </c>
      <c r="I55" s="239">
        <f ca="1">TblConstr[[#This Row],[Cavern]]</f>
        <v>20</v>
      </c>
      <c r="J55" s="240">
        <f ca="1">TblConstr[[#This Row],[Water]]</f>
        <v>20</v>
      </c>
      <c r="K55" s="275"/>
      <c r="L55" s="495">
        <v>4</v>
      </c>
      <c r="M55" s="496">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44406.874999999876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81">
        <f ca="1">TblConstr[[#This Row],[Mountain]]</f>
        <v>20</v>
      </c>
      <c r="G56" s="485">
        <f ca="1">TblConstr[[#This Row],[Hill]]</f>
        <v>20</v>
      </c>
      <c r="H56" s="489">
        <f ca="1">TblConstr[[#This Row],[Swamp]]</f>
        <v>20</v>
      </c>
      <c r="I56" s="239">
        <f ca="1">TblConstr[[#This Row],[Cavern]]</f>
        <v>20</v>
      </c>
      <c r="J56" s="240">
        <f ca="1">TblConstr[[#This Row],[Water]]</f>
        <v>20</v>
      </c>
      <c r="K56" s="275"/>
      <c r="L56" s="495">
        <v>5</v>
      </c>
      <c r="M56" s="496">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44406.916666666541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81">
        <f ca="1">TblConstr[[#This Row],[Mountain]]</f>
        <v>20</v>
      </c>
      <c r="G57" s="485">
        <f ca="1">TblConstr[[#This Row],[Hill]]</f>
        <v>20</v>
      </c>
      <c r="H57" s="489">
        <f ca="1">TblConstr[[#This Row],[Swamp]]</f>
        <v>20</v>
      </c>
      <c r="I57" s="239">
        <f ca="1">TblConstr[[#This Row],[Cavern]]</f>
        <v>20</v>
      </c>
      <c r="J57" s="240">
        <f ca="1">TblConstr[[#This Row],[Water]]</f>
        <v>20</v>
      </c>
      <c r="K57" s="275"/>
      <c r="L57" s="495">
        <v>6</v>
      </c>
      <c r="M57" s="496">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44406.958333333205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81">
        <f ca="1">TblConstr[[#This Row],[Mountain]]</f>
        <v>20</v>
      </c>
      <c r="G58" s="485">
        <f ca="1">TblConstr[[#This Row],[Hill]]</f>
        <v>20</v>
      </c>
      <c r="H58" s="489">
        <f ca="1">TblConstr[[#This Row],[Swamp]]</f>
        <v>20</v>
      </c>
      <c r="I58" s="239">
        <f ca="1">TblConstr[[#This Row],[Cavern]]</f>
        <v>20</v>
      </c>
      <c r="J58" s="240">
        <f ca="1">TblConstr[[#This Row],[Water]]</f>
        <v>20</v>
      </c>
      <c r="K58" s="275"/>
      <c r="L58" s="495">
        <v>7</v>
      </c>
      <c r="M58" s="496">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44406.999999999869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81">
        <f ca="1">TblConstr[[#This Row],[Mountain]]</f>
        <v>20</v>
      </c>
      <c r="G59" s="485">
        <f ca="1">TblConstr[[#This Row],[Hill]]</f>
        <v>20</v>
      </c>
      <c r="H59" s="489">
        <f ca="1">TblConstr[[#This Row],[Swamp]]</f>
        <v>20</v>
      </c>
      <c r="I59" s="239">
        <f ca="1">TblConstr[[#This Row],[Cavern]]</f>
        <v>20</v>
      </c>
      <c r="J59" s="240">
        <f ca="1">TblConstr[[#This Row],[Water]]</f>
        <v>20</v>
      </c>
      <c r="K59" s="275"/>
      <c r="L59" s="495">
        <v>8</v>
      </c>
      <c r="M59" s="496">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44407.041666666533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81">
        <f ca="1">TblConstr[[#This Row],[Mountain]]</f>
        <v>20</v>
      </c>
      <c r="G60" s="485">
        <f ca="1">TblConstr[[#This Row],[Hill]]</f>
        <v>20</v>
      </c>
      <c r="H60" s="489">
        <f ca="1">TblConstr[[#This Row],[Swamp]]</f>
        <v>20</v>
      </c>
      <c r="I60" s="239">
        <f ca="1">TblConstr[[#This Row],[Cavern]]</f>
        <v>20</v>
      </c>
      <c r="J60" s="240">
        <f ca="1">TblConstr[[#This Row],[Water]]</f>
        <v>20</v>
      </c>
      <c r="K60" s="275"/>
      <c r="L60" s="495">
        <v>9</v>
      </c>
      <c r="M60" s="496">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44407.083333333198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81">
        <f ca="1">TblConstr[[#This Row],[Mountain]]</f>
        <v>20</v>
      </c>
      <c r="G61" s="485">
        <f ca="1">TblConstr[[#This Row],[Hill]]</f>
        <v>20</v>
      </c>
      <c r="H61" s="489">
        <f ca="1">TblConstr[[#This Row],[Swamp]]</f>
        <v>20</v>
      </c>
      <c r="I61" s="239">
        <f ca="1">TblConstr[[#This Row],[Cavern]]</f>
        <v>20</v>
      </c>
      <c r="J61" s="240">
        <f ca="1">TblConstr[[#This Row],[Water]]</f>
        <v>20</v>
      </c>
      <c r="K61" s="275"/>
      <c r="L61" s="495">
        <v>10</v>
      </c>
      <c r="M61" s="496">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44407.124999999862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81">
        <f ca="1">TblConstr[[#This Row],[Mountain]]</f>
        <v>20</v>
      </c>
      <c r="G62" s="485">
        <f ca="1">TblConstr[[#This Row],[Hill]]</f>
        <v>20</v>
      </c>
      <c r="H62" s="489">
        <f ca="1">TblConstr[[#This Row],[Swamp]]</f>
        <v>20</v>
      </c>
      <c r="I62" s="239">
        <f ca="1">TblConstr[[#This Row],[Cavern]]</f>
        <v>20</v>
      </c>
      <c r="J62" s="240">
        <f ca="1">TblConstr[[#This Row],[Water]]</f>
        <v>20</v>
      </c>
      <c r="K62" s="275"/>
      <c r="L62" s="495">
        <v>11</v>
      </c>
      <c r="M62" s="496">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44407.166666666526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81">
        <f ca="1">TblConstr[[#This Row],[Mountain]]</f>
        <v>20</v>
      </c>
      <c r="G63" s="485">
        <f ca="1">TblConstr[[#This Row],[Hill]]</f>
        <v>20</v>
      </c>
      <c r="H63" s="489">
        <f ca="1">TblConstr[[#This Row],[Swamp]]</f>
        <v>20</v>
      </c>
      <c r="I63" s="239">
        <f ca="1">TblConstr[[#This Row],[Cavern]]</f>
        <v>20</v>
      </c>
      <c r="J63" s="240">
        <f ca="1">TblConstr[[#This Row],[Water]]</f>
        <v>20</v>
      </c>
      <c r="K63" s="275"/>
      <c r="L63" s="495">
        <v>12</v>
      </c>
      <c r="M63" s="496">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44407.20833333319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81">
        <f ca="1">TblConstr[[#This Row],[Mountain]]</f>
        <v>20</v>
      </c>
      <c r="G64" s="485">
        <f ca="1">TblConstr[[#This Row],[Hill]]</f>
        <v>20</v>
      </c>
      <c r="H64" s="489">
        <f ca="1">TblConstr[[#This Row],[Swamp]]</f>
        <v>20</v>
      </c>
      <c r="I64" s="239">
        <f ca="1">TblConstr[[#This Row],[Cavern]]</f>
        <v>20</v>
      </c>
      <c r="J64" s="240">
        <f ca="1">TblConstr[[#This Row],[Water]]</f>
        <v>20</v>
      </c>
      <c r="K64" s="275"/>
      <c r="L64" s="495">
        <v>13</v>
      </c>
      <c r="M64" s="496">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44407.249999999854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81">
        <f ca="1">TblConstr[[#This Row],[Mountain]]</f>
        <v>20</v>
      </c>
      <c r="G65" s="485">
        <f ca="1">TblConstr[[#This Row],[Hill]]</f>
        <v>20</v>
      </c>
      <c r="H65" s="489">
        <f ca="1">TblConstr[[#This Row],[Swamp]]</f>
        <v>20</v>
      </c>
      <c r="I65" s="239">
        <f ca="1">TblConstr[[#This Row],[Cavern]]</f>
        <v>20</v>
      </c>
      <c r="J65" s="240">
        <f ca="1">TblConstr[[#This Row],[Water]]</f>
        <v>20</v>
      </c>
      <c r="K65" s="275"/>
      <c r="L65" s="495">
        <v>14</v>
      </c>
      <c r="M65" s="496">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44407.291666666519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81">
        <f ca="1">TblConstr[[#This Row],[Mountain]]</f>
        <v>20</v>
      </c>
      <c r="G66" s="485">
        <f ca="1">TblConstr[[#This Row],[Hill]]</f>
        <v>20</v>
      </c>
      <c r="H66" s="489">
        <f ca="1">TblConstr[[#This Row],[Swamp]]</f>
        <v>20</v>
      </c>
      <c r="I66" s="239">
        <f ca="1">TblConstr[[#This Row],[Cavern]]</f>
        <v>20</v>
      </c>
      <c r="J66" s="240">
        <f ca="1">TblConstr[[#This Row],[Water]]</f>
        <v>20</v>
      </c>
      <c r="K66" s="275"/>
      <c r="L66" s="495">
        <v>15</v>
      </c>
      <c r="M66" s="496">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44407.333333333183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81">
        <f ca="1">TblConstr[[#This Row],[Mountain]]</f>
        <v>20</v>
      </c>
      <c r="G67" s="485">
        <f ca="1">TblConstr[[#This Row],[Hill]]</f>
        <v>20</v>
      </c>
      <c r="H67" s="489">
        <f ca="1">TblConstr[[#This Row],[Swamp]]</f>
        <v>20</v>
      </c>
      <c r="I67" s="239">
        <f ca="1">TblConstr[[#This Row],[Cavern]]</f>
        <v>20</v>
      </c>
      <c r="J67" s="240">
        <f ca="1">TblConstr[[#This Row],[Water]]</f>
        <v>20</v>
      </c>
      <c r="K67" s="275"/>
      <c r="L67" s="495">
        <v>16</v>
      </c>
      <c r="M67" s="496">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44407.374999999847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81">
        <f ca="1">TblConstr[[#This Row],[Mountain]]</f>
        <v>20</v>
      </c>
      <c r="G68" s="485">
        <f ca="1">TblConstr[[#This Row],[Hill]]</f>
        <v>20</v>
      </c>
      <c r="H68" s="489">
        <f ca="1">TblConstr[[#This Row],[Swamp]]</f>
        <v>20</v>
      </c>
      <c r="I68" s="239">
        <f ca="1">TblConstr[[#This Row],[Cavern]]</f>
        <v>20</v>
      </c>
      <c r="J68" s="240">
        <f ca="1">TblConstr[[#This Row],[Water]]</f>
        <v>20</v>
      </c>
      <c r="K68" s="275"/>
      <c r="L68" s="495">
        <v>17</v>
      </c>
      <c r="M68" s="496">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44407.416666666511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81">
        <f ca="1">TblConstr[[#This Row],[Mountain]]</f>
        <v>20</v>
      </c>
      <c r="G69" s="485">
        <f ca="1">TblConstr[[#This Row],[Hill]]</f>
        <v>20</v>
      </c>
      <c r="H69" s="489">
        <f ca="1">TblConstr[[#This Row],[Swamp]]</f>
        <v>20</v>
      </c>
      <c r="I69" s="239">
        <f ca="1">TblConstr[[#This Row],[Cavern]]</f>
        <v>20</v>
      </c>
      <c r="J69" s="240">
        <f ca="1">TblConstr[[#This Row],[Water]]</f>
        <v>20</v>
      </c>
      <c r="K69" s="275"/>
      <c r="L69" s="497">
        <v>18</v>
      </c>
      <c r="M69" s="498">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44407.458333333176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81">
        <f ca="1">TblConstr[[#This Row],[Mountain]]</f>
        <v>20</v>
      </c>
      <c r="G70" s="485">
        <f ca="1">TblConstr[[#This Row],[Hill]]</f>
        <v>20</v>
      </c>
      <c r="H70" s="489">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44407.49999999984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81">
        <f ca="1">TblConstr[[#This Row],[Mountain]]</f>
        <v>20</v>
      </c>
      <c r="G71" s="485">
        <f ca="1">TblConstr[[#This Row],[Hill]]</f>
        <v>20</v>
      </c>
      <c r="H71" s="489">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44407.541666666504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81">
        <f ca="1">TblConstr[[#This Row],[Mountain]]</f>
        <v>20</v>
      </c>
      <c r="G72" s="485">
        <f ca="1">TblConstr[[#This Row],[Hill]]</f>
        <v>20</v>
      </c>
      <c r="H72" s="489">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44407.583333333168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81">
        <f ca="1">TblConstr[[#This Row],[Mountain]]</f>
        <v>20</v>
      </c>
      <c r="G73" s="485">
        <f ca="1">TblConstr[[#This Row],[Hill]]</f>
        <v>20</v>
      </c>
      <c r="H73" s="489">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44407.624999999833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81">
        <f ca="1">TblConstr[[#This Row],[Mountain]]</f>
        <v>20</v>
      </c>
      <c r="G74" s="485">
        <f ca="1">TblConstr[[#This Row],[Hill]]</f>
        <v>20</v>
      </c>
      <c r="H74" s="489">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44407.666666666497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81">
        <f ca="1">TblConstr[[#This Row],[Mountain]]</f>
        <v>20</v>
      </c>
      <c r="G75" s="485">
        <f ca="1">TblConstr[[#This Row],[Hill]]</f>
        <v>20</v>
      </c>
      <c r="H75" s="489">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44407.708333333161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82">
        <f ca="1">TblConstr[[#This Row],[Mountain]]</f>
        <v>20</v>
      </c>
      <c r="G76" s="486">
        <f ca="1">TblConstr[[#This Row],[Hill]]</f>
        <v>20</v>
      </c>
      <c r="H76" s="490">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44407.749999999825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81">
        <f ca="1">TblConstr[[#This Row],[Mountain]]</f>
        <v>20</v>
      </c>
      <c r="G77" s="485">
        <f ca="1">TblConstr[[#This Row],[Hill]]</f>
        <v>20</v>
      </c>
      <c r="H77" s="489">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44407.79166666649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81">
        <f ca="1">TblConstr[[#This Row],[Mountain]]</f>
        <v>20</v>
      </c>
      <c r="G78" s="485">
        <f ca="1">TblConstr[[#This Row],[Hill]]</f>
        <v>20</v>
      </c>
      <c r="H78" s="489">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44407.833333333154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81">
        <f ca="1">TblConstr[[#This Row],[Mountain]]</f>
        <v>20</v>
      </c>
      <c r="G79" s="485">
        <f ca="1">TblConstr[[#This Row],[Hill]]</f>
        <v>20</v>
      </c>
      <c r="H79" s="489">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44407.874999999818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81">
        <f ca="1">TblConstr[[#This Row],[Mountain]]</f>
        <v>20</v>
      </c>
      <c r="G80" s="485">
        <f ca="1">TblConstr[[#This Row],[Hill]]</f>
        <v>20</v>
      </c>
      <c r="H80" s="489">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44407.916666666482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81">
        <f ca="1">TblConstr[[#This Row],[Mountain]]</f>
        <v>20</v>
      </c>
      <c r="G81" s="485">
        <f ca="1">TblConstr[[#This Row],[Hill]]</f>
        <v>20</v>
      </c>
      <c r="H81" s="489">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44407.958333333147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81">
        <f ca="1">TblConstr[[#This Row],[Mountain]]</f>
        <v>20</v>
      </c>
      <c r="G82" s="485">
        <f ca="1">TblConstr[[#This Row],[Hill]]</f>
        <v>20</v>
      </c>
      <c r="H82" s="489">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44407.999999999811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81">
        <f ca="1">TblConstr[[#This Row],[Mountain]]</f>
        <v>20</v>
      </c>
      <c r="G83" s="485">
        <f ca="1">TblConstr[[#This Row],[Hill]]</f>
        <v>20</v>
      </c>
      <c r="H83" s="489">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44408.041666666475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81">
        <f ca="1">TblConstr[[#This Row],[Mountain]]</f>
        <v>20</v>
      </c>
      <c r="G84" s="485">
        <f ca="1">TblConstr[[#This Row],[Hill]]</f>
        <v>20</v>
      </c>
      <c r="H84" s="489">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44408.083333333139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81">
        <f ca="1">TblConstr[[#This Row],[Mountain]]</f>
        <v>20</v>
      </c>
      <c r="G85" s="485">
        <f ca="1">TblConstr[[#This Row],[Hill]]</f>
        <v>20</v>
      </c>
      <c r="H85" s="489">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44408.124999999804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81">
        <f ca="1">TblConstr[[#This Row],[Mountain]]</f>
        <v>20</v>
      </c>
      <c r="G86" s="485">
        <f ca="1">TblConstr[[#This Row],[Hill]]</f>
        <v>20</v>
      </c>
      <c r="H86" s="489">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44408.166666666468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81">
        <f ca="1">TblConstr[[#This Row],[Mountain]]</f>
        <v>20</v>
      </c>
      <c r="G87" s="485">
        <f ca="1">TblConstr[[#This Row],[Hill]]</f>
        <v>20</v>
      </c>
      <c r="H87" s="489">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44408.208333333132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81">
        <f ca="1">TblConstr[[#This Row],[Mountain]]</f>
        <v>20</v>
      </c>
      <c r="G88" s="485">
        <f ca="1">TblConstr[[#This Row],[Hill]]</f>
        <v>20</v>
      </c>
      <c r="H88" s="489">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44408.249999999796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81">
        <f ca="1">TblConstr[[#This Row],[Mountain]]</f>
        <v>20</v>
      </c>
      <c r="G89" s="485">
        <f ca="1">TblConstr[[#This Row],[Hill]]</f>
        <v>20</v>
      </c>
      <c r="H89" s="489">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44408.291666666461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81">
        <f ca="1">TblConstr[[#This Row],[Mountain]]</f>
        <v>20</v>
      </c>
      <c r="G90" s="485">
        <f ca="1">TblConstr[[#This Row],[Hill]]</f>
        <v>20</v>
      </c>
      <c r="H90" s="489">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44408.333333333125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81">
        <f ca="1">TblConstr[[#This Row],[Mountain]]</f>
        <v>20</v>
      </c>
      <c r="G91" s="485">
        <f ca="1">TblConstr[[#This Row],[Hill]]</f>
        <v>20</v>
      </c>
      <c r="H91" s="489">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44408.374999999789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81">
        <f ca="1">TblConstr[[#This Row],[Mountain]]</f>
        <v>20</v>
      </c>
      <c r="G92" s="485">
        <f ca="1">TblConstr[[#This Row],[Hill]]</f>
        <v>20</v>
      </c>
      <c r="H92" s="489">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44408.416666666453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81">
        <f ca="1">TblConstr[[#This Row],[Mountain]]</f>
        <v>20</v>
      </c>
      <c r="G93" s="485">
        <f ca="1">TblConstr[[#This Row],[Hill]]</f>
        <v>20</v>
      </c>
      <c r="H93" s="489">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44408.458333333117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81">
        <f ca="1">TblConstr[[#This Row],[Mountain]]</f>
        <v>20</v>
      </c>
      <c r="G94" s="485">
        <f ca="1">TblConstr[[#This Row],[Hill]]</f>
        <v>20</v>
      </c>
      <c r="H94" s="489">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44408.499999999782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81">
        <f ca="1">TblConstr[[#This Row],[Mountain]]</f>
        <v>20</v>
      </c>
      <c r="G95" s="485">
        <f ca="1">TblConstr[[#This Row],[Hill]]</f>
        <v>20</v>
      </c>
      <c r="H95" s="489">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44408.541666666446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81">
        <f ca="1">TblConstr[[#This Row],[Mountain]]</f>
        <v>20</v>
      </c>
      <c r="G96" s="485">
        <f ca="1">TblConstr[[#This Row],[Hill]]</f>
        <v>20</v>
      </c>
      <c r="H96" s="489">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44408.58333333311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81">
        <f ca="1">TblConstr[[#This Row],[Mountain]]</f>
        <v>20</v>
      </c>
      <c r="G97" s="485">
        <f ca="1">TblConstr[[#This Row],[Hill]]</f>
        <v>20</v>
      </c>
      <c r="H97" s="489">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44408.624999999774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81">
        <f ca="1">TblConstr[[#This Row],[Mountain]]</f>
        <v>20</v>
      </c>
      <c r="G98" s="485">
        <f ca="1">TblConstr[[#This Row],[Hill]]</f>
        <v>20</v>
      </c>
      <c r="H98" s="489">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44408.666666666439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81">
        <f ca="1">TblConstr[[#This Row],[Mountain]]</f>
        <v>20</v>
      </c>
      <c r="G99" s="485">
        <f ca="1">TblConstr[[#This Row],[Hill]]</f>
        <v>20</v>
      </c>
      <c r="H99" s="489">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44408.708333333103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81">
        <f ca="1">TblConstr[[#This Row],[Mountain]]</f>
        <v>20</v>
      </c>
      <c r="G100" s="485">
        <f ca="1">TblConstr[[#This Row],[Hill]]</f>
        <v>20</v>
      </c>
      <c r="H100" s="489">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44408.749999999767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81">
        <f ca="1">TblConstr[[#This Row],[Mountain]]</f>
        <v>20</v>
      </c>
      <c r="G101" s="485">
        <f ca="1">TblConstr[[#This Row],[Hill]]</f>
        <v>20</v>
      </c>
      <c r="H101" s="489">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44408.791666666431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81">
        <f ca="1">TblConstr[[#This Row],[Mountain]]</f>
        <v>20</v>
      </c>
      <c r="G102" s="485">
        <f ca="1">TblConstr[[#This Row],[Hill]]</f>
        <v>20</v>
      </c>
      <c r="H102" s="489">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44408.833333333096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81">
        <f ca="1">TblConstr[[#This Row],[Mountain]]</f>
        <v>20</v>
      </c>
      <c r="G103" s="485">
        <f ca="1">TblConstr[[#This Row],[Hill]]</f>
        <v>20</v>
      </c>
      <c r="H103" s="489">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44408.87499999976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81">
        <f ca="1">TblConstr[[#This Row],[Mountain]]</f>
        <v>20</v>
      </c>
      <c r="G104" s="485">
        <f ca="1">TblConstr[[#This Row],[Hill]]</f>
        <v>20</v>
      </c>
      <c r="H104" s="489">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44408.916666666424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81">
        <f ca="1">TblConstr[[#This Row],[Mountain]]</f>
        <v>20</v>
      </c>
      <c r="G105" s="485">
        <f ca="1">TblConstr[[#This Row],[Hill]]</f>
        <v>20</v>
      </c>
      <c r="H105" s="489">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44408.958333333088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81">
        <f ca="1">TblConstr[[#This Row],[Mountain]]</f>
        <v>20</v>
      </c>
      <c r="G106" s="485">
        <f ca="1">TblConstr[[#This Row],[Hill]]</f>
        <v>20</v>
      </c>
      <c r="H106" s="489">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44408.999999999753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81">
        <f ca="1">TblConstr[[#This Row],[Mountain]]</f>
        <v>20</v>
      </c>
      <c r="G107" s="485">
        <f ca="1">TblConstr[[#This Row],[Hill]]</f>
        <v>20</v>
      </c>
      <c r="H107" s="489">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44409.041666666417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81">
        <f ca="1">TblConstr[[#This Row],[Mountain]]</f>
        <v>20</v>
      </c>
      <c r="G108" s="485">
        <f ca="1">TblConstr[[#This Row],[Hill]]</f>
        <v>20</v>
      </c>
      <c r="H108" s="489">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44409.083333333081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81">
        <f ca="1">TblConstr[[#This Row],[Mountain]]</f>
        <v>20</v>
      </c>
      <c r="G109" s="485">
        <f ca="1">TblConstr[[#This Row],[Hill]]</f>
        <v>20</v>
      </c>
      <c r="H109" s="489">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44409.124999999745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81">
        <f ca="1">TblConstr[[#This Row],[Mountain]]</f>
        <v>20</v>
      </c>
      <c r="G110" s="485">
        <f ca="1">TblConstr[[#This Row],[Hill]]</f>
        <v>20</v>
      </c>
      <c r="H110" s="489">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44409.16666666641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81">
        <f ca="1">TblConstr[[#This Row],[Mountain]]</f>
        <v>20</v>
      </c>
      <c r="G111" s="485">
        <f ca="1">TblConstr[[#This Row],[Hill]]</f>
        <v>20</v>
      </c>
      <c r="H111" s="489">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44409.208333333074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81">
        <f ca="1">TblConstr[[#This Row],[Mountain]]</f>
        <v>20</v>
      </c>
      <c r="G112" s="485">
        <f ca="1">TblConstr[[#This Row],[Hill]]</f>
        <v>20</v>
      </c>
      <c r="H112" s="489">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44409.249999999738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81">
        <f ca="1">TblConstr[[#This Row],[Mountain]]</f>
        <v>20</v>
      </c>
      <c r="G113" s="485">
        <f ca="1">TblConstr[[#This Row],[Hill]]</f>
        <v>20</v>
      </c>
      <c r="H113" s="489">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44409.291666666402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81">
        <f ca="1">TblConstr[[#This Row],[Mountain]]</f>
        <v>20</v>
      </c>
      <c r="G114" s="485">
        <f ca="1">TblConstr[[#This Row],[Hill]]</f>
        <v>20</v>
      </c>
      <c r="H114" s="489">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44409.333333333067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81">
        <f ca="1">TblConstr[[#This Row],[Mountain]]</f>
        <v>20</v>
      </c>
      <c r="G115" s="485">
        <f ca="1">TblConstr[[#This Row],[Hill]]</f>
        <v>20</v>
      </c>
      <c r="H115" s="489">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44409.374999999731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81">
        <f ca="1">TblConstr[[#This Row],[Mountain]]</f>
        <v>20</v>
      </c>
      <c r="G116" s="485">
        <f ca="1">TblConstr[[#This Row],[Hill]]</f>
        <v>20</v>
      </c>
      <c r="H116" s="489">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44409.416666666395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81">
        <f ca="1">TblConstr[[#This Row],[Mountain]]</f>
        <v>20</v>
      </c>
      <c r="G117" s="485">
        <f ca="1">TblConstr[[#This Row],[Hill]]</f>
        <v>20</v>
      </c>
      <c r="H117" s="489">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44409.458333333059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81">
        <f ca="1">TblConstr[[#This Row],[Mountain]]</f>
        <v>20</v>
      </c>
      <c r="G118" s="485">
        <f ca="1">TblConstr[[#This Row],[Hill]]</f>
        <v>20</v>
      </c>
      <c r="H118" s="489">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44409.499999999724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81">
        <f ca="1">TblConstr[[#This Row],[Mountain]]</f>
        <v>20</v>
      </c>
      <c r="G119" s="485">
        <f ca="1">TblConstr[[#This Row],[Hill]]</f>
        <v>20</v>
      </c>
      <c r="H119" s="489">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44409.541666666388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81">
        <f ca="1">TblConstr[[#This Row],[Mountain]]</f>
        <v>20</v>
      </c>
      <c r="G120" s="485">
        <f ca="1">TblConstr[[#This Row],[Hill]]</f>
        <v>20</v>
      </c>
      <c r="H120" s="489">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44409.583333333052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81">
        <f ca="1">TblConstr[[#This Row],[Mountain]]</f>
        <v>20</v>
      </c>
      <c r="G121" s="485">
        <f ca="1">TblConstr[[#This Row],[Hill]]</f>
        <v>20</v>
      </c>
      <c r="H121" s="489">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44409.624999999716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81">
        <f ca="1">TblConstr[[#This Row],[Mountain]]</f>
        <v>20</v>
      </c>
      <c r="G122" s="485">
        <f ca="1">TblConstr[[#This Row],[Hill]]</f>
        <v>20</v>
      </c>
      <c r="H122" s="489">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44409.66666666638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81">
        <f ca="1">TblConstr[[#This Row],[Mountain]]</f>
        <v>20</v>
      </c>
      <c r="G123" s="485">
        <f ca="1">TblConstr[[#This Row],[Hill]]</f>
        <v>20</v>
      </c>
      <c r="H123" s="489">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44409.708333333045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81">
        <f ca="1">TblConstr[[#This Row],[Mountain]]</f>
        <v>20</v>
      </c>
      <c r="G124" s="485">
        <f ca="1">TblConstr[[#This Row],[Hill]]</f>
        <v>20</v>
      </c>
      <c r="H124" s="489">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44409.749999999709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81">
        <f ca="1">TblConstr[[#This Row],[Mountain]]</f>
        <v>20</v>
      </c>
      <c r="G125" s="485">
        <f ca="1">TblConstr[[#This Row],[Hill]]</f>
        <v>20</v>
      </c>
      <c r="H125" s="489">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44409.791666666373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81">
        <f ca="1">TblConstr[[#This Row],[Mountain]]</f>
        <v>20</v>
      </c>
      <c r="G126" s="485">
        <f ca="1">TblConstr[[#This Row],[Hill]]</f>
        <v>20</v>
      </c>
      <c r="H126" s="489">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44409.833333333037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81">
        <f ca="1">TblConstr[[#This Row],[Mountain]]</f>
        <v>20</v>
      </c>
      <c r="G127" s="485">
        <f ca="1">TblConstr[[#This Row],[Hill]]</f>
        <v>20</v>
      </c>
      <c r="H127" s="489">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44409.874999999702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81">
        <f ca="1">TblConstr[[#This Row],[Mountain]]</f>
        <v>20</v>
      </c>
      <c r="G128" s="485">
        <f ca="1">TblConstr[[#This Row],[Hill]]</f>
        <v>20</v>
      </c>
      <c r="H128" s="489">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44409.916666666366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81">
        <f ca="1">TblConstr[[#This Row],[Mountain]]</f>
        <v>20</v>
      </c>
      <c r="G129" s="485">
        <f ca="1">TblConstr[[#This Row],[Hill]]</f>
        <v>20</v>
      </c>
      <c r="H129" s="489">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44409.95833333303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81">
        <f ca="1">TblConstr[[#This Row],[Mountain]]</f>
        <v>20</v>
      </c>
      <c r="G130" s="485">
        <f ca="1">TblConstr[[#This Row],[Hill]]</f>
        <v>20</v>
      </c>
      <c r="H130" s="489">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44409.999999999694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81">
        <f ca="1">TblConstr[[#This Row],[Mountain]]</f>
        <v>20</v>
      </c>
      <c r="G131" s="485">
        <f ca="1">TblConstr[[#This Row],[Hill]]</f>
        <v>20</v>
      </c>
      <c r="H131" s="489">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44410.041666666359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81">
        <f ca="1">TblConstr[[#This Row],[Mountain]]</f>
        <v>20</v>
      </c>
      <c r="G132" s="485">
        <f ca="1">TblConstr[[#This Row],[Hill]]</f>
        <v>20</v>
      </c>
      <c r="H132" s="489">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44410.083333333023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81">
        <f ca="1">TblConstr[[#This Row],[Mountain]]</f>
        <v>20</v>
      </c>
      <c r="G133" s="485">
        <f ca="1">TblConstr[[#This Row],[Hill]]</f>
        <v>20</v>
      </c>
      <c r="H133" s="489">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44410.124999999687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81">
        <f ca="1">TblConstr[[#This Row],[Mountain]]</f>
        <v>20</v>
      </c>
      <c r="G134" s="485">
        <f ca="1">TblConstr[[#This Row],[Hill]]</f>
        <v>20</v>
      </c>
      <c r="H134" s="489">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44410.166666666351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81">
        <f ca="1">TblConstr[[#This Row],[Mountain]]</f>
        <v>20</v>
      </c>
      <c r="G135" s="485">
        <f ca="1">TblConstr[[#This Row],[Hill]]</f>
        <v>20</v>
      </c>
      <c r="H135" s="489">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44410.208333333016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81">
        <f ca="1">TblConstr[[#This Row],[Mountain]]</f>
        <v>20</v>
      </c>
      <c r="G136" s="485">
        <f ca="1">TblConstr[[#This Row],[Hill]]</f>
        <v>20</v>
      </c>
      <c r="H136" s="489">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44410.24999999968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4" t="s">
        <v>327</v>
      </c>
      <c r="C1269" s="584"/>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5" priority="13" stopIfTrue="1">
      <formula>$M26&lt;$M17</formula>
    </cfRule>
    <cfRule type="expression" dxfId="44" priority="14" stopIfTrue="1">
      <formula>$M17&lt;$M26</formula>
    </cfRule>
  </conditionalFormatting>
  <conditionalFormatting sqref="C1270 D1269:AJ1270 A1269:B1270">
    <cfRule type="expression" dxfId="43" priority="11" stopIfTrue="1">
      <formula>$B$1270&gt;144</formula>
    </cfRule>
  </conditionalFormatting>
  <conditionalFormatting sqref="A4:J136 N4:AJ136">
    <cfRule type="expression" dxfId="42" priority="1" stopIfTrue="1">
      <formula>ROW()-3=$B$1270</formula>
    </cfRule>
  </conditionalFormatting>
  <conditionalFormatting sqref="D4:J136">
    <cfRule type="expression" dxfId="41" priority="2" stopIfTrue="1">
      <formula>OR(ROW()-3=$B$1270,D4&lt;0)</formula>
    </cfRule>
  </conditionalFormatting>
  <conditionalFormatting sqref="A1:XFD3">
    <cfRule type="expression" dxfId="40" priority="16" stopIfTrue="1">
      <formula>$B$1270&lt;0</formula>
    </cfRule>
  </conditionalFormatting>
  <conditionalFormatting sqref="A4:AJ136">
    <cfRule type="expression" dxfId="39" priority="3">
      <formula>$A4=73</formula>
    </cfRule>
    <cfRule type="expression" dxfId="38"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1063</v>
      </c>
      <c r="M3" s="176" t="s">
        <v>1064</v>
      </c>
      <c r="N3" s="176" t="s">
        <v>1065</v>
      </c>
      <c r="O3" s="176" t="s">
        <v>1066</v>
      </c>
      <c r="P3" s="176" t="s">
        <v>1067</v>
      </c>
      <c r="Q3" s="176" t="s">
        <v>1068</v>
      </c>
      <c r="R3" s="176" t="s">
        <v>1069</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20</v>
      </c>
      <c r="D4" s="481">
        <f ca="1">TblConstr[[#This Row],[Mountain]]</f>
        <v>20</v>
      </c>
      <c r="E4" s="485">
        <f ca="1">TblConstr[[#This Row],[Hill]]</f>
        <v>20</v>
      </c>
      <c r="F4" s="489">
        <f ca="1">TblConstr[[#This Row],[Swamp]]</f>
        <v>20</v>
      </c>
      <c r="G4" s="239">
        <f ca="1">TblConstr[[#This Row],[Cavern]]</f>
        <v>20</v>
      </c>
      <c r="H4" s="240">
        <f ca="1">TblConstr[[#This Row],[Water]]</f>
        <v>20</v>
      </c>
      <c r="I4" s="281"/>
      <c r="J4" s="228">
        <v>1</v>
      </c>
      <c r="K4" s="305">
        <f>TblImps[[#This Row],[Real time]]</f>
        <v>44404.75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81">
        <f ca="1">TblConstr[[#This Row],[Mountain]]</f>
        <v>20</v>
      </c>
      <c r="E5" s="485">
        <f ca="1">TblConstr[[#This Row],[Hill]]</f>
        <v>20</v>
      </c>
      <c r="F5" s="489">
        <f ca="1">TblConstr[[#This Row],[Swamp]]</f>
        <v>20</v>
      </c>
      <c r="G5" s="239">
        <f ca="1">TblConstr[[#This Row],[Cavern]]</f>
        <v>20</v>
      </c>
      <c r="H5" s="240">
        <f ca="1">TblConstr[[#This Row],[Water]]</f>
        <v>20</v>
      </c>
      <c r="I5" s="281"/>
      <c r="J5" s="228">
        <f t="shared" ref="J5:J15" si="0">J4+1</f>
        <v>2</v>
      </c>
      <c r="K5" s="305">
        <f ca="1">TblImps[[#This Row],[Real time]]</f>
        <v>44404.791666666664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81">
        <f ca="1">TblConstr[[#This Row],[Mountain]]</f>
        <v>20</v>
      </c>
      <c r="E6" s="485">
        <f ca="1">TblConstr[[#This Row],[Hill]]</f>
        <v>20</v>
      </c>
      <c r="F6" s="489">
        <f ca="1">TblConstr[[#This Row],[Swamp]]</f>
        <v>20</v>
      </c>
      <c r="G6" s="239">
        <f ca="1">TblConstr[[#This Row],[Cavern]]</f>
        <v>20</v>
      </c>
      <c r="H6" s="240">
        <f ca="1">TblConstr[[#This Row],[Water]]</f>
        <v>20</v>
      </c>
      <c r="I6" s="281"/>
      <c r="J6" s="228">
        <f t="shared" si="0"/>
        <v>3</v>
      </c>
      <c r="K6" s="305">
        <f ca="1">TblImps[[#This Row],[Real time]]</f>
        <v>44404.833333333328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81">
        <f ca="1">TblConstr[[#This Row],[Mountain]]</f>
        <v>20</v>
      </c>
      <c r="E7" s="485">
        <f ca="1">TblConstr[[#This Row],[Hill]]</f>
        <v>20</v>
      </c>
      <c r="F7" s="489">
        <f ca="1">TblConstr[[#This Row],[Swamp]]</f>
        <v>20</v>
      </c>
      <c r="G7" s="239">
        <f ca="1">TblConstr[[#This Row],[Cavern]]</f>
        <v>20</v>
      </c>
      <c r="H7" s="240">
        <f ca="1">TblConstr[[#This Row],[Water]]</f>
        <v>20</v>
      </c>
      <c r="I7" s="281"/>
      <c r="J7" s="228">
        <f t="shared" si="0"/>
        <v>4</v>
      </c>
      <c r="K7" s="305">
        <f ca="1">TblImps[[#This Row],[Real time]]</f>
        <v>44404.874999999993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81">
        <f ca="1">TblConstr[[#This Row],[Mountain]]</f>
        <v>20</v>
      </c>
      <c r="E8" s="485">
        <f ca="1">TblConstr[[#This Row],[Hill]]</f>
        <v>20</v>
      </c>
      <c r="F8" s="489">
        <f ca="1">TblConstr[[#This Row],[Swamp]]</f>
        <v>20</v>
      </c>
      <c r="G8" s="239">
        <f ca="1">TblConstr[[#This Row],[Cavern]]</f>
        <v>20</v>
      </c>
      <c r="H8" s="240">
        <f ca="1">TblConstr[[#This Row],[Water]]</f>
        <v>20</v>
      </c>
      <c r="I8" s="281"/>
      <c r="J8" s="228">
        <f t="shared" si="0"/>
        <v>5</v>
      </c>
      <c r="K8" s="305">
        <f ca="1">TblImps[[#This Row],[Real time]]</f>
        <v>44404.916666666657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81">
        <f ca="1">TblConstr[[#This Row],[Mountain]]</f>
        <v>20</v>
      </c>
      <c r="E9" s="485">
        <f ca="1">TblConstr[[#This Row],[Hill]]</f>
        <v>20</v>
      </c>
      <c r="F9" s="489">
        <f ca="1">TblConstr[[#This Row],[Swamp]]</f>
        <v>20</v>
      </c>
      <c r="G9" s="239">
        <f ca="1">TblConstr[[#This Row],[Cavern]]</f>
        <v>20</v>
      </c>
      <c r="H9" s="240">
        <f ca="1">TblConstr[[#This Row],[Water]]</f>
        <v>20</v>
      </c>
      <c r="I9" s="281"/>
      <c r="J9" s="228">
        <f t="shared" si="0"/>
        <v>6</v>
      </c>
      <c r="K9" s="305">
        <f ca="1">TblImps[[#This Row],[Real time]]</f>
        <v>44404.958333333321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81">
        <f ca="1">TblConstr[[#This Row],[Mountain]]</f>
        <v>20</v>
      </c>
      <c r="E10" s="485">
        <f ca="1">TblConstr[[#This Row],[Hill]]</f>
        <v>20</v>
      </c>
      <c r="F10" s="489">
        <f ca="1">TblConstr[[#This Row],[Swamp]]</f>
        <v>20</v>
      </c>
      <c r="G10" s="239">
        <f ca="1">TblConstr[[#This Row],[Cavern]]</f>
        <v>20</v>
      </c>
      <c r="H10" s="240">
        <f ca="1">TblConstr[[#This Row],[Water]]</f>
        <v>20</v>
      </c>
      <c r="I10" s="281"/>
      <c r="J10" s="228">
        <f t="shared" si="0"/>
        <v>7</v>
      </c>
      <c r="K10" s="305">
        <f ca="1">TblImps[[#This Row],[Real time]]</f>
        <v>44404.999999999985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81">
        <f ca="1">TblConstr[[#This Row],[Mountain]]</f>
        <v>20</v>
      </c>
      <c r="E11" s="485">
        <f ca="1">TblConstr[[#This Row],[Hill]]</f>
        <v>20</v>
      </c>
      <c r="F11" s="489">
        <f ca="1">TblConstr[[#This Row],[Swamp]]</f>
        <v>20</v>
      </c>
      <c r="G11" s="239">
        <f ca="1">TblConstr[[#This Row],[Cavern]]</f>
        <v>20</v>
      </c>
      <c r="H11" s="240">
        <f ca="1">TblConstr[[#This Row],[Water]]</f>
        <v>20</v>
      </c>
      <c r="I11" s="281"/>
      <c r="J11" s="228">
        <f t="shared" si="0"/>
        <v>8</v>
      </c>
      <c r="K11" s="305">
        <f ca="1">TblImps[[#This Row],[Real time]]</f>
        <v>44405.04166666665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81">
        <f ca="1">TblConstr[[#This Row],[Mountain]]</f>
        <v>20</v>
      </c>
      <c r="E12" s="485">
        <f ca="1">TblConstr[[#This Row],[Hill]]</f>
        <v>20</v>
      </c>
      <c r="F12" s="489">
        <f ca="1">TblConstr[[#This Row],[Swamp]]</f>
        <v>20</v>
      </c>
      <c r="G12" s="239">
        <f ca="1">TblConstr[[#This Row],[Cavern]]</f>
        <v>20</v>
      </c>
      <c r="H12" s="240">
        <f ca="1">TblConstr[[#This Row],[Water]]</f>
        <v>20</v>
      </c>
      <c r="I12" s="281"/>
      <c r="J12" s="228">
        <f t="shared" si="0"/>
        <v>9</v>
      </c>
      <c r="K12" s="305">
        <f ca="1">TblImps[[#This Row],[Real time]]</f>
        <v>44405.083333333314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81">
        <f ca="1">TblConstr[[#This Row],[Mountain]]</f>
        <v>20</v>
      </c>
      <c r="E13" s="485">
        <f ca="1">TblConstr[[#This Row],[Hill]]</f>
        <v>20</v>
      </c>
      <c r="F13" s="489">
        <f ca="1">TblConstr[[#This Row],[Swamp]]</f>
        <v>20</v>
      </c>
      <c r="G13" s="239">
        <f ca="1">TblConstr[[#This Row],[Cavern]]</f>
        <v>20</v>
      </c>
      <c r="H13" s="240">
        <f ca="1">TblConstr[[#This Row],[Water]]</f>
        <v>20</v>
      </c>
      <c r="I13" s="281"/>
      <c r="J13" s="228">
        <f t="shared" si="0"/>
        <v>10</v>
      </c>
      <c r="K13" s="305">
        <f ca="1">TblImps[[#This Row],[Real time]]</f>
        <v>44405.124999999978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81">
        <f ca="1">TblConstr[[#This Row],[Mountain]]</f>
        <v>20</v>
      </c>
      <c r="E14" s="485">
        <f ca="1">TblConstr[[#This Row],[Hill]]</f>
        <v>20</v>
      </c>
      <c r="F14" s="489">
        <f ca="1">TblConstr[[#This Row],[Swamp]]</f>
        <v>20</v>
      </c>
      <c r="G14" s="239">
        <f ca="1">TblConstr[[#This Row],[Cavern]]</f>
        <v>20</v>
      </c>
      <c r="H14" s="240">
        <f ca="1">TblConstr[[#This Row],[Water]]</f>
        <v>20</v>
      </c>
      <c r="I14" s="281"/>
      <c r="J14" s="228">
        <f t="shared" si="0"/>
        <v>11</v>
      </c>
      <c r="K14" s="305">
        <f ca="1">TblImps[[#This Row],[Real time]]</f>
        <v>44405.166666666642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81">
        <f ca="1">TblConstr[[#This Row],[Mountain]]</f>
        <v>20</v>
      </c>
      <c r="E15" s="485">
        <f ca="1">TblConstr[[#This Row],[Hill]]</f>
        <v>20</v>
      </c>
      <c r="F15" s="489">
        <f ca="1">TblConstr[[#This Row],[Swamp]]</f>
        <v>20</v>
      </c>
      <c r="G15" s="239">
        <f ca="1">TblConstr[[#This Row],[Cavern]]</f>
        <v>20</v>
      </c>
      <c r="H15" s="240">
        <f ca="1">TblConstr[[#This Row],[Water]]</f>
        <v>20</v>
      </c>
      <c r="I15" s="281"/>
      <c r="J15" s="228">
        <f t="shared" si="0"/>
        <v>12</v>
      </c>
      <c r="K15" s="305">
        <f ca="1">TblImps[[#This Row],[Real time]]</f>
        <v>44405.208333333307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81">
        <f ca="1">TblConstr[[#This Row],[Mountain]]</f>
        <v>20</v>
      </c>
      <c r="E16" s="485">
        <f ca="1">TblConstr[[#This Row],[Hill]]</f>
        <v>20</v>
      </c>
      <c r="F16" s="489">
        <f ca="1">TblConstr[[#This Row],[Swamp]]</f>
        <v>20</v>
      </c>
      <c r="G16" s="239">
        <f ca="1">TblConstr[[#This Row],[Cavern]]</f>
        <v>20</v>
      </c>
      <c r="H16" s="240">
        <f ca="1">TblConstr[[#This Row],[Water]]</f>
        <v>20</v>
      </c>
      <c r="I16" s="281"/>
      <c r="J16" s="228">
        <f>J15+1</f>
        <v>13</v>
      </c>
      <c r="K16" s="305">
        <f ca="1">TblImps[[#This Row],[Real time]]</f>
        <v>44405.249999999971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81">
        <f ca="1">TblConstr[[#This Row],[Mountain]]</f>
        <v>20</v>
      </c>
      <c r="E17" s="485">
        <f ca="1">TblConstr[[#This Row],[Hill]]</f>
        <v>20</v>
      </c>
      <c r="F17" s="489">
        <f ca="1">TblConstr[[#This Row],[Swamp]]</f>
        <v>20</v>
      </c>
      <c r="G17" s="239">
        <f ca="1">TblConstr[[#This Row],[Cavern]]</f>
        <v>20</v>
      </c>
      <c r="H17" s="240">
        <f ca="1">TblConstr[[#This Row],[Water]]</f>
        <v>20</v>
      </c>
      <c r="I17" s="281"/>
      <c r="J17" s="228">
        <f t="shared" ref="J17:J76" si="1">J16+1</f>
        <v>14</v>
      </c>
      <c r="K17" s="305">
        <f ca="1">TblImps[[#This Row],[Real time]]</f>
        <v>44405.291666666635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81">
        <f ca="1">TblConstr[[#This Row],[Mountain]]</f>
        <v>20</v>
      </c>
      <c r="E18" s="485">
        <f ca="1">TblConstr[[#This Row],[Hill]]</f>
        <v>20</v>
      </c>
      <c r="F18" s="489">
        <f ca="1">TblConstr[[#This Row],[Swamp]]</f>
        <v>20</v>
      </c>
      <c r="G18" s="239">
        <f ca="1">TblConstr[[#This Row],[Cavern]]</f>
        <v>20</v>
      </c>
      <c r="H18" s="240">
        <f ca="1">TblConstr[[#This Row],[Water]]</f>
        <v>20</v>
      </c>
      <c r="I18" s="281"/>
      <c r="J18" s="228">
        <f t="shared" si="1"/>
        <v>15</v>
      </c>
      <c r="K18" s="305">
        <f ca="1">TblImps[[#This Row],[Real time]]</f>
        <v>44405.333333333299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81">
        <f ca="1">TblConstr[[#This Row],[Mountain]]</f>
        <v>20</v>
      </c>
      <c r="E19" s="485">
        <f ca="1">TblConstr[[#This Row],[Hill]]</f>
        <v>20</v>
      </c>
      <c r="F19" s="489">
        <f ca="1">TblConstr[[#This Row],[Swamp]]</f>
        <v>20</v>
      </c>
      <c r="G19" s="239">
        <f ca="1">TblConstr[[#This Row],[Cavern]]</f>
        <v>20</v>
      </c>
      <c r="H19" s="240">
        <f ca="1">TblConstr[[#This Row],[Water]]</f>
        <v>20</v>
      </c>
      <c r="I19" s="281"/>
      <c r="J19" s="228">
        <f t="shared" si="1"/>
        <v>16</v>
      </c>
      <c r="K19" s="305">
        <f ca="1">TblImps[[#This Row],[Real time]]</f>
        <v>44405.374999999964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81">
        <f ca="1">TblConstr[[#This Row],[Mountain]]</f>
        <v>20</v>
      </c>
      <c r="E20" s="485">
        <f ca="1">TblConstr[[#This Row],[Hill]]</f>
        <v>20</v>
      </c>
      <c r="F20" s="489">
        <f ca="1">TblConstr[[#This Row],[Swamp]]</f>
        <v>20</v>
      </c>
      <c r="G20" s="239">
        <f ca="1">TblConstr[[#This Row],[Cavern]]</f>
        <v>20</v>
      </c>
      <c r="H20" s="240">
        <f ca="1">TblConstr[[#This Row],[Water]]</f>
        <v>20</v>
      </c>
      <c r="I20" s="281"/>
      <c r="J20" s="228">
        <f t="shared" si="1"/>
        <v>17</v>
      </c>
      <c r="K20" s="305">
        <f ca="1">TblImps[[#This Row],[Real time]]</f>
        <v>44405.416666666628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81">
        <f ca="1">TblConstr[[#This Row],[Mountain]]</f>
        <v>20</v>
      </c>
      <c r="E21" s="485">
        <f ca="1">TblConstr[[#This Row],[Hill]]</f>
        <v>20</v>
      </c>
      <c r="F21" s="489">
        <f ca="1">TblConstr[[#This Row],[Swamp]]</f>
        <v>20</v>
      </c>
      <c r="G21" s="239">
        <f ca="1">TblConstr[[#This Row],[Cavern]]</f>
        <v>20</v>
      </c>
      <c r="H21" s="240">
        <f ca="1">TblConstr[[#This Row],[Water]]</f>
        <v>20</v>
      </c>
      <c r="I21" s="281"/>
      <c r="J21" s="228">
        <f t="shared" si="1"/>
        <v>18</v>
      </c>
      <c r="K21" s="305">
        <f ca="1">TblImps[[#This Row],[Real time]]</f>
        <v>44405.458333333292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81">
        <f ca="1">TblConstr[[#This Row],[Mountain]]</f>
        <v>20</v>
      </c>
      <c r="E22" s="485">
        <f ca="1">TblConstr[[#This Row],[Hill]]</f>
        <v>20</v>
      </c>
      <c r="F22" s="489">
        <f ca="1">TblConstr[[#This Row],[Swamp]]</f>
        <v>20</v>
      </c>
      <c r="G22" s="239">
        <f ca="1">TblConstr[[#This Row],[Cavern]]</f>
        <v>20</v>
      </c>
      <c r="H22" s="240">
        <f ca="1">TblConstr[[#This Row],[Water]]</f>
        <v>20</v>
      </c>
      <c r="I22" s="281"/>
      <c r="J22" s="228">
        <f t="shared" si="1"/>
        <v>19</v>
      </c>
      <c r="K22" s="305">
        <f ca="1">TblImps[[#This Row],[Real time]]</f>
        <v>44405.499999999956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81">
        <f ca="1">TblConstr[[#This Row],[Mountain]]</f>
        <v>20</v>
      </c>
      <c r="E23" s="485">
        <f ca="1">TblConstr[[#This Row],[Hill]]</f>
        <v>20</v>
      </c>
      <c r="F23" s="489">
        <f ca="1">TblConstr[[#This Row],[Swamp]]</f>
        <v>20</v>
      </c>
      <c r="G23" s="239">
        <f ca="1">TblConstr[[#This Row],[Cavern]]</f>
        <v>20</v>
      </c>
      <c r="H23" s="240">
        <f ca="1">TblConstr[[#This Row],[Water]]</f>
        <v>20</v>
      </c>
      <c r="I23" s="281"/>
      <c r="J23" s="228">
        <f t="shared" si="1"/>
        <v>20</v>
      </c>
      <c r="K23" s="305">
        <f ca="1">TblImps[[#This Row],[Real time]]</f>
        <v>44405.541666666621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81">
        <f ca="1">TblConstr[[#This Row],[Mountain]]</f>
        <v>20</v>
      </c>
      <c r="E24" s="485">
        <f ca="1">TblConstr[[#This Row],[Hill]]</f>
        <v>20</v>
      </c>
      <c r="F24" s="489">
        <f ca="1">TblConstr[[#This Row],[Swamp]]</f>
        <v>20</v>
      </c>
      <c r="G24" s="239">
        <f ca="1">TblConstr[[#This Row],[Cavern]]</f>
        <v>20</v>
      </c>
      <c r="H24" s="240">
        <f ca="1">TblConstr[[#This Row],[Water]]</f>
        <v>20</v>
      </c>
      <c r="I24" s="281"/>
      <c r="J24" s="228">
        <f t="shared" si="1"/>
        <v>21</v>
      </c>
      <c r="K24" s="305">
        <f ca="1">TblImps[[#This Row],[Real time]]</f>
        <v>44405.583333333285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81">
        <f ca="1">TblConstr[[#This Row],[Mountain]]</f>
        <v>20</v>
      </c>
      <c r="E25" s="485">
        <f ca="1">TblConstr[[#This Row],[Hill]]</f>
        <v>20</v>
      </c>
      <c r="F25" s="489">
        <f ca="1">TblConstr[[#This Row],[Swamp]]</f>
        <v>20</v>
      </c>
      <c r="G25" s="239">
        <f ca="1">TblConstr[[#This Row],[Cavern]]</f>
        <v>20</v>
      </c>
      <c r="H25" s="240">
        <f ca="1">TblConstr[[#This Row],[Water]]</f>
        <v>20</v>
      </c>
      <c r="I25" s="281"/>
      <c r="J25" s="228">
        <f t="shared" si="1"/>
        <v>22</v>
      </c>
      <c r="K25" s="305">
        <f ca="1">TblImps[[#This Row],[Real time]]</f>
        <v>44405.624999999949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81">
        <f ca="1">TblConstr[[#This Row],[Mountain]]</f>
        <v>20</v>
      </c>
      <c r="E26" s="485">
        <f ca="1">TblConstr[[#This Row],[Hill]]</f>
        <v>20</v>
      </c>
      <c r="F26" s="489">
        <f ca="1">TblConstr[[#This Row],[Swamp]]</f>
        <v>20</v>
      </c>
      <c r="G26" s="239">
        <f ca="1">TblConstr[[#This Row],[Cavern]]</f>
        <v>20</v>
      </c>
      <c r="H26" s="240">
        <f ca="1">TblConstr[[#This Row],[Water]]</f>
        <v>20</v>
      </c>
      <c r="I26" s="281"/>
      <c r="J26" s="228">
        <f t="shared" si="1"/>
        <v>23</v>
      </c>
      <c r="K26" s="305">
        <f ca="1">TblImps[[#This Row],[Real time]]</f>
        <v>44405.666666666613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81">
        <f ca="1">TblConstr[[#This Row],[Mountain]]</f>
        <v>20</v>
      </c>
      <c r="E27" s="485">
        <f ca="1">TblConstr[[#This Row],[Hill]]</f>
        <v>20</v>
      </c>
      <c r="F27" s="489">
        <f ca="1">TblConstr[[#This Row],[Swamp]]</f>
        <v>20</v>
      </c>
      <c r="G27" s="239">
        <f ca="1">TblConstr[[#This Row],[Cavern]]</f>
        <v>20</v>
      </c>
      <c r="H27" s="240">
        <f ca="1">TblConstr[[#This Row],[Water]]</f>
        <v>20</v>
      </c>
      <c r="I27" s="281"/>
      <c r="J27" s="228">
        <f t="shared" si="1"/>
        <v>24</v>
      </c>
      <c r="K27" s="305">
        <f ca="1">TblImps[[#This Row],[Real time]]</f>
        <v>44405.708333333278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81">
        <f ca="1">TblConstr[[#This Row],[Mountain]]</f>
        <v>20</v>
      </c>
      <c r="E28" s="485">
        <f ca="1">TblConstr[[#This Row],[Hill]]</f>
        <v>20</v>
      </c>
      <c r="F28" s="489">
        <f ca="1">TblConstr[[#This Row],[Swamp]]</f>
        <v>20</v>
      </c>
      <c r="G28" s="239">
        <f ca="1">TblConstr[[#This Row],[Cavern]]</f>
        <v>20</v>
      </c>
      <c r="H28" s="240">
        <f ca="1">TblConstr[[#This Row],[Water]]</f>
        <v>20</v>
      </c>
      <c r="I28" s="281"/>
      <c r="J28" s="228">
        <f t="shared" si="1"/>
        <v>25</v>
      </c>
      <c r="K28" s="305">
        <f ca="1">TblImps[[#This Row],[Real time]]</f>
        <v>44405.749999999942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81">
        <f ca="1">TblConstr[[#This Row],[Mountain]]</f>
        <v>20</v>
      </c>
      <c r="E29" s="485">
        <f ca="1">TblConstr[[#This Row],[Hill]]</f>
        <v>20</v>
      </c>
      <c r="F29" s="489">
        <f ca="1">TblConstr[[#This Row],[Swamp]]</f>
        <v>20</v>
      </c>
      <c r="G29" s="239">
        <f ca="1">TblConstr[[#This Row],[Cavern]]</f>
        <v>20</v>
      </c>
      <c r="H29" s="240">
        <f ca="1">TblConstr[[#This Row],[Water]]</f>
        <v>20</v>
      </c>
      <c r="I29" s="281"/>
      <c r="J29" s="228">
        <f t="shared" si="1"/>
        <v>26</v>
      </c>
      <c r="K29" s="305">
        <f ca="1">TblImps[[#This Row],[Real time]]</f>
        <v>44405.791666666606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81">
        <f ca="1">TblConstr[[#This Row],[Mountain]]</f>
        <v>20</v>
      </c>
      <c r="E30" s="485">
        <f ca="1">TblConstr[[#This Row],[Hill]]</f>
        <v>20</v>
      </c>
      <c r="F30" s="489">
        <f ca="1">TblConstr[[#This Row],[Swamp]]</f>
        <v>20</v>
      </c>
      <c r="G30" s="239">
        <f ca="1">TblConstr[[#This Row],[Cavern]]</f>
        <v>20</v>
      </c>
      <c r="H30" s="240">
        <f ca="1">TblConstr[[#This Row],[Water]]</f>
        <v>20</v>
      </c>
      <c r="I30" s="281"/>
      <c r="J30" s="228">
        <f t="shared" si="1"/>
        <v>27</v>
      </c>
      <c r="K30" s="305">
        <f ca="1">TblImps[[#This Row],[Real time]]</f>
        <v>44405.83333333327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81">
        <f ca="1">TblConstr[[#This Row],[Mountain]]</f>
        <v>20</v>
      </c>
      <c r="E31" s="485">
        <f ca="1">TblConstr[[#This Row],[Hill]]</f>
        <v>20</v>
      </c>
      <c r="F31" s="489">
        <f ca="1">TblConstr[[#This Row],[Swamp]]</f>
        <v>20</v>
      </c>
      <c r="G31" s="239">
        <f ca="1">TblConstr[[#This Row],[Cavern]]</f>
        <v>20</v>
      </c>
      <c r="H31" s="240">
        <f ca="1">TblConstr[[#This Row],[Water]]</f>
        <v>20</v>
      </c>
      <c r="I31" s="281"/>
      <c r="J31" s="228">
        <f t="shared" si="1"/>
        <v>28</v>
      </c>
      <c r="K31" s="305">
        <f ca="1">TblImps[[#This Row],[Real time]]</f>
        <v>44405.874999999935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81">
        <f ca="1">TblConstr[[#This Row],[Mountain]]</f>
        <v>20</v>
      </c>
      <c r="E32" s="485">
        <f ca="1">TblConstr[[#This Row],[Hill]]</f>
        <v>20</v>
      </c>
      <c r="F32" s="489">
        <f ca="1">TblConstr[[#This Row],[Swamp]]</f>
        <v>20</v>
      </c>
      <c r="G32" s="239">
        <f ca="1">TblConstr[[#This Row],[Cavern]]</f>
        <v>20</v>
      </c>
      <c r="H32" s="240">
        <f ca="1">TblConstr[[#This Row],[Water]]</f>
        <v>20</v>
      </c>
      <c r="I32" s="281"/>
      <c r="J32" s="228">
        <f t="shared" si="1"/>
        <v>29</v>
      </c>
      <c r="K32" s="305">
        <f ca="1">TblImps[[#This Row],[Real time]]</f>
        <v>44405.916666666599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81">
        <f ca="1">TblConstr[[#This Row],[Mountain]]</f>
        <v>20</v>
      </c>
      <c r="E33" s="485">
        <f ca="1">TblConstr[[#This Row],[Hill]]</f>
        <v>20</v>
      </c>
      <c r="F33" s="489">
        <f ca="1">TblConstr[[#This Row],[Swamp]]</f>
        <v>20</v>
      </c>
      <c r="G33" s="239">
        <f ca="1">TblConstr[[#This Row],[Cavern]]</f>
        <v>20</v>
      </c>
      <c r="H33" s="240">
        <f ca="1">TblConstr[[#This Row],[Water]]</f>
        <v>20</v>
      </c>
      <c r="I33" s="281"/>
      <c r="J33" s="228">
        <f t="shared" si="1"/>
        <v>30</v>
      </c>
      <c r="K33" s="305">
        <f ca="1">TblImps[[#This Row],[Real time]]</f>
        <v>44405.958333333263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81">
        <f ca="1">TblConstr[[#This Row],[Mountain]]</f>
        <v>20</v>
      </c>
      <c r="E34" s="485">
        <f ca="1">TblConstr[[#This Row],[Hill]]</f>
        <v>20</v>
      </c>
      <c r="F34" s="489">
        <f ca="1">TblConstr[[#This Row],[Swamp]]</f>
        <v>20</v>
      </c>
      <c r="G34" s="239">
        <f ca="1">TblConstr[[#This Row],[Cavern]]</f>
        <v>20</v>
      </c>
      <c r="H34" s="240">
        <f ca="1">TblConstr[[#This Row],[Water]]</f>
        <v>20</v>
      </c>
      <c r="I34" s="281"/>
      <c r="J34" s="228">
        <f t="shared" si="1"/>
        <v>31</v>
      </c>
      <c r="K34" s="305">
        <f ca="1">TblImps[[#This Row],[Real time]]</f>
        <v>44405.999999999927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81">
        <f ca="1">TblConstr[[#This Row],[Mountain]]</f>
        <v>20</v>
      </c>
      <c r="E35" s="485">
        <f ca="1">TblConstr[[#This Row],[Hill]]</f>
        <v>20</v>
      </c>
      <c r="F35" s="489">
        <f ca="1">TblConstr[[#This Row],[Swamp]]</f>
        <v>20</v>
      </c>
      <c r="G35" s="239">
        <f ca="1">TblConstr[[#This Row],[Cavern]]</f>
        <v>20</v>
      </c>
      <c r="H35" s="240">
        <f ca="1">TblConstr[[#This Row],[Water]]</f>
        <v>20</v>
      </c>
      <c r="I35" s="281"/>
      <c r="J35" s="228">
        <f t="shared" si="1"/>
        <v>32</v>
      </c>
      <c r="K35" s="305">
        <f ca="1">TblImps[[#This Row],[Real time]]</f>
        <v>44406.041666666591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81">
        <f ca="1">TblConstr[[#This Row],[Mountain]]</f>
        <v>20</v>
      </c>
      <c r="E36" s="485">
        <f ca="1">TblConstr[[#This Row],[Hill]]</f>
        <v>20</v>
      </c>
      <c r="F36" s="489">
        <f ca="1">TblConstr[[#This Row],[Swamp]]</f>
        <v>20</v>
      </c>
      <c r="G36" s="239">
        <f ca="1">TblConstr[[#This Row],[Cavern]]</f>
        <v>20</v>
      </c>
      <c r="H36" s="240">
        <f ca="1">TblConstr[[#This Row],[Water]]</f>
        <v>20</v>
      </c>
      <c r="I36" s="281"/>
      <c r="J36" s="228">
        <f t="shared" si="1"/>
        <v>33</v>
      </c>
      <c r="K36" s="305">
        <f ca="1">TblImps[[#This Row],[Real time]]</f>
        <v>44406.083333333256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81">
        <f ca="1">TblConstr[[#This Row],[Mountain]]</f>
        <v>20</v>
      </c>
      <c r="E37" s="485">
        <f ca="1">TblConstr[[#This Row],[Hill]]</f>
        <v>20</v>
      </c>
      <c r="F37" s="489">
        <f ca="1">TblConstr[[#This Row],[Swamp]]</f>
        <v>20</v>
      </c>
      <c r="G37" s="239">
        <f ca="1">TblConstr[[#This Row],[Cavern]]</f>
        <v>20</v>
      </c>
      <c r="H37" s="240">
        <f ca="1">TblConstr[[#This Row],[Water]]</f>
        <v>20</v>
      </c>
      <c r="I37" s="281"/>
      <c r="J37" s="228">
        <f t="shared" si="1"/>
        <v>34</v>
      </c>
      <c r="K37" s="305">
        <f ca="1">TblImps[[#This Row],[Real time]]</f>
        <v>44406.12499999992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81">
        <f ca="1">TblConstr[[#This Row],[Mountain]]</f>
        <v>20</v>
      </c>
      <c r="E38" s="485">
        <f ca="1">TblConstr[[#This Row],[Hill]]</f>
        <v>20</v>
      </c>
      <c r="F38" s="489">
        <f ca="1">TblConstr[[#This Row],[Swamp]]</f>
        <v>20</v>
      </c>
      <c r="G38" s="239">
        <f ca="1">TblConstr[[#This Row],[Cavern]]</f>
        <v>20</v>
      </c>
      <c r="H38" s="240">
        <f ca="1">TblConstr[[#This Row],[Water]]</f>
        <v>20</v>
      </c>
      <c r="I38" s="281"/>
      <c r="J38" s="228">
        <f t="shared" si="1"/>
        <v>35</v>
      </c>
      <c r="K38" s="305">
        <f ca="1">TblImps[[#This Row],[Real time]]</f>
        <v>44406.166666666584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81">
        <f ca="1">TblConstr[[#This Row],[Mountain]]</f>
        <v>20</v>
      </c>
      <c r="E39" s="485">
        <f ca="1">TblConstr[[#This Row],[Hill]]</f>
        <v>20</v>
      </c>
      <c r="F39" s="489">
        <f ca="1">TblConstr[[#This Row],[Swamp]]</f>
        <v>20</v>
      </c>
      <c r="G39" s="239">
        <f ca="1">TblConstr[[#This Row],[Cavern]]</f>
        <v>20</v>
      </c>
      <c r="H39" s="240">
        <f ca="1">TblConstr[[#This Row],[Water]]</f>
        <v>20</v>
      </c>
      <c r="I39" s="281"/>
      <c r="J39" s="228">
        <f t="shared" si="1"/>
        <v>36</v>
      </c>
      <c r="K39" s="305">
        <f ca="1">TblImps[[#This Row],[Real time]]</f>
        <v>44406.208333333248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81">
        <f ca="1">TblConstr[[#This Row],[Mountain]]</f>
        <v>20</v>
      </c>
      <c r="E40" s="485">
        <f ca="1">TblConstr[[#This Row],[Hill]]</f>
        <v>20</v>
      </c>
      <c r="F40" s="489">
        <f ca="1">TblConstr[[#This Row],[Swamp]]</f>
        <v>20</v>
      </c>
      <c r="G40" s="239">
        <f ca="1">TblConstr[[#This Row],[Cavern]]</f>
        <v>20</v>
      </c>
      <c r="H40" s="240">
        <f ca="1">TblConstr[[#This Row],[Water]]</f>
        <v>20</v>
      </c>
      <c r="I40" s="281"/>
      <c r="J40" s="228">
        <f t="shared" si="1"/>
        <v>37</v>
      </c>
      <c r="K40" s="305">
        <f ca="1">TblImps[[#This Row],[Real time]]</f>
        <v>44406.249999999913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81">
        <f ca="1">TblConstr[[#This Row],[Mountain]]</f>
        <v>20</v>
      </c>
      <c r="E41" s="485">
        <f ca="1">TblConstr[[#This Row],[Hill]]</f>
        <v>20</v>
      </c>
      <c r="F41" s="489">
        <f ca="1">TblConstr[[#This Row],[Swamp]]</f>
        <v>20</v>
      </c>
      <c r="G41" s="239">
        <f ca="1">TblConstr[[#This Row],[Cavern]]</f>
        <v>20</v>
      </c>
      <c r="H41" s="240">
        <f ca="1">TblConstr[[#This Row],[Water]]</f>
        <v>20</v>
      </c>
      <c r="I41" s="281"/>
      <c r="J41" s="228">
        <f t="shared" si="1"/>
        <v>38</v>
      </c>
      <c r="K41" s="305">
        <f ca="1">TblImps[[#This Row],[Real time]]</f>
        <v>44406.291666666577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81">
        <f ca="1">TblConstr[[#This Row],[Mountain]]</f>
        <v>20</v>
      </c>
      <c r="E42" s="485">
        <f ca="1">TblConstr[[#This Row],[Hill]]</f>
        <v>20</v>
      </c>
      <c r="F42" s="489">
        <f ca="1">TblConstr[[#This Row],[Swamp]]</f>
        <v>20</v>
      </c>
      <c r="G42" s="239">
        <f ca="1">TblConstr[[#This Row],[Cavern]]</f>
        <v>20</v>
      </c>
      <c r="H42" s="240">
        <f ca="1">TblConstr[[#This Row],[Water]]</f>
        <v>20</v>
      </c>
      <c r="I42" s="281"/>
      <c r="J42" s="228">
        <f t="shared" si="1"/>
        <v>39</v>
      </c>
      <c r="K42" s="305">
        <f ca="1">TblImps[[#This Row],[Real time]]</f>
        <v>44406.333333333241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81">
        <f ca="1">TblConstr[[#This Row],[Mountain]]</f>
        <v>20</v>
      </c>
      <c r="E43" s="485">
        <f ca="1">TblConstr[[#This Row],[Hill]]</f>
        <v>20</v>
      </c>
      <c r="F43" s="489">
        <f ca="1">TblConstr[[#This Row],[Swamp]]</f>
        <v>20</v>
      </c>
      <c r="G43" s="239">
        <f ca="1">TblConstr[[#This Row],[Cavern]]</f>
        <v>20</v>
      </c>
      <c r="H43" s="240">
        <f ca="1">TblConstr[[#This Row],[Water]]</f>
        <v>20</v>
      </c>
      <c r="I43" s="281"/>
      <c r="J43" s="228">
        <f t="shared" si="1"/>
        <v>40</v>
      </c>
      <c r="K43" s="305">
        <f ca="1">TblImps[[#This Row],[Real time]]</f>
        <v>44406.374999999905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81">
        <f ca="1">TblConstr[[#This Row],[Mountain]]</f>
        <v>20</v>
      </c>
      <c r="E44" s="485">
        <f ca="1">TblConstr[[#This Row],[Hill]]</f>
        <v>20</v>
      </c>
      <c r="F44" s="489">
        <f ca="1">TblConstr[[#This Row],[Swamp]]</f>
        <v>20</v>
      </c>
      <c r="G44" s="239">
        <f ca="1">TblConstr[[#This Row],[Cavern]]</f>
        <v>20</v>
      </c>
      <c r="H44" s="240">
        <f ca="1">TblConstr[[#This Row],[Water]]</f>
        <v>20</v>
      </c>
      <c r="I44" s="281"/>
      <c r="J44" s="228">
        <f t="shared" si="1"/>
        <v>41</v>
      </c>
      <c r="K44" s="305">
        <f ca="1">TblImps[[#This Row],[Real time]]</f>
        <v>44406.41666666657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81">
        <f ca="1">TblConstr[[#This Row],[Mountain]]</f>
        <v>20</v>
      </c>
      <c r="E45" s="485">
        <f ca="1">TblConstr[[#This Row],[Hill]]</f>
        <v>20</v>
      </c>
      <c r="F45" s="489">
        <f ca="1">TblConstr[[#This Row],[Swamp]]</f>
        <v>20</v>
      </c>
      <c r="G45" s="239">
        <f ca="1">TblConstr[[#This Row],[Cavern]]</f>
        <v>20</v>
      </c>
      <c r="H45" s="240">
        <f ca="1">TblConstr[[#This Row],[Water]]</f>
        <v>20</v>
      </c>
      <c r="I45" s="281"/>
      <c r="J45" s="228">
        <f t="shared" si="1"/>
        <v>42</v>
      </c>
      <c r="K45" s="305">
        <f ca="1">TblImps[[#This Row],[Real time]]</f>
        <v>44406.458333333234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81">
        <f ca="1">TblConstr[[#This Row],[Mountain]]</f>
        <v>20</v>
      </c>
      <c r="E46" s="485">
        <f ca="1">TblConstr[[#This Row],[Hill]]</f>
        <v>20</v>
      </c>
      <c r="F46" s="489">
        <f ca="1">TblConstr[[#This Row],[Swamp]]</f>
        <v>20</v>
      </c>
      <c r="G46" s="239">
        <f ca="1">TblConstr[[#This Row],[Cavern]]</f>
        <v>20</v>
      </c>
      <c r="H46" s="240">
        <f ca="1">TblConstr[[#This Row],[Water]]</f>
        <v>20</v>
      </c>
      <c r="I46" s="281"/>
      <c r="J46" s="228">
        <f t="shared" si="1"/>
        <v>43</v>
      </c>
      <c r="K46" s="305">
        <f ca="1">TblImps[[#This Row],[Real time]]</f>
        <v>44406.499999999898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81">
        <f ca="1">TblConstr[[#This Row],[Mountain]]</f>
        <v>20</v>
      </c>
      <c r="E47" s="485">
        <f ca="1">TblConstr[[#This Row],[Hill]]</f>
        <v>20</v>
      </c>
      <c r="F47" s="489">
        <f ca="1">TblConstr[[#This Row],[Swamp]]</f>
        <v>20</v>
      </c>
      <c r="G47" s="239">
        <f ca="1">TblConstr[[#This Row],[Cavern]]</f>
        <v>20</v>
      </c>
      <c r="H47" s="240">
        <f ca="1">TblConstr[[#This Row],[Water]]</f>
        <v>20</v>
      </c>
      <c r="I47" s="281"/>
      <c r="J47" s="228">
        <f t="shared" si="1"/>
        <v>44</v>
      </c>
      <c r="K47" s="305">
        <f ca="1">TblImps[[#This Row],[Real time]]</f>
        <v>44406.541666666562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81">
        <f ca="1">TblConstr[[#This Row],[Mountain]]</f>
        <v>20</v>
      </c>
      <c r="E48" s="485">
        <f ca="1">TblConstr[[#This Row],[Hill]]</f>
        <v>20</v>
      </c>
      <c r="F48" s="489">
        <f ca="1">TblConstr[[#This Row],[Swamp]]</f>
        <v>20</v>
      </c>
      <c r="G48" s="239">
        <f ca="1">TblConstr[[#This Row],[Cavern]]</f>
        <v>20</v>
      </c>
      <c r="H48" s="240">
        <f ca="1">TblConstr[[#This Row],[Water]]</f>
        <v>20</v>
      </c>
      <c r="I48" s="281"/>
      <c r="J48" s="228">
        <f t="shared" si="1"/>
        <v>45</v>
      </c>
      <c r="K48" s="305">
        <f ca="1">TblImps[[#This Row],[Real time]]</f>
        <v>44406.583333333227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81">
        <f ca="1">TblConstr[[#This Row],[Mountain]]</f>
        <v>20</v>
      </c>
      <c r="E49" s="485">
        <f ca="1">TblConstr[[#This Row],[Hill]]</f>
        <v>20</v>
      </c>
      <c r="F49" s="489">
        <f ca="1">TblConstr[[#This Row],[Swamp]]</f>
        <v>20</v>
      </c>
      <c r="G49" s="239">
        <f ca="1">TblConstr[[#This Row],[Cavern]]</f>
        <v>20</v>
      </c>
      <c r="H49" s="240">
        <f ca="1">TblConstr[[#This Row],[Water]]</f>
        <v>20</v>
      </c>
      <c r="I49" s="281"/>
      <c r="J49" s="228">
        <f t="shared" si="1"/>
        <v>46</v>
      </c>
      <c r="K49" s="305">
        <f ca="1">TblImps[[#This Row],[Real time]]</f>
        <v>44406.624999999891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81">
        <f ca="1">TblConstr[[#This Row],[Mountain]]</f>
        <v>20</v>
      </c>
      <c r="E50" s="485">
        <f ca="1">TblConstr[[#This Row],[Hill]]</f>
        <v>20</v>
      </c>
      <c r="F50" s="489">
        <f ca="1">TblConstr[[#This Row],[Swamp]]</f>
        <v>20</v>
      </c>
      <c r="G50" s="239">
        <f ca="1">TblConstr[[#This Row],[Cavern]]</f>
        <v>20</v>
      </c>
      <c r="H50" s="240">
        <f ca="1">TblConstr[[#This Row],[Water]]</f>
        <v>20</v>
      </c>
      <c r="I50" s="281"/>
      <c r="J50" s="228">
        <f t="shared" si="1"/>
        <v>47</v>
      </c>
      <c r="K50" s="305">
        <f ca="1">TblImps[[#This Row],[Real time]]</f>
        <v>44406.666666666555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81">
        <f ca="1">TblConstr[[#This Row],[Mountain]]</f>
        <v>20</v>
      </c>
      <c r="E51" s="485">
        <f ca="1">TblConstr[[#This Row],[Hill]]</f>
        <v>20</v>
      </c>
      <c r="F51" s="489">
        <f ca="1">TblConstr[[#This Row],[Swamp]]</f>
        <v>20</v>
      </c>
      <c r="G51" s="239">
        <f ca="1">TblConstr[[#This Row],[Cavern]]</f>
        <v>20</v>
      </c>
      <c r="H51" s="240">
        <f ca="1">TblConstr[[#This Row],[Water]]</f>
        <v>20</v>
      </c>
      <c r="I51" s="281"/>
      <c r="J51" s="228">
        <f t="shared" si="1"/>
        <v>48</v>
      </c>
      <c r="K51" s="305">
        <f ca="1">TblImps[[#This Row],[Real time]]</f>
        <v>44406.708333333219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81">
        <f ca="1">TblConstr[[#This Row],[Mountain]]</f>
        <v>20</v>
      </c>
      <c r="E52" s="485">
        <f ca="1">TblConstr[[#This Row],[Hill]]</f>
        <v>20</v>
      </c>
      <c r="F52" s="489">
        <f ca="1">TblConstr[[#This Row],[Swamp]]</f>
        <v>20</v>
      </c>
      <c r="G52" s="239">
        <f ca="1">TblConstr[[#This Row],[Cavern]]</f>
        <v>20</v>
      </c>
      <c r="H52" s="240">
        <f ca="1">TblConstr[[#This Row],[Water]]</f>
        <v>20</v>
      </c>
      <c r="I52" s="281"/>
      <c r="J52" s="228">
        <f t="shared" si="1"/>
        <v>49</v>
      </c>
      <c r="K52" s="305">
        <f ca="1">TblImps[[#This Row],[Real time]]</f>
        <v>44406.749999999884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81">
        <f ca="1">TblConstr[[#This Row],[Mountain]]</f>
        <v>20</v>
      </c>
      <c r="E53" s="485">
        <f ca="1">TblConstr[[#This Row],[Hill]]</f>
        <v>20</v>
      </c>
      <c r="F53" s="489">
        <f ca="1">TblConstr[[#This Row],[Swamp]]</f>
        <v>20</v>
      </c>
      <c r="G53" s="239">
        <f ca="1">TblConstr[[#This Row],[Cavern]]</f>
        <v>20</v>
      </c>
      <c r="H53" s="240">
        <f ca="1">TblConstr[[#This Row],[Water]]</f>
        <v>20</v>
      </c>
      <c r="I53" s="281"/>
      <c r="J53" s="228">
        <f t="shared" si="1"/>
        <v>50</v>
      </c>
      <c r="K53" s="305">
        <f ca="1">TblImps[[#This Row],[Real time]]</f>
        <v>44406.791666666548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81">
        <f ca="1">TblConstr[[#This Row],[Mountain]]</f>
        <v>20</v>
      </c>
      <c r="E54" s="485">
        <f ca="1">TblConstr[[#This Row],[Hill]]</f>
        <v>20</v>
      </c>
      <c r="F54" s="489">
        <f ca="1">TblConstr[[#This Row],[Swamp]]</f>
        <v>20</v>
      </c>
      <c r="G54" s="239">
        <f ca="1">TblConstr[[#This Row],[Cavern]]</f>
        <v>20</v>
      </c>
      <c r="H54" s="240">
        <f ca="1">TblConstr[[#This Row],[Water]]</f>
        <v>20</v>
      </c>
      <c r="I54" s="281"/>
      <c r="J54" s="228">
        <f t="shared" si="1"/>
        <v>51</v>
      </c>
      <c r="K54" s="305">
        <f ca="1">TblImps[[#This Row],[Real time]]</f>
        <v>44406.833333333212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81">
        <f ca="1">TblConstr[[#This Row],[Mountain]]</f>
        <v>20</v>
      </c>
      <c r="E55" s="485">
        <f ca="1">TblConstr[[#This Row],[Hill]]</f>
        <v>20</v>
      </c>
      <c r="F55" s="489">
        <f ca="1">TblConstr[[#This Row],[Swamp]]</f>
        <v>20</v>
      </c>
      <c r="G55" s="239">
        <f ca="1">TblConstr[[#This Row],[Cavern]]</f>
        <v>20</v>
      </c>
      <c r="H55" s="240">
        <f ca="1">TblConstr[[#This Row],[Water]]</f>
        <v>20</v>
      </c>
      <c r="I55" s="281"/>
      <c r="J55" s="228">
        <f t="shared" si="1"/>
        <v>52</v>
      </c>
      <c r="K55" s="305">
        <f ca="1">TblImps[[#This Row],[Real time]]</f>
        <v>44406.874999999876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81">
        <f ca="1">TblConstr[[#This Row],[Mountain]]</f>
        <v>20</v>
      </c>
      <c r="E56" s="485">
        <f ca="1">TblConstr[[#This Row],[Hill]]</f>
        <v>20</v>
      </c>
      <c r="F56" s="489">
        <f ca="1">TblConstr[[#This Row],[Swamp]]</f>
        <v>20</v>
      </c>
      <c r="G56" s="239">
        <f ca="1">TblConstr[[#This Row],[Cavern]]</f>
        <v>20</v>
      </c>
      <c r="H56" s="240">
        <f ca="1">TblConstr[[#This Row],[Water]]</f>
        <v>20</v>
      </c>
      <c r="I56" s="281"/>
      <c r="J56" s="228">
        <f t="shared" si="1"/>
        <v>53</v>
      </c>
      <c r="K56" s="305">
        <f ca="1">TblImps[[#This Row],[Real time]]</f>
        <v>44406.916666666541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81">
        <f ca="1">TblConstr[[#This Row],[Mountain]]</f>
        <v>20</v>
      </c>
      <c r="E57" s="485">
        <f ca="1">TblConstr[[#This Row],[Hill]]</f>
        <v>20</v>
      </c>
      <c r="F57" s="489">
        <f ca="1">TblConstr[[#This Row],[Swamp]]</f>
        <v>20</v>
      </c>
      <c r="G57" s="239">
        <f ca="1">TblConstr[[#This Row],[Cavern]]</f>
        <v>20</v>
      </c>
      <c r="H57" s="240">
        <f ca="1">TblConstr[[#This Row],[Water]]</f>
        <v>20</v>
      </c>
      <c r="I57" s="281"/>
      <c r="J57" s="228">
        <f t="shared" si="1"/>
        <v>54</v>
      </c>
      <c r="K57" s="305">
        <f ca="1">TblImps[[#This Row],[Real time]]</f>
        <v>44406.958333333205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81">
        <f ca="1">TblConstr[[#This Row],[Mountain]]</f>
        <v>20</v>
      </c>
      <c r="E58" s="485">
        <f ca="1">TblConstr[[#This Row],[Hill]]</f>
        <v>20</v>
      </c>
      <c r="F58" s="489">
        <f ca="1">TblConstr[[#This Row],[Swamp]]</f>
        <v>20</v>
      </c>
      <c r="G58" s="239">
        <f ca="1">TblConstr[[#This Row],[Cavern]]</f>
        <v>20</v>
      </c>
      <c r="H58" s="240">
        <f ca="1">TblConstr[[#This Row],[Water]]</f>
        <v>20</v>
      </c>
      <c r="I58" s="281"/>
      <c r="J58" s="228">
        <f t="shared" si="1"/>
        <v>55</v>
      </c>
      <c r="K58" s="305">
        <f ca="1">TblImps[[#This Row],[Real time]]</f>
        <v>44406.999999999869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81">
        <f ca="1">TblConstr[[#This Row],[Mountain]]</f>
        <v>20</v>
      </c>
      <c r="E59" s="485">
        <f ca="1">TblConstr[[#This Row],[Hill]]</f>
        <v>20</v>
      </c>
      <c r="F59" s="489">
        <f ca="1">TblConstr[[#This Row],[Swamp]]</f>
        <v>20</v>
      </c>
      <c r="G59" s="239">
        <f ca="1">TblConstr[[#This Row],[Cavern]]</f>
        <v>20</v>
      </c>
      <c r="H59" s="240">
        <f ca="1">TblConstr[[#This Row],[Water]]</f>
        <v>20</v>
      </c>
      <c r="I59" s="281"/>
      <c r="J59" s="228">
        <f t="shared" si="1"/>
        <v>56</v>
      </c>
      <c r="K59" s="305">
        <f ca="1">TblImps[[#This Row],[Real time]]</f>
        <v>44407.041666666533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81">
        <f ca="1">TblConstr[[#This Row],[Mountain]]</f>
        <v>20</v>
      </c>
      <c r="E60" s="485">
        <f ca="1">TblConstr[[#This Row],[Hill]]</f>
        <v>20</v>
      </c>
      <c r="F60" s="489">
        <f ca="1">TblConstr[[#This Row],[Swamp]]</f>
        <v>20</v>
      </c>
      <c r="G60" s="239">
        <f ca="1">TblConstr[[#This Row],[Cavern]]</f>
        <v>20</v>
      </c>
      <c r="H60" s="240">
        <f ca="1">TblConstr[[#This Row],[Water]]</f>
        <v>20</v>
      </c>
      <c r="I60" s="281"/>
      <c r="J60" s="228">
        <f t="shared" si="1"/>
        <v>57</v>
      </c>
      <c r="K60" s="305">
        <f ca="1">TblImps[[#This Row],[Real time]]</f>
        <v>44407.083333333198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81">
        <f ca="1">TblConstr[[#This Row],[Mountain]]</f>
        <v>20</v>
      </c>
      <c r="E61" s="485">
        <f ca="1">TblConstr[[#This Row],[Hill]]</f>
        <v>20</v>
      </c>
      <c r="F61" s="489">
        <f ca="1">TblConstr[[#This Row],[Swamp]]</f>
        <v>20</v>
      </c>
      <c r="G61" s="239">
        <f ca="1">TblConstr[[#This Row],[Cavern]]</f>
        <v>20</v>
      </c>
      <c r="H61" s="240">
        <f ca="1">TblConstr[[#This Row],[Water]]</f>
        <v>20</v>
      </c>
      <c r="I61" s="281"/>
      <c r="J61" s="228">
        <f t="shared" si="1"/>
        <v>58</v>
      </c>
      <c r="K61" s="305">
        <f ca="1">TblImps[[#This Row],[Real time]]</f>
        <v>44407.124999999862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81">
        <f ca="1">TblConstr[[#This Row],[Mountain]]</f>
        <v>20</v>
      </c>
      <c r="E62" s="485">
        <f ca="1">TblConstr[[#This Row],[Hill]]</f>
        <v>20</v>
      </c>
      <c r="F62" s="489">
        <f ca="1">TblConstr[[#This Row],[Swamp]]</f>
        <v>20</v>
      </c>
      <c r="G62" s="239">
        <f ca="1">TblConstr[[#This Row],[Cavern]]</f>
        <v>20</v>
      </c>
      <c r="H62" s="240">
        <f ca="1">TblConstr[[#This Row],[Water]]</f>
        <v>20</v>
      </c>
      <c r="I62" s="281"/>
      <c r="J62" s="228">
        <f t="shared" si="1"/>
        <v>59</v>
      </c>
      <c r="K62" s="305">
        <f ca="1">TblImps[[#This Row],[Real time]]</f>
        <v>44407.166666666526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81">
        <f ca="1">TblConstr[[#This Row],[Mountain]]</f>
        <v>20</v>
      </c>
      <c r="E63" s="485">
        <f ca="1">TblConstr[[#This Row],[Hill]]</f>
        <v>20</v>
      </c>
      <c r="F63" s="489">
        <f ca="1">TblConstr[[#This Row],[Swamp]]</f>
        <v>20</v>
      </c>
      <c r="G63" s="239">
        <f ca="1">TblConstr[[#This Row],[Cavern]]</f>
        <v>20</v>
      </c>
      <c r="H63" s="240">
        <f ca="1">TblConstr[[#This Row],[Water]]</f>
        <v>20</v>
      </c>
      <c r="I63" s="281"/>
      <c r="J63" s="228">
        <f t="shared" si="1"/>
        <v>60</v>
      </c>
      <c r="K63" s="305">
        <f ca="1">TblImps[[#This Row],[Real time]]</f>
        <v>44407.20833333319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81">
        <f ca="1">TblConstr[[#This Row],[Mountain]]</f>
        <v>20</v>
      </c>
      <c r="E64" s="485">
        <f ca="1">TblConstr[[#This Row],[Hill]]</f>
        <v>20</v>
      </c>
      <c r="F64" s="489">
        <f ca="1">TblConstr[[#This Row],[Swamp]]</f>
        <v>20</v>
      </c>
      <c r="G64" s="239">
        <f ca="1">TblConstr[[#This Row],[Cavern]]</f>
        <v>20</v>
      </c>
      <c r="H64" s="240">
        <f ca="1">TblConstr[[#This Row],[Water]]</f>
        <v>20</v>
      </c>
      <c r="I64" s="281"/>
      <c r="J64" s="228">
        <f t="shared" si="1"/>
        <v>61</v>
      </c>
      <c r="K64" s="305">
        <f ca="1">TblImps[[#This Row],[Real time]]</f>
        <v>44407.249999999854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81">
        <f ca="1">TblConstr[[#This Row],[Mountain]]</f>
        <v>20</v>
      </c>
      <c r="E65" s="485">
        <f ca="1">TblConstr[[#This Row],[Hill]]</f>
        <v>20</v>
      </c>
      <c r="F65" s="489">
        <f ca="1">TblConstr[[#This Row],[Swamp]]</f>
        <v>20</v>
      </c>
      <c r="G65" s="239">
        <f ca="1">TblConstr[[#This Row],[Cavern]]</f>
        <v>20</v>
      </c>
      <c r="H65" s="240">
        <f ca="1">TblConstr[[#This Row],[Water]]</f>
        <v>20</v>
      </c>
      <c r="I65" s="281"/>
      <c r="J65" s="228">
        <f t="shared" si="1"/>
        <v>62</v>
      </c>
      <c r="K65" s="305">
        <f ca="1">TblImps[[#This Row],[Real time]]</f>
        <v>44407.291666666519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81">
        <f ca="1">TblConstr[[#This Row],[Mountain]]</f>
        <v>20</v>
      </c>
      <c r="E66" s="485">
        <f ca="1">TblConstr[[#This Row],[Hill]]</f>
        <v>20</v>
      </c>
      <c r="F66" s="489">
        <f ca="1">TblConstr[[#This Row],[Swamp]]</f>
        <v>20</v>
      </c>
      <c r="G66" s="239">
        <f ca="1">TblConstr[[#This Row],[Cavern]]</f>
        <v>20</v>
      </c>
      <c r="H66" s="240">
        <f ca="1">TblConstr[[#This Row],[Water]]</f>
        <v>20</v>
      </c>
      <c r="I66" s="281"/>
      <c r="J66" s="228">
        <f t="shared" si="1"/>
        <v>63</v>
      </c>
      <c r="K66" s="305">
        <f ca="1">TblImps[[#This Row],[Real time]]</f>
        <v>44407.333333333183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81">
        <f ca="1">TblConstr[[#This Row],[Mountain]]</f>
        <v>20</v>
      </c>
      <c r="E67" s="485">
        <f ca="1">TblConstr[[#This Row],[Hill]]</f>
        <v>20</v>
      </c>
      <c r="F67" s="489">
        <f ca="1">TblConstr[[#This Row],[Swamp]]</f>
        <v>20</v>
      </c>
      <c r="G67" s="239">
        <f ca="1">TblConstr[[#This Row],[Cavern]]</f>
        <v>20</v>
      </c>
      <c r="H67" s="240">
        <f ca="1">TblConstr[[#This Row],[Water]]</f>
        <v>20</v>
      </c>
      <c r="I67" s="281"/>
      <c r="J67" s="228">
        <f t="shared" si="1"/>
        <v>64</v>
      </c>
      <c r="K67" s="305">
        <f ca="1">TblImps[[#This Row],[Real time]]</f>
        <v>44407.374999999847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81">
        <f ca="1">TblConstr[[#This Row],[Mountain]]</f>
        <v>20</v>
      </c>
      <c r="E68" s="485">
        <f ca="1">TblConstr[[#This Row],[Hill]]</f>
        <v>20</v>
      </c>
      <c r="F68" s="489">
        <f ca="1">TblConstr[[#This Row],[Swamp]]</f>
        <v>20</v>
      </c>
      <c r="G68" s="239">
        <f ca="1">TblConstr[[#This Row],[Cavern]]</f>
        <v>20</v>
      </c>
      <c r="H68" s="240">
        <f ca="1">TblConstr[[#This Row],[Water]]</f>
        <v>20</v>
      </c>
      <c r="I68" s="281"/>
      <c r="J68" s="228">
        <f t="shared" si="1"/>
        <v>65</v>
      </c>
      <c r="K68" s="305">
        <f ca="1">TblImps[[#This Row],[Real time]]</f>
        <v>44407.416666666511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81">
        <f ca="1">TblConstr[[#This Row],[Mountain]]</f>
        <v>20</v>
      </c>
      <c r="E69" s="485">
        <f ca="1">TblConstr[[#This Row],[Hill]]</f>
        <v>20</v>
      </c>
      <c r="F69" s="489">
        <f ca="1">TblConstr[[#This Row],[Swamp]]</f>
        <v>20</v>
      </c>
      <c r="G69" s="239">
        <f ca="1">TblConstr[[#This Row],[Cavern]]</f>
        <v>20</v>
      </c>
      <c r="H69" s="240">
        <f ca="1">TblConstr[[#This Row],[Water]]</f>
        <v>20</v>
      </c>
      <c r="I69" s="281"/>
      <c r="J69" s="228">
        <f t="shared" si="1"/>
        <v>66</v>
      </c>
      <c r="K69" s="305">
        <f ca="1">TblImps[[#This Row],[Real time]]</f>
        <v>44407.458333333176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81">
        <f ca="1">TblConstr[[#This Row],[Mountain]]</f>
        <v>20</v>
      </c>
      <c r="E70" s="485">
        <f ca="1">TblConstr[[#This Row],[Hill]]</f>
        <v>20</v>
      </c>
      <c r="F70" s="489">
        <f ca="1">TblConstr[[#This Row],[Swamp]]</f>
        <v>20</v>
      </c>
      <c r="G70" s="239">
        <f ca="1">TblConstr[[#This Row],[Cavern]]</f>
        <v>20</v>
      </c>
      <c r="H70" s="240">
        <f ca="1">TblConstr[[#This Row],[Water]]</f>
        <v>20</v>
      </c>
      <c r="I70" s="281"/>
      <c r="J70" s="228">
        <f t="shared" si="1"/>
        <v>67</v>
      </c>
      <c r="K70" s="305">
        <f ca="1">TblImps[[#This Row],[Real time]]</f>
        <v>44407.49999999984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81">
        <f ca="1">TblConstr[[#This Row],[Mountain]]</f>
        <v>20</v>
      </c>
      <c r="E71" s="485">
        <f ca="1">TblConstr[[#This Row],[Hill]]</f>
        <v>20</v>
      </c>
      <c r="F71" s="489">
        <f ca="1">TblConstr[[#This Row],[Swamp]]</f>
        <v>20</v>
      </c>
      <c r="G71" s="239">
        <f ca="1">TblConstr[[#This Row],[Cavern]]</f>
        <v>20</v>
      </c>
      <c r="H71" s="240">
        <f ca="1">TblConstr[[#This Row],[Water]]</f>
        <v>20</v>
      </c>
      <c r="I71" s="281"/>
      <c r="J71" s="228">
        <f t="shared" si="1"/>
        <v>68</v>
      </c>
      <c r="K71" s="305">
        <f ca="1">TblImps[[#This Row],[Real time]]</f>
        <v>44407.541666666504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81">
        <f ca="1">TblConstr[[#This Row],[Mountain]]</f>
        <v>20</v>
      </c>
      <c r="E72" s="485">
        <f ca="1">TblConstr[[#This Row],[Hill]]</f>
        <v>20</v>
      </c>
      <c r="F72" s="489">
        <f ca="1">TblConstr[[#This Row],[Swamp]]</f>
        <v>20</v>
      </c>
      <c r="G72" s="239">
        <f ca="1">TblConstr[[#This Row],[Cavern]]</f>
        <v>20</v>
      </c>
      <c r="H72" s="240">
        <f ca="1">TblConstr[[#This Row],[Water]]</f>
        <v>20</v>
      </c>
      <c r="I72" s="281"/>
      <c r="J72" s="228">
        <f t="shared" si="1"/>
        <v>69</v>
      </c>
      <c r="K72" s="305">
        <f ca="1">TblImps[[#This Row],[Real time]]</f>
        <v>44407.583333333168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81">
        <f ca="1">TblConstr[[#This Row],[Mountain]]</f>
        <v>20</v>
      </c>
      <c r="E73" s="485">
        <f ca="1">TblConstr[[#This Row],[Hill]]</f>
        <v>20</v>
      </c>
      <c r="F73" s="489">
        <f ca="1">TblConstr[[#This Row],[Swamp]]</f>
        <v>20</v>
      </c>
      <c r="G73" s="239">
        <f ca="1">TblConstr[[#This Row],[Cavern]]</f>
        <v>20</v>
      </c>
      <c r="H73" s="240">
        <f ca="1">TblConstr[[#This Row],[Water]]</f>
        <v>20</v>
      </c>
      <c r="I73" s="281"/>
      <c r="J73" s="228">
        <f t="shared" si="1"/>
        <v>70</v>
      </c>
      <c r="K73" s="305">
        <f ca="1">TblImps[[#This Row],[Real time]]</f>
        <v>44407.624999999833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81">
        <f ca="1">TblConstr[[#This Row],[Mountain]]</f>
        <v>20</v>
      </c>
      <c r="E74" s="485">
        <f ca="1">TblConstr[[#This Row],[Hill]]</f>
        <v>20</v>
      </c>
      <c r="F74" s="489">
        <f ca="1">TblConstr[[#This Row],[Swamp]]</f>
        <v>20</v>
      </c>
      <c r="G74" s="239">
        <f ca="1">TblConstr[[#This Row],[Cavern]]</f>
        <v>20</v>
      </c>
      <c r="H74" s="240">
        <f ca="1">TblConstr[[#This Row],[Water]]</f>
        <v>20</v>
      </c>
      <c r="I74" s="281"/>
      <c r="J74" s="228">
        <f t="shared" si="1"/>
        <v>71</v>
      </c>
      <c r="K74" s="305">
        <f ca="1">TblImps[[#This Row],[Real time]]</f>
        <v>44407.666666666497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81">
        <f ca="1">TblConstr[[#This Row],[Mountain]]</f>
        <v>20</v>
      </c>
      <c r="E75" s="485">
        <f ca="1">TblConstr[[#This Row],[Hill]]</f>
        <v>20</v>
      </c>
      <c r="F75" s="489">
        <f ca="1">TblConstr[[#This Row],[Swamp]]</f>
        <v>20</v>
      </c>
      <c r="G75" s="239">
        <f ca="1">TblConstr[[#This Row],[Cavern]]</f>
        <v>20</v>
      </c>
      <c r="H75" s="240">
        <f ca="1">TblConstr[[#This Row],[Water]]</f>
        <v>20</v>
      </c>
      <c r="I75" s="281"/>
      <c r="J75" s="228">
        <f t="shared" si="1"/>
        <v>72</v>
      </c>
      <c r="K75" s="305">
        <f ca="1">TblImps[[#This Row],[Real time]]</f>
        <v>44407.708333333161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82">
        <f ca="1">TblConstr[[#This Row],[Mountain]]</f>
        <v>20</v>
      </c>
      <c r="E76" s="486">
        <f ca="1">TblConstr[[#This Row],[Hill]]</f>
        <v>20</v>
      </c>
      <c r="F76" s="490">
        <f ca="1">TblConstr[[#This Row],[Swamp]]</f>
        <v>20</v>
      </c>
      <c r="G76" s="257">
        <f ca="1">TblConstr[[#This Row],[Cavern]]</f>
        <v>20</v>
      </c>
      <c r="H76" s="258">
        <f ca="1">TblConstr[[#This Row],[Water]]</f>
        <v>20</v>
      </c>
      <c r="I76" s="298"/>
      <c r="J76" s="248">
        <f t="shared" si="1"/>
        <v>73</v>
      </c>
      <c r="K76" s="306">
        <f ca="1">TblImps[[#This Row],[Real time]]</f>
        <v>44407.749999999825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81">
        <f ca="1">TblConstr[[#This Row],[Mountain]]</f>
        <v>20</v>
      </c>
      <c r="E77" s="485">
        <f ca="1">TblConstr[[#This Row],[Hill]]</f>
        <v>20</v>
      </c>
      <c r="F77" s="489">
        <f ca="1">TblConstr[[#This Row],[Swamp]]</f>
        <v>20</v>
      </c>
      <c r="G77" s="239">
        <f ca="1">TblConstr[[#This Row],[Cavern]]</f>
        <v>20</v>
      </c>
      <c r="H77" s="240">
        <f ca="1">TblConstr[[#This Row],[Water]]</f>
        <v>20</v>
      </c>
      <c r="I77" s="281"/>
      <c r="J77" s="228">
        <f t="shared" ref="J77:J87" si="2">J76+1</f>
        <v>74</v>
      </c>
      <c r="K77" s="305">
        <f ca="1">TblImps[[#This Row],[Real time]]</f>
        <v>44407.79166666649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81">
        <f ca="1">TblConstr[[#This Row],[Mountain]]</f>
        <v>20</v>
      </c>
      <c r="E78" s="485">
        <f ca="1">TblConstr[[#This Row],[Hill]]</f>
        <v>20</v>
      </c>
      <c r="F78" s="489">
        <f ca="1">TblConstr[[#This Row],[Swamp]]</f>
        <v>20</v>
      </c>
      <c r="G78" s="239">
        <f ca="1">TblConstr[[#This Row],[Cavern]]</f>
        <v>20</v>
      </c>
      <c r="H78" s="240">
        <f ca="1">TblConstr[[#This Row],[Water]]</f>
        <v>20</v>
      </c>
      <c r="I78" s="281"/>
      <c r="J78" s="228">
        <f t="shared" si="2"/>
        <v>75</v>
      </c>
      <c r="K78" s="305">
        <f ca="1">TblImps[[#This Row],[Real time]]</f>
        <v>44407.833333333154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81">
        <f ca="1">TblConstr[[#This Row],[Mountain]]</f>
        <v>20</v>
      </c>
      <c r="E79" s="485">
        <f ca="1">TblConstr[[#This Row],[Hill]]</f>
        <v>20</v>
      </c>
      <c r="F79" s="489">
        <f ca="1">TblConstr[[#This Row],[Swamp]]</f>
        <v>20</v>
      </c>
      <c r="G79" s="239">
        <f ca="1">TblConstr[[#This Row],[Cavern]]</f>
        <v>20</v>
      </c>
      <c r="H79" s="240">
        <f ca="1">TblConstr[[#This Row],[Water]]</f>
        <v>20</v>
      </c>
      <c r="I79" s="281"/>
      <c r="J79" s="228">
        <f t="shared" si="2"/>
        <v>76</v>
      </c>
      <c r="K79" s="305">
        <f ca="1">TblImps[[#This Row],[Real time]]</f>
        <v>44407.874999999818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81">
        <f ca="1">TblConstr[[#This Row],[Mountain]]</f>
        <v>20</v>
      </c>
      <c r="E80" s="485">
        <f ca="1">TblConstr[[#This Row],[Hill]]</f>
        <v>20</v>
      </c>
      <c r="F80" s="489">
        <f ca="1">TblConstr[[#This Row],[Swamp]]</f>
        <v>20</v>
      </c>
      <c r="G80" s="239">
        <f ca="1">TblConstr[[#This Row],[Cavern]]</f>
        <v>20</v>
      </c>
      <c r="H80" s="240">
        <f ca="1">TblConstr[[#This Row],[Water]]</f>
        <v>20</v>
      </c>
      <c r="I80" s="281"/>
      <c r="J80" s="228">
        <f t="shared" si="2"/>
        <v>77</v>
      </c>
      <c r="K80" s="305">
        <f ca="1">TblImps[[#This Row],[Real time]]</f>
        <v>44407.916666666482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81">
        <f ca="1">TblConstr[[#This Row],[Mountain]]</f>
        <v>20</v>
      </c>
      <c r="E81" s="485">
        <f ca="1">TblConstr[[#This Row],[Hill]]</f>
        <v>20</v>
      </c>
      <c r="F81" s="489">
        <f ca="1">TblConstr[[#This Row],[Swamp]]</f>
        <v>20</v>
      </c>
      <c r="G81" s="239">
        <f ca="1">TblConstr[[#This Row],[Cavern]]</f>
        <v>20</v>
      </c>
      <c r="H81" s="240">
        <f ca="1">TblConstr[[#This Row],[Water]]</f>
        <v>20</v>
      </c>
      <c r="I81" s="281"/>
      <c r="J81" s="228">
        <f t="shared" si="2"/>
        <v>78</v>
      </c>
      <c r="K81" s="305">
        <f ca="1">TblImps[[#This Row],[Real time]]</f>
        <v>44407.958333333147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81">
        <f ca="1">TblConstr[[#This Row],[Mountain]]</f>
        <v>20</v>
      </c>
      <c r="E82" s="485">
        <f ca="1">TblConstr[[#This Row],[Hill]]</f>
        <v>20</v>
      </c>
      <c r="F82" s="489">
        <f ca="1">TblConstr[[#This Row],[Swamp]]</f>
        <v>20</v>
      </c>
      <c r="G82" s="239">
        <f ca="1">TblConstr[[#This Row],[Cavern]]</f>
        <v>20</v>
      </c>
      <c r="H82" s="240">
        <f ca="1">TblConstr[[#This Row],[Water]]</f>
        <v>20</v>
      </c>
      <c r="I82" s="281"/>
      <c r="J82" s="228">
        <f t="shared" si="2"/>
        <v>79</v>
      </c>
      <c r="K82" s="305">
        <f ca="1">TblImps[[#This Row],[Real time]]</f>
        <v>44407.999999999811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81">
        <f ca="1">TblConstr[[#This Row],[Mountain]]</f>
        <v>20</v>
      </c>
      <c r="E83" s="485">
        <f ca="1">TblConstr[[#This Row],[Hill]]</f>
        <v>20</v>
      </c>
      <c r="F83" s="489">
        <f ca="1">TblConstr[[#This Row],[Swamp]]</f>
        <v>20</v>
      </c>
      <c r="G83" s="239">
        <f ca="1">TblConstr[[#This Row],[Cavern]]</f>
        <v>20</v>
      </c>
      <c r="H83" s="240">
        <f ca="1">TblConstr[[#This Row],[Water]]</f>
        <v>20</v>
      </c>
      <c r="I83" s="281"/>
      <c r="J83" s="228">
        <f t="shared" si="2"/>
        <v>80</v>
      </c>
      <c r="K83" s="305">
        <f ca="1">TblImps[[#This Row],[Real time]]</f>
        <v>44408.041666666475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81">
        <f ca="1">TblConstr[[#This Row],[Mountain]]</f>
        <v>20</v>
      </c>
      <c r="E84" s="485">
        <f ca="1">TblConstr[[#This Row],[Hill]]</f>
        <v>20</v>
      </c>
      <c r="F84" s="489">
        <f ca="1">TblConstr[[#This Row],[Swamp]]</f>
        <v>20</v>
      </c>
      <c r="G84" s="239">
        <f ca="1">TblConstr[[#This Row],[Cavern]]</f>
        <v>20</v>
      </c>
      <c r="H84" s="240">
        <f ca="1">TblConstr[[#This Row],[Water]]</f>
        <v>20</v>
      </c>
      <c r="I84" s="281"/>
      <c r="J84" s="228">
        <f t="shared" si="2"/>
        <v>81</v>
      </c>
      <c r="K84" s="305">
        <f ca="1">TblImps[[#This Row],[Real time]]</f>
        <v>44408.083333333139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81">
        <f ca="1">TblConstr[[#This Row],[Mountain]]</f>
        <v>20</v>
      </c>
      <c r="E85" s="485">
        <f ca="1">TblConstr[[#This Row],[Hill]]</f>
        <v>20</v>
      </c>
      <c r="F85" s="489">
        <f ca="1">TblConstr[[#This Row],[Swamp]]</f>
        <v>20</v>
      </c>
      <c r="G85" s="239">
        <f ca="1">TblConstr[[#This Row],[Cavern]]</f>
        <v>20</v>
      </c>
      <c r="H85" s="240">
        <f ca="1">TblConstr[[#This Row],[Water]]</f>
        <v>20</v>
      </c>
      <c r="I85" s="281"/>
      <c r="J85" s="228">
        <f t="shared" si="2"/>
        <v>82</v>
      </c>
      <c r="K85" s="305">
        <f ca="1">TblImps[[#This Row],[Real time]]</f>
        <v>44408.124999999804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81">
        <f ca="1">TblConstr[[#This Row],[Mountain]]</f>
        <v>20</v>
      </c>
      <c r="E86" s="485">
        <f ca="1">TblConstr[[#This Row],[Hill]]</f>
        <v>20</v>
      </c>
      <c r="F86" s="489">
        <f ca="1">TblConstr[[#This Row],[Swamp]]</f>
        <v>20</v>
      </c>
      <c r="G86" s="239">
        <f ca="1">TblConstr[[#This Row],[Cavern]]</f>
        <v>20</v>
      </c>
      <c r="H86" s="240">
        <f ca="1">TblConstr[[#This Row],[Water]]</f>
        <v>20</v>
      </c>
      <c r="I86" s="281"/>
      <c r="J86" s="228">
        <f t="shared" si="2"/>
        <v>83</v>
      </c>
      <c r="K86" s="305">
        <f ca="1">TblImps[[#This Row],[Real time]]</f>
        <v>44408.166666666468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81">
        <f ca="1">TblConstr[[#This Row],[Mountain]]</f>
        <v>20</v>
      </c>
      <c r="E87" s="485">
        <f ca="1">TblConstr[[#This Row],[Hill]]</f>
        <v>20</v>
      </c>
      <c r="F87" s="489">
        <f ca="1">TblConstr[[#This Row],[Swamp]]</f>
        <v>20</v>
      </c>
      <c r="G87" s="239">
        <f ca="1">TblConstr[[#This Row],[Cavern]]</f>
        <v>20</v>
      </c>
      <c r="H87" s="240">
        <f ca="1">TblConstr[[#This Row],[Water]]</f>
        <v>20</v>
      </c>
      <c r="I87" s="281"/>
      <c r="J87" s="228">
        <f t="shared" si="2"/>
        <v>84</v>
      </c>
      <c r="K87" s="305">
        <f ca="1">TblImps[[#This Row],[Real time]]</f>
        <v>44408.208333333132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81">
        <f ca="1">TblConstr[[#This Row],[Mountain]]</f>
        <v>20</v>
      </c>
      <c r="E88" s="485">
        <f ca="1">TblConstr[[#This Row],[Hill]]</f>
        <v>20</v>
      </c>
      <c r="F88" s="489">
        <f ca="1">TblConstr[[#This Row],[Swamp]]</f>
        <v>20</v>
      </c>
      <c r="G88" s="239">
        <f ca="1">TblConstr[[#This Row],[Cavern]]</f>
        <v>20</v>
      </c>
      <c r="H88" s="240">
        <f ca="1">TblConstr[[#This Row],[Water]]</f>
        <v>20</v>
      </c>
      <c r="I88" s="281"/>
      <c r="J88" s="228">
        <f>J87+1</f>
        <v>85</v>
      </c>
      <c r="K88" s="305">
        <f ca="1">TblImps[[#This Row],[Real time]]</f>
        <v>44408.249999999796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81">
        <f ca="1">TblConstr[[#This Row],[Mountain]]</f>
        <v>20</v>
      </c>
      <c r="E89" s="485">
        <f ca="1">TblConstr[[#This Row],[Hill]]</f>
        <v>20</v>
      </c>
      <c r="F89" s="489">
        <f ca="1">TblConstr[[#This Row],[Swamp]]</f>
        <v>20</v>
      </c>
      <c r="G89" s="239">
        <f ca="1">TblConstr[[#This Row],[Cavern]]</f>
        <v>20</v>
      </c>
      <c r="H89" s="240">
        <f ca="1">TblConstr[[#This Row],[Water]]</f>
        <v>20</v>
      </c>
      <c r="I89" s="281"/>
      <c r="J89" s="228">
        <f t="shared" ref="J89:J136" si="3">J88+1</f>
        <v>86</v>
      </c>
      <c r="K89" s="305">
        <f ca="1">TblImps[[#This Row],[Real time]]</f>
        <v>44408.291666666461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81">
        <f ca="1">TblConstr[[#This Row],[Mountain]]</f>
        <v>20</v>
      </c>
      <c r="E90" s="485">
        <f ca="1">TblConstr[[#This Row],[Hill]]</f>
        <v>20</v>
      </c>
      <c r="F90" s="489">
        <f ca="1">TblConstr[[#This Row],[Swamp]]</f>
        <v>20</v>
      </c>
      <c r="G90" s="239">
        <f ca="1">TblConstr[[#This Row],[Cavern]]</f>
        <v>20</v>
      </c>
      <c r="H90" s="240">
        <f ca="1">TblConstr[[#This Row],[Water]]</f>
        <v>20</v>
      </c>
      <c r="I90" s="281"/>
      <c r="J90" s="228">
        <f t="shared" si="3"/>
        <v>87</v>
      </c>
      <c r="K90" s="305">
        <f ca="1">TblImps[[#This Row],[Real time]]</f>
        <v>44408.333333333125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81">
        <f ca="1">TblConstr[[#This Row],[Mountain]]</f>
        <v>20</v>
      </c>
      <c r="E91" s="485">
        <f ca="1">TblConstr[[#This Row],[Hill]]</f>
        <v>20</v>
      </c>
      <c r="F91" s="489">
        <f ca="1">TblConstr[[#This Row],[Swamp]]</f>
        <v>20</v>
      </c>
      <c r="G91" s="239">
        <f ca="1">TblConstr[[#This Row],[Cavern]]</f>
        <v>20</v>
      </c>
      <c r="H91" s="240">
        <f ca="1">TblConstr[[#This Row],[Water]]</f>
        <v>20</v>
      </c>
      <c r="I91" s="281"/>
      <c r="J91" s="228">
        <f t="shared" si="3"/>
        <v>88</v>
      </c>
      <c r="K91" s="305">
        <f ca="1">TblImps[[#This Row],[Real time]]</f>
        <v>44408.374999999789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81">
        <f ca="1">TblConstr[[#This Row],[Mountain]]</f>
        <v>20</v>
      </c>
      <c r="E92" s="485">
        <f ca="1">TblConstr[[#This Row],[Hill]]</f>
        <v>20</v>
      </c>
      <c r="F92" s="489">
        <f ca="1">TblConstr[[#This Row],[Swamp]]</f>
        <v>20</v>
      </c>
      <c r="G92" s="239">
        <f ca="1">TblConstr[[#This Row],[Cavern]]</f>
        <v>20</v>
      </c>
      <c r="H92" s="240">
        <f ca="1">TblConstr[[#This Row],[Water]]</f>
        <v>20</v>
      </c>
      <c r="I92" s="281"/>
      <c r="J92" s="228">
        <f t="shared" si="3"/>
        <v>89</v>
      </c>
      <c r="K92" s="305">
        <f ca="1">TblImps[[#This Row],[Real time]]</f>
        <v>44408.416666666453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81">
        <f ca="1">TblConstr[[#This Row],[Mountain]]</f>
        <v>20</v>
      </c>
      <c r="E93" s="485">
        <f ca="1">TblConstr[[#This Row],[Hill]]</f>
        <v>20</v>
      </c>
      <c r="F93" s="489">
        <f ca="1">TblConstr[[#This Row],[Swamp]]</f>
        <v>20</v>
      </c>
      <c r="G93" s="239">
        <f ca="1">TblConstr[[#This Row],[Cavern]]</f>
        <v>20</v>
      </c>
      <c r="H93" s="240">
        <f ca="1">TblConstr[[#This Row],[Water]]</f>
        <v>20</v>
      </c>
      <c r="I93" s="281"/>
      <c r="J93" s="228">
        <f t="shared" si="3"/>
        <v>90</v>
      </c>
      <c r="K93" s="305">
        <f ca="1">TblImps[[#This Row],[Real time]]</f>
        <v>44408.458333333117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81">
        <f ca="1">TblConstr[[#This Row],[Mountain]]</f>
        <v>20</v>
      </c>
      <c r="E94" s="485">
        <f ca="1">TblConstr[[#This Row],[Hill]]</f>
        <v>20</v>
      </c>
      <c r="F94" s="489">
        <f ca="1">TblConstr[[#This Row],[Swamp]]</f>
        <v>20</v>
      </c>
      <c r="G94" s="239">
        <f ca="1">TblConstr[[#This Row],[Cavern]]</f>
        <v>20</v>
      </c>
      <c r="H94" s="240">
        <f ca="1">TblConstr[[#This Row],[Water]]</f>
        <v>20</v>
      </c>
      <c r="I94" s="281"/>
      <c r="J94" s="228">
        <f t="shared" si="3"/>
        <v>91</v>
      </c>
      <c r="K94" s="305">
        <f ca="1">TblImps[[#This Row],[Real time]]</f>
        <v>44408.499999999782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81">
        <f ca="1">TblConstr[[#This Row],[Mountain]]</f>
        <v>20</v>
      </c>
      <c r="E95" s="485">
        <f ca="1">TblConstr[[#This Row],[Hill]]</f>
        <v>20</v>
      </c>
      <c r="F95" s="489">
        <f ca="1">TblConstr[[#This Row],[Swamp]]</f>
        <v>20</v>
      </c>
      <c r="G95" s="239">
        <f ca="1">TblConstr[[#This Row],[Cavern]]</f>
        <v>20</v>
      </c>
      <c r="H95" s="240">
        <f ca="1">TblConstr[[#This Row],[Water]]</f>
        <v>20</v>
      </c>
      <c r="I95" s="281"/>
      <c r="J95" s="228">
        <f t="shared" si="3"/>
        <v>92</v>
      </c>
      <c r="K95" s="305">
        <f ca="1">TblImps[[#This Row],[Real time]]</f>
        <v>44408.541666666446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81">
        <f ca="1">TblConstr[[#This Row],[Mountain]]</f>
        <v>20</v>
      </c>
      <c r="E96" s="485">
        <f ca="1">TblConstr[[#This Row],[Hill]]</f>
        <v>20</v>
      </c>
      <c r="F96" s="489">
        <f ca="1">TblConstr[[#This Row],[Swamp]]</f>
        <v>20</v>
      </c>
      <c r="G96" s="239">
        <f ca="1">TblConstr[[#This Row],[Cavern]]</f>
        <v>20</v>
      </c>
      <c r="H96" s="240">
        <f ca="1">TblConstr[[#This Row],[Water]]</f>
        <v>20</v>
      </c>
      <c r="I96" s="281"/>
      <c r="J96" s="228">
        <f t="shared" si="3"/>
        <v>93</v>
      </c>
      <c r="K96" s="305">
        <f ca="1">TblImps[[#This Row],[Real time]]</f>
        <v>44408.58333333311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81">
        <f ca="1">TblConstr[[#This Row],[Mountain]]</f>
        <v>20</v>
      </c>
      <c r="E97" s="485">
        <f ca="1">TblConstr[[#This Row],[Hill]]</f>
        <v>20</v>
      </c>
      <c r="F97" s="489">
        <f ca="1">TblConstr[[#This Row],[Swamp]]</f>
        <v>20</v>
      </c>
      <c r="G97" s="239">
        <f ca="1">TblConstr[[#This Row],[Cavern]]</f>
        <v>20</v>
      </c>
      <c r="H97" s="240">
        <f ca="1">TblConstr[[#This Row],[Water]]</f>
        <v>20</v>
      </c>
      <c r="I97" s="281"/>
      <c r="J97" s="228">
        <f t="shared" si="3"/>
        <v>94</v>
      </c>
      <c r="K97" s="305">
        <f ca="1">TblImps[[#This Row],[Real time]]</f>
        <v>44408.624999999774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81">
        <f ca="1">TblConstr[[#This Row],[Mountain]]</f>
        <v>20</v>
      </c>
      <c r="E98" s="485">
        <f ca="1">TblConstr[[#This Row],[Hill]]</f>
        <v>20</v>
      </c>
      <c r="F98" s="489">
        <f ca="1">TblConstr[[#This Row],[Swamp]]</f>
        <v>20</v>
      </c>
      <c r="G98" s="239">
        <f ca="1">TblConstr[[#This Row],[Cavern]]</f>
        <v>20</v>
      </c>
      <c r="H98" s="240">
        <f ca="1">TblConstr[[#This Row],[Water]]</f>
        <v>20</v>
      </c>
      <c r="I98" s="281"/>
      <c r="J98" s="228">
        <f t="shared" si="3"/>
        <v>95</v>
      </c>
      <c r="K98" s="305">
        <f ca="1">TblImps[[#This Row],[Real time]]</f>
        <v>44408.666666666439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81">
        <f ca="1">TblConstr[[#This Row],[Mountain]]</f>
        <v>20</v>
      </c>
      <c r="E99" s="485">
        <f ca="1">TblConstr[[#This Row],[Hill]]</f>
        <v>20</v>
      </c>
      <c r="F99" s="489">
        <f ca="1">TblConstr[[#This Row],[Swamp]]</f>
        <v>20</v>
      </c>
      <c r="G99" s="239">
        <f ca="1">TblConstr[[#This Row],[Cavern]]</f>
        <v>20</v>
      </c>
      <c r="H99" s="240">
        <f ca="1">TblConstr[[#This Row],[Water]]</f>
        <v>20</v>
      </c>
      <c r="I99" s="281"/>
      <c r="J99" s="228">
        <f t="shared" si="3"/>
        <v>96</v>
      </c>
      <c r="K99" s="305">
        <f ca="1">TblImps[[#This Row],[Real time]]</f>
        <v>44408.708333333103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81">
        <f ca="1">TblConstr[[#This Row],[Mountain]]</f>
        <v>20</v>
      </c>
      <c r="E100" s="485">
        <f ca="1">TblConstr[[#This Row],[Hill]]</f>
        <v>20</v>
      </c>
      <c r="F100" s="489">
        <f ca="1">TblConstr[[#This Row],[Swamp]]</f>
        <v>20</v>
      </c>
      <c r="G100" s="239">
        <f ca="1">TblConstr[[#This Row],[Cavern]]</f>
        <v>20</v>
      </c>
      <c r="H100" s="240">
        <f ca="1">TblConstr[[#This Row],[Water]]</f>
        <v>20</v>
      </c>
      <c r="I100" s="281"/>
      <c r="J100" s="228">
        <f t="shared" si="3"/>
        <v>97</v>
      </c>
      <c r="K100" s="305">
        <f ca="1">TblImps[[#This Row],[Real time]]</f>
        <v>44408.749999999767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81">
        <f ca="1">TblConstr[[#This Row],[Mountain]]</f>
        <v>20</v>
      </c>
      <c r="E101" s="485">
        <f ca="1">TblConstr[[#This Row],[Hill]]</f>
        <v>20</v>
      </c>
      <c r="F101" s="489">
        <f ca="1">TblConstr[[#This Row],[Swamp]]</f>
        <v>20</v>
      </c>
      <c r="G101" s="239">
        <f ca="1">TblConstr[[#This Row],[Cavern]]</f>
        <v>20</v>
      </c>
      <c r="H101" s="240">
        <f ca="1">TblConstr[[#This Row],[Water]]</f>
        <v>20</v>
      </c>
      <c r="I101" s="281"/>
      <c r="J101" s="228">
        <f t="shared" si="3"/>
        <v>98</v>
      </c>
      <c r="K101" s="305">
        <f ca="1">TblImps[[#This Row],[Real time]]</f>
        <v>44408.791666666431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81">
        <f ca="1">TblConstr[[#This Row],[Mountain]]</f>
        <v>20</v>
      </c>
      <c r="E102" s="485">
        <f ca="1">TblConstr[[#This Row],[Hill]]</f>
        <v>20</v>
      </c>
      <c r="F102" s="489">
        <f ca="1">TblConstr[[#This Row],[Swamp]]</f>
        <v>20</v>
      </c>
      <c r="G102" s="239">
        <f ca="1">TblConstr[[#This Row],[Cavern]]</f>
        <v>20</v>
      </c>
      <c r="H102" s="240">
        <f ca="1">TblConstr[[#This Row],[Water]]</f>
        <v>20</v>
      </c>
      <c r="I102" s="281"/>
      <c r="J102" s="228">
        <f t="shared" si="3"/>
        <v>99</v>
      </c>
      <c r="K102" s="305">
        <f ca="1">TblImps[[#This Row],[Real time]]</f>
        <v>44408.833333333096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81">
        <f ca="1">TblConstr[[#This Row],[Mountain]]</f>
        <v>20</v>
      </c>
      <c r="E103" s="485">
        <f ca="1">TblConstr[[#This Row],[Hill]]</f>
        <v>20</v>
      </c>
      <c r="F103" s="489">
        <f ca="1">TblConstr[[#This Row],[Swamp]]</f>
        <v>20</v>
      </c>
      <c r="G103" s="239">
        <f ca="1">TblConstr[[#This Row],[Cavern]]</f>
        <v>20</v>
      </c>
      <c r="H103" s="240">
        <f ca="1">TblConstr[[#This Row],[Water]]</f>
        <v>20</v>
      </c>
      <c r="I103" s="281"/>
      <c r="J103" s="228">
        <f t="shared" si="3"/>
        <v>100</v>
      </c>
      <c r="K103" s="305">
        <f ca="1">TblImps[[#This Row],[Real time]]</f>
        <v>44408.87499999976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81">
        <f ca="1">TblConstr[[#This Row],[Mountain]]</f>
        <v>20</v>
      </c>
      <c r="E104" s="485">
        <f ca="1">TblConstr[[#This Row],[Hill]]</f>
        <v>20</v>
      </c>
      <c r="F104" s="489">
        <f ca="1">TblConstr[[#This Row],[Swamp]]</f>
        <v>20</v>
      </c>
      <c r="G104" s="239">
        <f ca="1">TblConstr[[#This Row],[Cavern]]</f>
        <v>20</v>
      </c>
      <c r="H104" s="240">
        <f ca="1">TblConstr[[#This Row],[Water]]</f>
        <v>20</v>
      </c>
      <c r="I104" s="281"/>
      <c r="J104" s="228">
        <f t="shared" si="3"/>
        <v>101</v>
      </c>
      <c r="K104" s="305">
        <f ca="1">TblImps[[#This Row],[Real time]]</f>
        <v>44408.916666666424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81">
        <f ca="1">TblConstr[[#This Row],[Mountain]]</f>
        <v>20</v>
      </c>
      <c r="E105" s="485">
        <f ca="1">TblConstr[[#This Row],[Hill]]</f>
        <v>20</v>
      </c>
      <c r="F105" s="489">
        <f ca="1">TblConstr[[#This Row],[Swamp]]</f>
        <v>20</v>
      </c>
      <c r="G105" s="239">
        <f ca="1">TblConstr[[#This Row],[Cavern]]</f>
        <v>20</v>
      </c>
      <c r="H105" s="240">
        <f ca="1">TblConstr[[#This Row],[Water]]</f>
        <v>20</v>
      </c>
      <c r="I105" s="281"/>
      <c r="J105" s="228">
        <f t="shared" si="3"/>
        <v>102</v>
      </c>
      <c r="K105" s="305">
        <f ca="1">TblImps[[#This Row],[Real time]]</f>
        <v>44408.958333333088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81">
        <f ca="1">TblConstr[[#This Row],[Mountain]]</f>
        <v>20</v>
      </c>
      <c r="E106" s="485">
        <f ca="1">TblConstr[[#This Row],[Hill]]</f>
        <v>20</v>
      </c>
      <c r="F106" s="489">
        <f ca="1">TblConstr[[#This Row],[Swamp]]</f>
        <v>20</v>
      </c>
      <c r="G106" s="239">
        <f ca="1">TblConstr[[#This Row],[Cavern]]</f>
        <v>20</v>
      </c>
      <c r="H106" s="240">
        <f ca="1">TblConstr[[#This Row],[Water]]</f>
        <v>20</v>
      </c>
      <c r="I106" s="281"/>
      <c r="J106" s="228">
        <f t="shared" si="3"/>
        <v>103</v>
      </c>
      <c r="K106" s="305">
        <f ca="1">TblImps[[#This Row],[Real time]]</f>
        <v>44408.999999999753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81">
        <f ca="1">TblConstr[[#This Row],[Mountain]]</f>
        <v>20</v>
      </c>
      <c r="E107" s="485">
        <f ca="1">TblConstr[[#This Row],[Hill]]</f>
        <v>20</v>
      </c>
      <c r="F107" s="489">
        <f ca="1">TblConstr[[#This Row],[Swamp]]</f>
        <v>20</v>
      </c>
      <c r="G107" s="239">
        <f ca="1">TblConstr[[#This Row],[Cavern]]</f>
        <v>20</v>
      </c>
      <c r="H107" s="240">
        <f ca="1">TblConstr[[#This Row],[Water]]</f>
        <v>20</v>
      </c>
      <c r="I107" s="281"/>
      <c r="J107" s="228">
        <f t="shared" si="3"/>
        <v>104</v>
      </c>
      <c r="K107" s="305">
        <f ca="1">TblImps[[#This Row],[Real time]]</f>
        <v>44409.041666666417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81">
        <f ca="1">TblConstr[[#This Row],[Mountain]]</f>
        <v>20</v>
      </c>
      <c r="E108" s="485">
        <f ca="1">TblConstr[[#This Row],[Hill]]</f>
        <v>20</v>
      </c>
      <c r="F108" s="489">
        <f ca="1">TblConstr[[#This Row],[Swamp]]</f>
        <v>20</v>
      </c>
      <c r="G108" s="239">
        <f ca="1">TblConstr[[#This Row],[Cavern]]</f>
        <v>20</v>
      </c>
      <c r="H108" s="240">
        <f ca="1">TblConstr[[#This Row],[Water]]</f>
        <v>20</v>
      </c>
      <c r="I108" s="281"/>
      <c r="J108" s="228">
        <f t="shared" si="3"/>
        <v>105</v>
      </c>
      <c r="K108" s="305">
        <f ca="1">TblImps[[#This Row],[Real time]]</f>
        <v>44409.083333333081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81">
        <f ca="1">TblConstr[[#This Row],[Mountain]]</f>
        <v>20</v>
      </c>
      <c r="E109" s="485">
        <f ca="1">TblConstr[[#This Row],[Hill]]</f>
        <v>20</v>
      </c>
      <c r="F109" s="489">
        <f ca="1">TblConstr[[#This Row],[Swamp]]</f>
        <v>20</v>
      </c>
      <c r="G109" s="239">
        <f ca="1">TblConstr[[#This Row],[Cavern]]</f>
        <v>20</v>
      </c>
      <c r="H109" s="240">
        <f ca="1">TblConstr[[#This Row],[Water]]</f>
        <v>20</v>
      </c>
      <c r="I109" s="281"/>
      <c r="J109" s="228">
        <f t="shared" si="3"/>
        <v>106</v>
      </c>
      <c r="K109" s="305">
        <f ca="1">TblImps[[#This Row],[Real time]]</f>
        <v>44409.124999999745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81">
        <f ca="1">TblConstr[[#This Row],[Mountain]]</f>
        <v>20</v>
      </c>
      <c r="E110" s="485">
        <f ca="1">TblConstr[[#This Row],[Hill]]</f>
        <v>20</v>
      </c>
      <c r="F110" s="489">
        <f ca="1">TblConstr[[#This Row],[Swamp]]</f>
        <v>20</v>
      </c>
      <c r="G110" s="239">
        <f ca="1">TblConstr[[#This Row],[Cavern]]</f>
        <v>20</v>
      </c>
      <c r="H110" s="240">
        <f ca="1">TblConstr[[#This Row],[Water]]</f>
        <v>20</v>
      </c>
      <c r="I110" s="281"/>
      <c r="J110" s="228">
        <f t="shared" si="3"/>
        <v>107</v>
      </c>
      <c r="K110" s="305">
        <f ca="1">TblImps[[#This Row],[Real time]]</f>
        <v>44409.16666666641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81">
        <f ca="1">TblConstr[[#This Row],[Mountain]]</f>
        <v>20</v>
      </c>
      <c r="E111" s="485">
        <f ca="1">TblConstr[[#This Row],[Hill]]</f>
        <v>20</v>
      </c>
      <c r="F111" s="489">
        <f ca="1">TblConstr[[#This Row],[Swamp]]</f>
        <v>20</v>
      </c>
      <c r="G111" s="239">
        <f ca="1">TblConstr[[#This Row],[Cavern]]</f>
        <v>20</v>
      </c>
      <c r="H111" s="240">
        <f ca="1">TblConstr[[#This Row],[Water]]</f>
        <v>20</v>
      </c>
      <c r="I111" s="281"/>
      <c r="J111" s="228">
        <f t="shared" si="3"/>
        <v>108</v>
      </c>
      <c r="K111" s="305">
        <f ca="1">TblImps[[#This Row],[Real time]]</f>
        <v>44409.208333333074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81">
        <f ca="1">TblConstr[[#This Row],[Mountain]]</f>
        <v>20</v>
      </c>
      <c r="E112" s="485">
        <f ca="1">TblConstr[[#This Row],[Hill]]</f>
        <v>20</v>
      </c>
      <c r="F112" s="489">
        <f ca="1">TblConstr[[#This Row],[Swamp]]</f>
        <v>20</v>
      </c>
      <c r="G112" s="239">
        <f ca="1">TblConstr[[#This Row],[Cavern]]</f>
        <v>20</v>
      </c>
      <c r="H112" s="240">
        <f ca="1">TblConstr[[#This Row],[Water]]</f>
        <v>20</v>
      </c>
      <c r="I112" s="281"/>
      <c r="J112" s="228">
        <f t="shared" si="3"/>
        <v>109</v>
      </c>
      <c r="K112" s="305">
        <f ca="1">TblImps[[#This Row],[Real time]]</f>
        <v>44409.249999999738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81">
        <f ca="1">TblConstr[[#This Row],[Mountain]]</f>
        <v>20</v>
      </c>
      <c r="E113" s="485">
        <f ca="1">TblConstr[[#This Row],[Hill]]</f>
        <v>20</v>
      </c>
      <c r="F113" s="489">
        <f ca="1">TblConstr[[#This Row],[Swamp]]</f>
        <v>20</v>
      </c>
      <c r="G113" s="239">
        <f ca="1">TblConstr[[#This Row],[Cavern]]</f>
        <v>20</v>
      </c>
      <c r="H113" s="240">
        <f ca="1">TblConstr[[#This Row],[Water]]</f>
        <v>20</v>
      </c>
      <c r="I113" s="281"/>
      <c r="J113" s="228">
        <f t="shared" si="3"/>
        <v>110</v>
      </c>
      <c r="K113" s="305">
        <f ca="1">TblImps[[#This Row],[Real time]]</f>
        <v>44409.291666666402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81">
        <f ca="1">TblConstr[[#This Row],[Mountain]]</f>
        <v>20</v>
      </c>
      <c r="E114" s="485">
        <f ca="1">TblConstr[[#This Row],[Hill]]</f>
        <v>20</v>
      </c>
      <c r="F114" s="489">
        <f ca="1">TblConstr[[#This Row],[Swamp]]</f>
        <v>20</v>
      </c>
      <c r="G114" s="239">
        <f ca="1">TblConstr[[#This Row],[Cavern]]</f>
        <v>20</v>
      </c>
      <c r="H114" s="240">
        <f ca="1">TblConstr[[#This Row],[Water]]</f>
        <v>20</v>
      </c>
      <c r="I114" s="281"/>
      <c r="J114" s="228">
        <f t="shared" si="3"/>
        <v>111</v>
      </c>
      <c r="K114" s="305">
        <f ca="1">TblImps[[#This Row],[Real time]]</f>
        <v>44409.333333333067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81">
        <f ca="1">TblConstr[[#This Row],[Mountain]]</f>
        <v>20</v>
      </c>
      <c r="E115" s="485">
        <f ca="1">TblConstr[[#This Row],[Hill]]</f>
        <v>20</v>
      </c>
      <c r="F115" s="489">
        <f ca="1">TblConstr[[#This Row],[Swamp]]</f>
        <v>20</v>
      </c>
      <c r="G115" s="239">
        <f ca="1">TblConstr[[#This Row],[Cavern]]</f>
        <v>20</v>
      </c>
      <c r="H115" s="240">
        <f ca="1">TblConstr[[#This Row],[Water]]</f>
        <v>20</v>
      </c>
      <c r="I115" s="281"/>
      <c r="J115" s="228">
        <f t="shared" si="3"/>
        <v>112</v>
      </c>
      <c r="K115" s="305">
        <f ca="1">TblImps[[#This Row],[Real time]]</f>
        <v>44409.374999999731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81">
        <f ca="1">TblConstr[[#This Row],[Mountain]]</f>
        <v>20</v>
      </c>
      <c r="E116" s="485">
        <f ca="1">TblConstr[[#This Row],[Hill]]</f>
        <v>20</v>
      </c>
      <c r="F116" s="489">
        <f ca="1">TblConstr[[#This Row],[Swamp]]</f>
        <v>20</v>
      </c>
      <c r="G116" s="239">
        <f ca="1">TblConstr[[#This Row],[Cavern]]</f>
        <v>20</v>
      </c>
      <c r="H116" s="240">
        <f ca="1">TblConstr[[#This Row],[Water]]</f>
        <v>20</v>
      </c>
      <c r="I116" s="281"/>
      <c r="J116" s="228">
        <f t="shared" si="3"/>
        <v>113</v>
      </c>
      <c r="K116" s="305">
        <f ca="1">TblImps[[#This Row],[Real time]]</f>
        <v>44409.416666666395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81">
        <f ca="1">TblConstr[[#This Row],[Mountain]]</f>
        <v>20</v>
      </c>
      <c r="E117" s="485">
        <f ca="1">TblConstr[[#This Row],[Hill]]</f>
        <v>20</v>
      </c>
      <c r="F117" s="489">
        <f ca="1">TblConstr[[#This Row],[Swamp]]</f>
        <v>20</v>
      </c>
      <c r="G117" s="239">
        <f ca="1">TblConstr[[#This Row],[Cavern]]</f>
        <v>20</v>
      </c>
      <c r="H117" s="240">
        <f ca="1">TblConstr[[#This Row],[Water]]</f>
        <v>20</v>
      </c>
      <c r="I117" s="281"/>
      <c r="J117" s="228">
        <f t="shared" si="3"/>
        <v>114</v>
      </c>
      <c r="K117" s="305">
        <f ca="1">TblImps[[#This Row],[Real time]]</f>
        <v>44409.458333333059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81">
        <f ca="1">TblConstr[[#This Row],[Mountain]]</f>
        <v>20</v>
      </c>
      <c r="E118" s="485">
        <f ca="1">TblConstr[[#This Row],[Hill]]</f>
        <v>20</v>
      </c>
      <c r="F118" s="489">
        <f ca="1">TblConstr[[#This Row],[Swamp]]</f>
        <v>20</v>
      </c>
      <c r="G118" s="239">
        <f ca="1">TblConstr[[#This Row],[Cavern]]</f>
        <v>20</v>
      </c>
      <c r="H118" s="240">
        <f ca="1">TblConstr[[#This Row],[Water]]</f>
        <v>20</v>
      </c>
      <c r="I118" s="281"/>
      <c r="J118" s="228">
        <f t="shared" si="3"/>
        <v>115</v>
      </c>
      <c r="K118" s="305">
        <f ca="1">TblImps[[#This Row],[Real time]]</f>
        <v>44409.499999999724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81">
        <f ca="1">TblConstr[[#This Row],[Mountain]]</f>
        <v>20</v>
      </c>
      <c r="E119" s="485">
        <f ca="1">TblConstr[[#This Row],[Hill]]</f>
        <v>20</v>
      </c>
      <c r="F119" s="489">
        <f ca="1">TblConstr[[#This Row],[Swamp]]</f>
        <v>20</v>
      </c>
      <c r="G119" s="239">
        <f ca="1">TblConstr[[#This Row],[Cavern]]</f>
        <v>20</v>
      </c>
      <c r="H119" s="240">
        <f ca="1">TblConstr[[#This Row],[Water]]</f>
        <v>20</v>
      </c>
      <c r="I119" s="281"/>
      <c r="J119" s="228">
        <f t="shared" si="3"/>
        <v>116</v>
      </c>
      <c r="K119" s="305">
        <f ca="1">TblImps[[#This Row],[Real time]]</f>
        <v>44409.541666666388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81">
        <f ca="1">TblConstr[[#This Row],[Mountain]]</f>
        <v>20</v>
      </c>
      <c r="E120" s="485">
        <f ca="1">TblConstr[[#This Row],[Hill]]</f>
        <v>20</v>
      </c>
      <c r="F120" s="489">
        <f ca="1">TblConstr[[#This Row],[Swamp]]</f>
        <v>20</v>
      </c>
      <c r="G120" s="239">
        <f ca="1">TblConstr[[#This Row],[Cavern]]</f>
        <v>20</v>
      </c>
      <c r="H120" s="240">
        <f ca="1">TblConstr[[#This Row],[Water]]</f>
        <v>20</v>
      </c>
      <c r="I120" s="281"/>
      <c r="J120" s="228">
        <f t="shared" si="3"/>
        <v>117</v>
      </c>
      <c r="K120" s="305">
        <f ca="1">TblImps[[#This Row],[Real time]]</f>
        <v>44409.583333333052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81">
        <f ca="1">TblConstr[[#This Row],[Mountain]]</f>
        <v>20</v>
      </c>
      <c r="E121" s="485">
        <f ca="1">TblConstr[[#This Row],[Hill]]</f>
        <v>20</v>
      </c>
      <c r="F121" s="489">
        <f ca="1">TblConstr[[#This Row],[Swamp]]</f>
        <v>20</v>
      </c>
      <c r="G121" s="239">
        <f ca="1">TblConstr[[#This Row],[Cavern]]</f>
        <v>20</v>
      </c>
      <c r="H121" s="240">
        <f ca="1">TblConstr[[#This Row],[Water]]</f>
        <v>20</v>
      </c>
      <c r="I121" s="281"/>
      <c r="J121" s="228">
        <f t="shared" si="3"/>
        <v>118</v>
      </c>
      <c r="K121" s="305">
        <f ca="1">TblImps[[#This Row],[Real time]]</f>
        <v>44409.624999999716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81">
        <f ca="1">TblConstr[[#This Row],[Mountain]]</f>
        <v>20</v>
      </c>
      <c r="E122" s="485">
        <f ca="1">TblConstr[[#This Row],[Hill]]</f>
        <v>20</v>
      </c>
      <c r="F122" s="489">
        <f ca="1">TblConstr[[#This Row],[Swamp]]</f>
        <v>20</v>
      </c>
      <c r="G122" s="239">
        <f ca="1">TblConstr[[#This Row],[Cavern]]</f>
        <v>20</v>
      </c>
      <c r="H122" s="240">
        <f ca="1">TblConstr[[#This Row],[Water]]</f>
        <v>20</v>
      </c>
      <c r="I122" s="281"/>
      <c r="J122" s="228">
        <f t="shared" si="3"/>
        <v>119</v>
      </c>
      <c r="K122" s="305">
        <f ca="1">TblImps[[#This Row],[Real time]]</f>
        <v>44409.66666666638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81">
        <f ca="1">TblConstr[[#This Row],[Mountain]]</f>
        <v>20</v>
      </c>
      <c r="E123" s="485">
        <f ca="1">TblConstr[[#This Row],[Hill]]</f>
        <v>20</v>
      </c>
      <c r="F123" s="489">
        <f ca="1">TblConstr[[#This Row],[Swamp]]</f>
        <v>20</v>
      </c>
      <c r="G123" s="239">
        <f ca="1">TblConstr[[#This Row],[Cavern]]</f>
        <v>20</v>
      </c>
      <c r="H123" s="240">
        <f ca="1">TblConstr[[#This Row],[Water]]</f>
        <v>20</v>
      </c>
      <c r="I123" s="281"/>
      <c r="J123" s="228">
        <f t="shared" si="3"/>
        <v>120</v>
      </c>
      <c r="K123" s="305">
        <f ca="1">TblImps[[#This Row],[Real time]]</f>
        <v>44409.708333333045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81">
        <f ca="1">TblConstr[[#This Row],[Mountain]]</f>
        <v>20</v>
      </c>
      <c r="E124" s="485">
        <f ca="1">TblConstr[[#This Row],[Hill]]</f>
        <v>20</v>
      </c>
      <c r="F124" s="489">
        <f ca="1">TblConstr[[#This Row],[Swamp]]</f>
        <v>20</v>
      </c>
      <c r="G124" s="239">
        <f ca="1">TblConstr[[#This Row],[Cavern]]</f>
        <v>20</v>
      </c>
      <c r="H124" s="240">
        <f ca="1">TblConstr[[#This Row],[Water]]</f>
        <v>20</v>
      </c>
      <c r="I124" s="281"/>
      <c r="J124" s="228">
        <f t="shared" si="3"/>
        <v>121</v>
      </c>
      <c r="K124" s="305">
        <f ca="1">TblImps[[#This Row],[Real time]]</f>
        <v>44409.749999999709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81">
        <f ca="1">TblConstr[[#This Row],[Mountain]]</f>
        <v>20</v>
      </c>
      <c r="E125" s="485">
        <f ca="1">TblConstr[[#This Row],[Hill]]</f>
        <v>20</v>
      </c>
      <c r="F125" s="489">
        <f ca="1">TblConstr[[#This Row],[Swamp]]</f>
        <v>20</v>
      </c>
      <c r="G125" s="239">
        <f ca="1">TblConstr[[#This Row],[Cavern]]</f>
        <v>20</v>
      </c>
      <c r="H125" s="240">
        <f ca="1">TblConstr[[#This Row],[Water]]</f>
        <v>20</v>
      </c>
      <c r="I125" s="281"/>
      <c r="J125" s="228">
        <f t="shared" si="3"/>
        <v>122</v>
      </c>
      <c r="K125" s="305">
        <f ca="1">TblImps[[#This Row],[Real time]]</f>
        <v>44409.791666666373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81">
        <f ca="1">TblConstr[[#This Row],[Mountain]]</f>
        <v>20</v>
      </c>
      <c r="E126" s="485">
        <f ca="1">TblConstr[[#This Row],[Hill]]</f>
        <v>20</v>
      </c>
      <c r="F126" s="489">
        <f ca="1">TblConstr[[#This Row],[Swamp]]</f>
        <v>20</v>
      </c>
      <c r="G126" s="239">
        <f ca="1">TblConstr[[#This Row],[Cavern]]</f>
        <v>20</v>
      </c>
      <c r="H126" s="240">
        <f ca="1">TblConstr[[#This Row],[Water]]</f>
        <v>20</v>
      </c>
      <c r="I126" s="281"/>
      <c r="J126" s="228">
        <f t="shared" si="3"/>
        <v>123</v>
      </c>
      <c r="K126" s="305">
        <f ca="1">TblImps[[#This Row],[Real time]]</f>
        <v>44409.833333333037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81">
        <f ca="1">TblConstr[[#This Row],[Mountain]]</f>
        <v>20</v>
      </c>
      <c r="E127" s="485">
        <f ca="1">TblConstr[[#This Row],[Hill]]</f>
        <v>20</v>
      </c>
      <c r="F127" s="489">
        <f ca="1">TblConstr[[#This Row],[Swamp]]</f>
        <v>20</v>
      </c>
      <c r="G127" s="239">
        <f ca="1">TblConstr[[#This Row],[Cavern]]</f>
        <v>20</v>
      </c>
      <c r="H127" s="240">
        <f ca="1">TblConstr[[#This Row],[Water]]</f>
        <v>20</v>
      </c>
      <c r="I127" s="281"/>
      <c r="J127" s="228">
        <f t="shared" si="3"/>
        <v>124</v>
      </c>
      <c r="K127" s="305">
        <f ca="1">TblImps[[#This Row],[Real time]]</f>
        <v>44409.874999999702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81">
        <f ca="1">TblConstr[[#This Row],[Mountain]]</f>
        <v>20</v>
      </c>
      <c r="E128" s="485">
        <f ca="1">TblConstr[[#This Row],[Hill]]</f>
        <v>20</v>
      </c>
      <c r="F128" s="489">
        <f ca="1">TblConstr[[#This Row],[Swamp]]</f>
        <v>20</v>
      </c>
      <c r="G128" s="239">
        <f ca="1">TblConstr[[#This Row],[Cavern]]</f>
        <v>20</v>
      </c>
      <c r="H128" s="240">
        <f ca="1">TblConstr[[#This Row],[Water]]</f>
        <v>20</v>
      </c>
      <c r="I128" s="281"/>
      <c r="J128" s="228">
        <f t="shared" si="3"/>
        <v>125</v>
      </c>
      <c r="K128" s="305">
        <f ca="1">TblImps[[#This Row],[Real time]]</f>
        <v>44409.916666666366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81">
        <f ca="1">TblConstr[[#This Row],[Mountain]]</f>
        <v>20</v>
      </c>
      <c r="E129" s="485">
        <f ca="1">TblConstr[[#This Row],[Hill]]</f>
        <v>20</v>
      </c>
      <c r="F129" s="489">
        <f ca="1">TblConstr[[#This Row],[Swamp]]</f>
        <v>20</v>
      </c>
      <c r="G129" s="239">
        <f ca="1">TblConstr[[#This Row],[Cavern]]</f>
        <v>20</v>
      </c>
      <c r="H129" s="240">
        <f ca="1">TblConstr[[#This Row],[Water]]</f>
        <v>20</v>
      </c>
      <c r="I129" s="281"/>
      <c r="J129" s="228">
        <f t="shared" si="3"/>
        <v>126</v>
      </c>
      <c r="K129" s="305">
        <f ca="1">TblImps[[#This Row],[Real time]]</f>
        <v>44409.95833333303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81">
        <f ca="1">TblConstr[[#This Row],[Mountain]]</f>
        <v>20</v>
      </c>
      <c r="E130" s="485">
        <f ca="1">TblConstr[[#This Row],[Hill]]</f>
        <v>20</v>
      </c>
      <c r="F130" s="489">
        <f ca="1">TblConstr[[#This Row],[Swamp]]</f>
        <v>20</v>
      </c>
      <c r="G130" s="239">
        <f ca="1">TblConstr[[#This Row],[Cavern]]</f>
        <v>20</v>
      </c>
      <c r="H130" s="240">
        <f ca="1">TblConstr[[#This Row],[Water]]</f>
        <v>20</v>
      </c>
      <c r="I130" s="281"/>
      <c r="J130" s="228">
        <f t="shared" si="3"/>
        <v>127</v>
      </c>
      <c r="K130" s="305">
        <f ca="1">TblImps[[#This Row],[Real time]]</f>
        <v>44409.999999999694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81">
        <f ca="1">TblConstr[[#This Row],[Mountain]]</f>
        <v>20</v>
      </c>
      <c r="E131" s="485">
        <f ca="1">TblConstr[[#This Row],[Hill]]</f>
        <v>20</v>
      </c>
      <c r="F131" s="489">
        <f ca="1">TblConstr[[#This Row],[Swamp]]</f>
        <v>20</v>
      </c>
      <c r="G131" s="239">
        <f ca="1">TblConstr[[#This Row],[Cavern]]</f>
        <v>20</v>
      </c>
      <c r="H131" s="240">
        <f ca="1">TblConstr[[#This Row],[Water]]</f>
        <v>20</v>
      </c>
      <c r="I131" s="281"/>
      <c r="J131" s="228">
        <f t="shared" si="3"/>
        <v>128</v>
      </c>
      <c r="K131" s="305">
        <f ca="1">TblImps[[#This Row],[Real time]]</f>
        <v>44410.041666666359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81">
        <f ca="1">TblConstr[[#This Row],[Mountain]]</f>
        <v>20</v>
      </c>
      <c r="E132" s="485">
        <f ca="1">TblConstr[[#This Row],[Hill]]</f>
        <v>20</v>
      </c>
      <c r="F132" s="489">
        <f ca="1">TblConstr[[#This Row],[Swamp]]</f>
        <v>20</v>
      </c>
      <c r="G132" s="239">
        <f ca="1">TblConstr[[#This Row],[Cavern]]</f>
        <v>20</v>
      </c>
      <c r="H132" s="240">
        <f ca="1">TblConstr[[#This Row],[Water]]</f>
        <v>20</v>
      </c>
      <c r="I132" s="281"/>
      <c r="J132" s="228">
        <f t="shared" si="3"/>
        <v>129</v>
      </c>
      <c r="K132" s="305">
        <f ca="1">TblImps[[#This Row],[Real time]]</f>
        <v>44410.083333333023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81">
        <f ca="1">TblConstr[[#This Row],[Mountain]]</f>
        <v>20</v>
      </c>
      <c r="E133" s="485">
        <f ca="1">TblConstr[[#This Row],[Hill]]</f>
        <v>20</v>
      </c>
      <c r="F133" s="489">
        <f ca="1">TblConstr[[#This Row],[Swamp]]</f>
        <v>20</v>
      </c>
      <c r="G133" s="239">
        <f ca="1">TblConstr[[#This Row],[Cavern]]</f>
        <v>20</v>
      </c>
      <c r="H133" s="240">
        <f ca="1">TblConstr[[#This Row],[Water]]</f>
        <v>20</v>
      </c>
      <c r="I133" s="281"/>
      <c r="J133" s="228">
        <f t="shared" si="3"/>
        <v>130</v>
      </c>
      <c r="K133" s="305">
        <f ca="1">TblImps[[#This Row],[Real time]]</f>
        <v>44410.124999999687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81">
        <f ca="1">TblConstr[[#This Row],[Mountain]]</f>
        <v>20</v>
      </c>
      <c r="E134" s="485">
        <f ca="1">TblConstr[[#This Row],[Hill]]</f>
        <v>20</v>
      </c>
      <c r="F134" s="489">
        <f ca="1">TblConstr[[#This Row],[Swamp]]</f>
        <v>20</v>
      </c>
      <c r="G134" s="239">
        <f ca="1">TblConstr[[#This Row],[Cavern]]</f>
        <v>20</v>
      </c>
      <c r="H134" s="240">
        <f ca="1">TblConstr[[#This Row],[Water]]</f>
        <v>20</v>
      </c>
      <c r="I134" s="281"/>
      <c r="J134" s="228">
        <f t="shared" si="3"/>
        <v>131</v>
      </c>
      <c r="K134" s="305">
        <f ca="1">TblImps[[#This Row],[Real time]]</f>
        <v>44410.166666666351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81">
        <f ca="1">TblConstr[[#This Row],[Mountain]]</f>
        <v>20</v>
      </c>
      <c r="E135" s="485">
        <f ca="1">TblConstr[[#This Row],[Hill]]</f>
        <v>20</v>
      </c>
      <c r="F135" s="489">
        <f ca="1">TblConstr[[#This Row],[Swamp]]</f>
        <v>20</v>
      </c>
      <c r="G135" s="239">
        <f ca="1">TblConstr[[#This Row],[Cavern]]</f>
        <v>20</v>
      </c>
      <c r="H135" s="240">
        <f ca="1">TblConstr[[#This Row],[Water]]</f>
        <v>20</v>
      </c>
      <c r="I135" s="281"/>
      <c r="J135" s="228">
        <f t="shared" si="3"/>
        <v>132</v>
      </c>
      <c r="K135" s="305">
        <f ca="1">TblImps[[#This Row],[Real time]]</f>
        <v>44410.208333333016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81">
        <f ca="1">TblConstr[[#This Row],[Mountain]]</f>
        <v>20</v>
      </c>
      <c r="E136" s="485">
        <f ca="1">TblConstr[[#This Row],[Hill]]</f>
        <v>20</v>
      </c>
      <c r="F136" s="489">
        <f ca="1">TblConstr[[#This Row],[Swamp]]</f>
        <v>20</v>
      </c>
      <c r="G136" s="239">
        <f ca="1">TblConstr[[#This Row],[Cavern]]</f>
        <v>20</v>
      </c>
      <c r="H136" s="240">
        <f ca="1">TblConstr[[#This Row],[Water]]</f>
        <v>20</v>
      </c>
      <c r="I136" s="281"/>
      <c r="J136" s="228">
        <f t="shared" si="3"/>
        <v>133</v>
      </c>
      <c r="K136" s="305">
        <f ca="1">TblImps[[#This Row],[Real time]]</f>
        <v>44410.24999999968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4" t="s">
        <v>327</v>
      </c>
      <c r="B1269" s="584"/>
      <c r="I1269" s="308" t="s">
        <v>317</v>
      </c>
      <c r="L1269" s="309"/>
      <c r="M1269" s="309">
        <v>-10</v>
      </c>
      <c r="N1269" s="309">
        <v>10</v>
      </c>
      <c r="O1269" s="309"/>
      <c r="P1269" s="309"/>
      <c r="Q1269" s="309"/>
      <c r="R1269" s="309"/>
    </row>
    <row r="1270" spans="1:18" x14ac:dyDescent="0.2">
      <c r="A1270" s="174">
        <f>Overview!E17</f>
        <v>0</v>
      </c>
      <c r="B1270" s="174"/>
      <c r="L1270" s="593" t="s">
        <v>316</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37" priority="14" stopIfTrue="1">
      <formula>ROW()-2=#REF!</formula>
    </cfRule>
  </conditionalFormatting>
  <conditionalFormatting sqref="A1269:AC1270">
    <cfRule type="expression" dxfId="36" priority="15" stopIfTrue="1">
      <formula>$A$1270&gt;144</formula>
    </cfRule>
  </conditionalFormatting>
  <conditionalFormatting sqref="A1:AC3">
    <cfRule type="expression" dxfId="35" priority="19" stopIfTrue="1">
      <formula>$A$1270&lt;0</formula>
    </cfRule>
  </conditionalFormatting>
  <conditionalFormatting sqref="A4:AC136">
    <cfRule type="expression" dxfId="34" priority="1" stopIfTrue="1">
      <formula>ROW()-3=$A$1270</formula>
    </cfRule>
    <cfRule type="expression" dxfId="33" priority="2" stopIfTrue="1">
      <formula>OR(AND(ROW()-3=$A$1270,A4="Ok",XFD4&lt;&gt;0),A4="Nope")</formula>
    </cfRule>
    <cfRule type="expression" dxfId="32" priority="4">
      <formula>$J4=73</formula>
    </cfRule>
    <cfRule type="expression" dxfId="31" priority="7">
      <formula>ROUND(($J4-1)/12,0)=INT($J4-1)/12</formula>
    </cfRule>
  </conditionalFormatting>
  <conditionalFormatting sqref="T76">
    <cfRule type="expression" dxfId="30" priority="13" stopIfTrue="1">
      <formula>S76=0</formula>
    </cfRule>
  </conditionalFormatting>
  <conditionalFormatting sqref="B4:H136">
    <cfRule type="cellIs" dxfId="29"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5" t="s">
        <v>31</v>
      </c>
      <c r="P1" s="585"/>
      <c r="Q1" s="585"/>
      <c r="R1" s="595" t="s">
        <v>487</v>
      </c>
      <c r="S1" s="585"/>
      <c r="T1" s="310"/>
      <c r="U1" s="585" t="s">
        <v>488</v>
      </c>
      <c r="V1" s="585"/>
      <c r="W1" s="90"/>
      <c r="X1" s="585" t="s">
        <v>24</v>
      </c>
      <c r="Y1" s="585"/>
      <c r="Z1" s="585"/>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5" t="s">
        <v>505</v>
      </c>
      <c r="BG1" s="585"/>
      <c r="BH1" s="585"/>
      <c r="BI1" s="585"/>
      <c r="BJ1" s="585"/>
      <c r="BK1" s="585"/>
      <c r="BL1" s="585"/>
      <c r="BM1" s="585"/>
      <c r="BN1" s="586"/>
      <c r="BO1" s="586"/>
      <c r="BP1" s="586"/>
      <c r="BQ1" s="90"/>
      <c r="BR1" s="591" t="s">
        <v>309</v>
      </c>
      <c r="BS1" s="594"/>
      <c r="BT1" s="594"/>
      <c r="BU1" s="174"/>
      <c r="BV1" s="174"/>
      <c r="BW1" s="276"/>
      <c r="BX1" s="276"/>
      <c r="BY1" s="174"/>
      <c r="BZ1" s="174"/>
      <c r="CA1" s="174"/>
      <c r="CB1" s="174"/>
      <c r="CC1" s="174"/>
      <c r="CD1" s="174"/>
      <c r="CE1" s="174"/>
      <c r="CF1" s="174"/>
      <c r="CG1" s="90"/>
      <c r="CH1" s="90"/>
      <c r="CI1" s="90"/>
      <c r="CJ1" s="585" t="s">
        <v>323</v>
      </c>
      <c r="CK1" s="585"/>
      <c r="CL1" s="585"/>
      <c r="CM1" s="586"/>
      <c r="CN1" s="586"/>
      <c r="CO1" s="586"/>
      <c r="CP1" s="586"/>
      <c r="CQ1" s="586"/>
      <c r="CR1" s="586"/>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1044</v>
      </c>
      <c r="AP3" s="176" t="s">
        <v>834</v>
      </c>
      <c r="AQ3" s="316" t="s">
        <v>1045</v>
      </c>
      <c r="AR3" s="176" t="s">
        <v>1084</v>
      </c>
      <c r="AS3" s="176" t="s">
        <v>1086</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1047</v>
      </c>
      <c r="BV3" s="176" t="s">
        <v>1046</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1048</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1087</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8">
        <f>start_op_specs - TblMili[[#This Row],[Release Unit 1]]</f>
        <v>0</v>
      </c>
      <c r="F4" s="518">
        <f>start_dp_specs - TblMili[[#This Row],[Release Unit 2]]+days_late*days_late_def_specs</f>
        <v>150</v>
      </c>
      <c r="G4" s="518">
        <f>start_elite1s - TblMili[[#This Row],[Release Unit 3]]</f>
        <v>0</v>
      </c>
      <c r="H4" s="518">
        <f>start_elite2s - TblMili[[#This Row],[Release Unit 4]]</f>
        <v>0</v>
      </c>
      <c r="I4" s="519">
        <f>start_spies -TblMili[[#This Row],[Release Spies]]</f>
        <v>25</v>
      </c>
      <c r="J4" s="519">
        <f>start_wizards  - TblMili[[#This Row],[Train Arch]] - TblMili[[#This Row],[Release Wizards]]</f>
        <v>25</v>
      </c>
      <c r="K4" s="518">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0">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44404.75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44404.75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44404.791666666664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44404.791666666664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44404.833333333328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44404.833333333328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44404.874999999993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44404.874999999993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44404.916666666657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44404.916666666657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44404.958333333321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44404.958333333321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44404.999999999985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44404.999999999985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44405.04166666665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44405.04166666665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44405.083333333314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44405.083333333314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44405.124999999978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44405.124999999978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44405.166666666642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44405.166666666642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44405.208333333307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44405.208333333307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44405.249999999971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44405.249999999971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44405.291666666635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44405.291666666635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44405.333333333299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44405.333333333299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44405.374999999964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44405.374999999964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44405.416666666628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44405.416666666628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44405.458333333292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44405.458333333292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44405.499999999956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44405.499999999956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44405.541666666621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44405.541666666621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44405.583333333285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44405.583333333285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44405.624999999949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44405.624999999949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44405.666666666613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44405.666666666613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44405.708333333278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44405.708333333278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44405.749999999942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44405.749999999942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44405.791666666606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44405.791666666606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44405.83333333327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44405.83333333327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44405.874999999935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44405.874999999935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44405.916666666599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44405.916666666599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44405.958333333263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44405.958333333263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44405.999999999927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44405.999999999927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44406.041666666591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44406.041666666591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44406.083333333256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44406.083333333256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44406.12499999992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44406.12499999992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44406.166666666584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44406.166666666584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44406.208333333248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44406.208333333248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44406.249999999913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44406.249999999913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44406.291666666577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44406.291666666577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44406.333333333241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44406.333333333241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44406.374999999905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44406.374999999905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44406.41666666657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44406.41666666657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44406.458333333234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44406.458333333234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44406.499999999898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44406.499999999898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44406.541666666562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44406.541666666562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44406.583333333227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44406.583333333227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44406.624999999891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44406.624999999891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44406.666666666555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44406.666666666555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44406.708333333219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44406.708333333219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44406.749999999884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44406.749999999884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44406.791666666548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44406.791666666548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44406.833333333212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44406.833333333212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44406.874999999876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44406.874999999876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44406.916666666541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44406.916666666541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44406.958333333205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44406.958333333205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44406.999999999869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44406.999999999869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44407.041666666533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44407.041666666533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44407.083333333198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44407.083333333198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44407.124999999862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44407.124999999862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44407.166666666526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44407.166666666526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44407.20833333319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44407.20833333319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44407.249999999854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44407.249999999854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44407.291666666519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44407.291666666519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44407.333333333183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44407.333333333183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44407.374999999847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44407.374999999847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44407.416666666511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44407.416666666511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44407.458333333176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44407.458333333176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44407.49999999984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44407.49999999984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44407.541666666504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44407.541666666504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44407.583333333168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44407.583333333168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44407.624999999833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44407.624999999833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44407.666666666497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44407.666666666497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44407.708333333161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44407.708333333161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44407.749999999825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44407.749999999825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44407.79166666649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44407.79166666649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44407.833333333154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44407.833333333154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44407.874999999818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44407.874999999818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44407.916666666482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44407.916666666482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44407.958333333147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44407.958333333147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44407.999999999811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44407.999999999811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44408.041666666475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44408.041666666475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44408.083333333139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44408.083333333139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44408.124999999804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44408.124999999804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44408.166666666468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44408.166666666468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44408.208333333132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44408.208333333132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44408.249999999796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44408.249999999796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44408.291666666461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44408.291666666461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44408.333333333125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44408.333333333125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44408.374999999789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44408.374999999789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44408.416666666453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44408.416666666453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44408.458333333117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44408.458333333117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44408.499999999782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44408.499999999782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44408.541666666446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44408.541666666446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44408.58333333311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44408.58333333311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44408.624999999774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44408.624999999774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44408.666666666439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44408.666666666439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44408.708333333103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44408.708333333103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44408.749999999767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44408.749999999767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44408.791666666431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44408.791666666431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44408.833333333096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44408.833333333096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44408.87499999976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44408.87499999976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44408.916666666424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44408.916666666424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44408.958333333088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44408.958333333088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44408.999999999753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44408.999999999753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44409.041666666417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44409.041666666417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44409.083333333081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44409.083333333081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44409.124999999745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44409.124999999745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44409.16666666641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44409.16666666641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44409.208333333074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44409.208333333074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44409.249999999738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44409.249999999738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44409.291666666402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44409.291666666402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44409.333333333067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44409.333333333067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44409.374999999731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44409.374999999731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44409.416666666395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44409.416666666395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44409.458333333059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44409.458333333059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44409.499999999724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44409.499999999724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44409.541666666388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44409.541666666388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44409.583333333052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44409.583333333052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44409.624999999716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44409.624999999716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44409.66666666638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44409.66666666638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44409.708333333045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44409.708333333045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44409.749999999709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44409.749999999709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44409.791666666373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44409.791666666373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44409.833333333037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44409.833333333037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44409.874999999702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44409.874999999702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44409.916666666366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44409.916666666366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44409.95833333303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44409.95833333303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44409.999999999694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44409.999999999694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44410.041666666359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44410.041666666359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44410.083333333023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44410.083333333023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44410.124999999687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44410.124999999687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44410.166666666351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44410.166666666351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44410.208333333016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44410.208333333016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44410.24999999968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44410.24999999968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4" t="s">
        <v>327</v>
      </c>
      <c r="C1269" s="584"/>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28" priority="37" stopIfTrue="1">
      <formula>ROW()-2=#REF!</formula>
    </cfRule>
  </conditionalFormatting>
  <conditionalFormatting sqref="A1269:DB1270">
    <cfRule type="expression" dxfId="27" priority="38" stopIfTrue="1">
      <formula>$B$1270&gt;144</formula>
    </cfRule>
  </conditionalFormatting>
  <conditionalFormatting sqref="A4:DB136">
    <cfRule type="expression" dxfId="26" priority="1" stopIfTrue="1">
      <formula>ROW()-3=$B$1270</formula>
    </cfRule>
    <cfRule type="expression" dxfId="25" priority="2" stopIfTrue="1">
      <formula>OR(ROW()-3=$B$1270,A4&lt;0)</formula>
    </cfRule>
    <cfRule type="expression" dxfId="24" priority="35">
      <formula>$A4=73</formula>
    </cfRule>
  </conditionalFormatting>
  <conditionalFormatting sqref="A3:DB136">
    <cfRule type="expression" dxfId="23" priority="39">
      <formula>ROUND(($A3-1)/12,0)=INT($A3-1)/12</formula>
    </cfRule>
  </conditionalFormatting>
  <conditionalFormatting sqref="A1:XFD3">
    <cfRule type="expression" dxfId="22"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6"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6"/>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7"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20">
        <f>1-TblMagic[[#This Row],[Wiz str cost]]</f>
        <v>1</v>
      </c>
      <c r="E4" s="205">
        <f>Imps!L4</f>
        <v>44404.75</v>
      </c>
      <c r="F4" s="202">
        <f ca="1">TblImps[[#This Row],[Population]]</f>
        <v>0.67854113655640369</v>
      </c>
      <c r="G4" s="284"/>
      <c r="H4" s="284"/>
      <c r="I4" s="284"/>
      <c r="J4" s="284"/>
      <c r="K4" s="528"/>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21">
        <f>TblMagic[[#This Row],[Gaia''s Watch]]*12</f>
        <v>0</v>
      </c>
      <c r="AA4" s="521">
        <f>TblMagic[[#This Row],[Mining Strength]]*12</f>
        <v>0</v>
      </c>
      <c r="AB4" s="521">
        <f>TblMagic[[#This Row],[Ares Call]]*12</f>
        <v>0</v>
      </c>
      <c r="AC4" s="521">
        <f>TblMagic[[#This Row],[Midas Touch]]*12</f>
        <v>0</v>
      </c>
      <c r="AD4" s="521">
        <f>TblMagic[[#This Row],[Harmony]]*12</f>
        <v>0</v>
      </c>
      <c r="AE4" s="521">
        <f>TblMagic[[#This Row],[Miner''s Sight]]*12</f>
        <v>0</v>
      </c>
      <c r="AF4" s="521">
        <f>TblMagic[[#This Row],[Mechanical Genius]]*12</f>
        <v>0</v>
      </c>
      <c r="AG4" s="521">
        <f>TblMagic[[#This Row],[Frenzy]]*12</f>
        <v>0</v>
      </c>
      <c r="AH4" s="521">
        <f>TblMagic[[#This Row],[Killing Rage / Bloodrage]]*12</f>
        <v>0</v>
      </c>
      <c r="AI4" s="521">
        <f>TblMagic[[#This Row],[Gaia''s Blessing]]*12</f>
        <v>0</v>
      </c>
      <c r="AJ4" s="521">
        <f>TblMagic[[#This Row],[Howling]]*12</f>
        <v>0</v>
      </c>
      <c r="AK4" s="521">
        <f>TblMagic[[#This Row],[Blizzard]]*12</f>
        <v>0</v>
      </c>
      <c r="AL4" s="521">
        <f>TblMagic[[#This Row],[Alchemists Flame]]*12</f>
        <v>0</v>
      </c>
      <c r="AM4" s="521">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44404.791666666664</v>
      </c>
      <c r="F5" s="202">
        <f ca="1">TblImps[[#This Row],[Population]]</f>
        <v>0.69508057675996604</v>
      </c>
      <c r="G5" s="284"/>
      <c r="H5" s="284"/>
      <c r="I5" s="284"/>
      <c r="J5" s="284"/>
      <c r="K5" s="528"/>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44404.833333333328</v>
      </c>
      <c r="F6" s="202">
        <f ca="1">TblImps[[#This Row],[Population]]</f>
        <v>0.71162001696352839</v>
      </c>
      <c r="G6" s="284"/>
      <c r="H6" s="284"/>
      <c r="I6" s="284"/>
      <c r="J6" s="284"/>
      <c r="K6" s="528"/>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44404.874999999993</v>
      </c>
      <c r="F7" s="202">
        <f ca="1">TblImps[[#This Row],[Population]]</f>
        <v>0.72858354537743852</v>
      </c>
      <c r="G7" s="284"/>
      <c r="H7" s="284"/>
      <c r="I7" s="284"/>
      <c r="J7" s="284"/>
      <c r="K7" s="528"/>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44404.916666666657</v>
      </c>
      <c r="F8" s="202">
        <f ca="1">TblImps[[#This Row],[Population]]</f>
        <v>0.74597116200169633</v>
      </c>
      <c r="G8" s="284"/>
      <c r="H8" s="284"/>
      <c r="I8" s="284"/>
      <c r="J8" s="284"/>
      <c r="K8" s="528"/>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44404.958333333321</v>
      </c>
      <c r="F9" s="202">
        <f ca="1">TblImps[[#This Row],[Population]]</f>
        <v>0.76378286683630192</v>
      </c>
      <c r="G9" s="284"/>
      <c r="H9" s="284"/>
      <c r="I9" s="284"/>
      <c r="J9" s="284"/>
      <c r="K9" s="528"/>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44404.999999999985</v>
      </c>
      <c r="F10" s="202">
        <f ca="1">TblImps[[#This Row],[Population]]</f>
        <v>0.7820186598812553</v>
      </c>
      <c r="G10" s="284"/>
      <c r="H10" s="284"/>
      <c r="I10" s="284"/>
      <c r="J10" s="284"/>
      <c r="K10" s="528"/>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44405.04166666665</v>
      </c>
      <c r="F11" s="202">
        <f ca="1">TblImps[[#This Row],[Population]]</f>
        <v>0.80025445292620867</v>
      </c>
      <c r="G11" s="284"/>
      <c r="H11" s="284"/>
      <c r="I11" s="284"/>
      <c r="J11" s="284"/>
      <c r="K11" s="528"/>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44405.083333333314</v>
      </c>
      <c r="F12" s="202">
        <f ca="1">TblImps[[#This Row],[Population]]</f>
        <v>0.81891433418150972</v>
      </c>
      <c r="G12" s="284"/>
      <c r="H12" s="284"/>
      <c r="I12" s="284"/>
      <c r="J12" s="284"/>
      <c r="K12" s="528"/>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44405.124999999978</v>
      </c>
      <c r="F13" s="202">
        <f ca="1">TblImps[[#This Row],[Population]]</f>
        <v>0.83799830364715866</v>
      </c>
      <c r="G13" s="284"/>
      <c r="H13" s="284"/>
      <c r="I13" s="284"/>
      <c r="J13" s="284"/>
      <c r="K13" s="528"/>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44405.166666666642</v>
      </c>
      <c r="F14" s="202">
        <f ca="1">TblImps[[#This Row],[Population]]</f>
        <v>0.85750636132315516</v>
      </c>
      <c r="G14" s="284"/>
      <c r="H14" s="284"/>
      <c r="I14" s="284"/>
      <c r="J14" s="284"/>
      <c r="K14" s="528"/>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44405.208333333307</v>
      </c>
      <c r="F15" s="202">
        <f ca="1">TblImps[[#This Row],[Population]]</f>
        <v>0.87743850720949956</v>
      </c>
      <c r="G15" s="284"/>
      <c r="H15" s="284"/>
      <c r="I15" s="284"/>
      <c r="J15" s="284"/>
      <c r="K15" s="528"/>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44405.249999999971</v>
      </c>
      <c r="F16" s="202">
        <f ca="1">TblImps[[#This Row],[Population]]</f>
        <v>0.89779474130619163</v>
      </c>
      <c r="G16" s="284"/>
      <c r="H16" s="284"/>
      <c r="I16" s="284"/>
      <c r="J16" s="284"/>
      <c r="K16" s="528"/>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44405.291666666635</v>
      </c>
      <c r="F17" s="202">
        <f ca="1">TblImps[[#This Row],[Population]]</f>
        <v>0.9185750636132316</v>
      </c>
      <c r="G17" s="284"/>
      <c r="H17" s="284"/>
      <c r="I17" s="284"/>
      <c r="J17" s="284"/>
      <c r="K17" s="528"/>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44405.333333333299</v>
      </c>
      <c r="F18" s="202">
        <f ca="1">TblImps[[#This Row],[Population]]</f>
        <v>0.93977947413061913</v>
      </c>
      <c r="G18" s="284"/>
      <c r="H18" s="284"/>
      <c r="I18" s="284"/>
      <c r="J18" s="284"/>
      <c r="K18" s="528"/>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44405.374999999964</v>
      </c>
      <c r="F19" s="202">
        <f ca="1">TblImps[[#This Row],[Population]]</f>
        <v>0.96140797285835455</v>
      </c>
      <c r="G19" s="284"/>
      <c r="H19" s="284"/>
      <c r="I19" s="284"/>
      <c r="J19" s="284"/>
      <c r="K19" s="528"/>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44405.416666666628</v>
      </c>
      <c r="F20" s="202">
        <f ca="1">TblImps[[#This Row],[Population]]</f>
        <v>0.98346055979643765</v>
      </c>
      <c r="G20" s="284"/>
      <c r="H20" s="284"/>
      <c r="I20" s="284"/>
      <c r="J20" s="284"/>
      <c r="K20" s="528"/>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44405.458333333292</v>
      </c>
      <c r="F21" s="202">
        <f ca="1">TblImps[[#This Row],[Population]]</f>
        <v>1</v>
      </c>
      <c r="G21" s="284"/>
      <c r="H21" s="284"/>
      <c r="I21" s="284"/>
      <c r="J21" s="284"/>
      <c r="K21" s="528"/>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44405.499999999956</v>
      </c>
      <c r="F22" s="202">
        <f ca="1">TblImps[[#This Row],[Population]]</f>
        <v>1</v>
      </c>
      <c r="G22" s="284"/>
      <c r="H22" s="284"/>
      <c r="I22" s="284"/>
      <c r="J22" s="284"/>
      <c r="K22" s="528"/>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44405.541666666621</v>
      </c>
      <c r="F23" s="202">
        <f ca="1">TblImps[[#This Row],[Population]]</f>
        <v>1</v>
      </c>
      <c r="G23" s="284"/>
      <c r="H23" s="284"/>
      <c r="I23" s="284"/>
      <c r="J23" s="284"/>
      <c r="K23" s="528"/>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44405.583333333285</v>
      </c>
      <c r="F24" s="202">
        <f ca="1">TblImps[[#This Row],[Population]]</f>
        <v>1</v>
      </c>
      <c r="G24" s="284"/>
      <c r="H24" s="284"/>
      <c r="I24" s="284"/>
      <c r="J24" s="284"/>
      <c r="K24" s="528"/>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44405.624999999949</v>
      </c>
      <c r="F25" s="202">
        <f ca="1">TblImps[[#This Row],[Population]]</f>
        <v>1</v>
      </c>
      <c r="G25" s="284"/>
      <c r="H25" s="284"/>
      <c r="I25" s="284"/>
      <c r="J25" s="284"/>
      <c r="K25" s="528"/>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44405.666666666613</v>
      </c>
      <c r="F26" s="202">
        <f ca="1">TblImps[[#This Row],[Population]]</f>
        <v>1</v>
      </c>
      <c r="G26" s="284"/>
      <c r="H26" s="284"/>
      <c r="I26" s="284"/>
      <c r="J26" s="284"/>
      <c r="K26" s="528"/>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44405.708333333278</v>
      </c>
      <c r="F27" s="202">
        <f ca="1">TblImps[[#This Row],[Population]]</f>
        <v>1</v>
      </c>
      <c r="G27" s="284"/>
      <c r="H27" s="284"/>
      <c r="I27" s="284"/>
      <c r="J27" s="284"/>
      <c r="K27" s="528"/>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44405.749999999942</v>
      </c>
      <c r="F28" s="202">
        <f ca="1">TblImps[[#This Row],[Population]]</f>
        <v>1</v>
      </c>
      <c r="G28" s="284"/>
      <c r="H28" s="284"/>
      <c r="I28" s="284"/>
      <c r="J28" s="284"/>
      <c r="K28" s="528"/>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44405.791666666606</v>
      </c>
      <c r="F29" s="202">
        <f ca="1">TblImps[[#This Row],[Population]]</f>
        <v>1</v>
      </c>
      <c r="G29" s="284"/>
      <c r="H29" s="284"/>
      <c r="I29" s="284"/>
      <c r="J29" s="284"/>
      <c r="K29" s="528"/>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44405.83333333327</v>
      </c>
      <c r="F30" s="202">
        <f ca="1">TblImps[[#This Row],[Population]]</f>
        <v>1</v>
      </c>
      <c r="G30" s="284"/>
      <c r="H30" s="284"/>
      <c r="I30" s="284"/>
      <c r="J30" s="284"/>
      <c r="K30" s="528"/>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44405.874999999935</v>
      </c>
      <c r="F31" s="202">
        <f ca="1">TblImps[[#This Row],[Population]]</f>
        <v>1</v>
      </c>
      <c r="G31" s="284"/>
      <c r="H31" s="284"/>
      <c r="I31" s="284"/>
      <c r="J31" s="284"/>
      <c r="K31" s="528"/>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44405.916666666599</v>
      </c>
      <c r="F32" s="202">
        <f ca="1">TblImps[[#This Row],[Population]]</f>
        <v>1</v>
      </c>
      <c r="G32" s="284"/>
      <c r="H32" s="284"/>
      <c r="I32" s="284"/>
      <c r="J32" s="284"/>
      <c r="K32" s="528"/>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44405.958333333263</v>
      </c>
      <c r="F33" s="202">
        <f ca="1">TblImps[[#This Row],[Population]]</f>
        <v>1</v>
      </c>
      <c r="G33" s="284"/>
      <c r="H33" s="284"/>
      <c r="I33" s="284"/>
      <c r="J33" s="284"/>
      <c r="K33" s="528"/>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44405.999999999927</v>
      </c>
      <c r="F34" s="202">
        <f ca="1">TblImps[[#This Row],[Population]]</f>
        <v>1</v>
      </c>
      <c r="G34" s="284"/>
      <c r="H34" s="284"/>
      <c r="I34" s="284"/>
      <c r="J34" s="284"/>
      <c r="K34" s="528"/>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44406.041666666591</v>
      </c>
      <c r="F35" s="202">
        <f ca="1">TblImps[[#This Row],[Population]]</f>
        <v>1</v>
      </c>
      <c r="G35" s="284"/>
      <c r="H35" s="284"/>
      <c r="I35" s="284"/>
      <c r="J35" s="284"/>
      <c r="K35" s="528"/>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44406.083333333256</v>
      </c>
      <c r="F36" s="202">
        <f ca="1">TblImps[[#This Row],[Population]]</f>
        <v>1</v>
      </c>
      <c r="G36" s="284"/>
      <c r="H36" s="284"/>
      <c r="I36" s="284"/>
      <c r="J36" s="284"/>
      <c r="K36" s="528"/>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44406.12499999992</v>
      </c>
      <c r="F37" s="202">
        <f ca="1">TblImps[[#This Row],[Population]]</f>
        <v>1</v>
      </c>
      <c r="G37" s="284"/>
      <c r="H37" s="284"/>
      <c r="I37" s="284"/>
      <c r="J37" s="284"/>
      <c r="K37" s="528"/>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44406.166666666584</v>
      </c>
      <c r="F38" s="202">
        <f ca="1">TblImps[[#This Row],[Population]]</f>
        <v>1</v>
      </c>
      <c r="G38" s="284"/>
      <c r="H38" s="284"/>
      <c r="I38" s="284"/>
      <c r="J38" s="284"/>
      <c r="K38" s="528"/>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44406.208333333248</v>
      </c>
      <c r="F39" s="202">
        <f ca="1">TblImps[[#This Row],[Population]]</f>
        <v>1</v>
      </c>
      <c r="G39" s="284"/>
      <c r="H39" s="284"/>
      <c r="I39" s="284"/>
      <c r="J39" s="284"/>
      <c r="K39" s="528"/>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44406.249999999913</v>
      </c>
      <c r="F40" s="202">
        <f ca="1">TblImps[[#This Row],[Population]]</f>
        <v>1</v>
      </c>
      <c r="G40" s="284"/>
      <c r="H40" s="284"/>
      <c r="I40" s="284"/>
      <c r="J40" s="284"/>
      <c r="K40" s="528"/>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44406.291666666577</v>
      </c>
      <c r="F41" s="202">
        <f ca="1">TblImps[[#This Row],[Population]]</f>
        <v>1</v>
      </c>
      <c r="G41" s="284"/>
      <c r="H41" s="284"/>
      <c r="I41" s="284"/>
      <c r="J41" s="284"/>
      <c r="K41" s="528"/>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44406.333333333241</v>
      </c>
      <c r="F42" s="202">
        <f ca="1">TblImps[[#This Row],[Population]]</f>
        <v>1</v>
      </c>
      <c r="G42" s="284"/>
      <c r="H42" s="284"/>
      <c r="I42" s="284"/>
      <c r="J42" s="284"/>
      <c r="K42" s="528"/>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44406.374999999905</v>
      </c>
      <c r="F43" s="202">
        <f ca="1">TblImps[[#This Row],[Population]]</f>
        <v>1</v>
      </c>
      <c r="G43" s="284"/>
      <c r="H43" s="284"/>
      <c r="I43" s="284"/>
      <c r="J43" s="284"/>
      <c r="K43" s="528"/>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44406.41666666657</v>
      </c>
      <c r="F44" s="202">
        <f ca="1">TblImps[[#This Row],[Population]]</f>
        <v>1</v>
      </c>
      <c r="G44" s="284"/>
      <c r="H44" s="284"/>
      <c r="I44" s="284"/>
      <c r="J44" s="284"/>
      <c r="K44" s="528"/>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44406.458333333234</v>
      </c>
      <c r="F45" s="202">
        <f ca="1">TblImps[[#This Row],[Population]]</f>
        <v>1</v>
      </c>
      <c r="G45" s="284"/>
      <c r="H45" s="284"/>
      <c r="I45" s="284"/>
      <c r="J45" s="284"/>
      <c r="K45" s="528"/>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44406.499999999898</v>
      </c>
      <c r="F46" s="202">
        <f ca="1">TblImps[[#This Row],[Population]]</f>
        <v>1</v>
      </c>
      <c r="G46" s="284"/>
      <c r="H46" s="284"/>
      <c r="I46" s="284"/>
      <c r="J46" s="284"/>
      <c r="K46" s="528"/>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44406.541666666562</v>
      </c>
      <c r="F47" s="202">
        <f ca="1">TblImps[[#This Row],[Population]]</f>
        <v>1</v>
      </c>
      <c r="G47" s="284"/>
      <c r="H47" s="284"/>
      <c r="I47" s="284"/>
      <c r="J47" s="284"/>
      <c r="K47" s="528"/>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44406.583333333227</v>
      </c>
      <c r="F48" s="202">
        <f ca="1">TblImps[[#This Row],[Population]]</f>
        <v>1</v>
      </c>
      <c r="G48" s="284"/>
      <c r="H48" s="284"/>
      <c r="I48" s="284"/>
      <c r="J48" s="284"/>
      <c r="K48" s="528"/>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44406.624999999891</v>
      </c>
      <c r="F49" s="202">
        <f ca="1">TblImps[[#This Row],[Population]]</f>
        <v>1</v>
      </c>
      <c r="G49" s="284"/>
      <c r="H49" s="284"/>
      <c r="I49" s="284"/>
      <c r="J49" s="284"/>
      <c r="K49" s="528"/>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44406.666666666555</v>
      </c>
      <c r="F50" s="202">
        <f ca="1">TblImps[[#This Row],[Population]]</f>
        <v>1</v>
      </c>
      <c r="G50" s="284"/>
      <c r="H50" s="284"/>
      <c r="I50" s="284"/>
      <c r="J50" s="284"/>
      <c r="K50" s="528"/>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44406.708333333219</v>
      </c>
      <c r="F51" s="202">
        <f ca="1">TblImps[[#This Row],[Population]]</f>
        <v>1</v>
      </c>
      <c r="G51" s="284"/>
      <c r="H51" s="284"/>
      <c r="I51" s="284"/>
      <c r="J51" s="284"/>
      <c r="K51" s="528"/>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44406.749999999884</v>
      </c>
      <c r="F52" s="202">
        <f ca="1">TblImps[[#This Row],[Population]]</f>
        <v>1</v>
      </c>
      <c r="G52" s="284"/>
      <c r="H52" s="284"/>
      <c r="I52" s="284"/>
      <c r="J52" s="284"/>
      <c r="K52" s="528"/>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44406.791666666548</v>
      </c>
      <c r="F53" s="202">
        <f ca="1">TblImps[[#This Row],[Population]]</f>
        <v>1</v>
      </c>
      <c r="G53" s="284"/>
      <c r="H53" s="284"/>
      <c r="I53" s="284"/>
      <c r="J53" s="284"/>
      <c r="K53" s="528"/>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44406.833333333212</v>
      </c>
      <c r="F54" s="202">
        <f ca="1">TblImps[[#This Row],[Population]]</f>
        <v>1</v>
      </c>
      <c r="G54" s="284"/>
      <c r="H54" s="284"/>
      <c r="I54" s="284"/>
      <c r="J54" s="284"/>
      <c r="K54" s="528"/>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44406.874999999876</v>
      </c>
      <c r="F55" s="202">
        <f ca="1">TblImps[[#This Row],[Population]]</f>
        <v>1</v>
      </c>
      <c r="G55" s="284"/>
      <c r="H55" s="284"/>
      <c r="I55" s="284"/>
      <c r="J55" s="284"/>
      <c r="K55" s="528"/>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44406.916666666541</v>
      </c>
      <c r="F56" s="202">
        <f ca="1">TblImps[[#This Row],[Population]]</f>
        <v>1</v>
      </c>
      <c r="G56" s="284"/>
      <c r="H56" s="284"/>
      <c r="I56" s="284"/>
      <c r="J56" s="284"/>
      <c r="K56" s="528"/>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44406.958333333205</v>
      </c>
      <c r="F57" s="202">
        <f ca="1">TblImps[[#This Row],[Population]]</f>
        <v>1</v>
      </c>
      <c r="G57" s="284"/>
      <c r="H57" s="284"/>
      <c r="I57" s="284"/>
      <c r="J57" s="284"/>
      <c r="K57" s="528"/>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44406.999999999869</v>
      </c>
      <c r="F58" s="202">
        <f ca="1">TblImps[[#This Row],[Population]]</f>
        <v>1</v>
      </c>
      <c r="G58" s="284"/>
      <c r="H58" s="284"/>
      <c r="I58" s="284"/>
      <c r="J58" s="284"/>
      <c r="K58" s="528"/>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44407.041666666533</v>
      </c>
      <c r="F59" s="202">
        <f ca="1">TblImps[[#This Row],[Population]]</f>
        <v>1</v>
      </c>
      <c r="G59" s="284"/>
      <c r="H59" s="284"/>
      <c r="I59" s="284"/>
      <c r="J59" s="284"/>
      <c r="K59" s="528"/>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44407.083333333198</v>
      </c>
      <c r="F60" s="202">
        <f ca="1">TblImps[[#This Row],[Population]]</f>
        <v>1</v>
      </c>
      <c r="G60" s="284"/>
      <c r="H60" s="284"/>
      <c r="I60" s="284"/>
      <c r="J60" s="284"/>
      <c r="K60" s="528"/>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44407.124999999862</v>
      </c>
      <c r="F61" s="202">
        <f ca="1">TblImps[[#This Row],[Population]]</f>
        <v>1</v>
      </c>
      <c r="G61" s="284"/>
      <c r="H61" s="284"/>
      <c r="I61" s="284"/>
      <c r="J61" s="284"/>
      <c r="K61" s="528"/>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44407.166666666526</v>
      </c>
      <c r="F62" s="202">
        <f ca="1">TblImps[[#This Row],[Population]]</f>
        <v>1</v>
      </c>
      <c r="G62" s="284"/>
      <c r="H62" s="284"/>
      <c r="I62" s="284"/>
      <c r="J62" s="284"/>
      <c r="K62" s="528"/>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44407.20833333319</v>
      </c>
      <c r="F63" s="202">
        <f ca="1">TblImps[[#This Row],[Population]]</f>
        <v>1</v>
      </c>
      <c r="G63" s="284"/>
      <c r="H63" s="284"/>
      <c r="I63" s="284"/>
      <c r="J63" s="284"/>
      <c r="K63" s="528"/>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44407.249999999854</v>
      </c>
      <c r="F64" s="202">
        <f ca="1">TblImps[[#This Row],[Population]]</f>
        <v>1</v>
      </c>
      <c r="G64" s="284"/>
      <c r="H64" s="284"/>
      <c r="I64" s="284"/>
      <c r="J64" s="284"/>
      <c r="K64" s="528"/>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44407.291666666519</v>
      </c>
      <c r="F65" s="202">
        <f ca="1">TblImps[[#This Row],[Population]]</f>
        <v>1</v>
      </c>
      <c r="G65" s="284"/>
      <c r="H65" s="284"/>
      <c r="I65" s="284"/>
      <c r="J65" s="284"/>
      <c r="K65" s="528"/>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44407.333333333183</v>
      </c>
      <c r="F66" s="202">
        <f ca="1">TblImps[[#This Row],[Population]]</f>
        <v>1</v>
      </c>
      <c r="G66" s="284"/>
      <c r="H66" s="284"/>
      <c r="I66" s="284"/>
      <c r="J66" s="284"/>
      <c r="K66" s="528"/>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44407.374999999847</v>
      </c>
      <c r="F67" s="202">
        <f ca="1">TblImps[[#This Row],[Population]]</f>
        <v>1</v>
      </c>
      <c r="G67" s="284"/>
      <c r="H67" s="284"/>
      <c r="I67" s="284"/>
      <c r="J67" s="284"/>
      <c r="K67" s="528"/>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44407.416666666511</v>
      </c>
      <c r="F68" s="202">
        <f ca="1">TblImps[[#This Row],[Population]]</f>
        <v>1</v>
      </c>
      <c r="G68" s="284"/>
      <c r="H68" s="284"/>
      <c r="I68" s="284"/>
      <c r="J68" s="284"/>
      <c r="K68" s="528"/>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44407.458333333176</v>
      </c>
      <c r="F69" s="202">
        <f ca="1">TblImps[[#This Row],[Population]]</f>
        <v>1</v>
      </c>
      <c r="G69" s="284"/>
      <c r="H69" s="284"/>
      <c r="I69" s="284"/>
      <c r="J69" s="284"/>
      <c r="K69" s="528"/>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44407.49999999984</v>
      </c>
      <c r="F70" s="202">
        <f ca="1">TblImps[[#This Row],[Population]]</f>
        <v>1</v>
      </c>
      <c r="G70" s="284"/>
      <c r="H70" s="284"/>
      <c r="I70" s="284"/>
      <c r="J70" s="284"/>
      <c r="K70" s="528"/>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44407.541666666504</v>
      </c>
      <c r="F71" s="202">
        <f ca="1">TblImps[[#This Row],[Population]]</f>
        <v>1</v>
      </c>
      <c r="G71" s="284"/>
      <c r="H71" s="284"/>
      <c r="I71" s="284"/>
      <c r="J71" s="284"/>
      <c r="K71" s="528"/>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44407.583333333168</v>
      </c>
      <c r="F72" s="202">
        <f ca="1">TblImps[[#This Row],[Population]]</f>
        <v>1</v>
      </c>
      <c r="G72" s="284"/>
      <c r="H72" s="284"/>
      <c r="I72" s="284"/>
      <c r="J72" s="284"/>
      <c r="K72" s="528"/>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44407.624999999833</v>
      </c>
      <c r="F73" s="202">
        <f ca="1">TblImps[[#This Row],[Population]]</f>
        <v>1</v>
      </c>
      <c r="G73" s="284"/>
      <c r="H73" s="284"/>
      <c r="I73" s="284"/>
      <c r="J73" s="284"/>
      <c r="K73" s="528"/>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44407.666666666497</v>
      </c>
      <c r="F74" s="202">
        <f ca="1">TblImps[[#This Row],[Population]]</f>
        <v>1</v>
      </c>
      <c r="G74" s="284"/>
      <c r="H74" s="284"/>
      <c r="I74" s="284"/>
      <c r="J74" s="284"/>
      <c r="K74" s="528"/>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44407.708333333161</v>
      </c>
      <c r="F75" s="202">
        <f ca="1">TblImps[[#This Row],[Population]]</f>
        <v>1</v>
      </c>
      <c r="G75" s="284"/>
      <c r="H75" s="284"/>
      <c r="I75" s="284"/>
      <c r="J75" s="284"/>
      <c r="K75" s="528"/>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44407.749999999825</v>
      </c>
      <c r="F76" s="345">
        <f ca="1">TblImps[[#This Row],[Population]]</f>
        <v>1</v>
      </c>
      <c r="G76" s="301"/>
      <c r="H76" s="301"/>
      <c r="I76" s="301"/>
      <c r="J76" s="301"/>
      <c r="K76" s="529"/>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44407.79166666649</v>
      </c>
      <c r="F77" s="202">
        <f ca="1">TblImps[[#This Row],[Population]]</f>
        <v>1</v>
      </c>
      <c r="G77" s="284"/>
      <c r="H77" s="284"/>
      <c r="I77" s="284"/>
      <c r="J77" s="284"/>
      <c r="K77" s="528"/>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44407.833333333154</v>
      </c>
      <c r="F78" s="202">
        <f ca="1">TblImps[[#This Row],[Population]]</f>
        <v>1</v>
      </c>
      <c r="G78" s="284"/>
      <c r="H78" s="284"/>
      <c r="I78" s="284"/>
      <c r="J78" s="284"/>
      <c r="K78" s="528"/>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44407.874999999818</v>
      </c>
      <c r="F79" s="202">
        <f ca="1">TblImps[[#This Row],[Population]]</f>
        <v>1</v>
      </c>
      <c r="G79" s="284"/>
      <c r="H79" s="284"/>
      <c r="I79" s="284"/>
      <c r="J79" s="284"/>
      <c r="K79" s="528"/>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44407.916666666482</v>
      </c>
      <c r="F80" s="202">
        <f ca="1">TblImps[[#This Row],[Population]]</f>
        <v>1</v>
      </c>
      <c r="G80" s="284"/>
      <c r="H80" s="284"/>
      <c r="I80" s="284"/>
      <c r="J80" s="284"/>
      <c r="K80" s="528"/>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44407.958333333147</v>
      </c>
      <c r="F81" s="202">
        <f ca="1">TblImps[[#This Row],[Population]]</f>
        <v>1</v>
      </c>
      <c r="G81" s="284"/>
      <c r="H81" s="284"/>
      <c r="I81" s="284"/>
      <c r="J81" s="284"/>
      <c r="K81" s="528"/>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44407.999999999811</v>
      </c>
      <c r="F82" s="202">
        <f ca="1">TblImps[[#This Row],[Population]]</f>
        <v>1</v>
      </c>
      <c r="G82" s="284"/>
      <c r="H82" s="284"/>
      <c r="I82" s="284"/>
      <c r="J82" s="284"/>
      <c r="K82" s="528"/>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44408.041666666475</v>
      </c>
      <c r="F83" s="202">
        <f ca="1">TblImps[[#This Row],[Population]]</f>
        <v>1</v>
      </c>
      <c r="G83" s="284"/>
      <c r="H83" s="284"/>
      <c r="I83" s="284"/>
      <c r="J83" s="284"/>
      <c r="K83" s="528"/>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44408.083333333139</v>
      </c>
      <c r="F84" s="202">
        <f ca="1">TblImps[[#This Row],[Population]]</f>
        <v>1</v>
      </c>
      <c r="G84" s="284"/>
      <c r="H84" s="284"/>
      <c r="I84" s="284"/>
      <c r="J84" s="284"/>
      <c r="K84" s="528"/>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44408.124999999804</v>
      </c>
      <c r="F85" s="202">
        <f ca="1">TblImps[[#This Row],[Population]]</f>
        <v>1</v>
      </c>
      <c r="G85" s="284"/>
      <c r="H85" s="284"/>
      <c r="I85" s="284"/>
      <c r="J85" s="284"/>
      <c r="K85" s="528"/>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44408.166666666468</v>
      </c>
      <c r="F86" s="202">
        <f ca="1">TblImps[[#This Row],[Population]]</f>
        <v>1</v>
      </c>
      <c r="G86" s="284"/>
      <c r="H86" s="284"/>
      <c r="I86" s="284"/>
      <c r="J86" s="284"/>
      <c r="K86" s="528"/>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44408.208333333132</v>
      </c>
      <c r="F87" s="202">
        <f ca="1">TblImps[[#This Row],[Population]]</f>
        <v>1</v>
      </c>
      <c r="G87" s="284"/>
      <c r="H87" s="284"/>
      <c r="I87" s="284"/>
      <c r="J87" s="284"/>
      <c r="K87" s="528"/>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44408.249999999796</v>
      </c>
      <c r="F88" s="202">
        <f ca="1">TblImps[[#This Row],[Population]]</f>
        <v>1</v>
      </c>
      <c r="G88" s="284"/>
      <c r="H88" s="284"/>
      <c r="I88" s="284"/>
      <c r="J88" s="284"/>
      <c r="K88" s="528"/>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44408.291666666461</v>
      </c>
      <c r="F89" s="202">
        <f ca="1">TblImps[[#This Row],[Population]]</f>
        <v>1</v>
      </c>
      <c r="G89" s="284"/>
      <c r="H89" s="284"/>
      <c r="I89" s="284"/>
      <c r="J89" s="284"/>
      <c r="K89" s="528"/>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44408.333333333125</v>
      </c>
      <c r="F90" s="202">
        <f ca="1">TblImps[[#This Row],[Population]]</f>
        <v>1</v>
      </c>
      <c r="G90" s="284"/>
      <c r="H90" s="284"/>
      <c r="I90" s="284"/>
      <c r="J90" s="284"/>
      <c r="K90" s="528"/>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44408.374999999789</v>
      </c>
      <c r="F91" s="202">
        <f ca="1">TblImps[[#This Row],[Population]]</f>
        <v>1</v>
      </c>
      <c r="G91" s="284"/>
      <c r="H91" s="284"/>
      <c r="I91" s="284"/>
      <c r="J91" s="284"/>
      <c r="K91" s="528"/>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44408.416666666453</v>
      </c>
      <c r="F92" s="202">
        <f ca="1">TblImps[[#This Row],[Population]]</f>
        <v>1</v>
      </c>
      <c r="G92" s="284"/>
      <c r="H92" s="284"/>
      <c r="I92" s="284"/>
      <c r="J92" s="284"/>
      <c r="K92" s="528"/>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44408.458333333117</v>
      </c>
      <c r="F93" s="202">
        <f ca="1">TblImps[[#This Row],[Population]]</f>
        <v>1</v>
      </c>
      <c r="G93" s="284"/>
      <c r="H93" s="284"/>
      <c r="I93" s="284"/>
      <c r="J93" s="284"/>
      <c r="K93" s="528"/>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44408.499999999782</v>
      </c>
      <c r="F94" s="202">
        <f ca="1">TblImps[[#This Row],[Population]]</f>
        <v>1</v>
      </c>
      <c r="G94" s="284"/>
      <c r="H94" s="284"/>
      <c r="I94" s="284"/>
      <c r="J94" s="284"/>
      <c r="K94" s="528"/>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44408.541666666446</v>
      </c>
      <c r="F95" s="202">
        <f ca="1">TblImps[[#This Row],[Population]]</f>
        <v>1</v>
      </c>
      <c r="G95" s="284"/>
      <c r="H95" s="284"/>
      <c r="I95" s="284"/>
      <c r="J95" s="284"/>
      <c r="K95" s="528"/>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44408.58333333311</v>
      </c>
      <c r="F96" s="202">
        <f ca="1">TblImps[[#This Row],[Population]]</f>
        <v>1</v>
      </c>
      <c r="G96" s="284"/>
      <c r="H96" s="284"/>
      <c r="I96" s="284"/>
      <c r="J96" s="284"/>
      <c r="K96" s="528"/>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44408.624999999774</v>
      </c>
      <c r="F97" s="202">
        <f ca="1">TblImps[[#This Row],[Population]]</f>
        <v>1</v>
      </c>
      <c r="G97" s="284"/>
      <c r="H97" s="284"/>
      <c r="I97" s="284"/>
      <c r="J97" s="284"/>
      <c r="K97" s="528"/>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44408.666666666439</v>
      </c>
      <c r="F98" s="202">
        <f ca="1">TblImps[[#This Row],[Population]]</f>
        <v>1</v>
      </c>
      <c r="G98" s="284"/>
      <c r="H98" s="284"/>
      <c r="I98" s="284"/>
      <c r="J98" s="284"/>
      <c r="K98" s="528"/>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44408.708333333103</v>
      </c>
      <c r="F99" s="202">
        <f ca="1">TblImps[[#This Row],[Population]]</f>
        <v>1</v>
      </c>
      <c r="G99" s="284"/>
      <c r="H99" s="284"/>
      <c r="I99" s="284"/>
      <c r="J99" s="284"/>
      <c r="K99" s="528"/>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44408.749999999767</v>
      </c>
      <c r="F100" s="202">
        <f ca="1">TblImps[[#This Row],[Population]]</f>
        <v>1</v>
      </c>
      <c r="G100" s="284"/>
      <c r="H100" s="284"/>
      <c r="I100" s="284"/>
      <c r="J100" s="284"/>
      <c r="K100" s="528"/>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44408.791666666431</v>
      </c>
      <c r="F101" s="202">
        <f ca="1">TblImps[[#This Row],[Population]]</f>
        <v>1</v>
      </c>
      <c r="G101" s="284"/>
      <c r="H101" s="284"/>
      <c r="I101" s="284"/>
      <c r="J101" s="284"/>
      <c r="K101" s="528"/>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44408.833333333096</v>
      </c>
      <c r="F102" s="202">
        <f ca="1">TblImps[[#This Row],[Population]]</f>
        <v>1</v>
      </c>
      <c r="G102" s="284"/>
      <c r="H102" s="284"/>
      <c r="I102" s="284"/>
      <c r="J102" s="284"/>
      <c r="K102" s="528"/>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44408.87499999976</v>
      </c>
      <c r="F103" s="202">
        <f ca="1">TblImps[[#This Row],[Population]]</f>
        <v>1</v>
      </c>
      <c r="G103" s="284"/>
      <c r="H103" s="284"/>
      <c r="I103" s="284"/>
      <c r="J103" s="284"/>
      <c r="K103" s="528"/>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44408.916666666424</v>
      </c>
      <c r="F104" s="202">
        <f ca="1">TblImps[[#This Row],[Population]]</f>
        <v>1</v>
      </c>
      <c r="G104" s="284"/>
      <c r="H104" s="284"/>
      <c r="I104" s="284"/>
      <c r="J104" s="284"/>
      <c r="K104" s="528"/>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44408.958333333088</v>
      </c>
      <c r="F105" s="202">
        <f ca="1">TblImps[[#This Row],[Population]]</f>
        <v>1</v>
      </c>
      <c r="G105" s="284"/>
      <c r="H105" s="284"/>
      <c r="I105" s="284"/>
      <c r="J105" s="284"/>
      <c r="K105" s="528"/>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44408.999999999753</v>
      </c>
      <c r="F106" s="202">
        <f ca="1">TblImps[[#This Row],[Population]]</f>
        <v>1</v>
      </c>
      <c r="G106" s="284"/>
      <c r="H106" s="284"/>
      <c r="I106" s="284"/>
      <c r="J106" s="284"/>
      <c r="K106" s="528"/>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44409.041666666417</v>
      </c>
      <c r="F107" s="202">
        <f ca="1">TblImps[[#This Row],[Population]]</f>
        <v>1</v>
      </c>
      <c r="G107" s="284"/>
      <c r="H107" s="284"/>
      <c r="I107" s="284"/>
      <c r="J107" s="284"/>
      <c r="K107" s="528"/>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44409.083333333081</v>
      </c>
      <c r="F108" s="202">
        <f ca="1">TblImps[[#This Row],[Population]]</f>
        <v>1</v>
      </c>
      <c r="G108" s="284"/>
      <c r="H108" s="284"/>
      <c r="I108" s="284"/>
      <c r="J108" s="284"/>
      <c r="K108" s="528"/>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44409.124999999745</v>
      </c>
      <c r="F109" s="202">
        <f ca="1">TblImps[[#This Row],[Population]]</f>
        <v>1</v>
      </c>
      <c r="G109" s="284"/>
      <c r="H109" s="284"/>
      <c r="I109" s="284"/>
      <c r="J109" s="284"/>
      <c r="K109" s="528"/>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44409.16666666641</v>
      </c>
      <c r="F110" s="202">
        <f ca="1">TblImps[[#This Row],[Population]]</f>
        <v>1</v>
      </c>
      <c r="G110" s="284"/>
      <c r="H110" s="284"/>
      <c r="I110" s="284"/>
      <c r="J110" s="284"/>
      <c r="K110" s="528"/>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44409.208333333074</v>
      </c>
      <c r="F111" s="202">
        <f ca="1">TblImps[[#This Row],[Population]]</f>
        <v>1</v>
      </c>
      <c r="G111" s="284"/>
      <c r="H111" s="284"/>
      <c r="I111" s="284"/>
      <c r="J111" s="284"/>
      <c r="K111" s="528"/>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44409.249999999738</v>
      </c>
      <c r="F112" s="202">
        <f ca="1">TblImps[[#This Row],[Population]]</f>
        <v>1</v>
      </c>
      <c r="G112" s="284"/>
      <c r="H112" s="284"/>
      <c r="I112" s="284"/>
      <c r="J112" s="284"/>
      <c r="K112" s="528"/>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44409.291666666402</v>
      </c>
      <c r="F113" s="202">
        <f ca="1">TblImps[[#This Row],[Population]]</f>
        <v>1</v>
      </c>
      <c r="G113" s="284"/>
      <c r="H113" s="284"/>
      <c r="I113" s="284"/>
      <c r="J113" s="284"/>
      <c r="K113" s="528"/>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44409.333333333067</v>
      </c>
      <c r="F114" s="202">
        <f ca="1">TblImps[[#This Row],[Population]]</f>
        <v>1</v>
      </c>
      <c r="G114" s="284"/>
      <c r="H114" s="284"/>
      <c r="I114" s="284"/>
      <c r="J114" s="284"/>
      <c r="K114" s="528"/>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44409.374999999731</v>
      </c>
      <c r="F115" s="202">
        <f ca="1">TblImps[[#This Row],[Population]]</f>
        <v>1</v>
      </c>
      <c r="G115" s="284"/>
      <c r="H115" s="284"/>
      <c r="I115" s="284"/>
      <c r="J115" s="284"/>
      <c r="K115" s="528"/>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44409.416666666395</v>
      </c>
      <c r="F116" s="202">
        <f ca="1">TblImps[[#This Row],[Population]]</f>
        <v>1</v>
      </c>
      <c r="G116" s="284"/>
      <c r="H116" s="284"/>
      <c r="I116" s="284"/>
      <c r="J116" s="284"/>
      <c r="K116" s="528"/>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44409.458333333059</v>
      </c>
      <c r="F117" s="202">
        <f ca="1">TblImps[[#This Row],[Population]]</f>
        <v>1</v>
      </c>
      <c r="G117" s="284"/>
      <c r="H117" s="284"/>
      <c r="I117" s="284"/>
      <c r="J117" s="284"/>
      <c r="K117" s="528"/>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44409.499999999724</v>
      </c>
      <c r="F118" s="202">
        <f ca="1">TblImps[[#This Row],[Population]]</f>
        <v>1</v>
      </c>
      <c r="G118" s="284"/>
      <c r="H118" s="284"/>
      <c r="I118" s="284"/>
      <c r="J118" s="284"/>
      <c r="K118" s="528"/>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44409.541666666388</v>
      </c>
      <c r="F119" s="202">
        <f ca="1">TblImps[[#This Row],[Population]]</f>
        <v>1</v>
      </c>
      <c r="G119" s="284"/>
      <c r="H119" s="284"/>
      <c r="I119" s="284"/>
      <c r="J119" s="284"/>
      <c r="K119" s="528"/>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44409.583333333052</v>
      </c>
      <c r="F120" s="202">
        <f ca="1">TblImps[[#This Row],[Population]]</f>
        <v>1</v>
      </c>
      <c r="G120" s="284"/>
      <c r="H120" s="284"/>
      <c r="I120" s="284"/>
      <c r="J120" s="284"/>
      <c r="K120" s="528"/>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44409.624999999716</v>
      </c>
      <c r="F121" s="202">
        <f ca="1">TblImps[[#This Row],[Population]]</f>
        <v>1</v>
      </c>
      <c r="G121" s="284"/>
      <c r="H121" s="284"/>
      <c r="I121" s="284"/>
      <c r="J121" s="284"/>
      <c r="K121" s="528"/>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44409.66666666638</v>
      </c>
      <c r="F122" s="202">
        <f ca="1">TblImps[[#This Row],[Population]]</f>
        <v>1</v>
      </c>
      <c r="G122" s="284"/>
      <c r="H122" s="284"/>
      <c r="I122" s="284"/>
      <c r="J122" s="284"/>
      <c r="K122" s="528"/>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44409.708333333045</v>
      </c>
      <c r="F123" s="202">
        <f ca="1">TblImps[[#This Row],[Population]]</f>
        <v>1</v>
      </c>
      <c r="G123" s="284"/>
      <c r="H123" s="284"/>
      <c r="I123" s="284"/>
      <c r="J123" s="284"/>
      <c r="K123" s="528"/>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44409.749999999709</v>
      </c>
      <c r="F124" s="202">
        <f ca="1">TblImps[[#This Row],[Population]]</f>
        <v>1</v>
      </c>
      <c r="G124" s="284"/>
      <c r="H124" s="284"/>
      <c r="I124" s="284"/>
      <c r="J124" s="284"/>
      <c r="K124" s="528"/>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44409.791666666373</v>
      </c>
      <c r="F125" s="202">
        <f ca="1">TblImps[[#This Row],[Population]]</f>
        <v>1</v>
      </c>
      <c r="G125" s="284"/>
      <c r="H125" s="284"/>
      <c r="I125" s="284"/>
      <c r="J125" s="284"/>
      <c r="K125" s="528"/>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44409.833333333037</v>
      </c>
      <c r="F126" s="202">
        <f ca="1">TblImps[[#This Row],[Population]]</f>
        <v>1</v>
      </c>
      <c r="G126" s="284"/>
      <c r="H126" s="284"/>
      <c r="I126" s="284"/>
      <c r="J126" s="284"/>
      <c r="K126" s="528"/>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44409.874999999702</v>
      </c>
      <c r="F127" s="202">
        <f ca="1">TblImps[[#This Row],[Population]]</f>
        <v>1</v>
      </c>
      <c r="G127" s="284"/>
      <c r="H127" s="284"/>
      <c r="I127" s="284"/>
      <c r="J127" s="284"/>
      <c r="K127" s="528"/>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44409.916666666366</v>
      </c>
      <c r="F128" s="202">
        <f ca="1">TblImps[[#This Row],[Population]]</f>
        <v>1</v>
      </c>
      <c r="G128" s="284"/>
      <c r="H128" s="284"/>
      <c r="I128" s="284"/>
      <c r="J128" s="284"/>
      <c r="K128" s="528"/>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44409.95833333303</v>
      </c>
      <c r="F129" s="202">
        <f ca="1">TblImps[[#This Row],[Population]]</f>
        <v>1</v>
      </c>
      <c r="G129" s="284"/>
      <c r="H129" s="284"/>
      <c r="I129" s="284"/>
      <c r="J129" s="284"/>
      <c r="K129" s="528"/>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44409.999999999694</v>
      </c>
      <c r="F130" s="202">
        <f ca="1">TblImps[[#This Row],[Population]]</f>
        <v>1</v>
      </c>
      <c r="G130" s="284"/>
      <c r="H130" s="284"/>
      <c r="I130" s="284"/>
      <c r="J130" s="284"/>
      <c r="K130" s="528"/>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44410.041666666359</v>
      </c>
      <c r="F131" s="202">
        <f ca="1">TblImps[[#This Row],[Population]]</f>
        <v>1</v>
      </c>
      <c r="G131" s="284"/>
      <c r="H131" s="284"/>
      <c r="I131" s="284"/>
      <c r="J131" s="284"/>
      <c r="K131" s="528"/>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44410.083333333023</v>
      </c>
      <c r="F132" s="202">
        <f ca="1">TblImps[[#This Row],[Population]]</f>
        <v>1</v>
      </c>
      <c r="G132" s="284"/>
      <c r="H132" s="284"/>
      <c r="I132" s="284"/>
      <c r="J132" s="284"/>
      <c r="K132" s="528"/>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44410.124999999687</v>
      </c>
      <c r="F133" s="202">
        <f ca="1">TblImps[[#This Row],[Population]]</f>
        <v>1</v>
      </c>
      <c r="G133" s="284"/>
      <c r="H133" s="284"/>
      <c r="I133" s="284"/>
      <c r="J133" s="284"/>
      <c r="K133" s="528"/>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44410.166666666351</v>
      </c>
      <c r="F134" s="202">
        <f ca="1">TblImps[[#This Row],[Population]]</f>
        <v>1</v>
      </c>
      <c r="G134" s="284"/>
      <c r="H134" s="284"/>
      <c r="I134" s="284"/>
      <c r="J134" s="284"/>
      <c r="K134" s="528"/>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44410.208333333016</v>
      </c>
      <c r="F135" s="202">
        <f ca="1">TblImps[[#This Row],[Population]]</f>
        <v>1</v>
      </c>
      <c r="G135" s="284"/>
      <c r="H135" s="284"/>
      <c r="I135" s="284"/>
      <c r="J135" s="284"/>
      <c r="K135" s="528"/>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44410.24999999968</v>
      </c>
      <c r="F136" s="202">
        <f ca="1">TblImps[[#This Row],[Population]]</f>
        <v>1</v>
      </c>
      <c r="G136" s="284"/>
      <c r="H136" s="284"/>
      <c r="I136" s="284"/>
      <c r="J136" s="284"/>
      <c r="K136" s="528"/>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4" t="s">
        <v>327</v>
      </c>
      <c r="D1269" s="541"/>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1" priority="17" stopIfTrue="1">
      <formula>ROW()-2=#REF!</formula>
    </cfRule>
  </conditionalFormatting>
  <conditionalFormatting sqref="A1269:XFD1270">
    <cfRule type="expression" dxfId="20" priority="18" stopIfTrue="1">
      <formula>$C$1270&gt;144</formula>
    </cfRule>
  </conditionalFormatting>
  <conditionalFormatting sqref="A4:AM136">
    <cfRule type="expression" dxfId="19" priority="1" stopIfTrue="1">
      <formula>ROW()-3=$C$1270</formula>
    </cfRule>
    <cfRule type="expression" dxfId="18" priority="2" stopIfTrue="1">
      <formula>OR(ROW()-3=$C$1270,A4&lt;0)</formula>
    </cfRule>
    <cfRule type="expression" dxfId="17" priority="3">
      <formula>$A4=73</formula>
    </cfRule>
    <cfRule type="expression" dxfId="16" priority="11">
      <formula>ROUND(($A4-1)/12,0)=INT($A4-1)/12</formula>
    </cfRule>
  </conditionalFormatting>
  <conditionalFormatting sqref="G16:U136">
    <cfRule type="expression" dxfId="15" priority="12">
      <formula>COUNTA(G5:G16)&gt;0</formula>
    </cfRule>
  </conditionalFormatting>
  <conditionalFormatting sqref="A1:XFD3">
    <cfRule type="expression" dxfId="14"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1109</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9">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9">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9">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9">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9">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9">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9">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1090</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9">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9">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9">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1102</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9">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9">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9">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9">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9">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9">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9">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9">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1092</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9">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9">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9">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9">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9">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9">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9">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9">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9">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1093</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9">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9">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9">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9">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9">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9">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9">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9">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1094</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9">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1095</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9">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1101</v>
      </c>
      <c r="I41" s="358" t="s">
        <v>1096</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9">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9">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1103</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9">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9">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9">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1097</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9">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9">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1093</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9">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9">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1093</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9">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1098</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9">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9">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9">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9">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9">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1104</v>
      </c>
      <c r="I56" s="358" t="s">
        <v>1099</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9">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9">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9">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9">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9">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9">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1100</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9">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1105</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9">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9">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9">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9">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1106</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9">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9">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9">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9">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9">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9">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9">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9">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9">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9">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9">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9">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9">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9">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9">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9">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9">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9">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9">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9">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9">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9">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9">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9">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9">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9">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9">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9">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9">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9">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9">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9">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9">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9">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9">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9">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9">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9">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9">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9">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9">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9">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9">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9">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9">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9">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9">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9">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9">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9">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9">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9">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9">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9">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9">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9">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9">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9">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9">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9">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9">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9">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9">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9">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9">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9">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9">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9">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9">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9">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1043</v>
      </c>
      <c r="Y1" s="194" t="s">
        <v>37</v>
      </c>
      <c r="Z1" s="194"/>
      <c r="AA1" s="194"/>
      <c r="AB1" s="194"/>
      <c r="AC1" s="194"/>
      <c r="AD1" s="194"/>
      <c r="AF1" s="599" t="s">
        <v>221</v>
      </c>
      <c r="AG1" s="599"/>
      <c r="AH1" s="194"/>
      <c r="AI1" s="194"/>
      <c r="AJ1" s="194"/>
      <c r="AK1" s="194"/>
      <c r="AM1" s="597" t="s">
        <v>229</v>
      </c>
      <c r="AN1" s="597"/>
      <c r="AO1" s="367"/>
      <c r="AP1" s="367"/>
      <c r="AQ1" s="368"/>
      <c r="AR1" s="597" t="s">
        <v>230</v>
      </c>
      <c r="AS1" s="597"/>
      <c r="AT1" s="598"/>
      <c r="AU1" s="367"/>
      <c r="AV1" s="368"/>
      <c r="AW1" s="597" t="s">
        <v>231</v>
      </c>
      <c r="AX1" s="597"/>
      <c r="AY1" s="597"/>
      <c r="AZ1" s="367"/>
      <c r="BA1" s="368"/>
      <c r="BB1" s="597" t="s">
        <v>232</v>
      </c>
      <c r="BC1" s="597"/>
      <c r="BD1" s="597"/>
      <c r="BE1" s="597"/>
      <c r="BF1" s="368"/>
      <c r="BG1" s="597" t="s">
        <v>233</v>
      </c>
      <c r="BH1" s="597"/>
      <c r="BI1" s="597"/>
      <c r="BJ1" s="367"/>
      <c r="BK1" s="368"/>
      <c r="BL1" s="597" t="s">
        <v>234</v>
      </c>
      <c r="BM1" s="598"/>
      <c r="BN1" s="598"/>
      <c r="BO1" s="367"/>
      <c r="BP1" s="368"/>
      <c r="BQ1" s="597" t="s">
        <v>235</v>
      </c>
      <c r="BR1" s="597"/>
      <c r="BS1" s="597"/>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1073</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1074</v>
      </c>
      <c r="BG3" s="371" t="s">
        <v>992</v>
      </c>
      <c r="BH3" s="371" t="s">
        <v>993</v>
      </c>
      <c r="BI3" s="371" t="s">
        <v>994</v>
      </c>
      <c r="BJ3" s="371" t="s">
        <v>995</v>
      </c>
      <c r="BK3" s="371" t="s">
        <v>1075</v>
      </c>
      <c r="BL3" s="371" t="s">
        <v>996</v>
      </c>
      <c r="BM3" s="371" t="s">
        <v>997</v>
      </c>
      <c r="BN3" s="371" t="s">
        <v>998</v>
      </c>
      <c r="BO3" s="371" t="s">
        <v>999</v>
      </c>
      <c r="BP3" s="371" t="s">
        <v>1076</v>
      </c>
      <c r="BQ3" s="371" t="s">
        <v>1000</v>
      </c>
      <c r="BR3" s="371" t="s">
        <v>1001</v>
      </c>
      <c r="BS3" s="371" t="s">
        <v>1002</v>
      </c>
      <c r="BT3" s="371" t="s">
        <v>1003</v>
      </c>
      <c r="BU3" s="196" t="s">
        <v>1077</v>
      </c>
      <c r="BV3" s="372" t="s">
        <v>320</v>
      </c>
      <c r="BW3" s="196" t="s">
        <v>1011</v>
      </c>
      <c r="BX3" s="196" t="s">
        <v>1078</v>
      </c>
      <c r="BY3" s="196" t="s">
        <v>1012</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44404.75</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44404.75</v>
      </c>
      <c r="BZ4" s="383">
        <f>Overview!B15</f>
        <v>44405</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44404.791666666664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44404.791666666664</v>
      </c>
      <c r="BZ5" s="387">
        <f ca="1">OFFSET(TblImps[[#This Row],[Servertime]],-1,0)+1/24</f>
        <v>44405.041666666664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44404.833333333328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44404.833333333328</v>
      </c>
      <c r="BZ6" s="387">
        <f ca="1">OFFSET(TblImps[[#This Row],[Servertime]],-1,0)+1/24</f>
        <v>44405.083333333328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44404.874999999993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44404.874999999993</v>
      </c>
      <c r="BZ7" s="387">
        <f ca="1">OFFSET(TblImps[[#This Row],[Servertime]],-1,0)+1/24</f>
        <v>44405.124999999993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44404.916666666657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44404.916666666657</v>
      </c>
      <c r="BZ8" s="387">
        <f ca="1">OFFSET(TblImps[[#This Row],[Servertime]],-1,0)+1/24</f>
        <v>44405.166666666657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44404.958333333321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44404.958333333321</v>
      </c>
      <c r="BZ9" s="387">
        <f ca="1">OFFSET(TblImps[[#This Row],[Servertime]],-1,0)+1/24</f>
        <v>44405.208333333321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44404.999999999985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44404.999999999985</v>
      </c>
      <c r="BZ10" s="387">
        <f ca="1">OFFSET(TblImps[[#This Row],[Servertime]],-1,0)+1/24</f>
        <v>44405.249999999985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44405.04166666665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44405.04166666665</v>
      </c>
      <c r="BZ11" s="387">
        <f ca="1">OFFSET(TblImps[[#This Row],[Servertime]],-1,0)+1/24</f>
        <v>44405.29166666665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44405.083333333314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44405.083333333314</v>
      </c>
      <c r="BZ12" s="387">
        <f ca="1">OFFSET(TblImps[[#This Row],[Servertime]],-1,0)+1/24</f>
        <v>44405.333333333314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44405.124999999978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44405.124999999978</v>
      </c>
      <c r="BZ13" s="387">
        <f ca="1">OFFSET(TblImps[[#This Row],[Servertime]],-1,0)+1/24</f>
        <v>44405.374999999978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44405.166666666642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44405.166666666642</v>
      </c>
      <c r="BZ14" s="387">
        <f ca="1">OFFSET(TblImps[[#This Row],[Servertime]],-1,0)+1/24</f>
        <v>44405.416666666642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44405.208333333307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44405.208333333307</v>
      </c>
      <c r="BZ15" s="387">
        <f ca="1">OFFSET(TblImps[[#This Row],[Servertime]],-1,0)+1/24</f>
        <v>44405.458333333307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44405.249999999971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44405.249999999971</v>
      </c>
      <c r="BZ16" s="387">
        <f ca="1">OFFSET(TblImps[[#This Row],[Servertime]],-1,0)+1/24</f>
        <v>44405.499999999971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44405.291666666635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44405.291666666635</v>
      </c>
      <c r="BZ17" s="387">
        <f ca="1">OFFSET(TblImps[[#This Row],[Servertime]],-1,0)+1/24</f>
        <v>44405.541666666635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44405.333333333299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44405.333333333299</v>
      </c>
      <c r="BZ18" s="387">
        <f ca="1">OFFSET(TblImps[[#This Row],[Servertime]],-1,0)+1/24</f>
        <v>44405.583333333299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44405.374999999964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44405.374999999964</v>
      </c>
      <c r="BZ19" s="387">
        <f ca="1">OFFSET(TblImps[[#This Row],[Servertime]],-1,0)+1/24</f>
        <v>44405.624999999964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44405.416666666628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44405.416666666628</v>
      </c>
      <c r="BZ20" s="387">
        <f ca="1">OFFSET(TblImps[[#This Row],[Servertime]],-1,0)+1/24</f>
        <v>44405.666666666628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44405.458333333292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44405.458333333292</v>
      </c>
      <c r="BZ21" s="387">
        <f ca="1">OFFSET(TblImps[[#This Row],[Servertime]],-1,0)+1/24</f>
        <v>44405.708333333292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44405.499999999956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44405.499999999956</v>
      </c>
      <c r="BZ22" s="387">
        <f ca="1">OFFSET(TblImps[[#This Row],[Servertime]],-1,0)+1/24</f>
        <v>44405.749999999956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44405.541666666621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44405.541666666621</v>
      </c>
      <c r="BZ23" s="387">
        <f ca="1">OFFSET(TblImps[[#This Row],[Servertime]],-1,0)+1/24</f>
        <v>44405.791666666621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44405.583333333285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44405.583333333285</v>
      </c>
      <c r="BZ24" s="387">
        <f ca="1">OFFSET(TblImps[[#This Row],[Servertime]],-1,0)+1/24</f>
        <v>44405.833333333285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44405.624999999949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44405.624999999949</v>
      </c>
      <c r="BZ25" s="387">
        <f ca="1">OFFSET(TblImps[[#This Row],[Servertime]],-1,0)+1/24</f>
        <v>44405.874999999949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44405.666666666613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44405.666666666613</v>
      </c>
      <c r="BZ26" s="387">
        <f ca="1">OFFSET(TblImps[[#This Row],[Servertime]],-1,0)+1/24</f>
        <v>44405.916666666613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44405.708333333278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44405.708333333278</v>
      </c>
      <c r="BZ27" s="387">
        <f ca="1">OFFSET(TblImps[[#This Row],[Servertime]],-1,0)+1/24</f>
        <v>44405.958333333278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44405.749999999942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44405.749999999942</v>
      </c>
      <c r="BZ28" s="387">
        <f ca="1">OFFSET(TblImps[[#This Row],[Servertime]],-1,0)+1/24</f>
        <v>44405.999999999942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44405.791666666606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44405.791666666606</v>
      </c>
      <c r="BZ29" s="387">
        <f ca="1">OFFSET(TblImps[[#This Row],[Servertime]],-1,0)+1/24</f>
        <v>44406.041666666606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44405.83333333327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44405.83333333327</v>
      </c>
      <c r="BZ30" s="387">
        <f ca="1">OFFSET(TblImps[[#This Row],[Servertime]],-1,0)+1/24</f>
        <v>44406.08333333327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44405.874999999935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44405.874999999935</v>
      </c>
      <c r="BZ31" s="387">
        <f ca="1">OFFSET(TblImps[[#This Row],[Servertime]],-1,0)+1/24</f>
        <v>44406.124999999935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44405.916666666599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44405.916666666599</v>
      </c>
      <c r="BZ32" s="387">
        <f ca="1">OFFSET(TblImps[[#This Row],[Servertime]],-1,0)+1/24</f>
        <v>44406.166666666599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44405.958333333263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44405.958333333263</v>
      </c>
      <c r="BZ33" s="387">
        <f ca="1">OFFSET(TblImps[[#This Row],[Servertime]],-1,0)+1/24</f>
        <v>44406.208333333263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44405.999999999927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44405.999999999927</v>
      </c>
      <c r="BZ34" s="387">
        <f ca="1">OFFSET(TblImps[[#This Row],[Servertime]],-1,0)+1/24</f>
        <v>44406.249999999927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44406.041666666591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44406.041666666591</v>
      </c>
      <c r="BZ35" s="387">
        <f ca="1">OFFSET(TblImps[[#This Row],[Servertime]],-1,0)+1/24</f>
        <v>44406.291666666591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44406.083333333256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44406.083333333256</v>
      </c>
      <c r="BZ36" s="387">
        <f ca="1">OFFSET(TblImps[[#This Row],[Servertime]],-1,0)+1/24</f>
        <v>44406.333333333256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44406.12499999992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44406.12499999992</v>
      </c>
      <c r="BZ37" s="387">
        <f ca="1">OFFSET(TblImps[[#This Row],[Servertime]],-1,0)+1/24</f>
        <v>44406.37499999992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44406.166666666584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44406.166666666584</v>
      </c>
      <c r="BZ38" s="387">
        <f ca="1">OFFSET(TblImps[[#This Row],[Servertime]],-1,0)+1/24</f>
        <v>44406.416666666584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44406.208333333248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44406.208333333248</v>
      </c>
      <c r="BZ39" s="387">
        <f ca="1">OFFSET(TblImps[[#This Row],[Servertime]],-1,0)+1/24</f>
        <v>44406.458333333248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44406.249999999913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44406.249999999913</v>
      </c>
      <c r="BZ40" s="387">
        <f ca="1">OFFSET(TblImps[[#This Row],[Servertime]],-1,0)+1/24</f>
        <v>44406.499999999913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44406.291666666577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44406.291666666577</v>
      </c>
      <c r="BZ41" s="387">
        <f ca="1">OFFSET(TblImps[[#This Row],[Servertime]],-1,0)+1/24</f>
        <v>44406.541666666577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44406.333333333241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44406.333333333241</v>
      </c>
      <c r="BZ42" s="387">
        <f ca="1">OFFSET(TblImps[[#This Row],[Servertime]],-1,0)+1/24</f>
        <v>44406.583333333241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44406.374999999905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44406.374999999905</v>
      </c>
      <c r="BZ43" s="387">
        <f ca="1">OFFSET(TblImps[[#This Row],[Servertime]],-1,0)+1/24</f>
        <v>44406.624999999905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44406.41666666657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44406.41666666657</v>
      </c>
      <c r="BZ44" s="387">
        <f ca="1">OFFSET(TblImps[[#This Row],[Servertime]],-1,0)+1/24</f>
        <v>44406.66666666657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44406.458333333234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44406.458333333234</v>
      </c>
      <c r="BZ45" s="387">
        <f ca="1">OFFSET(TblImps[[#This Row],[Servertime]],-1,0)+1/24</f>
        <v>44406.708333333234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44406.499999999898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44406.499999999898</v>
      </c>
      <c r="BZ46" s="387">
        <f ca="1">OFFSET(TblImps[[#This Row],[Servertime]],-1,0)+1/24</f>
        <v>44406.749999999898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44406.541666666562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44406.541666666562</v>
      </c>
      <c r="BZ47" s="387">
        <f ca="1">OFFSET(TblImps[[#This Row],[Servertime]],-1,0)+1/24</f>
        <v>44406.791666666562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44406.583333333227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44406.583333333227</v>
      </c>
      <c r="BZ48" s="387">
        <f ca="1">OFFSET(TblImps[[#This Row],[Servertime]],-1,0)+1/24</f>
        <v>44406.833333333227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44406.624999999891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44406.624999999891</v>
      </c>
      <c r="BZ49" s="387">
        <f ca="1">OFFSET(TblImps[[#This Row],[Servertime]],-1,0)+1/24</f>
        <v>44406.874999999891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44406.666666666555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44406.666666666555</v>
      </c>
      <c r="BZ50" s="387">
        <f ca="1">OFFSET(TblImps[[#This Row],[Servertime]],-1,0)+1/24</f>
        <v>44406.916666666555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44406.708333333219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44406.708333333219</v>
      </c>
      <c r="BZ51" s="387">
        <f ca="1">OFFSET(TblImps[[#This Row],[Servertime]],-1,0)+1/24</f>
        <v>44406.958333333219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44406.749999999884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44406.749999999884</v>
      </c>
      <c r="BZ52" s="387">
        <f ca="1">OFFSET(TblImps[[#This Row],[Servertime]],-1,0)+1/24</f>
        <v>44406.999999999884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44406.791666666548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44406.791666666548</v>
      </c>
      <c r="BZ53" s="387">
        <f ca="1">OFFSET(TblImps[[#This Row],[Servertime]],-1,0)+1/24</f>
        <v>44407.041666666548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44406.833333333212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44406.833333333212</v>
      </c>
      <c r="BZ54" s="387">
        <f ca="1">OFFSET(TblImps[[#This Row],[Servertime]],-1,0)+1/24</f>
        <v>44407.083333333212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44406.874999999876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44406.874999999876</v>
      </c>
      <c r="BZ55" s="387">
        <f ca="1">OFFSET(TblImps[[#This Row],[Servertime]],-1,0)+1/24</f>
        <v>44407.124999999876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44406.916666666541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44406.916666666541</v>
      </c>
      <c r="BZ56" s="387">
        <f ca="1">OFFSET(TblImps[[#This Row],[Servertime]],-1,0)+1/24</f>
        <v>44407.166666666541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44406.958333333205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44406.958333333205</v>
      </c>
      <c r="BZ57" s="387">
        <f ca="1">OFFSET(TblImps[[#This Row],[Servertime]],-1,0)+1/24</f>
        <v>44407.208333333205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44406.999999999869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44406.999999999869</v>
      </c>
      <c r="BZ58" s="387">
        <f ca="1">OFFSET(TblImps[[#This Row],[Servertime]],-1,0)+1/24</f>
        <v>44407.249999999869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44407.041666666533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44407.041666666533</v>
      </c>
      <c r="BZ59" s="387">
        <f ca="1">OFFSET(TblImps[[#This Row],[Servertime]],-1,0)+1/24</f>
        <v>44407.291666666533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44407.083333333198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44407.083333333198</v>
      </c>
      <c r="BZ60" s="387">
        <f ca="1">OFFSET(TblImps[[#This Row],[Servertime]],-1,0)+1/24</f>
        <v>44407.333333333198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44407.124999999862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44407.124999999862</v>
      </c>
      <c r="BZ61" s="387">
        <f ca="1">OFFSET(TblImps[[#This Row],[Servertime]],-1,0)+1/24</f>
        <v>44407.374999999862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44407.166666666526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44407.166666666526</v>
      </c>
      <c r="BZ62" s="387">
        <f ca="1">OFFSET(TblImps[[#This Row],[Servertime]],-1,0)+1/24</f>
        <v>44407.416666666526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44407.20833333319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44407.20833333319</v>
      </c>
      <c r="BZ63" s="387">
        <f ca="1">OFFSET(TblImps[[#This Row],[Servertime]],-1,0)+1/24</f>
        <v>44407.45833333319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44407.249999999854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44407.249999999854</v>
      </c>
      <c r="BZ64" s="387">
        <f ca="1">OFFSET(TblImps[[#This Row],[Servertime]],-1,0)+1/24</f>
        <v>44407.499999999854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44407.291666666519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44407.291666666519</v>
      </c>
      <c r="BZ65" s="387">
        <f ca="1">OFFSET(TblImps[[#This Row],[Servertime]],-1,0)+1/24</f>
        <v>44407.541666666519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44407.333333333183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44407.333333333183</v>
      </c>
      <c r="BZ66" s="387">
        <f ca="1">OFFSET(TblImps[[#This Row],[Servertime]],-1,0)+1/24</f>
        <v>44407.583333333183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44407.374999999847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44407.374999999847</v>
      </c>
      <c r="BZ67" s="387">
        <f ca="1">OFFSET(TblImps[[#This Row],[Servertime]],-1,0)+1/24</f>
        <v>44407.624999999847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44407.416666666511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44407.416666666511</v>
      </c>
      <c r="BZ68" s="387">
        <f ca="1">OFFSET(TblImps[[#This Row],[Servertime]],-1,0)+1/24</f>
        <v>44407.666666666511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44407.458333333176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44407.458333333176</v>
      </c>
      <c r="BZ69" s="387">
        <f ca="1">OFFSET(TblImps[[#This Row],[Servertime]],-1,0)+1/24</f>
        <v>44407.708333333176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44407.49999999984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44407.49999999984</v>
      </c>
      <c r="BZ70" s="387">
        <f ca="1">OFFSET(TblImps[[#This Row],[Servertime]],-1,0)+1/24</f>
        <v>44407.74999999984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44407.541666666504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44407.541666666504</v>
      </c>
      <c r="BZ71" s="387">
        <f ca="1">OFFSET(TblImps[[#This Row],[Servertime]],-1,0)+1/24</f>
        <v>44407.791666666504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44407.583333333168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44407.583333333168</v>
      </c>
      <c r="BZ72" s="387">
        <f ca="1">OFFSET(TblImps[[#This Row],[Servertime]],-1,0)+1/24</f>
        <v>44407.833333333168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44407.624999999833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44407.624999999833</v>
      </c>
      <c r="BZ73" s="387">
        <f ca="1">OFFSET(TblImps[[#This Row],[Servertime]],-1,0)+1/24</f>
        <v>44407.874999999833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44407.666666666497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44407.666666666497</v>
      </c>
      <c r="BZ74" s="387">
        <f ca="1">OFFSET(TblImps[[#This Row],[Servertime]],-1,0)+1/24</f>
        <v>44407.916666666497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44407.708333333161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44407.708333333161</v>
      </c>
      <c r="BZ75" s="387">
        <f ca="1">OFFSET(TblImps[[#This Row],[Servertime]],-1,0)+1/24</f>
        <v>44407.958333333161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44407.749999999825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44407.749999999825</v>
      </c>
      <c r="BZ76" s="399">
        <f ca="1">OFFSET(TblImps[[#This Row],[Servertime]],-1,0)+1/24</f>
        <v>44407.999999999825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44407.79166666649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44407.79166666649</v>
      </c>
      <c r="BZ77" s="387">
        <f ca="1">OFFSET(TblImps[[#This Row],[Servertime]],-1,0)+1/24</f>
        <v>44408.04166666649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44407.833333333154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44407.833333333154</v>
      </c>
      <c r="BZ78" s="387">
        <f ca="1">OFFSET(TblImps[[#This Row],[Servertime]],-1,0)+1/24</f>
        <v>44408.083333333154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44407.874999999818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44407.874999999818</v>
      </c>
      <c r="BZ79" s="387">
        <f ca="1">OFFSET(TblImps[[#This Row],[Servertime]],-1,0)+1/24</f>
        <v>44408.124999999818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44407.916666666482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44407.916666666482</v>
      </c>
      <c r="BZ80" s="387">
        <f ca="1">OFFSET(TblImps[[#This Row],[Servertime]],-1,0)+1/24</f>
        <v>44408.166666666482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44407.958333333147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44407.958333333147</v>
      </c>
      <c r="BZ81" s="387">
        <f ca="1">OFFSET(TblImps[[#This Row],[Servertime]],-1,0)+1/24</f>
        <v>44408.208333333147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44407.999999999811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44407.999999999811</v>
      </c>
      <c r="BZ82" s="387">
        <f ca="1">OFFSET(TblImps[[#This Row],[Servertime]],-1,0)+1/24</f>
        <v>44408.249999999811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44408.041666666475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44408.041666666475</v>
      </c>
      <c r="BZ83" s="387">
        <f ca="1">OFFSET(TblImps[[#This Row],[Servertime]],-1,0)+1/24</f>
        <v>44408.291666666475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44408.083333333139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44408.083333333139</v>
      </c>
      <c r="BZ84" s="387">
        <f ca="1">OFFSET(TblImps[[#This Row],[Servertime]],-1,0)+1/24</f>
        <v>44408.333333333139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44408.124999999804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44408.124999999804</v>
      </c>
      <c r="BZ85" s="387">
        <f ca="1">OFFSET(TblImps[[#This Row],[Servertime]],-1,0)+1/24</f>
        <v>44408.374999999804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44408.166666666468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44408.166666666468</v>
      </c>
      <c r="BZ86" s="387">
        <f ca="1">OFFSET(TblImps[[#This Row],[Servertime]],-1,0)+1/24</f>
        <v>44408.416666666468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44408.208333333132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44408.208333333132</v>
      </c>
      <c r="BZ87" s="387">
        <f ca="1">OFFSET(TblImps[[#This Row],[Servertime]],-1,0)+1/24</f>
        <v>44408.458333333132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44408.249999999796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44408.249999999796</v>
      </c>
      <c r="BZ88" s="387">
        <f ca="1">OFFSET(TblImps[[#This Row],[Servertime]],-1,0)+1/24</f>
        <v>44408.499999999796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44408.291666666461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44408.291666666461</v>
      </c>
      <c r="BZ89" s="387">
        <f ca="1">OFFSET(TblImps[[#This Row],[Servertime]],-1,0)+1/24</f>
        <v>44408.541666666461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44408.333333333125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44408.333333333125</v>
      </c>
      <c r="BZ90" s="387">
        <f ca="1">OFFSET(TblImps[[#This Row],[Servertime]],-1,0)+1/24</f>
        <v>44408.583333333125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44408.374999999789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44408.374999999789</v>
      </c>
      <c r="BZ91" s="387">
        <f ca="1">OFFSET(TblImps[[#This Row],[Servertime]],-1,0)+1/24</f>
        <v>44408.624999999789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44408.416666666453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44408.416666666453</v>
      </c>
      <c r="BZ92" s="387">
        <f ca="1">OFFSET(TblImps[[#This Row],[Servertime]],-1,0)+1/24</f>
        <v>44408.666666666453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44408.458333333117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44408.458333333117</v>
      </c>
      <c r="BZ93" s="387">
        <f ca="1">OFFSET(TblImps[[#This Row],[Servertime]],-1,0)+1/24</f>
        <v>44408.708333333117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44408.499999999782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44408.499999999782</v>
      </c>
      <c r="BZ94" s="387">
        <f ca="1">OFFSET(TblImps[[#This Row],[Servertime]],-1,0)+1/24</f>
        <v>44408.749999999782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44408.541666666446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44408.541666666446</v>
      </c>
      <c r="BZ95" s="387">
        <f ca="1">OFFSET(TblImps[[#This Row],[Servertime]],-1,0)+1/24</f>
        <v>44408.791666666446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44408.58333333311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44408.58333333311</v>
      </c>
      <c r="BZ96" s="387">
        <f ca="1">OFFSET(TblImps[[#This Row],[Servertime]],-1,0)+1/24</f>
        <v>44408.83333333311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44408.624999999774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44408.624999999774</v>
      </c>
      <c r="BZ97" s="387">
        <f ca="1">OFFSET(TblImps[[#This Row],[Servertime]],-1,0)+1/24</f>
        <v>44408.874999999774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44408.666666666439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44408.666666666439</v>
      </c>
      <c r="BZ98" s="387">
        <f ca="1">OFFSET(TblImps[[#This Row],[Servertime]],-1,0)+1/24</f>
        <v>44408.916666666439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44408.708333333103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44408.708333333103</v>
      </c>
      <c r="BZ99" s="387">
        <f ca="1">OFFSET(TblImps[[#This Row],[Servertime]],-1,0)+1/24</f>
        <v>44408.958333333103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44408.749999999767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44408.749999999767</v>
      </c>
      <c r="BZ100" s="387">
        <f ca="1">OFFSET(TblImps[[#This Row],[Servertime]],-1,0)+1/24</f>
        <v>44408.999999999767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44408.791666666431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44408.791666666431</v>
      </c>
      <c r="BZ101" s="387">
        <f ca="1">OFFSET(TblImps[[#This Row],[Servertime]],-1,0)+1/24</f>
        <v>44409.041666666431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44408.833333333096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44408.833333333096</v>
      </c>
      <c r="BZ102" s="387">
        <f ca="1">OFFSET(TblImps[[#This Row],[Servertime]],-1,0)+1/24</f>
        <v>44409.083333333096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44408.87499999976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44408.87499999976</v>
      </c>
      <c r="BZ103" s="387">
        <f ca="1">OFFSET(TblImps[[#This Row],[Servertime]],-1,0)+1/24</f>
        <v>44409.12499999976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44408.916666666424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44408.916666666424</v>
      </c>
      <c r="BZ104" s="387">
        <f ca="1">OFFSET(TblImps[[#This Row],[Servertime]],-1,0)+1/24</f>
        <v>44409.166666666424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44408.958333333088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44408.958333333088</v>
      </c>
      <c r="BZ105" s="387">
        <f ca="1">OFFSET(TblImps[[#This Row],[Servertime]],-1,0)+1/24</f>
        <v>44409.208333333088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44408.999999999753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44408.999999999753</v>
      </c>
      <c r="BZ106" s="387">
        <f ca="1">OFFSET(TblImps[[#This Row],[Servertime]],-1,0)+1/24</f>
        <v>44409.249999999753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44409.041666666417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44409.041666666417</v>
      </c>
      <c r="BZ107" s="387">
        <f ca="1">OFFSET(TblImps[[#This Row],[Servertime]],-1,0)+1/24</f>
        <v>44409.291666666417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44409.083333333081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44409.083333333081</v>
      </c>
      <c r="BZ108" s="387">
        <f ca="1">OFFSET(TblImps[[#This Row],[Servertime]],-1,0)+1/24</f>
        <v>44409.333333333081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44409.124999999745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44409.124999999745</v>
      </c>
      <c r="BZ109" s="387">
        <f ca="1">OFFSET(TblImps[[#This Row],[Servertime]],-1,0)+1/24</f>
        <v>44409.374999999745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44409.16666666641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44409.16666666641</v>
      </c>
      <c r="BZ110" s="387">
        <f ca="1">OFFSET(TblImps[[#This Row],[Servertime]],-1,0)+1/24</f>
        <v>44409.41666666641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44409.208333333074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44409.208333333074</v>
      </c>
      <c r="BZ111" s="387">
        <f ca="1">OFFSET(TblImps[[#This Row],[Servertime]],-1,0)+1/24</f>
        <v>44409.458333333074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44409.249999999738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44409.249999999738</v>
      </c>
      <c r="BZ112" s="387">
        <f ca="1">OFFSET(TblImps[[#This Row],[Servertime]],-1,0)+1/24</f>
        <v>44409.499999999738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44409.291666666402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44409.291666666402</v>
      </c>
      <c r="BZ113" s="387">
        <f ca="1">OFFSET(TblImps[[#This Row],[Servertime]],-1,0)+1/24</f>
        <v>44409.541666666402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44409.333333333067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44409.333333333067</v>
      </c>
      <c r="BZ114" s="387">
        <f ca="1">OFFSET(TblImps[[#This Row],[Servertime]],-1,0)+1/24</f>
        <v>44409.583333333067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44409.374999999731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44409.374999999731</v>
      </c>
      <c r="BZ115" s="387">
        <f ca="1">OFFSET(TblImps[[#This Row],[Servertime]],-1,0)+1/24</f>
        <v>44409.624999999731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44409.416666666395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44409.416666666395</v>
      </c>
      <c r="BZ116" s="387">
        <f ca="1">OFFSET(TblImps[[#This Row],[Servertime]],-1,0)+1/24</f>
        <v>44409.666666666395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44409.458333333059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44409.458333333059</v>
      </c>
      <c r="BZ117" s="387">
        <f ca="1">OFFSET(TblImps[[#This Row],[Servertime]],-1,0)+1/24</f>
        <v>44409.708333333059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44409.499999999724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44409.499999999724</v>
      </c>
      <c r="BZ118" s="387">
        <f ca="1">OFFSET(TblImps[[#This Row],[Servertime]],-1,0)+1/24</f>
        <v>44409.749999999724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44409.541666666388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44409.541666666388</v>
      </c>
      <c r="BZ119" s="387">
        <f ca="1">OFFSET(TblImps[[#This Row],[Servertime]],-1,0)+1/24</f>
        <v>44409.791666666388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44409.583333333052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44409.583333333052</v>
      </c>
      <c r="BZ120" s="387">
        <f ca="1">OFFSET(TblImps[[#This Row],[Servertime]],-1,0)+1/24</f>
        <v>44409.833333333052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44409.624999999716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44409.624999999716</v>
      </c>
      <c r="BZ121" s="387">
        <f ca="1">OFFSET(TblImps[[#This Row],[Servertime]],-1,0)+1/24</f>
        <v>44409.874999999716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44409.66666666638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44409.66666666638</v>
      </c>
      <c r="BZ122" s="387">
        <f ca="1">OFFSET(TblImps[[#This Row],[Servertime]],-1,0)+1/24</f>
        <v>44409.91666666638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44409.708333333045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44409.708333333045</v>
      </c>
      <c r="BZ123" s="387">
        <f ca="1">OFFSET(TblImps[[#This Row],[Servertime]],-1,0)+1/24</f>
        <v>44409.958333333045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44409.749999999709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44409.749999999709</v>
      </c>
      <c r="BZ124" s="387">
        <f ca="1">OFFSET(TblImps[[#This Row],[Servertime]],-1,0)+1/24</f>
        <v>44409.999999999709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44409.791666666373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44409.791666666373</v>
      </c>
      <c r="BZ125" s="387">
        <f ca="1">OFFSET(TblImps[[#This Row],[Servertime]],-1,0)+1/24</f>
        <v>44410.041666666373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44409.833333333037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44409.833333333037</v>
      </c>
      <c r="BZ126" s="387">
        <f ca="1">OFFSET(TblImps[[#This Row],[Servertime]],-1,0)+1/24</f>
        <v>44410.083333333037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44409.874999999702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44409.874999999702</v>
      </c>
      <c r="BZ127" s="387">
        <f ca="1">OFFSET(TblImps[[#This Row],[Servertime]],-1,0)+1/24</f>
        <v>44410.124999999702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44409.916666666366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44409.916666666366</v>
      </c>
      <c r="BZ128" s="387">
        <f ca="1">OFFSET(TblImps[[#This Row],[Servertime]],-1,0)+1/24</f>
        <v>44410.166666666366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44409.95833333303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44409.95833333303</v>
      </c>
      <c r="BZ129" s="387">
        <f ca="1">OFFSET(TblImps[[#This Row],[Servertime]],-1,0)+1/24</f>
        <v>44410.20833333303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44409.999999999694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44409.999999999694</v>
      </c>
      <c r="BZ130" s="387">
        <f ca="1">OFFSET(TblImps[[#This Row],[Servertime]],-1,0)+1/24</f>
        <v>44410.249999999694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44410.041666666359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44410.041666666359</v>
      </c>
      <c r="BZ131" s="387">
        <f ca="1">OFFSET(TblImps[[#This Row],[Servertime]],-1,0)+1/24</f>
        <v>44410.291666666359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44410.083333333023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44410.083333333023</v>
      </c>
      <c r="BZ132" s="387">
        <f ca="1">OFFSET(TblImps[[#This Row],[Servertime]],-1,0)+1/24</f>
        <v>44410.333333333023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44410.124999999687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44410.124999999687</v>
      </c>
      <c r="BZ133" s="387">
        <f ca="1">OFFSET(TblImps[[#This Row],[Servertime]],-1,0)+1/24</f>
        <v>44410.374999999687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44410.166666666351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44410.166666666351</v>
      </c>
      <c r="BZ134" s="387">
        <f ca="1">OFFSET(TblImps[[#This Row],[Servertime]],-1,0)+1/24</f>
        <v>44410.416666666351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44410.208333333016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44410.208333333016</v>
      </c>
      <c r="BZ135" s="387">
        <f ca="1">OFFSET(TblImps[[#This Row],[Servertime]],-1,0)+1/24</f>
        <v>44410.458333333016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44410.24999999968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44410.24999999968</v>
      </c>
      <c r="BZ136" s="387">
        <f ca="1">OFFSET(TblImps[[#This Row],[Servertime]],-1,0)+1/24</f>
        <v>44410.49999999968</v>
      </c>
      <c r="CA136" s="141"/>
      <c r="CB136" s="385"/>
      <c r="CC136" s="385"/>
    </row>
    <row r="1269" spans="2:23" x14ac:dyDescent="0.2">
      <c r="B1269" s="584" t="s">
        <v>327</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 priority="8" stopIfTrue="1">
      <formula>ROW()-2=#REF!</formula>
    </cfRule>
  </conditionalFormatting>
  <conditionalFormatting sqref="A1269:CC1269">
    <cfRule type="expression" dxfId="12" priority="9" stopIfTrue="1">
      <formula>$B$1270&gt;84</formula>
    </cfRule>
  </conditionalFormatting>
  <conditionalFormatting sqref="A1269:XFD1270">
    <cfRule type="expression" dxfId="11" priority="10" stopIfTrue="1">
      <formula>$B$1270&gt;144</formula>
    </cfRule>
  </conditionalFormatting>
  <conditionalFormatting sqref="BV76">
    <cfRule type="expression" dxfId="10" priority="20" stopIfTrue="1">
      <formula>ISERROR(BV76)</formula>
    </cfRule>
  </conditionalFormatting>
  <conditionalFormatting sqref="A4:BZ136">
    <cfRule type="expression" dxfId="9" priority="1" stopIfTrue="1">
      <formula>ROW()-3=$B$1270</formula>
    </cfRule>
    <cfRule type="expression" dxfId="8" priority="2" stopIfTrue="1">
      <formula>OR(ROW()-3=$B$1270,A4&lt;0)</formula>
    </cfRule>
    <cfRule type="expression" dxfId="7" priority="7">
      <formula>$K4=73</formula>
    </cfRule>
    <cfRule type="expression" dxfId="6" priority="12">
      <formula>ROUND(($K4-1)/12,0)=INT($K4-1)/12</formula>
    </cfRule>
  </conditionalFormatting>
  <conditionalFormatting sqref="BV4:BV136">
    <cfRule type="expression" dxfId="5" priority="15" stopIfTrue="1">
      <formula>AND(ROW()-3=$B$1270,ISERROR(BV4))</formula>
    </cfRule>
    <cfRule type="expression" dxfId="4" priority="17" stopIfTrue="1">
      <formula>ISERROR(BV4)</formula>
    </cfRule>
  </conditionalFormatting>
  <conditionalFormatting sqref="A1:XFD3">
    <cfRule type="expression" dxfId="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3.5</v>
      </c>
      <c r="C15" s="97" t="s">
        <v>498</v>
      </c>
      <c r="D15" s="406">
        <v>0.35</v>
      </c>
      <c r="E15" s="97" t="s">
        <v>449</v>
      </c>
      <c r="F15" s="403"/>
    </row>
    <row r="16" spans="1:6" x14ac:dyDescent="0.2">
      <c r="A16" s="401" t="s">
        <v>491</v>
      </c>
      <c r="B16" s="404">
        <v>2.5</v>
      </c>
      <c r="C16" s="97" t="s">
        <v>500</v>
      </c>
      <c r="D16" s="406">
        <v>0.25</v>
      </c>
      <c r="E16" s="97" t="s">
        <v>449</v>
      </c>
      <c r="F16" s="403"/>
    </row>
    <row r="17" spans="1:19" x14ac:dyDescent="0.2">
      <c r="B17" s="404">
        <v>3.5</v>
      </c>
      <c r="C17" s="97" t="s">
        <v>499</v>
      </c>
      <c r="D17" s="406">
        <v>0.35</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1" t="s">
        <v>1111</v>
      </c>
      <c r="B22" s="407">
        <v>25</v>
      </c>
      <c r="C22" s="97" t="s">
        <v>1112</v>
      </c>
      <c r="D22" s="403">
        <v>0.3</v>
      </c>
      <c r="E22" s="97" t="s">
        <v>449</v>
      </c>
    </row>
    <row r="23" spans="1:19" x14ac:dyDescent="0.2">
      <c r="A23" s="400" t="s">
        <v>80</v>
      </c>
    </row>
    <row r="24" spans="1:19" s="49" customFormat="1" x14ac:dyDescent="0.2">
      <c r="A24" s="408" t="s">
        <v>72</v>
      </c>
      <c r="B24" s="408" t="s">
        <v>71</v>
      </c>
      <c r="C24" s="408" t="s">
        <v>70</v>
      </c>
      <c r="D24" s="408" t="s">
        <v>69</v>
      </c>
      <c r="E24" s="408" t="s">
        <v>68</v>
      </c>
      <c r="F24" s="409" t="s">
        <v>63</v>
      </c>
      <c r="G24" s="409" t="s">
        <v>359</v>
      </c>
      <c r="H24" s="410" t="s">
        <v>64</v>
      </c>
      <c r="I24" s="410" t="s">
        <v>65</v>
      </c>
      <c r="J24" s="411" t="s">
        <v>66</v>
      </c>
      <c r="K24" s="411" t="s">
        <v>67</v>
      </c>
      <c r="L24" s="411" t="s">
        <v>361</v>
      </c>
      <c r="M24" s="412" t="s">
        <v>364</v>
      </c>
      <c r="N24" s="413" t="s">
        <v>74</v>
      </c>
      <c r="O24" s="413" t="s">
        <v>362</v>
      </c>
      <c r="P24" s="413" t="s">
        <v>524</v>
      </c>
      <c r="Q24" s="414" t="s">
        <v>75</v>
      </c>
      <c r="R24" s="414" t="s">
        <v>382</v>
      </c>
      <c r="S24" s="415" t="s">
        <v>76</v>
      </c>
    </row>
    <row r="25" spans="1:19" x14ac:dyDescent="0.2">
      <c r="A25" s="401">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188</v>
      </c>
      <c r="D28" s="419" t="s">
        <v>59</v>
      </c>
      <c r="E28" s="420" t="s">
        <v>60</v>
      </c>
      <c r="F28" s="421" t="s">
        <v>61</v>
      </c>
      <c r="G28" s="422" t="s">
        <v>62</v>
      </c>
    </row>
    <row r="29" spans="1:19" s="6" customFormat="1" x14ac:dyDescent="0.2">
      <c r="A29" s="401">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245</v>
      </c>
      <c r="E31" s="6"/>
      <c r="F31" s="6"/>
      <c r="G31" s="6"/>
      <c r="H31" s="6"/>
      <c r="I31" s="6"/>
      <c r="J31" s="6"/>
      <c r="K31" s="6"/>
      <c r="L31" s="6" t="s">
        <v>407</v>
      </c>
      <c r="M31" s="6"/>
      <c r="N31" s="6"/>
      <c r="O31" s="6"/>
      <c r="P31" s="6"/>
      <c r="Q31" s="6"/>
      <c r="R31" s="6"/>
      <c r="S31" s="6"/>
    </row>
    <row r="32" spans="1:19" x14ac:dyDescent="0.2">
      <c r="A32" s="401" t="s">
        <v>21</v>
      </c>
      <c r="B32" s="97">
        <f>HLOOKUP(1,E32:J36,2)</f>
        <v>1300</v>
      </c>
      <c r="D32" s="97" t="s">
        <v>448</v>
      </c>
      <c r="E32" s="97">
        <v>1</v>
      </c>
      <c r="F32" s="97">
        <v>2</v>
      </c>
      <c r="G32" s="97">
        <v>3</v>
      </c>
      <c r="H32" s="97">
        <v>4</v>
      </c>
      <c r="I32" s="97">
        <v>5</v>
      </c>
      <c r="J32" s="97">
        <v>6</v>
      </c>
      <c r="L32" s="97" t="s">
        <v>397</v>
      </c>
      <c r="M32" s="403">
        <v>0.1</v>
      </c>
      <c r="N32" s="97" t="s">
        <v>408</v>
      </c>
    </row>
    <row r="33" spans="1:16" x14ac:dyDescent="0.2">
      <c r="A33" s="401" t="s">
        <v>24</v>
      </c>
      <c r="B33" s="97">
        <v>100</v>
      </c>
      <c r="D33" s="97" t="s">
        <v>21</v>
      </c>
      <c r="E33" s="154">
        <v>1300</v>
      </c>
      <c r="F33" s="154">
        <v>1390</v>
      </c>
      <c r="G33" s="154">
        <v>1480</v>
      </c>
      <c r="H33" s="154">
        <v>1570</v>
      </c>
      <c r="I33" s="154">
        <v>1660</v>
      </c>
      <c r="J33" s="154">
        <v>1750</v>
      </c>
      <c r="K33" s="154"/>
      <c r="M33" s="403">
        <v>0.05</v>
      </c>
      <c r="N33" s="97" t="s">
        <v>409</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410</v>
      </c>
    </row>
    <row r="35" spans="1:16" x14ac:dyDescent="0.2">
      <c r="A35" s="401" t="str">
        <f>Overview!$A23</f>
        <v>Archer</v>
      </c>
      <c r="B35" s="97">
        <v>150</v>
      </c>
      <c r="D35" s="97" t="s">
        <v>5</v>
      </c>
      <c r="E35" s="154">
        <v>15000</v>
      </c>
      <c r="F35" s="154">
        <v>16000</v>
      </c>
      <c r="G35" s="154">
        <v>17000</v>
      </c>
      <c r="H35" s="154">
        <v>18000</v>
      </c>
      <c r="I35" s="154">
        <v>19000</v>
      </c>
      <c r="J35" s="154">
        <v>20000</v>
      </c>
      <c r="L35" s="97" t="s">
        <v>187</v>
      </c>
      <c r="M35" s="403">
        <v>-0.05</v>
      </c>
      <c r="N35" s="97" t="s">
        <v>411</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412</v>
      </c>
    </row>
    <row r="37" spans="1:16" x14ac:dyDescent="0.2">
      <c r="A37" s="401" t="str">
        <f>Overview!$A25</f>
        <v>Cavalry</v>
      </c>
      <c r="B37" s="97">
        <v>0</v>
      </c>
      <c r="M37" s="403">
        <v>-0.1</v>
      </c>
      <c r="N37" s="97" t="s">
        <v>411</v>
      </c>
      <c r="O37" s="97">
        <v>-2</v>
      </c>
      <c r="P37" s="97" t="s">
        <v>412</v>
      </c>
    </row>
    <row r="38" spans="1:16" x14ac:dyDescent="0.2">
      <c r="A38" s="401" t="s">
        <v>25</v>
      </c>
      <c r="B38" s="97">
        <v>25</v>
      </c>
      <c r="D38" s="97" t="s">
        <v>381</v>
      </c>
      <c r="E38" s="154">
        <v>1</v>
      </c>
      <c r="F38" s="97">
        <v>2</v>
      </c>
      <c r="G38" s="97">
        <v>3</v>
      </c>
      <c r="H38" s="97">
        <v>4</v>
      </c>
      <c r="I38" s="97">
        <v>5</v>
      </c>
      <c r="J38" s="97">
        <v>6</v>
      </c>
      <c r="L38" s="97" t="s">
        <v>290</v>
      </c>
      <c r="M38" s="403">
        <v>-0.1</v>
      </c>
      <c r="N38" s="97" t="s">
        <v>413</v>
      </c>
    </row>
    <row r="39" spans="1:16" x14ac:dyDescent="0.2">
      <c r="A39" s="401" t="s">
        <v>26</v>
      </c>
      <c r="B39" s="97">
        <v>25</v>
      </c>
      <c r="D39" s="97" t="s">
        <v>21</v>
      </c>
      <c r="E39" s="97">
        <v>1200</v>
      </c>
      <c r="F39" s="97">
        <v>1325</v>
      </c>
      <c r="G39" s="97">
        <v>1450</v>
      </c>
      <c r="H39" s="97">
        <v>1575</v>
      </c>
      <c r="I39" s="97">
        <v>1700</v>
      </c>
      <c r="J39" s="97">
        <v>1825</v>
      </c>
      <c r="M39" s="403">
        <v>-0.1</v>
      </c>
      <c r="N39" s="97" t="s">
        <v>414</v>
      </c>
    </row>
    <row r="40" spans="1:16" x14ac:dyDescent="0.2">
      <c r="A40" s="401" t="s">
        <v>27</v>
      </c>
      <c r="B40" s="97">
        <v>0</v>
      </c>
      <c r="D40" s="97" t="s">
        <v>2</v>
      </c>
      <c r="E40" s="97">
        <v>100000</v>
      </c>
      <c r="F40" s="97">
        <v>104750</v>
      </c>
      <c r="G40" s="97">
        <v>109500</v>
      </c>
      <c r="H40" s="97">
        <v>114250</v>
      </c>
      <c r="I40" s="97">
        <v>119000</v>
      </c>
      <c r="J40" s="97">
        <v>123750</v>
      </c>
      <c r="M40" s="403">
        <v>0.02</v>
      </c>
      <c r="N40" s="97" t="s">
        <v>415</v>
      </c>
    </row>
    <row r="41" spans="1:16" x14ac:dyDescent="0.2">
      <c r="D41" s="97" t="s">
        <v>5</v>
      </c>
      <c r="E41" s="97">
        <v>15000</v>
      </c>
      <c r="F41" s="97">
        <v>16000</v>
      </c>
      <c r="G41" s="97">
        <v>17000</v>
      </c>
      <c r="H41" s="97">
        <v>18000</v>
      </c>
      <c r="I41" s="97">
        <v>19000</v>
      </c>
      <c r="J41" s="97">
        <v>20000</v>
      </c>
      <c r="L41" s="97" t="s">
        <v>22</v>
      </c>
      <c r="M41" s="403">
        <v>-0.1</v>
      </c>
      <c r="N41" s="97" t="s">
        <v>416</v>
      </c>
    </row>
    <row r="42" spans="1:16" x14ac:dyDescent="0.2">
      <c r="A42" s="400" t="s">
        <v>78</v>
      </c>
      <c r="D42" s="97" t="s">
        <v>7</v>
      </c>
      <c r="E42" s="97">
        <v>15000</v>
      </c>
      <c r="F42" s="97">
        <v>15450</v>
      </c>
      <c r="G42" s="97">
        <v>15900</v>
      </c>
      <c r="H42" s="97">
        <v>16350</v>
      </c>
      <c r="I42" s="97">
        <v>16800</v>
      </c>
      <c r="J42" s="97">
        <v>17250</v>
      </c>
      <c r="M42" s="403">
        <v>-0.1</v>
      </c>
      <c r="N42" s="97" t="s">
        <v>417</v>
      </c>
    </row>
    <row r="43" spans="1:16" x14ac:dyDescent="0.2">
      <c r="A43" s="401" t="s">
        <v>2</v>
      </c>
      <c r="B43" s="154">
        <f>HLOOKUP(1,E32:J36,3)</f>
        <v>100000</v>
      </c>
      <c r="C43" s="154"/>
      <c r="M43" s="403">
        <v>0.05</v>
      </c>
      <c r="N43" s="97" t="s">
        <v>305</v>
      </c>
    </row>
    <row r="44" spans="1:16" x14ac:dyDescent="0.2">
      <c r="A44" s="401" t="s">
        <v>5</v>
      </c>
      <c r="B44" s="154">
        <f>HLOOKUP(1,E32:J36,4)</f>
        <v>15000</v>
      </c>
      <c r="C44" s="154"/>
      <c r="D44" s="97" t="s">
        <v>453</v>
      </c>
      <c r="L44" s="97" t="s">
        <v>73</v>
      </c>
      <c r="M44" s="403">
        <v>-0.1</v>
      </c>
      <c r="N44" s="97" t="s">
        <v>418</v>
      </c>
    </row>
    <row r="45" spans="1:16" x14ac:dyDescent="0.2">
      <c r="A45" s="401" t="s">
        <v>81</v>
      </c>
      <c r="B45" s="154">
        <f>HLOOKUP(1,E32:J36,5)</f>
        <v>15000</v>
      </c>
      <c r="C45" s="154"/>
      <c r="D45" s="97" t="s">
        <v>21</v>
      </c>
      <c r="E45" s="97">
        <v>100</v>
      </c>
      <c r="M45" s="403">
        <v>-0.2</v>
      </c>
      <c r="N45" s="97" t="s">
        <v>419</v>
      </c>
    </row>
    <row r="46" spans="1:16" x14ac:dyDescent="0.2">
      <c r="A46" s="401" t="s">
        <v>12</v>
      </c>
      <c r="B46" s="154">
        <v>0</v>
      </c>
      <c r="C46" s="154"/>
      <c r="D46" s="97" t="s">
        <v>2</v>
      </c>
      <c r="E46" s="97">
        <v>5000</v>
      </c>
      <c r="M46" s="97">
        <v>1</v>
      </c>
      <c r="N46" s="97" t="s">
        <v>420</v>
      </c>
    </row>
    <row r="47" spans="1:16" x14ac:dyDescent="0.2">
      <c r="A47" s="401" t="s">
        <v>3</v>
      </c>
      <c r="B47" s="154">
        <v>0</v>
      </c>
      <c r="C47" s="154"/>
      <c r="D47" s="97" t="s">
        <v>5</v>
      </c>
      <c r="E47" s="97">
        <v>1500</v>
      </c>
      <c r="L47" s="97" t="s">
        <v>193</v>
      </c>
      <c r="M47" s="403">
        <v>-0.1</v>
      </c>
      <c r="N47" s="97" t="s">
        <v>421</v>
      </c>
    </row>
    <row r="48" spans="1:16" x14ac:dyDescent="0.2">
      <c r="A48" s="401" t="s">
        <v>4</v>
      </c>
      <c r="B48" s="154">
        <v>10000</v>
      </c>
      <c r="C48" s="154"/>
      <c r="D48" s="97" t="s">
        <v>7</v>
      </c>
      <c r="E48" s="97">
        <v>2500</v>
      </c>
      <c r="M48" s="403">
        <v>-0.2</v>
      </c>
      <c r="N48" s="97" t="s">
        <v>422</v>
      </c>
    </row>
    <row r="49" spans="1:21" x14ac:dyDescent="0.2">
      <c r="A49" s="401" t="s">
        <v>82</v>
      </c>
      <c r="B49" s="154">
        <v>0</v>
      </c>
      <c r="C49" s="154"/>
      <c r="D49" s="97" t="s">
        <v>3</v>
      </c>
      <c r="E49" s="97">
        <v>2500</v>
      </c>
      <c r="M49" s="97">
        <v>1</v>
      </c>
      <c r="N49" s="97" t="s">
        <v>423</v>
      </c>
    </row>
    <row r="50" spans="1:21" x14ac:dyDescent="0.2">
      <c r="D50" s="97" t="s">
        <v>12</v>
      </c>
      <c r="E50" s="97">
        <v>1000</v>
      </c>
      <c r="L50" s="97" t="s">
        <v>398</v>
      </c>
      <c r="M50" s="403">
        <v>-0.1</v>
      </c>
      <c r="N50" s="97" t="s">
        <v>424</v>
      </c>
    </row>
    <row r="51" spans="1:21" x14ac:dyDescent="0.2">
      <c r="A51" s="400" t="s">
        <v>86</v>
      </c>
      <c r="D51" s="97" t="s">
        <v>454</v>
      </c>
      <c r="E51" s="97">
        <v>30</v>
      </c>
      <c r="L51" s="97" t="s">
        <v>399</v>
      </c>
      <c r="M51" s="403">
        <v>0.2</v>
      </c>
      <c r="N51" s="97" t="s">
        <v>425</v>
      </c>
      <c r="O51" s="403">
        <v>0.1</v>
      </c>
      <c r="P51" s="97" t="s">
        <v>409</v>
      </c>
    </row>
    <row r="52" spans="1:21" x14ac:dyDescent="0.2">
      <c r="A52" s="401" t="s">
        <v>21</v>
      </c>
      <c r="B52" s="423">
        <v>0.03</v>
      </c>
      <c r="D52" s="97" t="s">
        <v>455</v>
      </c>
      <c r="E52" s="97">
        <v>30</v>
      </c>
      <c r="L52" s="97" t="s">
        <v>400</v>
      </c>
      <c r="M52" s="424">
        <v>0.06</v>
      </c>
      <c r="N52" s="97" t="s">
        <v>415</v>
      </c>
    </row>
    <row r="53" spans="1:21" x14ac:dyDescent="0.2">
      <c r="A53" s="401" t="s">
        <v>24</v>
      </c>
      <c r="B53" s="423">
        <v>0.01</v>
      </c>
      <c r="L53" s="97" t="s">
        <v>401</v>
      </c>
      <c r="M53" s="425">
        <v>0.125</v>
      </c>
      <c r="N53" s="97" t="s">
        <v>410</v>
      </c>
    </row>
    <row r="54" spans="1:21" x14ac:dyDescent="0.2">
      <c r="A54" s="401" t="s">
        <v>14</v>
      </c>
      <c r="B54" s="423">
        <v>0.01</v>
      </c>
      <c r="L54" s="97" t="s">
        <v>402</v>
      </c>
      <c r="M54" s="403">
        <v>-0.3</v>
      </c>
      <c r="N54" s="97" t="s">
        <v>426</v>
      </c>
    </row>
    <row r="55" spans="1:21" x14ac:dyDescent="0.2">
      <c r="A55" s="401" t="s">
        <v>16</v>
      </c>
      <c r="B55" s="423">
        <v>0.01</v>
      </c>
      <c r="L55" s="97" t="s">
        <v>403</v>
      </c>
      <c r="M55" s="403">
        <v>-0.2</v>
      </c>
      <c r="N55" s="97" t="s">
        <v>411</v>
      </c>
      <c r="O55" s="403">
        <v>0.15</v>
      </c>
      <c r="P55" s="97" t="s">
        <v>427</v>
      </c>
    </row>
    <row r="56" spans="1:21" x14ac:dyDescent="0.2">
      <c r="A56" s="401" t="s">
        <v>15</v>
      </c>
      <c r="B56" s="423">
        <v>0.02</v>
      </c>
      <c r="L56" s="97" t="s">
        <v>404</v>
      </c>
      <c r="M56" s="403">
        <v>-0.25</v>
      </c>
      <c r="N56" s="97" t="s">
        <v>428</v>
      </c>
    </row>
    <row r="57" spans="1:21" x14ac:dyDescent="0.2">
      <c r="L57" s="97" t="s">
        <v>405</v>
      </c>
      <c r="M57" s="403">
        <v>0.1</v>
      </c>
      <c r="N57" s="97" t="s">
        <v>305</v>
      </c>
      <c r="O57" s="403">
        <v>0.15</v>
      </c>
      <c r="P57" s="97" t="s">
        <v>429</v>
      </c>
    </row>
    <row r="58" spans="1:21" x14ac:dyDescent="0.2">
      <c r="L58" s="97" t="s">
        <v>406</v>
      </c>
      <c r="M58" s="97">
        <v>3</v>
      </c>
      <c r="N58" s="97" t="s">
        <v>430</v>
      </c>
    </row>
    <row r="59" spans="1:21" x14ac:dyDescent="0.2">
      <c r="A59" s="401" t="s">
        <v>87</v>
      </c>
      <c r="B59" s="97">
        <v>0.25</v>
      </c>
      <c r="C59" s="97" t="s">
        <v>88</v>
      </c>
      <c r="U59" s="424"/>
    </row>
    <row r="60" spans="1:21" x14ac:dyDescent="0.2">
      <c r="A60" s="401" t="s">
        <v>177</v>
      </c>
      <c r="B60" s="97">
        <v>2.7</v>
      </c>
      <c r="C60" s="97" t="s">
        <v>178</v>
      </c>
      <c r="T60" s="426"/>
      <c r="U60" s="424"/>
    </row>
    <row r="61" spans="1:21" x14ac:dyDescent="0.2">
      <c r="L61" s="97" t="s">
        <v>33</v>
      </c>
      <c r="M61" s="97">
        <v>6.4</v>
      </c>
      <c r="N61" s="97" t="s">
        <v>484</v>
      </c>
      <c r="U61" s="424"/>
    </row>
    <row r="62" spans="1:21" x14ac:dyDescent="0.2">
      <c r="A62" s="400" t="s">
        <v>180</v>
      </c>
    </row>
    <row r="63" spans="1:21" x14ac:dyDescent="0.2">
      <c r="A63" s="401" t="s">
        <v>356</v>
      </c>
      <c r="B63" s="97">
        <v>35</v>
      </c>
      <c r="C63" s="97" t="s">
        <v>357</v>
      </c>
      <c r="D63" s="97" t="s">
        <v>358</v>
      </c>
      <c r="L63" s="97" t="s">
        <v>483</v>
      </c>
      <c r="M63" s="97">
        <v>3780</v>
      </c>
      <c r="U63" s="403"/>
    </row>
    <row r="64" spans="1:21" x14ac:dyDescent="0.2">
      <c r="A64" s="401" t="s">
        <v>182</v>
      </c>
      <c r="B64" s="97">
        <v>30</v>
      </c>
      <c r="C64" s="97" t="s">
        <v>281</v>
      </c>
    </row>
    <row r="65" spans="1:21" x14ac:dyDescent="0.2">
      <c r="A65" s="401" t="s">
        <v>490</v>
      </c>
      <c r="B65" s="97">
        <v>15</v>
      </c>
      <c r="C65" s="97" t="s">
        <v>281</v>
      </c>
      <c r="L65" s="6" t="s">
        <v>650</v>
      </c>
      <c r="U65" s="403"/>
    </row>
    <row r="66" spans="1:21" x14ac:dyDescent="0.2">
      <c r="A66" s="401" t="s">
        <v>360</v>
      </c>
      <c r="B66" s="97">
        <v>15</v>
      </c>
      <c r="C66" s="97" t="s">
        <v>281</v>
      </c>
      <c r="L66" s="426" t="s">
        <v>555</v>
      </c>
      <c r="M66" s="531">
        <v>2.5000000000000001E-2</v>
      </c>
      <c r="N66" s="97" t="s">
        <v>655</v>
      </c>
      <c r="U66" s="403"/>
    </row>
    <row r="67" spans="1:21" x14ac:dyDescent="0.2">
      <c r="A67" s="401" t="s">
        <v>181</v>
      </c>
      <c r="B67" s="97">
        <v>15</v>
      </c>
      <c r="C67" s="97" t="str">
        <f>C64</f>
        <v>peasants</v>
      </c>
      <c r="L67" s="426" t="s">
        <v>557</v>
      </c>
      <c r="M67" s="531">
        <v>7.4999999999999997E-2</v>
      </c>
      <c r="N67" s="97" t="s">
        <v>656</v>
      </c>
    </row>
    <row r="68" spans="1:21" x14ac:dyDescent="0.2">
      <c r="A68" s="401" t="s">
        <v>282</v>
      </c>
      <c r="B68" s="97">
        <f>IF(OR(Overview!$B$14="Halfling",Overview!$B$14="Dwarf",Overview!$B$14="Gnome"),10,5)</f>
        <v>5</v>
      </c>
      <c r="L68" s="97" t="s">
        <v>559</v>
      </c>
      <c r="M68" s="2">
        <v>0.05</v>
      </c>
      <c r="N68" s="97" t="s">
        <v>657</v>
      </c>
    </row>
    <row r="69" spans="1:21" x14ac:dyDescent="0.2">
      <c r="L69" s="97" t="s">
        <v>561</v>
      </c>
      <c r="M69" s="531">
        <v>7.4999999999999997E-2</v>
      </c>
      <c r="N69" s="97" t="s">
        <v>655</v>
      </c>
      <c r="T69" s="426"/>
      <c r="U69" s="424"/>
    </row>
    <row r="70" spans="1:21" x14ac:dyDescent="0.2">
      <c r="A70" s="427" t="s">
        <v>283</v>
      </c>
      <c r="L70" s="97" t="s">
        <v>563</v>
      </c>
      <c r="M70" s="531">
        <v>2.5000000000000001E-2</v>
      </c>
      <c r="N70" s="97" t="s">
        <v>658</v>
      </c>
      <c r="T70" s="91"/>
      <c r="U70" s="424"/>
    </row>
    <row r="71" spans="1:21" x14ac:dyDescent="0.2">
      <c r="A71" s="401" t="str">
        <f>CONCATENATE("Your race is ",Overview!B14)</f>
        <v>Your race is Human</v>
      </c>
      <c r="L71" s="97" t="s">
        <v>565</v>
      </c>
      <c r="M71" s="2">
        <v>0.05</v>
      </c>
      <c r="N71" s="97" t="s">
        <v>694</v>
      </c>
      <c r="S71" s="428"/>
      <c r="T71" s="428"/>
      <c r="U71" s="403"/>
    </row>
    <row r="72" spans="1:21" x14ac:dyDescent="0.2">
      <c r="L72" s="97" t="s">
        <v>566</v>
      </c>
      <c r="M72" s="2">
        <v>0.1</v>
      </c>
      <c r="N72" s="97" t="s">
        <v>779</v>
      </c>
      <c r="S72" s="428"/>
      <c r="T72" s="428"/>
      <c r="U72" s="403"/>
    </row>
    <row r="73" spans="1:21" x14ac:dyDescent="0.2">
      <c r="A73" s="400" t="s">
        <v>213</v>
      </c>
      <c r="B73" s="97" t="s">
        <v>284</v>
      </c>
      <c r="F73" s="97" t="s">
        <v>218</v>
      </c>
      <c r="L73" s="97" t="s">
        <v>567</v>
      </c>
      <c r="M73" s="2">
        <v>-0.1</v>
      </c>
      <c r="N73" s="97" t="s">
        <v>692</v>
      </c>
      <c r="O73" s="97" t="s">
        <v>661</v>
      </c>
      <c r="S73" s="426"/>
      <c r="T73" s="428"/>
      <c r="U73" s="403"/>
    </row>
    <row r="74" spans="1:21" x14ac:dyDescent="0.2">
      <c r="A74" s="401" t="s">
        <v>208</v>
      </c>
      <c r="B74" s="97">
        <v>2</v>
      </c>
      <c r="C74" s="97" t="s">
        <v>214</v>
      </c>
      <c r="D74" s="423"/>
      <c r="F74" s="423">
        <v>0.1</v>
      </c>
      <c r="G74" s="97" t="s">
        <v>107</v>
      </c>
      <c r="L74" s="97" t="s">
        <v>568</v>
      </c>
      <c r="M74" s="2">
        <v>-0.05</v>
      </c>
      <c r="N74" s="97" t="s">
        <v>699</v>
      </c>
      <c r="O74" s="403">
        <v>-0.15</v>
      </c>
      <c r="P74" s="97" t="s">
        <v>676</v>
      </c>
      <c r="S74" s="428"/>
      <c r="T74" s="428"/>
      <c r="U74" s="424"/>
    </row>
    <row r="75" spans="1:21" x14ac:dyDescent="0.2">
      <c r="A75" s="401" t="s">
        <v>209</v>
      </c>
      <c r="B75" s="97">
        <v>2</v>
      </c>
      <c r="C75" s="97" t="s">
        <v>214</v>
      </c>
      <c r="D75" s="423"/>
      <c r="F75" s="423">
        <v>0.1</v>
      </c>
      <c r="G75" s="97" t="s">
        <v>110</v>
      </c>
      <c r="L75" s="97" t="s">
        <v>570</v>
      </c>
      <c r="M75" s="531">
        <v>-2.5000000000000001E-2</v>
      </c>
      <c r="N75" s="97" t="s">
        <v>662</v>
      </c>
      <c r="S75" s="428"/>
      <c r="T75" s="428"/>
      <c r="U75" s="403"/>
    </row>
    <row r="76" spans="1:21" x14ac:dyDescent="0.2">
      <c r="A76" s="401" t="s">
        <v>215</v>
      </c>
      <c r="B76" s="97">
        <v>2.5</v>
      </c>
      <c r="C76" s="97" t="s">
        <v>214</v>
      </c>
      <c r="D76" s="423"/>
      <c r="F76" s="423">
        <v>0.1</v>
      </c>
      <c r="G76" s="97" t="s">
        <v>32</v>
      </c>
      <c r="L76" s="97" t="s">
        <v>572</v>
      </c>
      <c r="M76" s="2">
        <v>-0.1</v>
      </c>
      <c r="N76" s="97" t="s">
        <v>780</v>
      </c>
      <c r="S76" s="428"/>
      <c r="T76" s="428"/>
    </row>
    <row r="77" spans="1:21" x14ac:dyDescent="0.2">
      <c r="A77" s="401" t="s">
        <v>212</v>
      </c>
      <c r="B77" s="97">
        <v>2.5</v>
      </c>
      <c r="C77" s="97" t="s">
        <v>214</v>
      </c>
      <c r="D77" s="423"/>
      <c r="F77" s="423">
        <v>0.5</v>
      </c>
      <c r="G77" s="97" t="s">
        <v>219</v>
      </c>
      <c r="M77"/>
      <c r="S77" s="426"/>
      <c r="T77" s="428"/>
    </row>
    <row r="78" spans="1:21" x14ac:dyDescent="0.2">
      <c r="A78" s="401" t="s">
        <v>216</v>
      </c>
      <c r="B78" s="97">
        <v>2.5</v>
      </c>
      <c r="C78" s="97" t="s">
        <v>214</v>
      </c>
      <c r="D78" s="423"/>
      <c r="F78" s="423">
        <v>0.1</v>
      </c>
      <c r="G78" s="97" t="s">
        <v>106</v>
      </c>
      <c r="L78" s="97" t="s">
        <v>573</v>
      </c>
      <c r="M78" s="531">
        <v>-0.1</v>
      </c>
      <c r="N78" s="97" t="s">
        <v>664</v>
      </c>
      <c r="S78" s="426"/>
      <c r="T78" s="428"/>
      <c r="U78" s="424"/>
    </row>
    <row r="79" spans="1:21" x14ac:dyDescent="0.2">
      <c r="A79" s="401" t="s">
        <v>545</v>
      </c>
      <c r="B79" s="97">
        <v>5</v>
      </c>
      <c r="C79" s="97" t="s">
        <v>214</v>
      </c>
      <c r="D79" s="423"/>
      <c r="F79" s="423">
        <v>0.2</v>
      </c>
      <c r="G79" s="97" t="s">
        <v>110</v>
      </c>
      <c r="H79" s="97" t="s">
        <v>258</v>
      </c>
      <c r="L79" s="97" t="s">
        <v>574</v>
      </c>
      <c r="M79" s="2">
        <v>0.15</v>
      </c>
      <c r="N79" s="97" t="s">
        <v>665</v>
      </c>
      <c r="S79" s="426"/>
      <c r="T79" s="428"/>
      <c r="U79" s="403"/>
    </row>
    <row r="80" spans="1:21" x14ac:dyDescent="0.2">
      <c r="A80" s="401" t="s">
        <v>546</v>
      </c>
      <c r="B80" s="97">
        <v>5</v>
      </c>
      <c r="C80" s="97" t="s">
        <v>214</v>
      </c>
      <c r="D80" s="423"/>
      <c r="F80" s="423">
        <v>0.3</v>
      </c>
      <c r="G80" s="97" t="s">
        <v>547</v>
      </c>
      <c r="L80" s="97" t="s">
        <v>575</v>
      </c>
      <c r="M80" s="2">
        <v>-0.05</v>
      </c>
      <c r="N80" s="97" t="s">
        <v>666</v>
      </c>
      <c r="S80" s="426"/>
      <c r="T80" s="428"/>
      <c r="U80" s="403"/>
    </row>
    <row r="81" spans="1:23" x14ac:dyDescent="0.2">
      <c r="A81" s="401" t="s">
        <v>273</v>
      </c>
      <c r="B81" s="97">
        <f>B79</f>
        <v>5</v>
      </c>
      <c r="C81" s="97" t="str">
        <f>C79</f>
        <v>* Landsize</v>
      </c>
      <c r="D81" s="403"/>
      <c r="F81" s="423">
        <v>0.2</v>
      </c>
      <c r="G81" s="97" t="s">
        <v>32</v>
      </c>
      <c r="H81" s="97" t="s">
        <v>270</v>
      </c>
      <c r="L81" s="97" t="s">
        <v>577</v>
      </c>
      <c r="M81" s="2">
        <v>-0.2</v>
      </c>
      <c r="N81" s="97" t="s">
        <v>667</v>
      </c>
      <c r="S81" s="426"/>
      <c r="T81" s="428"/>
      <c r="U81" s="403"/>
    </row>
    <row r="82" spans="1:23" x14ac:dyDescent="0.2">
      <c r="A82" s="401" t="s">
        <v>272</v>
      </c>
      <c r="B82" s="97">
        <f>B79</f>
        <v>5</v>
      </c>
      <c r="C82" s="97" t="str">
        <f>C79</f>
        <v>* Landsize</v>
      </c>
      <c r="D82" s="403"/>
      <c r="F82" s="423">
        <v>0.1</v>
      </c>
      <c r="G82" s="97" t="s">
        <v>31</v>
      </c>
      <c r="L82" s="97" t="s">
        <v>579</v>
      </c>
      <c r="M82" s="2">
        <v>0.01</v>
      </c>
      <c r="N82" s="97" t="s">
        <v>668</v>
      </c>
      <c r="O82" s="97" t="s">
        <v>661</v>
      </c>
      <c r="S82" s="426"/>
      <c r="T82" s="428"/>
      <c r="U82" s="403"/>
    </row>
    <row r="83" spans="1:23" x14ac:dyDescent="0.2">
      <c r="A83" s="401" t="s">
        <v>310</v>
      </c>
      <c r="B83" s="97">
        <v>5</v>
      </c>
      <c r="C83" s="97" t="str">
        <f>C82</f>
        <v>* Landsize</v>
      </c>
      <c r="D83" s="403"/>
      <c r="F83" s="403">
        <v>0.2</v>
      </c>
      <c r="G83" s="173" t="s">
        <v>107</v>
      </c>
      <c r="H83" s="403">
        <v>0.1</v>
      </c>
      <c r="I83" s="97" t="s">
        <v>108</v>
      </c>
      <c r="L83" s="97" t="s">
        <v>580</v>
      </c>
      <c r="M83" s="532">
        <v>-2.5000000000000001E-2</v>
      </c>
      <c r="N83" s="97" t="s">
        <v>660</v>
      </c>
      <c r="O83" s="424">
        <v>-2.5000000000000001E-2</v>
      </c>
      <c r="P83" s="97" t="s">
        <v>781</v>
      </c>
      <c r="S83" s="428"/>
      <c r="T83" s="428"/>
    </row>
    <row r="84" spans="1:23" x14ac:dyDescent="0.2">
      <c r="A84" s="401" t="s">
        <v>347</v>
      </c>
      <c r="B84" s="97">
        <f>B83</f>
        <v>5</v>
      </c>
      <c r="C84" s="97" t="str">
        <f>C83</f>
        <v>* Landsize</v>
      </c>
      <c r="D84" s="403"/>
      <c r="F84" s="403">
        <v>0.1</v>
      </c>
      <c r="G84" s="173" t="s">
        <v>31</v>
      </c>
      <c r="H84" s="403">
        <v>0.1</v>
      </c>
      <c r="I84" s="97" t="s">
        <v>32</v>
      </c>
      <c r="L84" s="97" t="s">
        <v>582</v>
      </c>
      <c r="M84">
        <v>1.25</v>
      </c>
      <c r="N84" s="97" t="s">
        <v>696</v>
      </c>
      <c r="S84" s="428"/>
      <c r="T84" s="428"/>
      <c r="U84" s="424"/>
    </row>
    <row r="85" spans="1:23" x14ac:dyDescent="0.2">
      <c r="A85" s="401" t="s">
        <v>346</v>
      </c>
      <c r="B85" s="97">
        <f>B84</f>
        <v>5</v>
      </c>
      <c r="C85" s="97" t="str">
        <f>C84</f>
        <v>* Landsize</v>
      </c>
      <c r="D85" s="403"/>
      <c r="F85" s="403">
        <v>0.15</v>
      </c>
      <c r="G85" s="173" t="s">
        <v>32</v>
      </c>
      <c r="H85" s="403" t="s">
        <v>348</v>
      </c>
      <c r="L85" s="97" t="s">
        <v>584</v>
      </c>
      <c r="M85" s="2">
        <v>-0.15</v>
      </c>
      <c r="N85" s="97" t="s">
        <v>664</v>
      </c>
      <c r="S85" s="428"/>
      <c r="T85" s="428"/>
      <c r="U85" s="403"/>
    </row>
    <row r="86" spans="1:23" x14ac:dyDescent="0.2">
      <c r="A86" s="401" t="s">
        <v>353</v>
      </c>
      <c r="B86" s="97">
        <v>5</v>
      </c>
      <c r="C86" s="429" t="str">
        <f>C85</f>
        <v>* Landsize</v>
      </c>
      <c r="D86" s="403"/>
      <c r="F86" s="430">
        <v>15</v>
      </c>
      <c r="G86" s="173" t="s">
        <v>354</v>
      </c>
      <c r="H86" s="403"/>
      <c r="L86" s="97" t="s">
        <v>585</v>
      </c>
      <c r="M86" s="531">
        <v>-2.5000000000000001E-2</v>
      </c>
      <c r="N86" s="97" t="s">
        <v>660</v>
      </c>
      <c r="O86" s="97">
        <v>-1</v>
      </c>
      <c r="P86" s="97" t="s">
        <v>693</v>
      </c>
      <c r="S86" s="428"/>
      <c r="T86" s="428"/>
      <c r="U86" s="403"/>
    </row>
    <row r="87" spans="1:23" x14ac:dyDescent="0.2">
      <c r="A87" s="401" t="s">
        <v>438</v>
      </c>
      <c r="B87" s="97">
        <v>5</v>
      </c>
      <c r="C87" s="97" t="str">
        <f>C86</f>
        <v>* Landsize</v>
      </c>
      <c r="D87" s="403"/>
      <c r="F87" s="403">
        <v>0.05</v>
      </c>
      <c r="G87" s="173" t="s">
        <v>31</v>
      </c>
      <c r="L87" s="97" t="s">
        <v>586</v>
      </c>
      <c r="M87" s="531">
        <v>-2.5000000000000001E-2</v>
      </c>
      <c r="N87" s="97" t="s">
        <v>666</v>
      </c>
      <c r="S87" s="426"/>
      <c r="T87" s="428"/>
      <c r="U87" s="424"/>
    </row>
    <row r="88" spans="1:23" x14ac:dyDescent="0.2">
      <c r="M88"/>
      <c r="S88" s="426"/>
      <c r="T88" s="428"/>
    </row>
    <row r="89" spans="1:23" x14ac:dyDescent="0.2">
      <c r="A89" s="400" t="s">
        <v>82</v>
      </c>
      <c r="L89" s="97" t="s">
        <v>588</v>
      </c>
      <c r="M89" s="2">
        <v>0.05</v>
      </c>
      <c r="N89" s="97" t="s">
        <v>669</v>
      </c>
      <c r="S89" s="426"/>
      <c r="T89" s="428"/>
    </row>
    <row r="90" spans="1:23" x14ac:dyDescent="0.2">
      <c r="A90" s="401" t="s">
        <v>280</v>
      </c>
      <c r="B90" s="97">
        <f>IF(Overview!$B$14="Kobold",40,30)</f>
        <v>30</v>
      </c>
      <c r="C90" s="97" t="s">
        <v>251</v>
      </c>
      <c r="L90" s="97" t="s">
        <v>590</v>
      </c>
      <c r="M90" s="531">
        <v>2.5000000000000001E-2</v>
      </c>
      <c r="N90" s="97" t="s">
        <v>671</v>
      </c>
      <c r="S90" s="426"/>
      <c r="T90" s="428"/>
      <c r="U90" s="424"/>
    </row>
    <row r="91" spans="1:23" x14ac:dyDescent="0.2">
      <c r="L91" s="97" t="s">
        <v>592</v>
      </c>
      <c r="M91" s="531">
        <v>7.4999999999999997E-2</v>
      </c>
      <c r="N91" s="97" t="s">
        <v>672</v>
      </c>
      <c r="O91" s="425">
        <v>7.4999999999999997E-2</v>
      </c>
      <c r="P91" s="97" t="s">
        <v>673</v>
      </c>
      <c r="S91" s="426"/>
      <c r="T91" s="428"/>
      <c r="U91" s="424"/>
      <c r="W91" s="403"/>
    </row>
    <row r="92" spans="1:23" x14ac:dyDescent="0.2">
      <c r="A92" s="400" t="s">
        <v>363</v>
      </c>
      <c r="L92" s="97" t="s">
        <v>593</v>
      </c>
      <c r="M92" s="531">
        <v>7.4999999999999997E-2</v>
      </c>
      <c r="N92" s="97" t="s">
        <v>656</v>
      </c>
      <c r="O92" s="403">
        <v>0.05</v>
      </c>
      <c r="P92" s="97" t="s">
        <v>674</v>
      </c>
      <c r="S92" s="426"/>
      <c r="T92" s="428"/>
      <c r="U92" s="424"/>
      <c r="W92" s="403"/>
    </row>
    <row r="93" spans="1:23" x14ac:dyDescent="0.2">
      <c r="A93" s="401" t="s">
        <v>519</v>
      </c>
      <c r="B93" s="97">
        <v>250</v>
      </c>
      <c r="L93" s="97" t="s">
        <v>595</v>
      </c>
      <c r="M93" s="531">
        <v>-1.7500000000000002E-2</v>
      </c>
      <c r="N93" s="97" t="s">
        <v>659</v>
      </c>
      <c r="S93" s="428"/>
      <c r="T93" s="428"/>
    </row>
    <row r="94" spans="1:23" x14ac:dyDescent="0.2">
      <c r="A94" s="401" t="s">
        <v>520</v>
      </c>
      <c r="B94" s="403">
        <v>0.01</v>
      </c>
      <c r="L94" s="97" t="s">
        <v>596</v>
      </c>
      <c r="M94" s="531">
        <v>1.4999999999999999E-2</v>
      </c>
      <c r="N94" s="97" t="s">
        <v>670</v>
      </c>
      <c r="S94" s="428"/>
      <c r="T94" s="428"/>
      <c r="U94" s="403"/>
    </row>
    <row r="95" spans="1:23" x14ac:dyDescent="0.2">
      <c r="A95" s="401" t="s">
        <v>521</v>
      </c>
      <c r="B95" s="403">
        <v>0.01</v>
      </c>
      <c r="L95" s="97" t="s">
        <v>597</v>
      </c>
      <c r="M95" s="531">
        <v>-7.4999999999999997E-2</v>
      </c>
      <c r="N95" s="97" t="s">
        <v>660</v>
      </c>
      <c r="O95" s="97">
        <v>-2</v>
      </c>
      <c r="P95" s="97" t="s">
        <v>693</v>
      </c>
      <c r="S95" s="428"/>
      <c r="T95" s="428"/>
      <c r="U95" s="424"/>
    </row>
    <row r="96" spans="1:23" x14ac:dyDescent="0.2">
      <c r="A96" s="401" t="s">
        <v>522</v>
      </c>
      <c r="B96" s="403">
        <v>0.01</v>
      </c>
      <c r="L96" s="97" t="s">
        <v>598</v>
      </c>
      <c r="M96" s="2">
        <v>-0.5</v>
      </c>
      <c r="N96" s="97" t="s">
        <v>675</v>
      </c>
      <c r="S96" s="426"/>
      <c r="T96" s="428"/>
      <c r="U96" s="403"/>
    </row>
    <row r="97" spans="1:23" x14ac:dyDescent="0.2">
      <c r="L97" s="97" t="s">
        <v>600</v>
      </c>
      <c r="M97" s="2">
        <v>-0.1</v>
      </c>
      <c r="N97" s="97" t="s">
        <v>663</v>
      </c>
      <c r="S97" s="428"/>
      <c r="T97" s="428"/>
      <c r="U97" s="403"/>
      <c r="W97" s="403"/>
    </row>
    <row r="98" spans="1:23" x14ac:dyDescent="0.2">
      <c r="A98" s="400" t="s">
        <v>469</v>
      </c>
      <c r="M98"/>
      <c r="S98" s="426"/>
      <c r="T98" s="428"/>
    </row>
    <row r="99" spans="1:23" x14ac:dyDescent="0.2">
      <c r="L99" s="97" t="s">
        <v>602</v>
      </c>
      <c r="M99" s="531">
        <v>0.125</v>
      </c>
      <c r="N99" s="97" t="s">
        <v>677</v>
      </c>
      <c r="S99" s="428"/>
      <c r="T99" s="428"/>
      <c r="U99" s="424"/>
    </row>
    <row r="100" spans="1:23" x14ac:dyDescent="0.2">
      <c r="A100" s="401" t="s">
        <v>470</v>
      </c>
      <c r="B100" s="97" t="s">
        <v>222</v>
      </c>
      <c r="D100" s="423">
        <v>0.3</v>
      </c>
      <c r="E100" s="97" t="s">
        <v>449</v>
      </c>
      <c r="L100" s="97" t="s">
        <v>603</v>
      </c>
      <c r="M100"/>
      <c r="N100" s="97" t="s">
        <v>651</v>
      </c>
      <c r="S100" s="426"/>
      <c r="T100" s="428"/>
    </row>
    <row r="101" spans="1:23" x14ac:dyDescent="0.2">
      <c r="B101" s="97" t="s">
        <v>220</v>
      </c>
      <c r="D101" s="423">
        <v>0.2</v>
      </c>
      <c r="E101" s="97" t="s">
        <v>449</v>
      </c>
      <c r="L101" s="97" t="s">
        <v>604</v>
      </c>
      <c r="M101" s="531">
        <v>2.5000000000000001E-2</v>
      </c>
      <c r="N101" s="97" t="s">
        <v>671</v>
      </c>
      <c r="O101" s="424">
        <v>7.4999999999999997E-2</v>
      </c>
      <c r="P101" s="97" t="s">
        <v>669</v>
      </c>
      <c r="S101" s="426"/>
      <c r="T101" s="428"/>
      <c r="U101" s="424"/>
      <c r="W101" s="424"/>
    </row>
    <row r="102" spans="1:23" x14ac:dyDescent="0.2">
      <c r="B102" s="97" t="s">
        <v>471</v>
      </c>
      <c r="D102" s="423">
        <v>0.3</v>
      </c>
      <c r="E102" s="97" t="s">
        <v>449</v>
      </c>
      <c r="L102" s="97" t="s">
        <v>605</v>
      </c>
      <c r="M102" s="2">
        <v>0.05</v>
      </c>
      <c r="N102" s="97" t="s">
        <v>658</v>
      </c>
      <c r="S102" s="426"/>
      <c r="T102" s="428"/>
      <c r="U102" s="403"/>
    </row>
    <row r="103" spans="1:23" x14ac:dyDescent="0.2">
      <c r="B103" s="97" t="s">
        <v>472</v>
      </c>
      <c r="D103" s="423">
        <v>0.6</v>
      </c>
      <c r="E103" s="97" t="s">
        <v>449</v>
      </c>
      <c r="L103" s="97" t="s">
        <v>606</v>
      </c>
      <c r="M103">
        <v>1</v>
      </c>
      <c r="N103" s="97" t="s">
        <v>1107</v>
      </c>
      <c r="S103" s="428"/>
      <c r="T103" s="428"/>
      <c r="U103" s="403"/>
    </row>
    <row r="104" spans="1:23" x14ac:dyDescent="0.2">
      <c r="L104" s="97" t="s">
        <v>607</v>
      </c>
      <c r="M104" s="531">
        <v>-7.4999999999999997E-2</v>
      </c>
      <c r="N104" s="97" t="s">
        <v>666</v>
      </c>
      <c r="S104" s="428"/>
      <c r="T104" s="428"/>
      <c r="U104" s="403"/>
    </row>
    <row r="105" spans="1:23" x14ac:dyDescent="0.2">
      <c r="A105" s="401" t="s">
        <v>473</v>
      </c>
      <c r="B105" s="97" t="s">
        <v>222</v>
      </c>
      <c r="D105" s="97">
        <v>4000</v>
      </c>
      <c r="E105" s="97" t="s">
        <v>523</v>
      </c>
      <c r="L105" s="97" t="s">
        <v>609</v>
      </c>
      <c r="M105">
        <v>-1</v>
      </c>
      <c r="N105" s="97" t="s">
        <v>782</v>
      </c>
      <c r="S105" s="428"/>
      <c r="T105" s="428"/>
      <c r="U105" s="424"/>
    </row>
    <row r="106" spans="1:23" x14ac:dyDescent="0.2">
      <c r="B106" s="97" t="s">
        <v>220</v>
      </c>
      <c r="D106" s="97">
        <v>4000</v>
      </c>
      <c r="E106" s="97" t="s">
        <v>523</v>
      </c>
      <c r="L106" s="97" t="s">
        <v>611</v>
      </c>
      <c r="M106" s="2">
        <v>-0.2</v>
      </c>
      <c r="N106" s="97" t="s">
        <v>678</v>
      </c>
      <c r="S106" s="428"/>
      <c r="T106" s="428"/>
    </row>
    <row r="107" spans="1:23" x14ac:dyDescent="0.2">
      <c r="B107" s="97" t="s">
        <v>471</v>
      </c>
      <c r="D107" s="97">
        <v>7500</v>
      </c>
      <c r="E107" s="97" t="s">
        <v>523</v>
      </c>
      <c r="M107"/>
      <c r="T107" s="91"/>
    </row>
    <row r="108" spans="1:23" x14ac:dyDescent="0.2">
      <c r="B108" s="97" t="s">
        <v>543</v>
      </c>
      <c r="D108" s="97">
        <v>5000</v>
      </c>
      <c r="E108" s="97" t="s">
        <v>523</v>
      </c>
      <c r="L108" s="97" t="s">
        <v>612</v>
      </c>
      <c r="M108" s="531">
        <v>2.5000000000000001E-2</v>
      </c>
      <c r="N108" s="97" t="s">
        <v>1108</v>
      </c>
      <c r="O108" s="97" t="s">
        <v>680</v>
      </c>
      <c r="S108" s="428"/>
      <c r="T108" s="428"/>
      <c r="U108" s="403"/>
      <c r="W108" s="403"/>
    </row>
    <row r="109" spans="1:23" x14ac:dyDescent="0.2">
      <c r="B109" s="97" t="s">
        <v>223</v>
      </c>
      <c r="D109" s="97">
        <v>5000</v>
      </c>
      <c r="E109" s="97" t="s">
        <v>523</v>
      </c>
      <c r="L109" s="97" t="s">
        <v>613</v>
      </c>
      <c r="M109" s="2">
        <v>-0.2</v>
      </c>
      <c r="N109" s="97" t="s">
        <v>697</v>
      </c>
      <c r="O109" s="403">
        <v>-0.1</v>
      </c>
      <c r="P109" s="97" t="s">
        <v>679</v>
      </c>
      <c r="S109" s="428"/>
      <c r="T109" s="428"/>
    </row>
    <row r="110" spans="1:23" x14ac:dyDescent="0.2">
      <c r="L110" s="97" t="s">
        <v>614</v>
      </c>
      <c r="M110" s="531">
        <v>-1.7500000000000002E-2</v>
      </c>
      <c r="N110" s="97" t="s">
        <v>659</v>
      </c>
      <c r="S110" s="428"/>
      <c r="T110" s="428"/>
      <c r="U110" s="403"/>
    </row>
    <row r="111" spans="1:23" x14ac:dyDescent="0.2">
      <c r="A111" s="400" t="s">
        <v>474</v>
      </c>
      <c r="F111" s="97" t="s">
        <v>476</v>
      </c>
      <c r="L111" s="97" t="s">
        <v>615</v>
      </c>
      <c r="M111" s="531">
        <v>2.5000000000000001E-2</v>
      </c>
      <c r="N111" s="97" t="s">
        <v>689</v>
      </c>
      <c r="O111" s="424">
        <v>7.4999999999999997E-2</v>
      </c>
      <c r="P111" s="97" t="s">
        <v>681</v>
      </c>
      <c r="S111" s="426"/>
      <c r="T111" s="428"/>
      <c r="U111" s="424"/>
      <c r="W111" s="424"/>
    </row>
    <row r="112" spans="1:23" x14ac:dyDescent="0.2">
      <c r="A112" s="401" t="s">
        <v>127</v>
      </c>
      <c r="B112" s="431"/>
      <c r="C112" s="432">
        <v>0.2</v>
      </c>
      <c r="D112" s="97" t="s">
        <v>481</v>
      </c>
      <c r="F112" s="271" t="s">
        <v>480</v>
      </c>
      <c r="L112" s="97" t="s">
        <v>616</v>
      </c>
      <c r="M112" s="531">
        <v>-1.7500000000000002E-2</v>
      </c>
      <c r="N112" s="97" t="s">
        <v>659</v>
      </c>
      <c r="S112" s="428"/>
      <c r="T112" s="428"/>
      <c r="U112" s="403"/>
    </row>
    <row r="113" spans="1:23" x14ac:dyDescent="0.2">
      <c r="A113" s="401" t="s">
        <v>128</v>
      </c>
      <c r="B113" s="433" t="s">
        <v>305</v>
      </c>
      <c r="C113" s="432">
        <v>0.2</v>
      </c>
      <c r="D113" s="97" t="s">
        <v>481</v>
      </c>
      <c r="F113" s="271" t="s">
        <v>480</v>
      </c>
      <c r="L113" s="97" t="s">
        <v>617</v>
      </c>
      <c r="M113">
        <v>1</v>
      </c>
      <c r="N113" s="97" t="s">
        <v>695</v>
      </c>
      <c r="S113" s="428"/>
      <c r="T113" s="428"/>
      <c r="U113" s="403"/>
      <c r="W113" s="403"/>
    </row>
    <row r="114" spans="1:23" x14ac:dyDescent="0.2">
      <c r="B114" s="97" t="s">
        <v>304</v>
      </c>
      <c r="C114" s="425">
        <v>0.2</v>
      </c>
      <c r="D114" s="97" t="s">
        <v>481</v>
      </c>
      <c r="F114" s="271" t="s">
        <v>480</v>
      </c>
      <c r="L114" s="97" t="s">
        <v>618</v>
      </c>
      <c r="M114" s="2">
        <v>-0.01</v>
      </c>
      <c r="N114" s="97" t="s">
        <v>683</v>
      </c>
      <c r="S114" s="426"/>
      <c r="T114" s="428"/>
      <c r="U114" s="403"/>
    </row>
    <row r="115" spans="1:23" x14ac:dyDescent="0.2">
      <c r="A115" s="401" t="s">
        <v>143</v>
      </c>
      <c r="B115" s="431"/>
      <c r="C115" s="432">
        <v>0.2</v>
      </c>
      <c r="D115" s="97" t="s">
        <v>481</v>
      </c>
      <c r="F115" s="271">
        <v>4</v>
      </c>
      <c r="M115"/>
      <c r="S115" s="426"/>
      <c r="T115" s="428"/>
    </row>
    <row r="116" spans="1:23" x14ac:dyDescent="0.2">
      <c r="A116" s="401" t="s">
        <v>135</v>
      </c>
      <c r="B116" s="431"/>
      <c r="C116" s="432">
        <v>0.2</v>
      </c>
      <c r="D116" s="97" t="s">
        <v>482</v>
      </c>
      <c r="F116" s="271">
        <v>2</v>
      </c>
      <c r="L116" s="97" t="s">
        <v>619</v>
      </c>
      <c r="M116" s="531">
        <v>1.4999999999999999E-2</v>
      </c>
      <c r="N116" s="97" t="s">
        <v>670</v>
      </c>
      <c r="S116" s="426"/>
      <c r="T116" s="428"/>
      <c r="U116" s="424"/>
    </row>
    <row r="117" spans="1:23" x14ac:dyDescent="0.2">
      <c r="A117" s="401" t="s">
        <v>151</v>
      </c>
      <c r="B117" s="433" t="s">
        <v>305</v>
      </c>
      <c r="C117" s="432">
        <v>0.1</v>
      </c>
      <c r="D117" s="97" t="s">
        <v>308</v>
      </c>
      <c r="F117" s="271">
        <v>4</v>
      </c>
      <c r="L117" s="97" t="s">
        <v>620</v>
      </c>
      <c r="M117" s="531">
        <v>2.5000000000000001E-2</v>
      </c>
      <c r="N117" s="97" t="s">
        <v>671</v>
      </c>
      <c r="O117" s="403">
        <v>-0.05</v>
      </c>
      <c r="P117" s="97" t="s">
        <v>684</v>
      </c>
      <c r="S117" s="426"/>
      <c r="T117" s="428"/>
      <c r="U117" s="424"/>
      <c r="W117" s="403"/>
    </row>
    <row r="118" spans="1:23" x14ac:dyDescent="0.2">
      <c r="B118" s="97" t="s">
        <v>304</v>
      </c>
      <c r="C118" s="434">
        <v>0.1</v>
      </c>
      <c r="D118" s="97" t="s">
        <v>308</v>
      </c>
      <c r="F118" s="271">
        <v>4</v>
      </c>
      <c r="L118" s="97" t="s">
        <v>622</v>
      </c>
      <c r="M118" s="2">
        <v>-0.05</v>
      </c>
      <c r="N118" s="97" t="s">
        <v>666</v>
      </c>
      <c r="O118" s="403">
        <v>-0.05</v>
      </c>
      <c r="P118" s="97" t="s">
        <v>679</v>
      </c>
      <c r="Q118" s="97">
        <v>5</v>
      </c>
      <c r="R118" s="97" t="s">
        <v>700</v>
      </c>
      <c r="S118" s="428"/>
      <c r="T118" s="428"/>
      <c r="U118" s="403"/>
      <c r="W118" s="403"/>
    </row>
    <row r="119" spans="1:23" x14ac:dyDescent="0.2">
      <c r="A119" s="401" t="s">
        <v>475</v>
      </c>
      <c r="B119" s="431"/>
      <c r="C119" s="432">
        <v>0.2</v>
      </c>
      <c r="D119" s="97" t="s">
        <v>482</v>
      </c>
      <c r="F119" s="271">
        <v>3</v>
      </c>
      <c r="L119" s="97" t="s">
        <v>623</v>
      </c>
      <c r="M119" s="531">
        <v>-0.125</v>
      </c>
      <c r="N119" s="97" t="s">
        <v>685</v>
      </c>
      <c r="S119" s="426"/>
      <c r="T119" s="428"/>
      <c r="U119" s="424"/>
    </row>
    <row r="120" spans="1:23" x14ac:dyDescent="0.2">
      <c r="A120" s="401" t="s">
        <v>345</v>
      </c>
      <c r="C120" s="271">
        <v>1</v>
      </c>
      <c r="D120" s="97" t="s">
        <v>477</v>
      </c>
      <c r="F120" s="271">
        <v>3</v>
      </c>
      <c r="L120" s="97" t="s">
        <v>625</v>
      </c>
      <c r="M120" s="2">
        <v>0.01</v>
      </c>
      <c r="N120" s="97" t="s">
        <v>670</v>
      </c>
      <c r="O120" s="403">
        <v>0.1</v>
      </c>
      <c r="P120" s="97" t="s">
        <v>682</v>
      </c>
      <c r="S120" s="428"/>
      <c r="T120" s="428"/>
      <c r="U120" s="403"/>
    </row>
    <row r="121" spans="1:23" x14ac:dyDescent="0.2">
      <c r="A121" s="401" t="s">
        <v>387</v>
      </c>
      <c r="B121" s="271" t="s">
        <v>479</v>
      </c>
      <c r="C121" s="433">
        <v>500</v>
      </c>
      <c r="D121" s="97" t="s">
        <v>478</v>
      </c>
      <c r="F121" s="271">
        <v>0</v>
      </c>
      <c r="L121" s="97" t="s">
        <v>626</v>
      </c>
      <c r="M121" s="532">
        <v>7.4999999999999997E-2</v>
      </c>
      <c r="N121" s="97" t="s">
        <v>698</v>
      </c>
      <c r="O121" s="403">
        <v>-0.05</v>
      </c>
      <c r="P121" s="97" t="s">
        <v>686</v>
      </c>
      <c r="S121" s="428"/>
      <c r="T121" s="428"/>
      <c r="U121" s="403"/>
      <c r="W121" s="403"/>
    </row>
    <row r="122" spans="1:23" x14ac:dyDescent="0.2">
      <c r="A122" s="401" t="s">
        <v>369</v>
      </c>
      <c r="B122" s="271" t="s">
        <v>479</v>
      </c>
      <c r="C122" s="435">
        <v>375</v>
      </c>
      <c r="D122" s="97" t="s">
        <v>478</v>
      </c>
      <c r="F122" s="271">
        <v>3</v>
      </c>
      <c r="M122"/>
      <c r="S122" s="426"/>
      <c r="T122" s="428"/>
    </row>
    <row r="123" spans="1:23" x14ac:dyDescent="0.2">
      <c r="A123" s="401" t="s">
        <v>436</v>
      </c>
      <c r="B123" s="431"/>
      <c r="C123" s="425">
        <v>0.12</v>
      </c>
      <c r="D123" s="97" t="s">
        <v>514</v>
      </c>
      <c r="F123" s="271">
        <v>3</v>
      </c>
      <c r="L123" s="97" t="s">
        <v>627</v>
      </c>
      <c r="M123" s="2">
        <v>0.3</v>
      </c>
      <c r="N123" s="97" t="s">
        <v>687</v>
      </c>
      <c r="S123" s="426"/>
      <c r="T123" s="428"/>
      <c r="U123" s="403"/>
    </row>
    <row r="124" spans="1:23" x14ac:dyDescent="0.2">
      <c r="L124" s="97" t="s">
        <v>629</v>
      </c>
      <c r="M124">
        <v>1.25</v>
      </c>
      <c r="N124" s="97" t="s">
        <v>702</v>
      </c>
      <c r="S124" s="428"/>
      <c r="T124" s="428"/>
      <c r="U124" s="403"/>
    </row>
    <row r="125" spans="1:23" x14ac:dyDescent="0.2">
      <c r="A125" s="400" t="s">
        <v>276</v>
      </c>
      <c r="L125" s="97" t="s">
        <v>631</v>
      </c>
      <c r="M125" s="531">
        <v>-7.4999999999999997E-2</v>
      </c>
      <c r="N125" s="97" t="s">
        <v>686</v>
      </c>
      <c r="O125" s="424">
        <v>7.4999999999999997E-3</v>
      </c>
      <c r="P125" s="97" t="s">
        <v>783</v>
      </c>
      <c r="S125" s="428"/>
      <c r="T125" s="428"/>
      <c r="U125" s="403"/>
    </row>
    <row r="126" spans="1:23" x14ac:dyDescent="0.2">
      <c r="A126" s="401" t="s">
        <v>493</v>
      </c>
      <c r="B126" s="97">
        <v>20</v>
      </c>
      <c r="L126" s="97" t="s">
        <v>632</v>
      </c>
      <c r="M126" s="531">
        <v>2.5000000000000001E-2</v>
      </c>
      <c r="N126" s="97" t="s">
        <v>689</v>
      </c>
      <c r="S126" s="426"/>
      <c r="T126" s="428"/>
      <c r="U126" s="424"/>
    </row>
    <row r="127" spans="1:23" x14ac:dyDescent="0.2">
      <c r="A127" s="401" t="s">
        <v>491</v>
      </c>
      <c r="B127" s="97">
        <v>0</v>
      </c>
      <c r="C127" s="97" t="s">
        <v>492</v>
      </c>
      <c r="L127" s="97" t="s">
        <v>633</v>
      </c>
      <c r="M127" s="531">
        <v>-2.5000000000000001E-2</v>
      </c>
      <c r="N127" s="97" t="s">
        <v>662</v>
      </c>
      <c r="O127" s="6">
        <v>2</v>
      </c>
      <c r="P127" s="6" t="s">
        <v>701</v>
      </c>
      <c r="S127" s="426"/>
      <c r="T127" s="428"/>
      <c r="U127" s="424"/>
    </row>
    <row r="128" spans="1:23" x14ac:dyDescent="0.2">
      <c r="M128"/>
      <c r="S128" s="426"/>
      <c r="T128" s="428"/>
    </row>
    <row r="129" spans="1:23" x14ac:dyDescent="0.2">
      <c r="A129" s="400" t="s">
        <v>785</v>
      </c>
      <c r="L129" s="97" t="s">
        <v>635</v>
      </c>
      <c r="M129" s="2">
        <v>0.6</v>
      </c>
      <c r="N129" s="97" t="s">
        <v>784</v>
      </c>
      <c r="S129" s="428"/>
      <c r="T129" s="428"/>
    </row>
    <row r="130" spans="1:23" x14ac:dyDescent="0.2">
      <c r="A130" s="401" t="s">
        <v>89</v>
      </c>
      <c r="B130" s="97" t="s">
        <v>3</v>
      </c>
      <c r="L130" s="97" t="s">
        <v>636</v>
      </c>
      <c r="M130" s="531">
        <v>-7.4999999999999997E-2</v>
      </c>
      <c r="N130" s="97" t="s">
        <v>686</v>
      </c>
      <c r="S130" s="426"/>
      <c r="T130" s="428"/>
      <c r="U130" s="424"/>
    </row>
    <row r="131" spans="1:23" x14ac:dyDescent="0.2">
      <c r="A131" s="401" t="s">
        <v>90</v>
      </c>
      <c r="B131" s="97" t="s">
        <v>3</v>
      </c>
      <c r="L131" s="97" t="s">
        <v>638</v>
      </c>
      <c r="M131">
        <v>2</v>
      </c>
      <c r="N131" s="97" t="s">
        <v>703</v>
      </c>
      <c r="S131" s="426"/>
      <c r="T131" s="428"/>
    </row>
    <row r="132" spans="1:23" x14ac:dyDescent="0.2">
      <c r="A132" s="401" t="s">
        <v>91</v>
      </c>
      <c r="B132" s="97" t="s">
        <v>3</v>
      </c>
      <c r="L132" s="97" t="s">
        <v>640</v>
      </c>
      <c r="M132" s="2">
        <v>0.3</v>
      </c>
      <c r="N132" s="97" t="s">
        <v>690</v>
      </c>
      <c r="S132" s="428"/>
      <c r="T132" s="428"/>
      <c r="U132" s="403"/>
    </row>
    <row r="133" spans="1:23" x14ac:dyDescent="0.2">
      <c r="A133" s="401" t="s">
        <v>92</v>
      </c>
      <c r="B133" s="97" t="s">
        <v>3</v>
      </c>
      <c r="M133"/>
      <c r="S133" s="426"/>
      <c r="T133" s="428"/>
    </row>
    <row r="134" spans="1:23" x14ac:dyDescent="0.2">
      <c r="A134" s="401" t="s">
        <v>93</v>
      </c>
      <c r="B134" s="97" t="s">
        <v>3</v>
      </c>
      <c r="L134" s="97" t="s">
        <v>641</v>
      </c>
      <c r="M134" s="2">
        <v>-0.15</v>
      </c>
      <c r="N134" s="97" t="s">
        <v>699</v>
      </c>
      <c r="O134" s="403">
        <v>-0.05</v>
      </c>
      <c r="P134" s="97" t="s">
        <v>676</v>
      </c>
      <c r="S134" s="426"/>
      <c r="T134" s="428"/>
      <c r="U134" s="403"/>
      <c r="W134" s="403"/>
    </row>
    <row r="135" spans="1:23" x14ac:dyDescent="0.2">
      <c r="A135" s="401" t="s">
        <v>94</v>
      </c>
      <c r="B135" s="97" t="s">
        <v>3</v>
      </c>
      <c r="L135" s="97" t="s">
        <v>643</v>
      </c>
      <c r="M135" s="531">
        <v>-2.5000000000000001E-2</v>
      </c>
      <c r="N135" s="97" t="s">
        <v>666</v>
      </c>
      <c r="S135" s="426"/>
      <c r="T135" s="428"/>
      <c r="U135" s="424"/>
    </row>
    <row r="136" spans="1:23" x14ac:dyDescent="0.2">
      <c r="A136" s="401" t="s">
        <v>95</v>
      </c>
      <c r="B136" s="97" t="s">
        <v>3</v>
      </c>
      <c r="L136" s="97" t="s">
        <v>644</v>
      </c>
      <c r="M136" s="2">
        <v>-0.25</v>
      </c>
      <c r="N136" s="97" t="s">
        <v>691</v>
      </c>
      <c r="S136" s="426"/>
      <c r="T136" s="428"/>
      <c r="U136" s="403"/>
    </row>
    <row r="137" spans="1:23" x14ac:dyDescent="0.2">
      <c r="A137" s="401" t="s">
        <v>96</v>
      </c>
      <c r="B137" s="97" t="s">
        <v>7</v>
      </c>
      <c r="M137"/>
      <c r="S137" s="426"/>
      <c r="T137" s="428"/>
    </row>
    <row r="138" spans="1:23" x14ac:dyDescent="0.2">
      <c r="A138" s="401" t="s">
        <v>97</v>
      </c>
      <c r="B138" s="97" t="s">
        <v>3</v>
      </c>
      <c r="L138" s="97" t="s">
        <v>645</v>
      </c>
      <c r="M138" s="2">
        <v>0.05</v>
      </c>
      <c r="N138" s="97" t="s">
        <v>688</v>
      </c>
      <c r="S138" s="428"/>
      <c r="T138" s="428"/>
      <c r="U138" s="424"/>
    </row>
    <row r="139" spans="1:23" x14ac:dyDescent="0.2">
      <c r="A139" s="401" t="s">
        <v>29</v>
      </c>
      <c r="B139" s="97" t="s">
        <v>3</v>
      </c>
      <c r="L139" s="97" t="s">
        <v>647</v>
      </c>
      <c r="M139" s="531">
        <v>-7.4999999999999997E-2</v>
      </c>
      <c r="N139" s="97" t="s">
        <v>685</v>
      </c>
      <c r="S139" s="428"/>
      <c r="T139" s="428"/>
      <c r="U139" s="403"/>
    </row>
    <row r="140" spans="1:23" x14ac:dyDescent="0.2">
      <c r="A140" s="401" t="s">
        <v>99</v>
      </c>
      <c r="B140" s="97" t="s">
        <v>3</v>
      </c>
      <c r="M140"/>
      <c r="T140" s="91"/>
    </row>
    <row r="141" spans="1:23" x14ac:dyDescent="0.2">
      <c r="A141" s="401" t="s">
        <v>100</v>
      </c>
      <c r="B141" s="97" t="s">
        <v>3</v>
      </c>
      <c r="L141" s="97" t="s">
        <v>648</v>
      </c>
      <c r="M141" s="2">
        <v>-0.05</v>
      </c>
      <c r="N141" s="97" t="s">
        <v>686</v>
      </c>
      <c r="T141" s="91"/>
      <c r="U141" s="403"/>
    </row>
    <row r="142" spans="1:23" x14ac:dyDescent="0.2">
      <c r="A142" s="401" t="s">
        <v>101</v>
      </c>
      <c r="B142" s="97" t="s">
        <v>3</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341</v>
      </c>
      <c r="B146" s="97" t="s">
        <v>3</v>
      </c>
      <c r="L146" s="426"/>
      <c r="M146" s="403"/>
    </row>
    <row r="147" spans="1:13" x14ac:dyDescent="0.2">
      <c r="A147" s="401" t="s">
        <v>355</v>
      </c>
      <c r="B147" s="97" t="s">
        <v>3</v>
      </c>
      <c r="L147" s="426"/>
    </row>
    <row r="148" spans="1:13" x14ac:dyDescent="0.2">
      <c r="A148" s="401" t="s">
        <v>147</v>
      </c>
      <c r="B148" s="97" t="s">
        <v>3</v>
      </c>
      <c r="L148" s="426"/>
      <c r="M148" s="403"/>
    </row>
    <row r="149" spans="1:13" x14ac:dyDescent="0.2">
      <c r="A149" s="401" t="s">
        <v>515</v>
      </c>
      <c r="B149" s="97" t="s">
        <v>12</v>
      </c>
    </row>
    <row r="151" spans="1:13" x14ac:dyDescent="0.2">
      <c r="A151" s="401" t="s">
        <v>1088</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1089</v>
      </c>
    </row>
    <row r="158" spans="1:13" x14ac:dyDescent="0.2">
      <c r="A158" s="401" t="s">
        <v>290</v>
      </c>
      <c r="B158" s="403">
        <v>0.75</v>
      </c>
    </row>
  </sheetData>
  <phoneticPr fontId="0" type="noConversion"/>
  <conditionalFormatting sqref="J24:L24">
    <cfRule type="expression" dxfId="2"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activeCell="A2" sqref="A2"/>
    </sheetView>
  </sheetViews>
  <sheetFormatPr defaultRowHeight="19.5" customHeight="1" x14ac:dyDescent="0.2"/>
  <cols>
    <col min="1" max="1" width="15.7109375" style="470"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6" customWidth="1"/>
    <col min="25" max="26" width="7" style="360" customWidth="1"/>
    <col min="27" max="16384" width="9.140625" style="360"/>
  </cols>
  <sheetData>
    <row r="1" spans="1:26" s="436" customFormat="1" ht="19.5" customHeight="1" x14ac:dyDescent="0.2">
      <c r="A1" s="436" t="s">
        <v>294</v>
      </c>
      <c r="E1" s="437"/>
      <c r="F1" s="437"/>
      <c r="G1" s="437"/>
      <c r="X1" s="438"/>
    </row>
    <row r="2" spans="1:26" s="439" customFormat="1" ht="19.5" customHeight="1" x14ac:dyDescent="0.2">
      <c r="E2" s="440"/>
      <c r="F2" s="440"/>
      <c r="G2" s="440"/>
      <c r="X2" s="441"/>
    </row>
    <row r="3" spans="1:26" s="436" customFormat="1" ht="19.5" customHeight="1" x14ac:dyDescent="0.2">
      <c r="A3" s="436" t="s">
        <v>36</v>
      </c>
      <c r="D3" s="436" t="s">
        <v>38</v>
      </c>
      <c r="E3" s="437"/>
      <c r="F3" s="437"/>
      <c r="G3" s="437"/>
      <c r="J3" s="436" t="s">
        <v>37</v>
      </c>
      <c r="X3" s="438"/>
    </row>
    <row r="4" spans="1:26" ht="87" customHeight="1" x14ac:dyDescent="0.2">
      <c r="A4" s="436" t="s">
        <v>28</v>
      </c>
      <c r="B4" s="436" t="s">
        <v>35</v>
      </c>
      <c r="C4" s="436" t="s">
        <v>790</v>
      </c>
      <c r="D4" s="436" t="s">
        <v>791</v>
      </c>
      <c r="E4" s="437" t="s">
        <v>792</v>
      </c>
      <c r="F4" s="437" t="s">
        <v>793</v>
      </c>
      <c r="G4" s="437" t="s">
        <v>794</v>
      </c>
      <c r="H4" s="442" t="s">
        <v>795</v>
      </c>
      <c r="I4" s="442" t="s">
        <v>242</v>
      </c>
      <c r="J4" s="443" t="s">
        <v>175</v>
      </c>
      <c r="K4" s="443" t="s">
        <v>105</v>
      </c>
      <c r="L4" s="443" t="s">
        <v>172</v>
      </c>
      <c r="M4" s="443" t="s">
        <v>107</v>
      </c>
      <c r="N4" s="443" t="s">
        <v>108</v>
      </c>
      <c r="O4" s="443" t="s">
        <v>109</v>
      </c>
      <c r="P4" s="443" t="s">
        <v>110</v>
      </c>
      <c r="Q4" s="443" t="s">
        <v>111</v>
      </c>
      <c r="R4" s="443" t="s">
        <v>112</v>
      </c>
      <c r="S4" s="443" t="s">
        <v>32</v>
      </c>
      <c r="T4" s="443" t="s">
        <v>31</v>
      </c>
      <c r="U4" s="444" t="s">
        <v>173</v>
      </c>
      <c r="V4" s="443" t="s">
        <v>174</v>
      </c>
      <c r="W4" s="443" t="s">
        <v>451</v>
      </c>
      <c r="X4" s="443" t="s">
        <v>503</v>
      </c>
      <c r="Y4" s="443" t="s">
        <v>504</v>
      </c>
      <c r="Z4" s="443" t="s">
        <v>541</v>
      </c>
    </row>
    <row r="5" spans="1:26" s="451" customFormat="1" ht="19.5" customHeight="1" x14ac:dyDescent="0.2">
      <c r="A5" s="439" t="s">
        <v>89</v>
      </c>
      <c r="B5" s="445" t="s">
        <v>98</v>
      </c>
      <c r="C5" s="439" t="s">
        <v>255</v>
      </c>
      <c r="D5" s="446" t="s">
        <v>113</v>
      </c>
      <c r="E5" s="440">
        <v>3</v>
      </c>
      <c r="F5" s="440"/>
      <c r="G5" s="440">
        <v>275</v>
      </c>
      <c r="H5" s="439">
        <v>25</v>
      </c>
      <c r="I5" s="445">
        <v>5</v>
      </c>
      <c r="J5" s="447"/>
      <c r="K5" s="448"/>
      <c r="L5" s="448"/>
      <c r="M5" s="448">
        <v>0.05</v>
      </c>
      <c r="N5" s="448"/>
      <c r="O5" s="448"/>
      <c r="P5" s="448"/>
      <c r="Q5" s="448"/>
      <c r="R5" s="448"/>
      <c r="S5" s="448"/>
      <c r="T5" s="448"/>
      <c r="U5" s="448"/>
      <c r="V5" s="448"/>
      <c r="W5" s="440"/>
      <c r="X5" s="449"/>
      <c r="Y5" s="440"/>
      <c r="Z5" s="450"/>
    </row>
    <row r="6" spans="1:26" s="439" customFormat="1" ht="19.5" customHeight="1" x14ac:dyDescent="0.2">
      <c r="A6" s="439" t="s">
        <v>89</v>
      </c>
      <c r="B6" s="445" t="s">
        <v>98</v>
      </c>
      <c r="C6" s="439" t="s">
        <v>255</v>
      </c>
      <c r="D6" s="446" t="s">
        <v>114</v>
      </c>
      <c r="E6" s="440"/>
      <c r="F6" s="440">
        <v>3</v>
      </c>
      <c r="G6" s="440">
        <v>275</v>
      </c>
      <c r="H6" s="439">
        <v>15</v>
      </c>
      <c r="I6" s="445">
        <v>5</v>
      </c>
      <c r="J6" s="447"/>
      <c r="K6" s="448"/>
      <c r="L6" s="448"/>
      <c r="M6" s="448"/>
      <c r="N6" s="448"/>
      <c r="O6" s="448"/>
      <c r="P6" s="448"/>
      <c r="Q6" s="448"/>
      <c r="R6" s="448"/>
      <c r="S6" s="448"/>
      <c r="T6" s="448"/>
      <c r="U6" s="448"/>
      <c r="V6" s="448"/>
      <c r="W6" s="440"/>
      <c r="X6" s="449"/>
      <c r="Y6" s="440"/>
      <c r="Z6" s="450"/>
    </row>
    <row r="7" spans="1:26" s="439" customFormat="1" ht="19.5" customHeight="1" x14ac:dyDescent="0.2">
      <c r="A7" s="439" t="s">
        <v>89</v>
      </c>
      <c r="B7" s="445" t="s">
        <v>98</v>
      </c>
      <c r="C7" s="439" t="s">
        <v>255</v>
      </c>
      <c r="D7" s="446" t="s">
        <v>115</v>
      </c>
      <c r="E7" s="440">
        <v>2</v>
      </c>
      <c r="F7" s="440">
        <v>6</v>
      </c>
      <c r="G7" s="440">
        <v>1025</v>
      </c>
      <c r="H7" s="439">
        <v>75</v>
      </c>
      <c r="I7" s="445">
        <f>1.8 * MIN(6, MAX(E7,F7)) + 0.45 * MIN(6, MIN(E7,F7)) + IF(E7&gt;6, (E7-6)*0.2) + IF(F7&gt;6, (F7-6)*0.2)</f>
        <v>11.700000000000001</v>
      </c>
      <c r="J7" s="447"/>
      <c r="K7" s="448"/>
      <c r="L7" s="448"/>
      <c r="M7" s="448"/>
      <c r="N7" s="448"/>
      <c r="O7" s="448"/>
      <c r="P7" s="448"/>
      <c r="Q7" s="448"/>
      <c r="R7" s="448"/>
      <c r="S7" s="448"/>
      <c r="T7" s="448"/>
      <c r="U7" s="448"/>
      <c r="V7" s="448"/>
      <c r="W7" s="440"/>
      <c r="X7" s="449"/>
      <c r="Y7" s="440"/>
      <c r="Z7" s="450"/>
    </row>
    <row r="8" spans="1:26" s="454" customFormat="1" ht="19.5" customHeight="1" x14ac:dyDescent="0.2">
      <c r="A8" s="439" t="s">
        <v>89</v>
      </c>
      <c r="B8" s="445" t="s">
        <v>98</v>
      </c>
      <c r="C8" s="439" t="s">
        <v>255</v>
      </c>
      <c r="D8" s="452" t="s">
        <v>116</v>
      </c>
      <c r="E8" s="453">
        <v>6</v>
      </c>
      <c r="F8" s="453">
        <v>3</v>
      </c>
      <c r="G8" s="453">
        <v>1250</v>
      </c>
      <c r="H8" s="454">
        <v>100</v>
      </c>
      <c r="I8" s="445">
        <f>1.8 * MIN(6, MAX(E8,F8)) + 0.45 * MIN(6, MIN(E8,F8)) + IF(E8&gt;6, (E8-6)*0.2) + IF(F8&gt;6, (F8-6)*0.2)</f>
        <v>12.15</v>
      </c>
      <c r="J8" s="455"/>
      <c r="K8" s="456"/>
      <c r="L8" s="456"/>
      <c r="M8" s="456"/>
      <c r="N8" s="456"/>
      <c r="O8" s="456"/>
      <c r="P8" s="456"/>
      <c r="Q8" s="456"/>
      <c r="R8" s="456"/>
      <c r="S8" s="456"/>
      <c r="T8" s="456"/>
      <c r="U8" s="456"/>
      <c r="V8" s="456"/>
      <c r="W8" s="453"/>
      <c r="X8" s="457"/>
      <c r="Y8" s="453"/>
      <c r="Z8" s="458"/>
    </row>
    <row r="9" spans="1:26" s="451" customFormat="1" ht="19.5" customHeight="1" x14ac:dyDescent="0.2">
      <c r="A9" s="451" t="s">
        <v>90</v>
      </c>
      <c r="B9" s="459" t="s">
        <v>30</v>
      </c>
      <c r="C9" s="451" t="s">
        <v>255</v>
      </c>
      <c r="D9" s="460" t="s">
        <v>117</v>
      </c>
      <c r="E9" s="461">
        <v>3</v>
      </c>
      <c r="F9" s="461"/>
      <c r="G9" s="461">
        <v>275</v>
      </c>
      <c r="H9" s="451">
        <v>25</v>
      </c>
      <c r="I9" s="459">
        <v>5</v>
      </c>
      <c r="J9" s="462"/>
      <c r="K9" s="463"/>
      <c r="L9" s="463"/>
      <c r="M9" s="463"/>
      <c r="N9" s="463"/>
      <c r="O9" s="463">
        <v>0.1</v>
      </c>
      <c r="P9" s="463"/>
      <c r="Q9" s="463"/>
      <c r="R9" s="463"/>
      <c r="S9" s="463"/>
      <c r="T9" s="463"/>
      <c r="U9" s="463"/>
      <c r="V9" s="463"/>
      <c r="W9" s="440"/>
      <c r="X9" s="449"/>
      <c r="Y9" s="461"/>
      <c r="Z9" s="464"/>
    </row>
    <row r="10" spans="1:26" s="439" customFormat="1" ht="19.5" customHeight="1" x14ac:dyDescent="0.2">
      <c r="A10" s="439" t="s">
        <v>90</v>
      </c>
      <c r="B10" s="445" t="s">
        <v>30</v>
      </c>
      <c r="C10" s="439" t="s">
        <v>255</v>
      </c>
      <c r="D10" s="446" t="s">
        <v>118</v>
      </c>
      <c r="E10" s="440"/>
      <c r="F10" s="440">
        <v>3</v>
      </c>
      <c r="G10" s="440">
        <v>275</v>
      </c>
      <c r="H10" s="439">
        <v>15</v>
      </c>
      <c r="I10" s="445">
        <v>5</v>
      </c>
      <c r="J10" s="447"/>
      <c r="K10" s="448"/>
      <c r="L10" s="448"/>
      <c r="M10" s="448"/>
      <c r="N10" s="448"/>
      <c r="O10" s="448"/>
      <c r="P10" s="448"/>
      <c r="Q10" s="448"/>
      <c r="R10" s="448"/>
      <c r="S10" s="448"/>
      <c r="T10" s="448"/>
      <c r="U10" s="448"/>
      <c r="V10" s="448"/>
      <c r="W10" s="440"/>
      <c r="X10" s="449"/>
      <c r="Y10" s="440"/>
      <c r="Z10" s="450"/>
    </row>
    <row r="11" spans="1:26" s="439" customFormat="1" ht="19.5" customHeight="1" x14ac:dyDescent="0.2">
      <c r="A11" s="439" t="s">
        <v>90</v>
      </c>
      <c r="B11" s="445" t="s">
        <v>30</v>
      </c>
      <c r="C11" s="439" t="s">
        <v>255</v>
      </c>
      <c r="D11" s="446" t="s">
        <v>119</v>
      </c>
      <c r="E11" s="440">
        <v>2</v>
      </c>
      <c r="F11" s="440">
        <v>6</v>
      </c>
      <c r="G11" s="440">
        <v>1025</v>
      </c>
      <c r="H11" s="439">
        <v>75</v>
      </c>
      <c r="I11" s="445">
        <f>1.8 * MIN(6, MAX(E11,F11)) + 0.45 * MIN(6, MIN(E11,F11)) + IF(E11&gt;6, (E11-6)*0.2) + IF(F11&gt;6, (F11-6)*0.2)</f>
        <v>11.700000000000001</v>
      </c>
      <c r="J11" s="447"/>
      <c r="K11" s="448"/>
      <c r="L11" s="448"/>
      <c r="M11" s="448"/>
      <c r="N11" s="448"/>
      <c r="O11" s="448"/>
      <c r="P11" s="448"/>
      <c r="Q11" s="448"/>
      <c r="R11" s="448"/>
      <c r="S11" s="448"/>
      <c r="T11" s="448"/>
      <c r="U11" s="448"/>
      <c r="V11" s="448"/>
      <c r="W11" s="440"/>
      <c r="X11" s="449"/>
      <c r="Y11" s="440"/>
      <c r="Z11" s="450"/>
    </row>
    <row r="12" spans="1:26" s="439" customFormat="1" ht="19.5" customHeight="1" x14ac:dyDescent="0.2">
      <c r="A12" s="439" t="s">
        <v>90</v>
      </c>
      <c r="B12" s="445" t="s">
        <v>30</v>
      </c>
      <c r="C12" s="439" t="s">
        <v>255</v>
      </c>
      <c r="D12" s="446" t="s">
        <v>120</v>
      </c>
      <c r="E12" s="440">
        <v>6</v>
      </c>
      <c r="F12" s="440">
        <v>3</v>
      </c>
      <c r="G12" s="440">
        <v>1250</v>
      </c>
      <c r="H12" s="439">
        <v>100</v>
      </c>
      <c r="I12" s="445">
        <f>1.8 * MIN(6, MAX(E12,F12)) + 0.45 * MIN(6, MIN(E12,F12)) + IF(E12&gt;6, (E12-6)*0.2) + IF(F12&gt;6, (F12-6)*0.2)</f>
        <v>12.15</v>
      </c>
      <c r="J12" s="447"/>
      <c r="K12" s="448"/>
      <c r="L12" s="448"/>
      <c r="M12" s="448"/>
      <c r="N12" s="448"/>
      <c r="O12" s="448"/>
      <c r="P12" s="448"/>
      <c r="Q12" s="448"/>
      <c r="R12" s="448"/>
      <c r="S12" s="448"/>
      <c r="T12" s="448"/>
      <c r="U12" s="448"/>
      <c r="V12" s="448"/>
      <c r="W12" s="453"/>
      <c r="X12" s="457"/>
      <c r="Y12" s="440"/>
      <c r="Z12" s="450"/>
    </row>
    <row r="13" spans="1:26" s="451" customFormat="1" ht="19.5" customHeight="1" x14ac:dyDescent="0.2">
      <c r="A13" s="451" t="s">
        <v>91</v>
      </c>
      <c r="B13" s="459" t="s">
        <v>98</v>
      </c>
      <c r="C13" s="451" t="s">
        <v>257</v>
      </c>
      <c r="D13" s="460" t="s">
        <v>121</v>
      </c>
      <c r="E13" s="461">
        <v>3</v>
      </c>
      <c r="F13" s="461"/>
      <c r="G13" s="461">
        <v>275</v>
      </c>
      <c r="H13" s="451">
        <v>25</v>
      </c>
      <c r="I13" s="459">
        <v>5</v>
      </c>
      <c r="J13" s="462">
        <v>7.4999999999999997E-2</v>
      </c>
      <c r="K13" s="463"/>
      <c r="L13" s="463"/>
      <c r="M13" s="463"/>
      <c r="N13" s="463"/>
      <c r="O13" s="463"/>
      <c r="P13" s="463">
        <v>0.1</v>
      </c>
      <c r="Q13" s="463"/>
      <c r="R13" s="463"/>
      <c r="S13" s="463"/>
      <c r="T13" s="463"/>
      <c r="U13" s="463"/>
      <c r="V13" s="463"/>
      <c r="W13" s="448">
        <v>0.15</v>
      </c>
      <c r="X13" s="449"/>
      <c r="Y13" s="461"/>
      <c r="Z13" s="464"/>
    </row>
    <row r="14" spans="1:26" s="439" customFormat="1" ht="19.5" customHeight="1" x14ac:dyDescent="0.2">
      <c r="A14" s="439" t="s">
        <v>91</v>
      </c>
      <c r="B14" s="445" t="s">
        <v>98</v>
      </c>
      <c r="C14" s="439" t="s">
        <v>257</v>
      </c>
      <c r="D14" s="446" t="s">
        <v>122</v>
      </c>
      <c r="E14" s="440"/>
      <c r="F14" s="440">
        <v>3</v>
      </c>
      <c r="G14" s="440">
        <v>350</v>
      </c>
      <c r="H14" s="439">
        <v>20</v>
      </c>
      <c r="I14" s="445">
        <v>5</v>
      </c>
      <c r="J14" s="447"/>
      <c r="K14" s="448"/>
      <c r="L14" s="448"/>
      <c r="M14" s="448"/>
      <c r="N14" s="448"/>
      <c r="O14" s="448"/>
      <c r="P14" s="448"/>
      <c r="Q14" s="448"/>
      <c r="R14" s="448"/>
      <c r="S14" s="448"/>
      <c r="T14" s="448"/>
      <c r="U14" s="448"/>
      <c r="V14" s="448"/>
      <c r="W14" s="440"/>
      <c r="X14" s="449"/>
      <c r="Y14" s="440"/>
      <c r="Z14" s="450"/>
    </row>
    <row r="15" spans="1:26" s="439" customFormat="1" ht="19.5" customHeight="1" x14ac:dyDescent="0.2">
      <c r="A15" s="439" t="s">
        <v>91</v>
      </c>
      <c r="B15" s="445" t="s">
        <v>98</v>
      </c>
      <c r="C15" s="439" t="s">
        <v>257</v>
      </c>
      <c r="D15" s="446" t="s">
        <v>123</v>
      </c>
      <c r="E15" s="440">
        <v>4</v>
      </c>
      <c r="F15" s="440">
        <v>4</v>
      </c>
      <c r="G15" s="440">
        <v>760</v>
      </c>
      <c r="H15" s="439">
        <v>0</v>
      </c>
      <c r="I15" s="445">
        <f>1.8 * MIN(6, MAX(E15,F15)) + 0.45 * MIN(6, MIN(E15,F15)) + IF(E15&gt;6, (E15-6)*0.2) + IF(F15&gt;6, (F15-6)*0.2)</f>
        <v>9</v>
      </c>
      <c r="J15" s="447"/>
      <c r="K15" s="448"/>
      <c r="L15" s="448"/>
      <c r="M15" s="448"/>
      <c r="N15" s="448"/>
      <c r="O15" s="448"/>
      <c r="P15" s="448"/>
      <c r="Q15" s="448"/>
      <c r="R15" s="448"/>
      <c r="S15" s="448"/>
      <c r="T15" s="448"/>
      <c r="U15" s="448"/>
      <c r="V15" s="448"/>
      <c r="W15" s="440"/>
      <c r="X15" s="449"/>
      <c r="Y15" s="440"/>
      <c r="Z15" s="450"/>
    </row>
    <row r="16" spans="1:26" s="454" customFormat="1" ht="19.5" customHeight="1" x14ac:dyDescent="0.2">
      <c r="A16" s="454" t="s">
        <v>91</v>
      </c>
      <c r="B16" s="465" t="s">
        <v>98</v>
      </c>
      <c r="C16" s="454" t="s">
        <v>257</v>
      </c>
      <c r="D16" s="452" t="s">
        <v>124</v>
      </c>
      <c r="E16" s="453">
        <v>7</v>
      </c>
      <c r="F16" s="453">
        <v>2</v>
      </c>
      <c r="G16" s="453">
        <v>1250</v>
      </c>
      <c r="H16" s="454">
        <v>100</v>
      </c>
      <c r="I16" s="445">
        <f>1.8 * MIN(6, MAX(E16,F16)) + 0.45 * MIN(6, MIN(E16,F16)) + IF(E16&gt;6, (E16-6)*0.2) + IF(F16&gt;6, (F16-6)*0.2)</f>
        <v>11.9</v>
      </c>
      <c r="J16" s="455"/>
      <c r="K16" s="456"/>
      <c r="L16" s="456"/>
      <c r="M16" s="456"/>
      <c r="N16" s="456"/>
      <c r="O16" s="456"/>
      <c r="P16" s="456"/>
      <c r="Q16" s="456"/>
      <c r="R16" s="456"/>
      <c r="S16" s="456"/>
      <c r="T16" s="456"/>
      <c r="U16" s="456"/>
      <c r="V16" s="456"/>
      <c r="W16" s="453"/>
      <c r="X16" s="457"/>
      <c r="Y16" s="453"/>
      <c r="Z16" s="458"/>
    </row>
    <row r="17" spans="1:26" s="451" customFormat="1" ht="19.5" customHeight="1" x14ac:dyDescent="0.2">
      <c r="A17" s="451" t="s">
        <v>92</v>
      </c>
      <c r="B17" s="459" t="s">
        <v>98</v>
      </c>
      <c r="C17" s="451" t="s">
        <v>58</v>
      </c>
      <c r="D17" s="460" t="s">
        <v>125</v>
      </c>
      <c r="E17" s="461">
        <v>3</v>
      </c>
      <c r="F17" s="461"/>
      <c r="G17" s="461">
        <v>275</v>
      </c>
      <c r="H17" s="451">
        <v>25</v>
      </c>
      <c r="I17" s="459">
        <v>5</v>
      </c>
      <c r="J17" s="462">
        <v>-0.05</v>
      </c>
      <c r="K17" s="463"/>
      <c r="L17" s="463"/>
      <c r="M17" s="463"/>
      <c r="N17" s="463">
        <v>0.1</v>
      </c>
      <c r="O17" s="463"/>
      <c r="P17" s="463"/>
      <c r="Q17" s="463"/>
      <c r="R17" s="463"/>
      <c r="S17" s="463"/>
      <c r="T17" s="463">
        <v>0.05</v>
      </c>
      <c r="U17" s="463">
        <v>0.1</v>
      </c>
      <c r="V17" s="463">
        <v>0.1</v>
      </c>
      <c r="W17" s="440"/>
      <c r="X17" s="449"/>
      <c r="Y17" s="461"/>
      <c r="Z17" s="464"/>
    </row>
    <row r="18" spans="1:26" s="439" customFormat="1" ht="19.5" customHeight="1" x14ac:dyDescent="0.2">
      <c r="A18" s="439" t="s">
        <v>92</v>
      </c>
      <c r="B18" s="445" t="s">
        <v>98</v>
      </c>
      <c r="C18" s="439" t="s">
        <v>58</v>
      </c>
      <c r="D18" s="446" t="s">
        <v>126</v>
      </c>
      <c r="E18" s="440"/>
      <c r="F18" s="440">
        <v>4</v>
      </c>
      <c r="G18" s="440">
        <v>380</v>
      </c>
      <c r="H18" s="439">
        <v>10</v>
      </c>
      <c r="I18" s="445">
        <v>5</v>
      </c>
      <c r="J18" s="447"/>
      <c r="K18" s="448"/>
      <c r="L18" s="448"/>
      <c r="M18" s="448"/>
      <c r="N18" s="448"/>
      <c r="O18" s="448"/>
      <c r="P18" s="448"/>
      <c r="Q18" s="448"/>
      <c r="R18" s="448"/>
      <c r="S18" s="448"/>
      <c r="T18" s="448"/>
      <c r="U18" s="448"/>
      <c r="V18" s="448"/>
      <c r="W18" s="440"/>
      <c r="X18" s="449"/>
      <c r="Y18" s="440"/>
      <c r="Z18" s="450"/>
    </row>
    <row r="19" spans="1:26" s="439" customFormat="1" ht="19.5" customHeight="1" x14ac:dyDescent="0.2">
      <c r="A19" s="439" t="s">
        <v>92</v>
      </c>
      <c r="B19" s="445" t="s">
        <v>98</v>
      </c>
      <c r="C19" s="439" t="s">
        <v>58</v>
      </c>
      <c r="D19" s="446" t="s">
        <v>127</v>
      </c>
      <c r="E19" s="440">
        <v>0</v>
      </c>
      <c r="F19" s="440">
        <v>4</v>
      </c>
      <c r="G19" s="440">
        <v>1150</v>
      </c>
      <c r="H19" s="439">
        <v>0</v>
      </c>
      <c r="I19" s="445">
        <f>1.8 * MIN(6, MAX(E19,F19)) + 0.45 * MIN(6, MIN(E19,F19)) + IF(E19&gt;6, (E19-6)*0.2) + IF(F19&gt;6, (F19-6)*0.2)</f>
        <v>7.2</v>
      </c>
      <c r="J19" s="447"/>
      <c r="K19" s="448"/>
      <c r="L19" s="448"/>
      <c r="M19" s="448"/>
      <c r="N19" s="448"/>
      <c r="O19" s="448"/>
      <c r="P19" s="448"/>
      <c r="Q19" s="448"/>
      <c r="R19" s="448"/>
      <c r="S19" s="448"/>
      <c r="T19" s="448"/>
      <c r="U19" s="448"/>
      <c r="V19" s="448"/>
      <c r="W19" s="440"/>
      <c r="X19" s="449"/>
      <c r="Y19" s="440"/>
      <c r="Z19" s="450"/>
    </row>
    <row r="20" spans="1:26" s="454" customFormat="1" ht="19.5" customHeight="1" x14ac:dyDescent="0.2">
      <c r="A20" s="454" t="s">
        <v>92</v>
      </c>
      <c r="B20" s="465" t="s">
        <v>98</v>
      </c>
      <c r="C20" s="454" t="s">
        <v>58</v>
      </c>
      <c r="D20" s="452" t="s">
        <v>128</v>
      </c>
      <c r="E20" s="453">
        <v>3</v>
      </c>
      <c r="F20" s="453">
        <v>1</v>
      </c>
      <c r="G20" s="453">
        <v>1100</v>
      </c>
      <c r="H20" s="454">
        <v>0</v>
      </c>
      <c r="I20" s="445">
        <f>1.8 * MIN(6, MAX(E20,F20)) + 0.45 * MIN(6, MIN(E20,F20)) + IF(E20&gt;6, (E20-6)*0.2) + IF(F20&gt;6, (F20-6)*0.2)</f>
        <v>5.8500000000000005</v>
      </c>
      <c r="J20" s="455"/>
      <c r="K20" s="456"/>
      <c r="L20" s="456"/>
      <c r="M20" s="456"/>
      <c r="N20" s="456"/>
      <c r="O20" s="456"/>
      <c r="P20" s="456"/>
      <c r="Q20" s="456"/>
      <c r="R20" s="456"/>
      <c r="S20" s="456"/>
      <c r="T20" s="456"/>
      <c r="U20" s="456"/>
      <c r="V20" s="456"/>
      <c r="W20" s="453"/>
      <c r="X20" s="457"/>
      <c r="Y20" s="453"/>
      <c r="Z20" s="458"/>
    </row>
    <row r="21" spans="1:26" s="451" customFormat="1" ht="19.5" customHeight="1" x14ac:dyDescent="0.2">
      <c r="A21" s="451" t="s">
        <v>93</v>
      </c>
      <c r="B21" s="459" t="s">
        <v>98</v>
      </c>
      <c r="C21" s="451" t="s">
        <v>256</v>
      </c>
      <c r="D21" s="460" t="s">
        <v>129</v>
      </c>
      <c r="E21" s="461">
        <v>3</v>
      </c>
      <c r="F21" s="461"/>
      <c r="G21" s="461">
        <v>275</v>
      </c>
      <c r="H21" s="451">
        <v>15</v>
      </c>
      <c r="I21" s="459">
        <v>5</v>
      </c>
      <c r="J21" s="462">
        <v>0.05</v>
      </c>
      <c r="K21" s="463"/>
      <c r="L21" s="463"/>
      <c r="M21" s="463"/>
      <c r="N21" s="463"/>
      <c r="O21" s="463"/>
      <c r="P21" s="463"/>
      <c r="Q21" s="463"/>
      <c r="R21" s="463">
        <v>-0.3</v>
      </c>
      <c r="S21" s="463"/>
      <c r="T21" s="463"/>
      <c r="U21" s="463">
        <v>0.3</v>
      </c>
      <c r="V21" s="463"/>
      <c r="W21" s="440"/>
      <c r="X21" s="449"/>
      <c r="Y21" s="461"/>
      <c r="Z21" s="464"/>
    </row>
    <row r="22" spans="1:26" s="439" customFormat="1" ht="19.5" customHeight="1" x14ac:dyDescent="0.2">
      <c r="A22" s="439" t="s">
        <v>93</v>
      </c>
      <c r="B22" s="445" t="s">
        <v>98</v>
      </c>
      <c r="C22" s="439" t="s">
        <v>256</v>
      </c>
      <c r="D22" s="446" t="s">
        <v>130</v>
      </c>
      <c r="E22" s="440"/>
      <c r="F22" s="440">
        <v>3</v>
      </c>
      <c r="G22" s="440">
        <v>300</v>
      </c>
      <c r="H22" s="439">
        <v>0</v>
      </c>
      <c r="I22" s="445">
        <v>5</v>
      </c>
      <c r="J22" s="447"/>
      <c r="K22" s="448"/>
      <c r="L22" s="448"/>
      <c r="M22" s="448"/>
      <c r="N22" s="448"/>
      <c r="O22" s="448"/>
      <c r="P22" s="448"/>
      <c r="Q22" s="448"/>
      <c r="R22" s="448"/>
      <c r="S22" s="448"/>
      <c r="T22" s="448"/>
      <c r="U22" s="448"/>
      <c r="V22" s="448"/>
      <c r="W22" s="440"/>
      <c r="X22" s="449"/>
      <c r="Y22" s="440"/>
      <c r="Z22" s="450"/>
    </row>
    <row r="23" spans="1:26" s="439" customFormat="1" ht="19.5" customHeight="1" x14ac:dyDescent="0.2">
      <c r="A23" s="439" t="s">
        <v>93</v>
      </c>
      <c r="B23" s="445" t="s">
        <v>98</v>
      </c>
      <c r="C23" s="439" t="s">
        <v>256</v>
      </c>
      <c r="D23" s="446" t="s">
        <v>132</v>
      </c>
      <c r="E23" s="440">
        <v>2</v>
      </c>
      <c r="F23" s="440">
        <v>4</v>
      </c>
      <c r="G23" s="440">
        <v>900</v>
      </c>
      <c r="H23" s="439">
        <v>30</v>
      </c>
      <c r="I23" s="445">
        <v>8.1</v>
      </c>
      <c r="J23" s="447"/>
      <c r="K23" s="440"/>
      <c r="L23" s="440"/>
      <c r="M23" s="440"/>
      <c r="N23" s="440"/>
      <c r="O23" s="440"/>
      <c r="P23" s="440"/>
      <c r="Q23" s="448"/>
      <c r="R23" s="448"/>
      <c r="S23" s="448"/>
      <c r="T23" s="448"/>
      <c r="U23" s="448"/>
      <c r="V23" s="448"/>
      <c r="W23" s="440"/>
      <c r="X23" s="449"/>
      <c r="Y23" s="440"/>
      <c r="Z23" s="450"/>
    </row>
    <row r="24" spans="1:26" s="454" customFormat="1" ht="19.5" customHeight="1" x14ac:dyDescent="0.2">
      <c r="A24" s="454" t="s">
        <v>93</v>
      </c>
      <c r="B24" s="465" t="s">
        <v>98</v>
      </c>
      <c r="C24" s="454" t="s">
        <v>256</v>
      </c>
      <c r="D24" s="446" t="s">
        <v>131</v>
      </c>
      <c r="E24" s="440">
        <v>5</v>
      </c>
      <c r="F24" s="440">
        <v>3</v>
      </c>
      <c r="G24" s="440">
        <v>900</v>
      </c>
      <c r="H24" s="439">
        <v>25</v>
      </c>
      <c r="I24" s="445">
        <f>1.8 * MIN(6, MAX(E24,F24)) + 0.45 * MIN(6, MIN(E24,F24)) + IF(E24&gt;6, (E24-6)*0.2) + IF(F24&gt;6, (F24-6)*0.2)</f>
        <v>10.35</v>
      </c>
      <c r="J24" s="455"/>
      <c r="K24" s="456"/>
      <c r="L24" s="456"/>
      <c r="M24" s="456"/>
      <c r="N24" s="456"/>
      <c r="O24" s="456"/>
      <c r="P24" s="456"/>
      <c r="Q24" s="456"/>
      <c r="R24" s="456"/>
      <c r="S24" s="456"/>
      <c r="T24" s="456"/>
      <c r="U24" s="456"/>
      <c r="V24" s="456"/>
      <c r="W24" s="453"/>
      <c r="X24" s="457"/>
      <c r="Y24" s="453"/>
      <c r="Z24" s="458"/>
    </row>
    <row r="25" spans="1:26" s="451" customFormat="1" ht="19.5" customHeight="1" x14ac:dyDescent="0.2">
      <c r="A25" s="451" t="s">
        <v>94</v>
      </c>
      <c r="B25" s="459" t="s">
        <v>98</v>
      </c>
      <c r="C25" s="451" t="s">
        <v>257</v>
      </c>
      <c r="D25" s="460" t="s">
        <v>133</v>
      </c>
      <c r="E25" s="461">
        <v>4</v>
      </c>
      <c r="F25" s="461"/>
      <c r="G25" s="461">
        <v>200</v>
      </c>
      <c r="H25" s="451">
        <v>50</v>
      </c>
      <c r="I25" s="459">
        <v>5</v>
      </c>
      <c r="J25" s="462">
        <v>-0.05</v>
      </c>
      <c r="K25" s="463"/>
      <c r="L25" s="463"/>
      <c r="M25" s="463"/>
      <c r="N25" s="463"/>
      <c r="O25" s="463"/>
      <c r="P25" s="463"/>
      <c r="Q25" s="463">
        <v>0.05</v>
      </c>
      <c r="R25" s="463">
        <v>-0.2</v>
      </c>
      <c r="S25" s="463"/>
      <c r="T25" s="462">
        <v>7.4999999999999997E-2</v>
      </c>
      <c r="U25" s="463"/>
      <c r="V25" s="463"/>
      <c r="W25" s="440"/>
      <c r="X25" s="449"/>
      <c r="Y25" s="461"/>
      <c r="Z25" s="464"/>
    </row>
    <row r="26" spans="1:26" s="439" customFormat="1" ht="19.5" customHeight="1" x14ac:dyDescent="0.2">
      <c r="A26" s="439" t="s">
        <v>94</v>
      </c>
      <c r="B26" s="445" t="s">
        <v>98</v>
      </c>
      <c r="C26" s="439" t="s">
        <v>257</v>
      </c>
      <c r="D26" s="446" t="s">
        <v>134</v>
      </c>
      <c r="E26" s="440"/>
      <c r="F26" s="440">
        <v>3</v>
      </c>
      <c r="G26" s="440">
        <v>300</v>
      </c>
      <c r="H26" s="439">
        <v>5</v>
      </c>
      <c r="I26" s="445">
        <v>5</v>
      </c>
      <c r="J26" s="447"/>
      <c r="K26" s="448"/>
      <c r="L26" s="448"/>
      <c r="M26" s="448"/>
      <c r="N26" s="448"/>
      <c r="O26" s="448"/>
      <c r="P26" s="448"/>
      <c r="Q26" s="448"/>
      <c r="R26" s="448"/>
      <c r="S26" s="448"/>
      <c r="T26" s="448"/>
      <c r="U26" s="448"/>
      <c r="V26" s="448"/>
      <c r="W26" s="440"/>
      <c r="X26" s="449"/>
      <c r="Y26" s="440"/>
      <c r="Z26" s="450"/>
    </row>
    <row r="27" spans="1:26" s="439" customFormat="1" ht="19.5" customHeight="1" x14ac:dyDescent="0.2">
      <c r="A27" s="439" t="s">
        <v>94</v>
      </c>
      <c r="B27" s="445" t="s">
        <v>98</v>
      </c>
      <c r="C27" s="439" t="s">
        <v>257</v>
      </c>
      <c r="D27" s="446" t="s">
        <v>135</v>
      </c>
      <c r="E27" s="440">
        <v>2</v>
      </c>
      <c r="F27" s="440">
        <v>4</v>
      </c>
      <c r="G27" s="440">
        <v>675</v>
      </c>
      <c r="H27" s="439">
        <v>330</v>
      </c>
      <c r="I27" s="445">
        <f>1.8 * MIN(6, MAX(E27,F27)) + 0.45 * MIN(6, MIN(E27,F27)) + IF(E27&gt;6, (E27-6)*0.2) + IF(F27&gt;6, (F27-6)*0.2)</f>
        <v>8.1</v>
      </c>
      <c r="J27" s="447"/>
      <c r="K27" s="448"/>
      <c r="L27" s="448"/>
      <c r="M27" s="448"/>
      <c r="N27" s="448"/>
      <c r="O27" s="448"/>
      <c r="P27" s="448"/>
      <c r="Q27" s="448"/>
      <c r="R27" s="448"/>
      <c r="S27" s="448"/>
      <c r="T27" s="448"/>
      <c r="U27" s="448"/>
      <c r="V27" s="448"/>
      <c r="W27" s="440"/>
      <c r="X27" s="449"/>
      <c r="Y27" s="440"/>
      <c r="Z27" s="450"/>
    </row>
    <row r="28" spans="1:26" s="454" customFormat="1" ht="19.5" customHeight="1" x14ac:dyDescent="0.2">
      <c r="A28" s="454" t="s">
        <v>94</v>
      </c>
      <c r="B28" s="465" t="s">
        <v>98</v>
      </c>
      <c r="C28" s="454" t="s">
        <v>257</v>
      </c>
      <c r="D28" s="452" t="s">
        <v>136</v>
      </c>
      <c r="E28" s="453">
        <v>6.5</v>
      </c>
      <c r="F28" s="453">
        <v>3</v>
      </c>
      <c r="G28" s="453">
        <v>725</v>
      </c>
      <c r="H28" s="454">
        <v>550</v>
      </c>
      <c r="I28" s="445">
        <f>1.8 * MIN(6, MAX(E28,F28)) + 0.45 * MIN(6, MIN(E28,F28)) + IF(E28&gt;6, (E28-6)*0.2) + IF(F28&gt;6, (F28-6)*0.2)</f>
        <v>12.25</v>
      </c>
      <c r="J28" s="455"/>
      <c r="K28" s="456"/>
      <c r="L28" s="456"/>
      <c r="M28" s="456"/>
      <c r="N28" s="456"/>
      <c r="O28" s="456"/>
      <c r="P28" s="456"/>
      <c r="Q28" s="456"/>
      <c r="R28" s="456"/>
      <c r="S28" s="456"/>
      <c r="T28" s="456"/>
      <c r="U28" s="456"/>
      <c r="V28" s="456"/>
      <c r="W28" s="453"/>
      <c r="X28" s="457"/>
      <c r="Y28" s="453"/>
      <c r="Z28" s="458"/>
    </row>
    <row r="29" spans="1:26" s="451" customFormat="1" ht="19.5" customHeight="1" x14ac:dyDescent="0.2">
      <c r="A29" s="451" t="s">
        <v>95</v>
      </c>
      <c r="B29" s="459" t="s">
        <v>98</v>
      </c>
      <c r="C29" s="451" t="s">
        <v>62</v>
      </c>
      <c r="D29" s="460" t="s">
        <v>137</v>
      </c>
      <c r="E29" s="461">
        <v>3</v>
      </c>
      <c r="F29" s="461"/>
      <c r="G29" s="461">
        <v>275</v>
      </c>
      <c r="H29" s="451">
        <v>0</v>
      </c>
      <c r="I29" s="459">
        <v>5</v>
      </c>
      <c r="J29" s="462"/>
      <c r="K29" s="463"/>
      <c r="L29" s="463"/>
      <c r="M29" s="463">
        <v>0.15</v>
      </c>
      <c r="N29" s="463">
        <v>-0.15</v>
      </c>
      <c r="O29" s="463"/>
      <c r="P29" s="463"/>
      <c r="Q29" s="463"/>
      <c r="R29" s="463"/>
      <c r="S29" s="463"/>
      <c r="T29" s="463">
        <v>0.05</v>
      </c>
      <c r="U29" s="463"/>
      <c r="V29" s="463"/>
      <c r="W29" s="440"/>
      <c r="X29" s="449"/>
      <c r="Y29" s="461"/>
      <c r="Z29" s="464"/>
    </row>
    <row r="30" spans="1:26" s="439" customFormat="1" ht="19.5" customHeight="1" x14ac:dyDescent="0.2">
      <c r="A30" s="439" t="s">
        <v>95</v>
      </c>
      <c r="B30" s="445" t="s">
        <v>98</v>
      </c>
      <c r="C30" s="439" t="s">
        <v>62</v>
      </c>
      <c r="D30" s="446" t="s">
        <v>139</v>
      </c>
      <c r="E30" s="440"/>
      <c r="F30" s="440">
        <v>3</v>
      </c>
      <c r="G30" s="440">
        <v>300</v>
      </c>
      <c r="H30" s="439">
        <v>0</v>
      </c>
      <c r="I30" s="445">
        <v>5</v>
      </c>
      <c r="J30" s="447"/>
      <c r="K30" s="448"/>
      <c r="L30" s="448"/>
      <c r="M30" s="448"/>
      <c r="N30" s="448"/>
      <c r="O30" s="448"/>
      <c r="P30" s="448"/>
      <c r="Q30" s="448"/>
      <c r="R30" s="448"/>
      <c r="S30" s="448"/>
      <c r="T30" s="448"/>
      <c r="U30" s="448"/>
      <c r="V30" s="448"/>
      <c r="W30" s="440"/>
      <c r="X30" s="449"/>
      <c r="Y30" s="440"/>
      <c r="Z30" s="450"/>
    </row>
    <row r="31" spans="1:26" s="439" customFormat="1" ht="19.5" customHeight="1" x14ac:dyDescent="0.2">
      <c r="A31" s="439" t="s">
        <v>95</v>
      </c>
      <c r="B31" s="445" t="s">
        <v>98</v>
      </c>
      <c r="C31" s="439" t="s">
        <v>62</v>
      </c>
      <c r="D31" s="446" t="s">
        <v>140</v>
      </c>
      <c r="E31" s="440">
        <v>0</v>
      </c>
      <c r="F31" s="440">
        <v>7</v>
      </c>
      <c r="G31" s="440">
        <v>1350</v>
      </c>
      <c r="H31" s="439">
        <v>0</v>
      </c>
      <c r="I31" s="445">
        <v>11</v>
      </c>
      <c r="J31" s="447"/>
      <c r="K31" s="440"/>
      <c r="L31" s="440"/>
      <c r="M31" s="440"/>
      <c r="N31" s="440"/>
      <c r="O31" s="440"/>
      <c r="P31" s="440"/>
      <c r="Q31" s="448"/>
      <c r="R31" s="448"/>
      <c r="S31" s="448"/>
      <c r="T31" s="448"/>
      <c r="U31" s="448"/>
      <c r="V31" s="448"/>
      <c r="W31" s="440"/>
      <c r="X31" s="449"/>
      <c r="Y31" s="440"/>
      <c r="Z31" s="450"/>
    </row>
    <row r="32" spans="1:26" s="454" customFormat="1" ht="19.5" customHeight="1" x14ac:dyDescent="0.2">
      <c r="A32" s="454" t="s">
        <v>95</v>
      </c>
      <c r="B32" s="465" t="s">
        <v>98</v>
      </c>
      <c r="C32" s="454" t="s">
        <v>62</v>
      </c>
      <c r="D32" s="446" t="s">
        <v>138</v>
      </c>
      <c r="E32" s="440">
        <v>4</v>
      </c>
      <c r="F32" s="440">
        <v>2</v>
      </c>
      <c r="G32" s="440">
        <v>600</v>
      </c>
      <c r="H32" s="439">
        <v>0</v>
      </c>
      <c r="I32" s="445">
        <f>1.8 * MIN(6, MAX(E32,F32)) + 0.45 * MIN(6, MIN(E32,F32)) + IF(E32&gt;6, (E32-6)*0.2) + IF(F32&gt;6, (F32-6)*0.2)</f>
        <v>8.1</v>
      </c>
      <c r="J32" s="455"/>
      <c r="K32" s="456"/>
      <c r="L32" s="456"/>
      <c r="M32" s="456"/>
      <c r="N32" s="456"/>
      <c r="O32" s="456"/>
      <c r="P32" s="456"/>
      <c r="Q32" s="456"/>
      <c r="R32" s="456"/>
      <c r="S32" s="456"/>
      <c r="T32" s="456"/>
      <c r="U32" s="456"/>
      <c r="V32" s="456"/>
      <c r="W32" s="453"/>
      <c r="X32" s="457"/>
      <c r="Y32" s="453"/>
      <c r="Z32" s="458"/>
    </row>
    <row r="33" spans="1:26" s="451" customFormat="1" ht="19.5" customHeight="1" x14ac:dyDescent="0.2">
      <c r="A33" s="451" t="s">
        <v>96</v>
      </c>
      <c r="B33" s="459" t="s">
        <v>98</v>
      </c>
      <c r="C33" s="451" t="s">
        <v>58</v>
      </c>
      <c r="D33" s="460" t="s">
        <v>141</v>
      </c>
      <c r="E33" s="461">
        <v>3</v>
      </c>
      <c r="F33" s="461"/>
      <c r="G33" s="461">
        <v>275</v>
      </c>
      <c r="H33" s="451">
        <v>0</v>
      </c>
      <c r="I33" s="459">
        <v>5</v>
      </c>
      <c r="J33" s="462"/>
      <c r="K33" s="463"/>
      <c r="L33" s="463"/>
      <c r="M33" s="463">
        <v>0.1</v>
      </c>
      <c r="N33" s="463">
        <v>0.2</v>
      </c>
      <c r="O33" s="463"/>
      <c r="P33" s="463"/>
      <c r="Q33" s="463"/>
      <c r="R33" s="463"/>
      <c r="S33" s="463"/>
      <c r="T33" s="463"/>
      <c r="U33" s="463"/>
      <c r="V33" s="463"/>
      <c r="W33" s="440"/>
      <c r="X33" s="449"/>
      <c r="Y33" s="461"/>
      <c r="Z33" s="464"/>
    </row>
    <row r="34" spans="1:26" s="439" customFormat="1" ht="19.5" customHeight="1" x14ac:dyDescent="0.2">
      <c r="A34" s="439" t="s">
        <v>96</v>
      </c>
      <c r="B34" s="445" t="s">
        <v>98</v>
      </c>
      <c r="C34" s="439" t="s">
        <v>58</v>
      </c>
      <c r="D34" s="446" t="s">
        <v>142</v>
      </c>
      <c r="E34" s="440"/>
      <c r="F34" s="440">
        <v>3</v>
      </c>
      <c r="G34" s="440">
        <v>300</v>
      </c>
      <c r="H34" s="439">
        <v>0</v>
      </c>
      <c r="I34" s="445">
        <v>5</v>
      </c>
      <c r="J34" s="447"/>
      <c r="K34" s="448"/>
      <c r="L34" s="448"/>
      <c r="M34" s="448"/>
      <c r="N34" s="448"/>
      <c r="O34" s="448"/>
      <c r="P34" s="448"/>
      <c r="Q34" s="448"/>
      <c r="R34" s="448"/>
      <c r="S34" s="448"/>
      <c r="T34" s="448"/>
      <c r="U34" s="448"/>
      <c r="V34" s="448"/>
      <c r="W34" s="440"/>
      <c r="X34" s="449"/>
      <c r="Y34" s="440"/>
      <c r="Z34" s="450"/>
    </row>
    <row r="35" spans="1:26" s="439" customFormat="1" ht="19.5" customHeight="1" x14ac:dyDescent="0.2">
      <c r="A35" s="439" t="s">
        <v>96</v>
      </c>
      <c r="B35" s="445" t="s">
        <v>98</v>
      </c>
      <c r="C35" s="439" t="s">
        <v>58</v>
      </c>
      <c r="D35" s="446" t="s">
        <v>143</v>
      </c>
      <c r="E35" s="440">
        <v>0</v>
      </c>
      <c r="F35" s="440">
        <v>3</v>
      </c>
      <c r="G35" s="440">
        <v>1050</v>
      </c>
      <c r="H35" s="439">
        <v>0</v>
      </c>
      <c r="I35" s="445">
        <f>1.8 * MIN(6, MAX(E35,F35)) + 0.45 * MIN(6, MIN(E35,F35)) + IF(E35&gt;6, (E35-6)*0.2) + IF(F35&gt;6, (F35-6)*0.2)</f>
        <v>5.4</v>
      </c>
      <c r="J35" s="447"/>
      <c r="K35" s="448"/>
      <c r="L35" s="448"/>
      <c r="M35" s="448"/>
      <c r="N35" s="448"/>
      <c r="O35" s="448"/>
      <c r="P35" s="448"/>
      <c r="Q35" s="448"/>
      <c r="R35" s="448"/>
      <c r="S35" s="448"/>
      <c r="T35" s="448"/>
      <c r="U35" s="448"/>
      <c r="V35" s="448"/>
      <c r="W35" s="440"/>
      <c r="X35" s="449"/>
      <c r="Y35" s="440"/>
      <c r="Z35" s="450"/>
    </row>
    <row r="36" spans="1:26" s="454" customFormat="1" ht="19.5" customHeight="1" x14ac:dyDescent="0.2">
      <c r="A36" s="454" t="s">
        <v>96</v>
      </c>
      <c r="B36" s="465" t="s">
        <v>98</v>
      </c>
      <c r="C36" s="454" t="s">
        <v>58</v>
      </c>
      <c r="D36" s="452" t="s">
        <v>144</v>
      </c>
      <c r="E36" s="453">
        <v>5.5</v>
      </c>
      <c r="F36" s="453">
        <v>2</v>
      </c>
      <c r="G36" s="453">
        <v>900</v>
      </c>
      <c r="H36" s="454">
        <v>20</v>
      </c>
      <c r="I36" s="445">
        <f>1.8 * MIN(6, MAX(E36,F36)) + 0.45 * MIN(6, MIN(E36,F36)) + IF(E36&gt;6, (E36-6)*0.2) + IF(F36&gt;6, (F36-6)*0.2)</f>
        <v>10.8</v>
      </c>
      <c r="J36" s="455"/>
      <c r="K36" s="456"/>
      <c r="L36" s="456"/>
      <c r="M36" s="456"/>
      <c r="N36" s="456"/>
      <c r="O36" s="456"/>
      <c r="P36" s="456"/>
      <c r="Q36" s="456"/>
      <c r="R36" s="456"/>
      <c r="S36" s="456"/>
      <c r="T36" s="456"/>
      <c r="U36" s="456"/>
      <c r="V36" s="456"/>
      <c r="W36" s="453"/>
      <c r="X36" s="457"/>
      <c r="Y36" s="453"/>
      <c r="Z36" s="458"/>
    </row>
    <row r="37" spans="1:26" s="451" customFormat="1" ht="19.5" customHeight="1" x14ac:dyDescent="0.2">
      <c r="A37" s="451" t="s">
        <v>97</v>
      </c>
      <c r="B37" s="459" t="s">
        <v>30</v>
      </c>
      <c r="C37" s="451" t="s">
        <v>256</v>
      </c>
      <c r="D37" s="460" t="s">
        <v>145</v>
      </c>
      <c r="E37" s="461">
        <v>3</v>
      </c>
      <c r="F37" s="461"/>
      <c r="G37" s="461">
        <v>325</v>
      </c>
      <c r="H37" s="451">
        <v>25</v>
      </c>
      <c r="I37" s="459">
        <v>5</v>
      </c>
      <c r="J37" s="462">
        <v>0.2</v>
      </c>
      <c r="K37" s="463"/>
      <c r="L37" s="463"/>
      <c r="M37" s="463"/>
      <c r="N37" s="463"/>
      <c r="O37" s="463"/>
      <c r="P37" s="463"/>
      <c r="Q37" s="463"/>
      <c r="R37" s="463"/>
      <c r="S37" s="463"/>
      <c r="T37" s="463"/>
      <c r="U37" s="463"/>
      <c r="V37" s="463"/>
      <c r="W37" s="448">
        <v>0.15</v>
      </c>
      <c r="X37" s="449"/>
      <c r="Y37" s="461"/>
      <c r="Z37" s="464"/>
    </row>
    <row r="38" spans="1:26" s="439" customFormat="1" ht="19.5" customHeight="1" x14ac:dyDescent="0.2">
      <c r="A38" s="439" t="s">
        <v>97</v>
      </c>
      <c r="B38" s="445" t="s">
        <v>30</v>
      </c>
      <c r="C38" s="439" t="s">
        <v>256</v>
      </c>
      <c r="D38" s="446" t="s">
        <v>146</v>
      </c>
      <c r="E38" s="440"/>
      <c r="F38" s="440">
        <v>3</v>
      </c>
      <c r="G38" s="440">
        <v>375</v>
      </c>
      <c r="H38" s="439">
        <v>15</v>
      </c>
      <c r="I38" s="445">
        <v>5</v>
      </c>
      <c r="J38" s="447"/>
      <c r="K38" s="448"/>
      <c r="L38" s="448"/>
      <c r="M38" s="448"/>
      <c r="N38" s="448"/>
      <c r="O38" s="448"/>
      <c r="P38" s="448"/>
      <c r="Q38" s="448"/>
      <c r="R38" s="448"/>
      <c r="S38" s="448"/>
      <c r="T38" s="448"/>
      <c r="U38" s="448"/>
      <c r="V38" s="448"/>
      <c r="W38" s="440"/>
      <c r="X38" s="449"/>
      <c r="Y38" s="440"/>
      <c r="Z38" s="450"/>
    </row>
    <row r="39" spans="1:26" s="439" customFormat="1" ht="19.5" customHeight="1" x14ac:dyDescent="0.2">
      <c r="A39" s="439" t="s">
        <v>97</v>
      </c>
      <c r="B39" s="445" t="s">
        <v>30</v>
      </c>
      <c r="C39" s="439" t="s">
        <v>256</v>
      </c>
      <c r="D39" s="446" t="s">
        <v>367</v>
      </c>
      <c r="E39" s="440">
        <v>5</v>
      </c>
      <c r="F39" s="440">
        <v>3</v>
      </c>
      <c r="G39" s="440">
        <v>1050</v>
      </c>
      <c r="H39" s="439">
        <v>80</v>
      </c>
      <c r="I39" s="445">
        <f>1.8 * MIN(6, MAX(E39,F39)) + 0.45 * MIN(6, MIN(E39,F39)) + IF(E39&gt;6, (E39-6)*0.2) + IF(F39&gt;6, (F39-6)*0.2)</f>
        <v>10.35</v>
      </c>
      <c r="J39" s="447"/>
      <c r="K39" s="448"/>
      <c r="L39" s="448"/>
      <c r="M39" s="448"/>
      <c r="N39" s="448"/>
      <c r="O39" s="448"/>
      <c r="P39" s="448"/>
      <c r="Q39" s="448"/>
      <c r="R39" s="448"/>
      <c r="S39" s="448"/>
      <c r="T39" s="448"/>
      <c r="U39" s="448"/>
      <c r="V39" s="448"/>
      <c r="W39" s="440"/>
      <c r="X39" s="449"/>
      <c r="Y39" s="440"/>
      <c r="Z39" s="450"/>
    </row>
    <row r="40" spans="1:26" s="454" customFormat="1" ht="19.5" customHeight="1" x14ac:dyDescent="0.2">
      <c r="A40" s="454" t="s">
        <v>97</v>
      </c>
      <c r="B40" s="465" t="s">
        <v>30</v>
      </c>
      <c r="C40" s="454" t="s">
        <v>256</v>
      </c>
      <c r="D40" s="452" t="s">
        <v>148</v>
      </c>
      <c r="E40" s="453">
        <v>6</v>
      </c>
      <c r="F40" s="453">
        <v>2</v>
      </c>
      <c r="G40" s="453">
        <v>1300</v>
      </c>
      <c r="H40" s="454">
        <v>130</v>
      </c>
      <c r="I40" s="445">
        <f>1.8 * MIN(6, MAX(E40,F40)) + 0.45 * MIN(6, MIN(E40,F40)) + IF(E40&gt;6, (E40-6)*0.2) + IF(F40&gt;6, (F40-6)*0.2)</f>
        <v>11.700000000000001</v>
      </c>
      <c r="J40" s="455"/>
      <c r="K40" s="456"/>
      <c r="L40" s="456"/>
      <c r="M40" s="456"/>
      <c r="N40" s="456"/>
      <c r="O40" s="456"/>
      <c r="P40" s="456"/>
      <c r="Q40" s="456"/>
      <c r="R40" s="456"/>
      <c r="S40" s="456"/>
      <c r="T40" s="456"/>
      <c r="U40" s="456"/>
      <c r="V40" s="456"/>
      <c r="W40" s="453"/>
      <c r="X40" s="457"/>
      <c r="Y40" s="453"/>
      <c r="Z40" s="458"/>
    </row>
    <row r="41" spans="1:26" s="451" customFormat="1" ht="19.5" customHeight="1" x14ac:dyDescent="0.2">
      <c r="A41" s="451" t="s">
        <v>29</v>
      </c>
      <c r="B41" s="459" t="s">
        <v>30</v>
      </c>
      <c r="C41" s="451" t="s">
        <v>255</v>
      </c>
      <c r="D41" s="460" t="s">
        <v>39</v>
      </c>
      <c r="E41" s="461">
        <v>4</v>
      </c>
      <c r="F41" s="461"/>
      <c r="G41" s="461">
        <v>350</v>
      </c>
      <c r="H41" s="451">
        <v>25</v>
      </c>
      <c r="I41" s="459">
        <v>5</v>
      </c>
      <c r="J41" s="462">
        <v>-0.05</v>
      </c>
      <c r="K41" s="463"/>
      <c r="L41" s="463"/>
      <c r="M41" s="463"/>
      <c r="N41" s="463"/>
      <c r="O41" s="463"/>
      <c r="P41" s="463"/>
      <c r="Q41" s="463"/>
      <c r="R41" s="463">
        <v>0.05</v>
      </c>
      <c r="S41" s="463"/>
      <c r="T41" s="463">
        <v>0.05</v>
      </c>
      <c r="U41" s="463">
        <v>-0.1</v>
      </c>
      <c r="V41" s="463"/>
      <c r="W41" s="440"/>
      <c r="X41" s="449"/>
      <c r="Y41" s="461"/>
      <c r="Z41" s="464"/>
    </row>
    <row r="42" spans="1:26" s="439" customFormat="1" ht="19.5" customHeight="1" x14ac:dyDescent="0.2">
      <c r="A42" s="439" t="s">
        <v>29</v>
      </c>
      <c r="B42" s="445" t="s">
        <v>30</v>
      </c>
      <c r="C42" s="439" t="s">
        <v>255</v>
      </c>
      <c r="D42" s="446" t="s">
        <v>40</v>
      </c>
      <c r="E42" s="440"/>
      <c r="F42" s="440">
        <v>3</v>
      </c>
      <c r="G42" s="440">
        <v>300</v>
      </c>
      <c r="H42" s="439">
        <v>25</v>
      </c>
      <c r="I42" s="445">
        <v>5</v>
      </c>
      <c r="J42" s="447"/>
      <c r="K42" s="448"/>
      <c r="L42" s="448"/>
      <c r="M42" s="448"/>
      <c r="N42" s="448"/>
      <c r="O42" s="448"/>
      <c r="P42" s="448"/>
      <c r="Q42" s="448"/>
      <c r="R42" s="448"/>
      <c r="S42" s="448"/>
      <c r="T42" s="448"/>
      <c r="U42" s="448"/>
      <c r="V42" s="448"/>
      <c r="W42" s="440"/>
      <c r="X42" s="449"/>
      <c r="Y42" s="440"/>
      <c r="Z42" s="450"/>
    </row>
    <row r="43" spans="1:26" s="439" customFormat="1" ht="19.5" customHeight="1" x14ac:dyDescent="0.2">
      <c r="A43" s="439" t="s">
        <v>29</v>
      </c>
      <c r="B43" s="445" t="s">
        <v>30</v>
      </c>
      <c r="C43" s="439" t="s">
        <v>255</v>
      </c>
      <c r="D43" s="446" t="s">
        <v>41</v>
      </c>
      <c r="E43" s="440">
        <v>5</v>
      </c>
      <c r="F43" s="440">
        <v>3</v>
      </c>
      <c r="G43" s="440">
        <v>1000</v>
      </c>
      <c r="H43" s="439">
        <v>100</v>
      </c>
      <c r="I43" s="445">
        <f>1.8 * MIN(6, MAX(E43,F43)) + 0.45 * MIN(6, MIN(E43,F43)) + IF(E43&gt;6, (E43-6)*0.2) + IF(F43&gt;6, (F43-6)*0.2)</f>
        <v>10.35</v>
      </c>
      <c r="J43" s="447"/>
      <c r="K43" s="448"/>
      <c r="L43" s="448"/>
      <c r="M43" s="448"/>
      <c r="N43" s="448"/>
      <c r="O43" s="448"/>
      <c r="P43" s="448"/>
      <c r="Q43" s="448"/>
      <c r="R43" s="448"/>
      <c r="S43" s="448"/>
      <c r="T43" s="448"/>
      <c r="U43" s="448"/>
      <c r="V43" s="448"/>
      <c r="W43" s="440"/>
      <c r="X43" s="449"/>
      <c r="Y43" s="440"/>
      <c r="Z43" s="450"/>
    </row>
    <row r="44" spans="1:26" s="454" customFormat="1" ht="19.5" customHeight="1" x14ac:dyDescent="0.2">
      <c r="A44" s="454" t="s">
        <v>29</v>
      </c>
      <c r="B44" s="465" t="s">
        <v>30</v>
      </c>
      <c r="C44" s="454" t="s">
        <v>255</v>
      </c>
      <c r="D44" s="452" t="s">
        <v>42</v>
      </c>
      <c r="E44" s="453">
        <v>7</v>
      </c>
      <c r="F44" s="453">
        <v>7</v>
      </c>
      <c r="G44" s="453">
        <v>1425</v>
      </c>
      <c r="H44" s="454">
        <v>150</v>
      </c>
      <c r="I44" s="445">
        <f>1.8 * MIN(6, MAX(E44,F44)) + 0.45 * MIN(6, MIN(E44,F44)) + IF(E44&gt;6, (E44-6)*0.2) + IF(F44&gt;6, (F44-6)*0.2)</f>
        <v>13.899999999999999</v>
      </c>
      <c r="J44" s="455"/>
      <c r="K44" s="456"/>
      <c r="L44" s="456"/>
      <c r="M44" s="456"/>
      <c r="N44" s="456"/>
      <c r="O44" s="456"/>
      <c r="P44" s="456"/>
      <c r="Q44" s="456"/>
      <c r="R44" s="456"/>
      <c r="S44" s="456"/>
      <c r="T44" s="456"/>
      <c r="U44" s="456"/>
      <c r="V44" s="456"/>
      <c r="W44" s="453"/>
      <c r="X44" s="457"/>
      <c r="Y44" s="453"/>
      <c r="Z44" s="458"/>
    </row>
    <row r="45" spans="1:26" s="451" customFormat="1" ht="19.5" customHeight="1" x14ac:dyDescent="0.2">
      <c r="A45" s="451" t="s">
        <v>99</v>
      </c>
      <c r="B45" s="459" t="s">
        <v>30</v>
      </c>
      <c r="C45" s="451" t="s">
        <v>254</v>
      </c>
      <c r="D45" s="460" t="s">
        <v>149</v>
      </c>
      <c r="E45" s="461">
        <v>4</v>
      </c>
      <c r="F45" s="461"/>
      <c r="G45" s="461">
        <v>325</v>
      </c>
      <c r="H45" s="451">
        <v>25</v>
      </c>
      <c r="I45" s="459">
        <v>5</v>
      </c>
      <c r="J45" s="462"/>
      <c r="K45" s="463"/>
      <c r="L45" s="463"/>
      <c r="M45" s="463"/>
      <c r="N45" s="463"/>
      <c r="O45" s="463">
        <v>0.05</v>
      </c>
      <c r="P45" s="463"/>
      <c r="Q45" s="463">
        <v>0.05</v>
      </c>
      <c r="R45" s="463"/>
      <c r="S45" s="463"/>
      <c r="T45" s="463"/>
      <c r="U45" s="463"/>
      <c r="V45" s="463">
        <v>0.1</v>
      </c>
      <c r="W45" s="440"/>
      <c r="X45" s="449"/>
      <c r="Y45" s="461"/>
      <c r="Z45" s="464"/>
    </row>
    <row r="46" spans="1:26" s="439" customFormat="1" ht="19.5" customHeight="1" x14ac:dyDescent="0.2">
      <c r="A46" s="439" t="s">
        <v>99</v>
      </c>
      <c r="B46" s="445" t="s">
        <v>30</v>
      </c>
      <c r="C46" s="439" t="s">
        <v>254</v>
      </c>
      <c r="D46" s="446" t="s">
        <v>150</v>
      </c>
      <c r="E46" s="440"/>
      <c r="F46" s="440">
        <v>3</v>
      </c>
      <c r="G46" s="440">
        <v>300</v>
      </c>
      <c r="H46" s="439">
        <v>15</v>
      </c>
      <c r="I46" s="445">
        <v>5</v>
      </c>
      <c r="J46" s="447"/>
      <c r="K46" s="448"/>
      <c r="L46" s="448"/>
      <c r="M46" s="448"/>
      <c r="N46" s="448"/>
      <c r="O46" s="448"/>
      <c r="P46" s="448"/>
      <c r="Q46" s="448"/>
      <c r="R46" s="448"/>
      <c r="S46" s="448"/>
      <c r="T46" s="448"/>
      <c r="U46" s="448"/>
      <c r="V46" s="448"/>
      <c r="W46" s="440"/>
      <c r="X46" s="449"/>
      <c r="Y46" s="440"/>
      <c r="Z46" s="450"/>
    </row>
    <row r="47" spans="1:26" s="439" customFormat="1" ht="19.5" customHeight="1" x14ac:dyDescent="0.2">
      <c r="A47" s="439" t="s">
        <v>99</v>
      </c>
      <c r="B47" s="445" t="s">
        <v>30</v>
      </c>
      <c r="C47" s="439" t="s">
        <v>254</v>
      </c>
      <c r="D47" s="446" t="s">
        <v>151</v>
      </c>
      <c r="E47" s="440">
        <v>2</v>
      </c>
      <c r="F47" s="440">
        <v>4</v>
      </c>
      <c r="G47" s="440">
        <v>1100</v>
      </c>
      <c r="H47" s="439">
        <v>55</v>
      </c>
      <c r="I47" s="445">
        <f>1.8 * MIN(6, MAX(E47,F47)) + 0.45 * MIN(6, MIN(E47,F47)) + IF(E47&gt;6, (E47-6)*0.2) + IF(F47&gt;6, (F47-6)*0.2)</f>
        <v>8.1</v>
      </c>
      <c r="J47" s="447"/>
      <c r="K47" s="448"/>
      <c r="L47" s="448"/>
      <c r="M47" s="448"/>
      <c r="N47" s="448"/>
      <c r="O47" s="448"/>
      <c r="P47" s="448"/>
      <c r="Q47" s="448"/>
      <c r="R47" s="448"/>
      <c r="S47" s="448"/>
      <c r="T47" s="448"/>
      <c r="U47" s="448"/>
      <c r="V47" s="448"/>
      <c r="W47" s="440"/>
      <c r="X47" s="449"/>
      <c r="Y47" s="440"/>
      <c r="Z47" s="450"/>
    </row>
    <row r="48" spans="1:26" s="454" customFormat="1" ht="19.5" customHeight="1" x14ac:dyDescent="0.2">
      <c r="A48" s="454" t="s">
        <v>99</v>
      </c>
      <c r="B48" s="465" t="s">
        <v>30</v>
      </c>
      <c r="C48" s="454" t="s">
        <v>254</v>
      </c>
      <c r="D48" s="452" t="s">
        <v>152</v>
      </c>
      <c r="E48" s="453">
        <v>6</v>
      </c>
      <c r="F48" s="453">
        <v>0</v>
      </c>
      <c r="G48" s="453">
        <v>1050</v>
      </c>
      <c r="H48" s="454">
        <v>55</v>
      </c>
      <c r="I48" s="445">
        <f>1.8 * MIN(6, MAX(E48,F48)) + 0.45 * MIN(6, MIN(E48,F48)) + IF(E48&gt;6, (E48-6)*0.2) + IF(F48&gt;6, (F48-6)*0.2)</f>
        <v>10.8</v>
      </c>
      <c r="J48" s="455"/>
      <c r="K48" s="456"/>
      <c r="L48" s="456"/>
      <c r="M48" s="456"/>
      <c r="N48" s="456"/>
      <c r="O48" s="456"/>
      <c r="P48" s="456"/>
      <c r="Q48" s="456"/>
      <c r="R48" s="456"/>
      <c r="S48" s="456"/>
      <c r="T48" s="456"/>
      <c r="U48" s="456"/>
      <c r="V48" s="456"/>
      <c r="W48" s="453"/>
      <c r="X48" s="457"/>
      <c r="Y48" s="453"/>
      <c r="Z48" s="458"/>
    </row>
    <row r="49" spans="1:26" s="451" customFormat="1" ht="19.5" customHeight="1" x14ac:dyDescent="0.2">
      <c r="A49" s="451" t="s">
        <v>100</v>
      </c>
      <c r="B49" s="459" t="s">
        <v>30</v>
      </c>
      <c r="C49" s="451" t="s">
        <v>60</v>
      </c>
      <c r="D49" s="460" t="s">
        <v>153</v>
      </c>
      <c r="E49" s="461">
        <v>2.5</v>
      </c>
      <c r="F49" s="461"/>
      <c r="G49" s="461">
        <v>225</v>
      </c>
      <c r="H49" s="451">
        <v>0</v>
      </c>
      <c r="I49" s="459">
        <v>5</v>
      </c>
      <c r="J49" s="462">
        <v>0.125</v>
      </c>
      <c r="K49" s="463"/>
      <c r="L49" s="463"/>
      <c r="M49" s="463"/>
      <c r="N49" s="463"/>
      <c r="O49" s="463">
        <v>0.1</v>
      </c>
      <c r="P49" s="463"/>
      <c r="Q49" s="463"/>
      <c r="R49" s="463">
        <v>-0.75</v>
      </c>
      <c r="S49" s="463"/>
      <c r="T49" s="463"/>
      <c r="U49" s="463"/>
      <c r="V49" s="463"/>
      <c r="W49" s="440"/>
      <c r="X49" s="449"/>
      <c r="Y49" s="461"/>
      <c r="Z49" s="464"/>
    </row>
    <row r="50" spans="1:26" s="439" customFormat="1" ht="19.5" customHeight="1" x14ac:dyDescent="0.2">
      <c r="A50" s="439" t="s">
        <v>100</v>
      </c>
      <c r="B50" s="445" t="s">
        <v>30</v>
      </c>
      <c r="C50" s="439" t="s">
        <v>60</v>
      </c>
      <c r="D50" s="446" t="s">
        <v>154</v>
      </c>
      <c r="E50" s="440"/>
      <c r="F50" s="440">
        <v>2.5</v>
      </c>
      <c r="G50" s="440">
        <v>225</v>
      </c>
      <c r="H50" s="439">
        <v>0</v>
      </c>
      <c r="I50" s="445">
        <v>5</v>
      </c>
      <c r="J50" s="447"/>
      <c r="K50" s="448"/>
      <c r="L50" s="448"/>
      <c r="M50" s="448"/>
      <c r="N50" s="448"/>
      <c r="O50" s="448"/>
      <c r="P50" s="448"/>
      <c r="Q50" s="448"/>
      <c r="R50" s="448"/>
      <c r="S50" s="448"/>
      <c r="T50" s="448"/>
      <c r="U50" s="448"/>
      <c r="V50" s="448"/>
      <c r="W50" s="440"/>
      <c r="X50" s="449"/>
      <c r="Y50" s="440"/>
      <c r="Z50" s="450"/>
    </row>
    <row r="51" spans="1:26" s="439" customFormat="1" ht="19.5" customHeight="1" x14ac:dyDescent="0.2">
      <c r="A51" s="439" t="s">
        <v>100</v>
      </c>
      <c r="B51" s="445" t="s">
        <v>30</v>
      </c>
      <c r="C51" s="439" t="s">
        <v>60</v>
      </c>
      <c r="D51" s="446" t="s">
        <v>155</v>
      </c>
      <c r="E51" s="440">
        <v>2</v>
      </c>
      <c r="F51" s="440">
        <v>4</v>
      </c>
      <c r="G51" s="440">
        <v>880</v>
      </c>
      <c r="H51" s="439">
        <v>0</v>
      </c>
      <c r="I51" s="445">
        <f>1.8 * MIN(6, MAX(E51,F51)) + 0.45 * MIN(6, MIN(E51,F51)) + IF(E51&gt;6, (E51-6)*0.2) + IF(F51&gt;6, (F51-6)*0.2)</f>
        <v>8.1</v>
      </c>
      <c r="J51" s="447"/>
      <c r="K51" s="448"/>
      <c r="L51" s="448"/>
      <c r="M51" s="448"/>
      <c r="N51" s="448"/>
      <c r="O51" s="448"/>
      <c r="P51" s="448"/>
      <c r="Q51" s="448"/>
      <c r="R51" s="448"/>
      <c r="S51" s="448"/>
      <c r="T51" s="448"/>
      <c r="U51" s="448"/>
      <c r="V51" s="448"/>
      <c r="W51" s="440"/>
      <c r="X51" s="449"/>
      <c r="Y51" s="440"/>
      <c r="Z51" s="450"/>
    </row>
    <row r="52" spans="1:26" s="454" customFormat="1" ht="19.5" customHeight="1" x14ac:dyDescent="0.2">
      <c r="A52" s="454" t="s">
        <v>100</v>
      </c>
      <c r="B52" s="465" t="s">
        <v>30</v>
      </c>
      <c r="C52" s="454" t="s">
        <v>60</v>
      </c>
      <c r="D52" s="452" t="s">
        <v>386</v>
      </c>
      <c r="E52" s="453">
        <v>4</v>
      </c>
      <c r="F52" s="453">
        <v>3</v>
      </c>
      <c r="G52" s="453">
        <v>1000</v>
      </c>
      <c r="H52" s="454">
        <v>0</v>
      </c>
      <c r="I52" s="445">
        <f>1.8 * MIN(6, MAX(E52,F52)) + 0.45 * MIN(6, MIN(E52,F52)) + IF(E52&gt;6, (E52-6)*0.2) + IF(F52&gt;6, (F52-6)*0.2)</f>
        <v>8.5500000000000007</v>
      </c>
      <c r="J52" s="455"/>
      <c r="K52" s="456"/>
      <c r="L52" s="456"/>
      <c r="M52" s="456"/>
      <c r="N52" s="456"/>
      <c r="O52" s="456"/>
      <c r="P52" s="456"/>
      <c r="Q52" s="456"/>
      <c r="R52" s="456"/>
      <c r="S52" s="456"/>
      <c r="T52" s="456"/>
      <c r="U52" s="456"/>
      <c r="V52" s="456"/>
      <c r="W52" s="453"/>
      <c r="X52" s="457"/>
      <c r="Y52" s="453"/>
      <c r="Z52" s="458"/>
    </row>
    <row r="53" spans="1:26" s="451" customFormat="1" ht="19.5" customHeight="1" x14ac:dyDescent="0.2">
      <c r="A53" s="451" t="s">
        <v>101</v>
      </c>
      <c r="B53" s="459" t="s">
        <v>98</v>
      </c>
      <c r="C53" s="451" t="s">
        <v>60</v>
      </c>
      <c r="D53" s="460" t="s">
        <v>156</v>
      </c>
      <c r="E53" s="461">
        <v>2.5</v>
      </c>
      <c r="F53" s="461"/>
      <c r="G53" s="461">
        <v>225</v>
      </c>
      <c r="H53" s="451">
        <v>0</v>
      </c>
      <c r="I53" s="459">
        <v>5</v>
      </c>
      <c r="J53" s="462">
        <v>0.125</v>
      </c>
      <c r="K53" s="463"/>
      <c r="L53" s="463"/>
      <c r="M53" s="463"/>
      <c r="N53" s="463"/>
      <c r="O53" s="463"/>
      <c r="P53" s="463"/>
      <c r="Q53" s="463"/>
      <c r="R53" s="463">
        <v>-0.8</v>
      </c>
      <c r="S53" s="463"/>
      <c r="T53" s="463"/>
      <c r="U53" s="463"/>
      <c r="V53" s="463"/>
      <c r="W53" s="440"/>
      <c r="X53" s="449"/>
      <c r="Y53" s="461"/>
      <c r="Z53" s="464"/>
    </row>
    <row r="54" spans="1:26" s="439" customFormat="1" ht="19.5" customHeight="1" x14ac:dyDescent="0.2">
      <c r="A54" s="439" t="s">
        <v>101</v>
      </c>
      <c r="B54" s="445" t="s">
        <v>98</v>
      </c>
      <c r="C54" s="439" t="s">
        <v>60</v>
      </c>
      <c r="D54" s="446" t="s">
        <v>157</v>
      </c>
      <c r="E54" s="440"/>
      <c r="F54" s="440">
        <v>2.5</v>
      </c>
      <c r="G54" s="440">
        <v>225</v>
      </c>
      <c r="H54" s="439">
        <v>0</v>
      </c>
      <c r="I54" s="445">
        <v>5</v>
      </c>
      <c r="J54" s="447"/>
      <c r="K54" s="448"/>
      <c r="L54" s="448"/>
      <c r="M54" s="448"/>
      <c r="N54" s="448"/>
      <c r="O54" s="448"/>
      <c r="P54" s="448"/>
      <c r="Q54" s="448"/>
      <c r="R54" s="448"/>
      <c r="S54" s="448"/>
      <c r="T54" s="448"/>
      <c r="U54" s="448"/>
      <c r="V54" s="448"/>
      <c r="W54" s="440"/>
      <c r="X54" s="449"/>
      <c r="Y54" s="440"/>
      <c r="Z54" s="450"/>
    </row>
    <row r="55" spans="1:26" s="439" customFormat="1" ht="19.5" customHeight="1" x14ac:dyDescent="0.2">
      <c r="A55" s="439" t="s">
        <v>101</v>
      </c>
      <c r="B55" s="445" t="s">
        <v>98</v>
      </c>
      <c r="C55" s="439" t="s">
        <v>60</v>
      </c>
      <c r="D55" s="446" t="s">
        <v>158</v>
      </c>
      <c r="E55" s="440">
        <v>2</v>
      </c>
      <c r="F55" s="440">
        <v>4</v>
      </c>
      <c r="G55" s="440">
        <v>880</v>
      </c>
      <c r="H55" s="439">
        <v>0</v>
      </c>
      <c r="I55" s="445">
        <f>1.8 * MIN(6, MAX(E55,F55)) + 0.45 * MIN(6, MIN(E55,F55)) + IF(E55&gt;6, (E55-6)*0.2) + IF(F55&gt;6, (F55-6)*0.2)</f>
        <v>8.1</v>
      </c>
      <c r="J55" s="447"/>
      <c r="K55" s="448"/>
      <c r="L55" s="448"/>
      <c r="M55" s="448"/>
      <c r="N55" s="448"/>
      <c r="O55" s="448"/>
      <c r="P55" s="448"/>
      <c r="Q55" s="448"/>
      <c r="R55" s="448"/>
      <c r="S55" s="448"/>
      <c r="T55" s="448"/>
      <c r="U55" s="448"/>
      <c r="V55" s="448"/>
      <c r="W55" s="440"/>
      <c r="X55" s="449"/>
      <c r="Y55" s="440"/>
      <c r="Z55" s="450"/>
    </row>
    <row r="56" spans="1:26" s="454" customFormat="1" ht="19.5" customHeight="1" x14ac:dyDescent="0.2">
      <c r="A56" s="454" t="s">
        <v>101</v>
      </c>
      <c r="B56" s="465" t="s">
        <v>98</v>
      </c>
      <c r="C56" s="454" t="s">
        <v>60</v>
      </c>
      <c r="D56" s="452" t="s">
        <v>159</v>
      </c>
      <c r="E56" s="453">
        <v>4</v>
      </c>
      <c r="F56" s="453">
        <v>3</v>
      </c>
      <c r="G56" s="453">
        <v>1000</v>
      </c>
      <c r="H56" s="454">
        <v>0</v>
      </c>
      <c r="I56" s="445">
        <f>1.8 * MIN(6, MAX(E56,F56)) + 0.45 * MIN(6, MIN(E56,F56)) + IF(E56&gt;6, (E56-6)*0.2) + IF(F56&gt;6, (F56-6)*0.2)</f>
        <v>8.5500000000000007</v>
      </c>
      <c r="J56" s="455"/>
      <c r="K56" s="456"/>
      <c r="L56" s="456"/>
      <c r="M56" s="456"/>
      <c r="N56" s="456"/>
      <c r="O56" s="456"/>
      <c r="P56" s="456"/>
      <c r="Q56" s="456"/>
      <c r="R56" s="456"/>
      <c r="S56" s="456"/>
      <c r="T56" s="456"/>
      <c r="U56" s="456"/>
      <c r="V56" s="456"/>
      <c r="W56" s="453"/>
      <c r="X56" s="457"/>
      <c r="Y56" s="453"/>
      <c r="Z56" s="458"/>
    </row>
    <row r="57" spans="1:26" s="451" customFormat="1" ht="19.5" customHeight="1" x14ac:dyDescent="0.2">
      <c r="A57" s="451" t="s">
        <v>102</v>
      </c>
      <c r="B57" s="459" t="s">
        <v>30</v>
      </c>
      <c r="C57" s="451" t="s">
        <v>58</v>
      </c>
      <c r="D57" s="460" t="s">
        <v>160</v>
      </c>
      <c r="E57" s="461">
        <v>3</v>
      </c>
      <c r="F57" s="461"/>
      <c r="G57" s="461">
        <v>300</v>
      </c>
      <c r="H57" s="451">
        <v>25</v>
      </c>
      <c r="I57" s="459">
        <v>5</v>
      </c>
      <c r="J57" s="462">
        <v>0.1</v>
      </c>
      <c r="K57" s="463"/>
      <c r="L57" s="463"/>
      <c r="M57" s="463"/>
      <c r="N57" s="463"/>
      <c r="O57" s="463"/>
      <c r="P57" s="463"/>
      <c r="Q57" s="463"/>
      <c r="R57" s="463"/>
      <c r="S57" s="462">
        <v>0.05</v>
      </c>
      <c r="T57" s="463"/>
      <c r="U57" s="463"/>
      <c r="V57" s="463"/>
      <c r="W57" s="440"/>
      <c r="X57" s="449"/>
      <c r="Y57" s="461"/>
      <c r="Z57" s="464"/>
    </row>
    <row r="58" spans="1:26" s="439" customFormat="1" ht="19.5" customHeight="1" x14ac:dyDescent="0.2">
      <c r="A58" s="439" t="s">
        <v>102</v>
      </c>
      <c r="B58" s="445" t="s">
        <v>30</v>
      </c>
      <c r="C58" s="439" t="s">
        <v>58</v>
      </c>
      <c r="D58" s="446" t="s">
        <v>161</v>
      </c>
      <c r="E58" s="440"/>
      <c r="F58" s="440">
        <v>3</v>
      </c>
      <c r="G58" s="440">
        <v>250</v>
      </c>
      <c r="H58" s="439">
        <v>0</v>
      </c>
      <c r="I58" s="445">
        <v>5</v>
      </c>
      <c r="J58" s="447"/>
      <c r="K58" s="448"/>
      <c r="L58" s="448"/>
      <c r="M58" s="448"/>
      <c r="N58" s="448"/>
      <c r="O58" s="448"/>
      <c r="P58" s="448"/>
      <c r="Q58" s="448"/>
      <c r="R58" s="448"/>
      <c r="S58" s="448"/>
      <c r="T58" s="448"/>
      <c r="U58" s="448"/>
      <c r="V58" s="448"/>
      <c r="W58" s="440"/>
      <c r="X58" s="449"/>
      <c r="Y58" s="440"/>
      <c r="Z58" s="450"/>
    </row>
    <row r="59" spans="1:26" s="439" customFormat="1" ht="19.5" customHeight="1" x14ac:dyDescent="0.2">
      <c r="A59" s="439" t="s">
        <v>102</v>
      </c>
      <c r="B59" s="445" t="s">
        <v>30</v>
      </c>
      <c r="C59" s="439" t="s">
        <v>58</v>
      </c>
      <c r="D59" s="446" t="s">
        <v>162</v>
      </c>
      <c r="E59" s="440">
        <v>3</v>
      </c>
      <c r="F59" s="440">
        <v>4</v>
      </c>
      <c r="G59" s="440">
        <v>850</v>
      </c>
      <c r="H59" s="439">
        <v>55</v>
      </c>
      <c r="I59" s="445">
        <f>1.8 * MIN(6, MAX(E59,F59)) + 0.45 * MIN(6, MIN(E59,F59)) + IF(E59&gt;6, (E59-6)*0.2) + IF(F59&gt;6, (F59-6)*0.2)</f>
        <v>8.5500000000000007</v>
      </c>
      <c r="J59" s="447"/>
      <c r="K59" s="448"/>
      <c r="L59" s="448"/>
      <c r="M59" s="448"/>
      <c r="N59" s="448"/>
      <c r="O59" s="448"/>
      <c r="P59" s="448"/>
      <c r="Q59" s="448"/>
      <c r="R59" s="448"/>
      <c r="S59" s="448"/>
      <c r="T59" s="448"/>
      <c r="U59" s="448"/>
      <c r="V59" s="448"/>
      <c r="W59" s="440"/>
      <c r="X59" s="449"/>
      <c r="Y59" s="440"/>
      <c r="Z59" s="450"/>
    </row>
    <row r="60" spans="1:26" s="454" customFormat="1" ht="19.5" customHeight="1" x14ac:dyDescent="0.2">
      <c r="A60" s="454" t="s">
        <v>102</v>
      </c>
      <c r="B60" s="465" t="s">
        <v>30</v>
      </c>
      <c r="C60" s="454" t="s">
        <v>58</v>
      </c>
      <c r="D60" s="452" t="s">
        <v>163</v>
      </c>
      <c r="E60" s="453">
        <v>6</v>
      </c>
      <c r="F60" s="453">
        <v>0</v>
      </c>
      <c r="G60" s="453">
        <v>1100</v>
      </c>
      <c r="H60" s="454">
        <v>110</v>
      </c>
      <c r="I60" s="445">
        <f>1.8 * MIN(6, MAX(E60,F60)) + 0.45 * MIN(6, MIN(E60,F60)) + IF(E60&gt;6, (E60-6)*0.2) + IF(F60&gt;6, (F60-6)*0.2)</f>
        <v>10.8</v>
      </c>
      <c r="J60" s="455"/>
      <c r="K60" s="456"/>
      <c r="L60" s="456"/>
      <c r="M60" s="456"/>
      <c r="N60" s="456"/>
      <c r="O60" s="456"/>
      <c r="P60" s="456"/>
      <c r="Q60" s="456"/>
      <c r="R60" s="456"/>
      <c r="S60" s="456"/>
      <c r="T60" s="456"/>
      <c r="U60" s="456"/>
      <c r="V60" s="456"/>
      <c r="W60" s="453"/>
      <c r="X60" s="457"/>
      <c r="Y60" s="453"/>
      <c r="Z60" s="458"/>
    </row>
    <row r="61" spans="1:26" s="451" customFormat="1" ht="19.5" customHeight="1" x14ac:dyDescent="0.2">
      <c r="A61" s="451" t="s">
        <v>103</v>
      </c>
      <c r="B61" s="459" t="s">
        <v>30</v>
      </c>
      <c r="C61" s="451" t="s">
        <v>256</v>
      </c>
      <c r="D61" s="460" t="s">
        <v>164</v>
      </c>
      <c r="E61" s="461">
        <v>2</v>
      </c>
      <c r="F61" s="461"/>
      <c r="G61" s="461">
        <v>245</v>
      </c>
      <c r="H61" s="451">
        <v>20</v>
      </c>
      <c r="I61" s="459">
        <v>5</v>
      </c>
      <c r="J61" s="462">
        <v>0.4</v>
      </c>
      <c r="K61" s="463">
        <v>0.1</v>
      </c>
      <c r="L61" s="463"/>
      <c r="M61" s="463"/>
      <c r="N61" s="463"/>
      <c r="O61" s="463"/>
      <c r="P61" s="463"/>
      <c r="Q61" s="463"/>
      <c r="R61" s="463">
        <v>-0.3</v>
      </c>
      <c r="S61" s="463"/>
      <c r="T61" s="463"/>
      <c r="U61" s="463">
        <v>-0.1</v>
      </c>
      <c r="V61" s="463">
        <v>-0.1</v>
      </c>
      <c r="W61" s="440"/>
      <c r="X61" s="449"/>
      <c r="Y61" s="461"/>
      <c r="Z61" s="464"/>
    </row>
    <row r="62" spans="1:26" s="439" customFormat="1" ht="19.5" customHeight="1" x14ac:dyDescent="0.2">
      <c r="A62" s="439" t="s">
        <v>103</v>
      </c>
      <c r="B62" s="445" t="s">
        <v>30</v>
      </c>
      <c r="C62" s="439" t="s">
        <v>256</v>
      </c>
      <c r="D62" s="446" t="s">
        <v>165</v>
      </c>
      <c r="E62" s="440"/>
      <c r="F62" s="440">
        <v>2</v>
      </c>
      <c r="G62" s="440">
        <v>250</v>
      </c>
      <c r="H62" s="439">
        <v>20</v>
      </c>
      <c r="I62" s="445">
        <v>5</v>
      </c>
      <c r="J62" s="447"/>
      <c r="K62" s="448"/>
      <c r="L62" s="448"/>
      <c r="M62" s="448"/>
      <c r="N62" s="448"/>
      <c r="O62" s="448"/>
      <c r="P62" s="448"/>
      <c r="Q62" s="448"/>
      <c r="R62" s="448"/>
      <c r="S62" s="448"/>
      <c r="T62" s="448"/>
      <c r="U62" s="448"/>
      <c r="V62" s="448"/>
      <c r="W62" s="440"/>
      <c r="X62" s="449"/>
      <c r="Y62" s="440"/>
      <c r="Z62" s="450"/>
    </row>
    <row r="63" spans="1:26" s="439" customFormat="1" ht="19.5" customHeight="1" x14ac:dyDescent="0.2">
      <c r="A63" s="439" t="s">
        <v>103</v>
      </c>
      <c r="B63" s="445" t="s">
        <v>30</v>
      </c>
      <c r="C63" s="439" t="s">
        <v>256</v>
      </c>
      <c r="D63" s="446" t="s">
        <v>166</v>
      </c>
      <c r="E63" s="440">
        <v>0</v>
      </c>
      <c r="F63" s="440">
        <v>3</v>
      </c>
      <c r="G63" s="440">
        <v>960</v>
      </c>
      <c r="H63" s="439">
        <v>0</v>
      </c>
      <c r="I63" s="445">
        <f>1.8 * MIN(6, MAX(E63,F63)) + 0.45 * MIN(6, MIN(E63,F63)) + IF(E63&gt;6, (E63-6)*0.2) + IF(F63&gt;6, (F63-6)*0.2)</f>
        <v>5.4</v>
      </c>
      <c r="J63" s="447"/>
      <c r="K63" s="448"/>
      <c r="L63" s="448"/>
      <c r="M63" s="448"/>
      <c r="N63" s="448"/>
      <c r="O63" s="448"/>
      <c r="P63" s="448"/>
      <c r="Q63" s="448"/>
      <c r="R63" s="448"/>
      <c r="S63" s="448"/>
      <c r="T63" s="448"/>
      <c r="U63" s="448"/>
      <c r="V63" s="448"/>
      <c r="W63" s="440"/>
      <c r="X63" s="449"/>
      <c r="Y63" s="440"/>
      <c r="Z63" s="450"/>
    </row>
    <row r="64" spans="1:26" s="454" customFormat="1" ht="19.5" customHeight="1" x14ac:dyDescent="0.2">
      <c r="A64" s="454" t="s">
        <v>103</v>
      </c>
      <c r="B64" s="465" t="s">
        <v>30</v>
      </c>
      <c r="C64" s="454" t="s">
        <v>256</v>
      </c>
      <c r="D64" s="452" t="s">
        <v>167</v>
      </c>
      <c r="E64" s="453">
        <v>3</v>
      </c>
      <c r="F64" s="453">
        <v>2</v>
      </c>
      <c r="G64" s="453">
        <v>875</v>
      </c>
      <c r="H64" s="454">
        <v>55</v>
      </c>
      <c r="I64" s="445">
        <f>1.8 * MIN(6, MAX(E64,F64)) + 0.45 * MIN(6, MIN(E64,F64)) + IF(E64&gt;6, (E64-6)*0.2) + IF(F64&gt;6, (F64-6)*0.2)</f>
        <v>6.3000000000000007</v>
      </c>
      <c r="J64" s="455"/>
      <c r="K64" s="456"/>
      <c r="L64" s="456"/>
      <c r="M64" s="456"/>
      <c r="N64" s="456"/>
      <c r="O64" s="456"/>
      <c r="P64" s="456"/>
      <c r="Q64" s="456"/>
      <c r="R64" s="456"/>
      <c r="S64" s="456"/>
      <c r="T64" s="456"/>
      <c r="U64" s="456"/>
      <c r="V64" s="456"/>
      <c r="W64" s="453"/>
      <c r="X64" s="457"/>
      <c r="Y64" s="453"/>
      <c r="Z64" s="458"/>
    </row>
    <row r="65" spans="1:26" s="451" customFormat="1" ht="19.5" customHeight="1" x14ac:dyDescent="0.2">
      <c r="A65" s="451" t="s">
        <v>104</v>
      </c>
      <c r="B65" s="459" t="s">
        <v>30</v>
      </c>
      <c r="C65" s="451" t="s">
        <v>62</v>
      </c>
      <c r="D65" s="460" t="s">
        <v>168</v>
      </c>
      <c r="E65" s="461">
        <v>3</v>
      </c>
      <c r="F65" s="461"/>
      <c r="G65" s="461">
        <v>275</v>
      </c>
      <c r="H65" s="451">
        <v>0</v>
      </c>
      <c r="I65" s="459">
        <v>5</v>
      </c>
      <c r="J65" s="462">
        <v>0.05</v>
      </c>
      <c r="K65" s="463"/>
      <c r="L65" s="463"/>
      <c r="M65" s="463"/>
      <c r="N65" s="463"/>
      <c r="O65" s="463"/>
      <c r="P65" s="463"/>
      <c r="Q65" s="463"/>
      <c r="R65" s="463">
        <v>-0.15</v>
      </c>
      <c r="S65" s="463"/>
      <c r="T65" s="463"/>
      <c r="U65" s="463">
        <v>0.1</v>
      </c>
      <c r="V65" s="463"/>
      <c r="W65" s="440"/>
      <c r="X65" s="449"/>
      <c r="Y65" s="461"/>
      <c r="Z65" s="464"/>
    </row>
    <row r="66" spans="1:26" s="439" customFormat="1" ht="19.5" customHeight="1" x14ac:dyDescent="0.2">
      <c r="A66" s="439" t="s">
        <v>104</v>
      </c>
      <c r="B66" s="445" t="s">
        <v>30</v>
      </c>
      <c r="C66" s="439" t="s">
        <v>62</v>
      </c>
      <c r="D66" s="446" t="s">
        <v>169</v>
      </c>
      <c r="E66" s="440"/>
      <c r="F66" s="440">
        <v>3</v>
      </c>
      <c r="G66" s="440">
        <v>275</v>
      </c>
      <c r="H66" s="439">
        <v>0</v>
      </c>
      <c r="I66" s="445">
        <v>5</v>
      </c>
      <c r="J66" s="447"/>
      <c r="K66" s="448"/>
      <c r="L66" s="448"/>
      <c r="M66" s="448"/>
      <c r="N66" s="448"/>
      <c r="O66" s="448"/>
      <c r="P66" s="448"/>
      <c r="Q66" s="448"/>
      <c r="R66" s="448"/>
      <c r="S66" s="448"/>
      <c r="T66" s="448"/>
      <c r="U66" s="448"/>
      <c r="V66" s="448"/>
      <c r="W66" s="440"/>
      <c r="X66" s="449"/>
      <c r="Y66" s="440"/>
      <c r="Z66" s="450"/>
    </row>
    <row r="67" spans="1:26" s="439" customFormat="1" ht="19.5" customHeight="1" x14ac:dyDescent="0.2">
      <c r="A67" s="439" t="s">
        <v>104</v>
      </c>
      <c r="B67" s="445" t="s">
        <v>30</v>
      </c>
      <c r="C67" s="439" t="s">
        <v>62</v>
      </c>
      <c r="D67" s="446" t="s">
        <v>170</v>
      </c>
      <c r="E67" s="440">
        <v>4</v>
      </c>
      <c r="F67" s="440">
        <v>4</v>
      </c>
      <c r="G67" s="440">
        <v>900</v>
      </c>
      <c r="H67" s="439">
        <v>0</v>
      </c>
      <c r="I67" s="445">
        <f>1.8 * MIN(6, MAX(E67,F67)) + 0.45 * MIN(6, MIN(E67,F67)) + IF(E67&gt;6, (E67-6)*0.2) + IF(F67&gt;6, (F67-6)*0.2)</f>
        <v>9</v>
      </c>
      <c r="J67" s="447"/>
      <c r="K67" s="448"/>
      <c r="L67" s="448"/>
      <c r="M67" s="448"/>
      <c r="N67" s="448"/>
      <c r="O67" s="448"/>
      <c r="P67" s="448"/>
      <c r="Q67" s="448"/>
      <c r="R67" s="448"/>
      <c r="S67" s="448"/>
      <c r="T67" s="448"/>
      <c r="U67" s="448"/>
      <c r="V67" s="448"/>
      <c r="W67" s="440"/>
      <c r="X67" s="449"/>
      <c r="Y67" s="440"/>
      <c r="Z67" s="450"/>
    </row>
    <row r="68" spans="1:26" s="454" customFormat="1" ht="19.5" customHeight="1" x14ac:dyDescent="0.2">
      <c r="A68" s="454" t="s">
        <v>104</v>
      </c>
      <c r="B68" s="465" t="s">
        <v>30</v>
      </c>
      <c r="C68" s="454" t="s">
        <v>62</v>
      </c>
      <c r="D68" s="452" t="s">
        <v>171</v>
      </c>
      <c r="E68" s="453">
        <v>6</v>
      </c>
      <c r="F68" s="453">
        <v>2</v>
      </c>
      <c r="G68" s="453">
        <v>1085</v>
      </c>
      <c r="H68" s="454">
        <v>0</v>
      </c>
      <c r="I68" s="465">
        <f>1.8 * MIN(6, MAX(E68,F68)) + 0.45 * MIN(6, MIN(E68,F68)) + IF(E68&gt;6, (E68-6)*0.2) + IF(F68&gt;6, (F68-6)*0.2)</f>
        <v>11.700000000000001</v>
      </c>
      <c r="J68" s="455"/>
      <c r="K68" s="456"/>
      <c r="L68" s="456"/>
      <c r="M68" s="456"/>
      <c r="N68" s="456"/>
      <c r="O68" s="456"/>
      <c r="P68" s="456"/>
      <c r="Q68" s="456"/>
      <c r="R68" s="456"/>
      <c r="S68" s="456"/>
      <c r="T68" s="456"/>
      <c r="U68" s="456"/>
      <c r="V68" s="456"/>
      <c r="W68" s="453"/>
      <c r="X68" s="457"/>
      <c r="Y68" s="453"/>
      <c r="Z68" s="458"/>
    </row>
    <row r="69" spans="1:26" s="451" customFormat="1" ht="19.5" customHeight="1" x14ac:dyDescent="0.2">
      <c r="A69" s="451" t="s">
        <v>341</v>
      </c>
      <c r="B69" s="459" t="s">
        <v>30</v>
      </c>
      <c r="C69" s="451" t="s">
        <v>257</v>
      </c>
      <c r="D69" s="460" t="s">
        <v>342</v>
      </c>
      <c r="E69" s="461">
        <v>3</v>
      </c>
      <c r="F69" s="461"/>
      <c r="G69" s="461">
        <v>300</v>
      </c>
      <c r="H69" s="451">
        <v>0</v>
      </c>
      <c r="I69" s="459">
        <v>5</v>
      </c>
      <c r="J69" s="462"/>
      <c r="K69" s="463"/>
      <c r="L69" s="463">
        <v>0.05</v>
      </c>
      <c r="M69" s="463"/>
      <c r="N69" s="463">
        <v>-0.1</v>
      </c>
      <c r="O69" s="463"/>
      <c r="P69" s="463"/>
      <c r="Q69" s="463"/>
      <c r="R69" s="463">
        <v>-0.5</v>
      </c>
      <c r="S69" s="463"/>
      <c r="T69" s="463"/>
      <c r="U69" s="463"/>
      <c r="V69" s="463"/>
      <c r="W69" s="440"/>
      <c r="X69" s="449"/>
      <c r="Y69" s="461"/>
      <c r="Z69" s="464"/>
    </row>
    <row r="70" spans="1:26" s="439" customFormat="1" ht="19.5" customHeight="1" x14ac:dyDescent="0.2">
      <c r="A70" s="439" t="s">
        <v>341</v>
      </c>
      <c r="B70" s="445" t="s">
        <v>30</v>
      </c>
      <c r="C70" s="439" t="s">
        <v>257</v>
      </c>
      <c r="D70" s="446" t="s">
        <v>343</v>
      </c>
      <c r="E70" s="440"/>
      <c r="F70" s="440">
        <v>3</v>
      </c>
      <c r="G70" s="440">
        <v>350</v>
      </c>
      <c r="H70" s="439">
        <v>25</v>
      </c>
      <c r="I70" s="445">
        <v>5</v>
      </c>
      <c r="J70" s="447"/>
      <c r="K70" s="448"/>
      <c r="L70" s="448"/>
      <c r="M70" s="448"/>
      <c r="N70" s="448"/>
      <c r="O70" s="448"/>
      <c r="P70" s="448"/>
      <c r="Q70" s="448"/>
      <c r="R70" s="448"/>
      <c r="S70" s="448"/>
      <c r="T70" s="448"/>
      <c r="U70" s="448"/>
      <c r="V70" s="448"/>
      <c r="W70" s="440"/>
      <c r="X70" s="449"/>
      <c r="Y70" s="440"/>
      <c r="Z70" s="450"/>
    </row>
    <row r="71" spans="1:26" s="439" customFormat="1" ht="19.5" customHeight="1" x14ac:dyDescent="0.2">
      <c r="A71" s="439" t="s">
        <v>341</v>
      </c>
      <c r="B71" s="445" t="s">
        <v>30</v>
      </c>
      <c r="C71" s="439" t="s">
        <v>257</v>
      </c>
      <c r="D71" s="446" t="s">
        <v>344</v>
      </c>
      <c r="E71" s="440">
        <v>3</v>
      </c>
      <c r="F71" s="440">
        <v>3</v>
      </c>
      <c r="G71" s="440">
        <v>850</v>
      </c>
      <c r="H71" s="439">
        <v>100</v>
      </c>
      <c r="I71" s="445">
        <f>1.8 * MIN(6, MAX(E71,F71)) + 0.45 * MIN(6, MIN(E71,F71)) + IF(E71&gt;6, (E71-6)*0.2) + IF(F71&gt;6, (F71-6)*0.2)</f>
        <v>6.75</v>
      </c>
      <c r="J71" s="447"/>
      <c r="K71" s="448"/>
      <c r="L71" s="448"/>
      <c r="M71" s="448"/>
      <c r="N71" s="448"/>
      <c r="O71" s="448"/>
      <c r="P71" s="448"/>
      <c r="Q71" s="448"/>
      <c r="R71" s="448"/>
      <c r="S71" s="448"/>
      <c r="T71" s="448"/>
      <c r="U71" s="448"/>
      <c r="V71" s="448"/>
      <c r="W71" s="440"/>
      <c r="X71" s="449"/>
      <c r="Y71" s="440"/>
      <c r="Z71" s="450"/>
    </row>
    <row r="72" spans="1:26" s="454" customFormat="1" ht="19.5" customHeight="1" x14ac:dyDescent="0.2">
      <c r="A72" s="454" t="s">
        <v>341</v>
      </c>
      <c r="B72" s="465" t="s">
        <v>30</v>
      </c>
      <c r="C72" s="454" t="s">
        <v>257</v>
      </c>
      <c r="D72" s="452" t="s">
        <v>345</v>
      </c>
      <c r="E72" s="453">
        <v>4</v>
      </c>
      <c r="F72" s="453">
        <v>2</v>
      </c>
      <c r="G72" s="453">
        <v>1100</v>
      </c>
      <c r="H72" s="454">
        <v>0</v>
      </c>
      <c r="I72" s="465">
        <f>1.8 * MIN(6, MAX(E72,F72)) + 0.45 * MIN(6, MIN(E72,F72)) + IF(E72&gt;6, (E72-6)*0.2) + IF(F72&gt;6, (F72-6)*0.2)</f>
        <v>8.1</v>
      </c>
      <c r="J72" s="455"/>
      <c r="K72" s="456"/>
      <c r="L72" s="456"/>
      <c r="M72" s="456"/>
      <c r="N72" s="456"/>
      <c r="O72" s="456"/>
      <c r="P72" s="456"/>
      <c r="Q72" s="456"/>
      <c r="R72" s="456"/>
      <c r="S72" s="456"/>
      <c r="T72" s="456"/>
      <c r="U72" s="456"/>
      <c r="V72" s="456"/>
      <c r="W72" s="453"/>
      <c r="X72" s="457"/>
      <c r="Y72" s="453"/>
      <c r="Z72" s="458"/>
    </row>
    <row r="73" spans="1:26" ht="19.5" customHeight="1" x14ac:dyDescent="0.2">
      <c r="A73" s="451" t="s">
        <v>355</v>
      </c>
      <c r="B73" s="459" t="s">
        <v>98</v>
      </c>
      <c r="C73" s="451" t="s">
        <v>254</v>
      </c>
      <c r="D73" s="460" t="s">
        <v>349</v>
      </c>
      <c r="E73" s="461">
        <v>3</v>
      </c>
      <c r="F73" s="461"/>
      <c r="G73" s="461">
        <v>300</v>
      </c>
      <c r="H73" s="451">
        <v>0</v>
      </c>
      <c r="I73" s="459">
        <v>5</v>
      </c>
      <c r="J73" s="462">
        <v>0.05</v>
      </c>
      <c r="K73" s="463"/>
      <c r="L73" s="463"/>
      <c r="M73" s="463"/>
      <c r="N73" s="463">
        <v>-0.1</v>
      </c>
      <c r="O73" s="463"/>
      <c r="P73" s="463"/>
      <c r="Q73" s="463">
        <v>0.15</v>
      </c>
      <c r="R73" s="463"/>
      <c r="S73" s="463"/>
      <c r="T73" s="463"/>
      <c r="U73" s="463"/>
      <c r="V73" s="463"/>
      <c r="W73" s="440"/>
      <c r="X73" s="449"/>
      <c r="Y73" s="533">
        <v>-7.4999999999999997E-2</v>
      </c>
      <c r="Z73" s="450"/>
    </row>
    <row r="74" spans="1:26" ht="19.5" customHeight="1" x14ac:dyDescent="0.2">
      <c r="A74" s="439" t="s">
        <v>355</v>
      </c>
      <c r="B74" s="445" t="s">
        <v>98</v>
      </c>
      <c r="C74" s="439" t="s">
        <v>254</v>
      </c>
      <c r="D74" s="446" t="s">
        <v>350</v>
      </c>
      <c r="E74" s="440"/>
      <c r="F74" s="440">
        <v>3</v>
      </c>
      <c r="G74" s="440">
        <v>300</v>
      </c>
      <c r="H74" s="439">
        <v>0</v>
      </c>
      <c r="I74" s="445">
        <v>5</v>
      </c>
      <c r="J74" s="447"/>
      <c r="K74" s="448"/>
      <c r="L74" s="448"/>
      <c r="M74" s="448"/>
      <c r="N74" s="448"/>
      <c r="O74" s="448"/>
      <c r="P74" s="448"/>
      <c r="Q74" s="448"/>
      <c r="R74" s="448"/>
      <c r="S74" s="448"/>
      <c r="T74" s="448"/>
      <c r="U74" s="448"/>
      <c r="V74" s="448"/>
      <c r="W74" s="440"/>
      <c r="X74" s="449"/>
      <c r="Y74" s="440"/>
      <c r="Z74" s="450"/>
    </row>
    <row r="75" spans="1:26" ht="19.5" customHeight="1" x14ac:dyDescent="0.2">
      <c r="A75" s="439" t="s">
        <v>355</v>
      </c>
      <c r="B75" s="445" t="s">
        <v>98</v>
      </c>
      <c r="C75" s="439" t="s">
        <v>254</v>
      </c>
      <c r="D75" s="446" t="s">
        <v>351</v>
      </c>
      <c r="E75" s="440">
        <v>0</v>
      </c>
      <c r="F75" s="440">
        <v>4.5</v>
      </c>
      <c r="G75" s="440">
        <v>925</v>
      </c>
      <c r="H75" s="439">
        <v>0</v>
      </c>
      <c r="I75" s="445">
        <f>1.8 * MIN(6, MAX(E75,F75)) + 0.45 * MIN(6, MIN(E75,F75)) + IF(E75&gt;6, (E75-6)*0.2) + IF(F75&gt;6, (F75-6)*0.2)</f>
        <v>8.1</v>
      </c>
      <c r="J75" s="447"/>
      <c r="K75" s="448"/>
      <c r="L75" s="448"/>
      <c r="M75" s="448"/>
      <c r="N75" s="448"/>
      <c r="O75" s="448"/>
      <c r="P75" s="448"/>
      <c r="Q75" s="448"/>
      <c r="R75" s="448"/>
      <c r="S75" s="448"/>
      <c r="T75" s="448"/>
      <c r="U75" s="448"/>
      <c r="V75" s="448"/>
      <c r="W75" s="440"/>
      <c r="X75" s="449"/>
      <c r="Y75" s="440"/>
      <c r="Z75" s="450"/>
    </row>
    <row r="76" spans="1:26" ht="19.5" customHeight="1" x14ac:dyDescent="0.2">
      <c r="A76" s="454" t="s">
        <v>355</v>
      </c>
      <c r="B76" s="465" t="s">
        <v>98</v>
      </c>
      <c r="C76" s="454" t="s">
        <v>254</v>
      </c>
      <c r="D76" s="452" t="s">
        <v>352</v>
      </c>
      <c r="E76" s="453">
        <v>5</v>
      </c>
      <c r="F76" s="453">
        <v>3</v>
      </c>
      <c r="G76" s="453">
        <v>925</v>
      </c>
      <c r="H76" s="454">
        <v>0</v>
      </c>
      <c r="I76" s="465">
        <f>1.8 * MIN(6, MAX(E76,F76)) + 0.45 * MIN(6, MIN(E76,F76)) + IF(E76&gt;6, (E76-6)*0.2) + IF(F76&gt;6, (F76-6)*0.2)</f>
        <v>10.35</v>
      </c>
      <c r="J76" s="455"/>
      <c r="K76" s="456"/>
      <c r="L76" s="456"/>
      <c r="M76" s="456"/>
      <c r="N76" s="456"/>
      <c r="O76" s="456"/>
      <c r="P76" s="456"/>
      <c r="Q76" s="456"/>
      <c r="R76" s="456"/>
      <c r="S76" s="456"/>
      <c r="T76" s="456"/>
      <c r="U76" s="456"/>
      <c r="V76" s="456"/>
      <c r="W76" s="453"/>
      <c r="X76" s="457"/>
      <c r="Y76" s="453"/>
      <c r="Z76" s="450"/>
    </row>
    <row r="77" spans="1:26" s="439" customFormat="1" ht="19.5" customHeight="1" x14ac:dyDescent="0.2">
      <c r="A77" s="451" t="s">
        <v>147</v>
      </c>
      <c r="B77" s="459" t="s">
        <v>30</v>
      </c>
      <c r="C77" s="466" t="s">
        <v>58</v>
      </c>
      <c r="D77" s="451" t="s">
        <v>368</v>
      </c>
      <c r="E77" s="461">
        <v>4</v>
      </c>
      <c r="F77" s="461"/>
      <c r="G77" s="461">
        <v>375</v>
      </c>
      <c r="H77" s="451">
        <v>25</v>
      </c>
      <c r="I77" s="459">
        <v>5</v>
      </c>
      <c r="J77" s="462"/>
      <c r="K77" s="463"/>
      <c r="L77" s="463"/>
      <c r="M77" s="463"/>
      <c r="N77" s="463">
        <v>0.5</v>
      </c>
      <c r="O77" s="463"/>
      <c r="P77" s="463"/>
      <c r="Q77" s="463"/>
      <c r="R77" s="463"/>
      <c r="S77" s="463"/>
      <c r="T77" s="463"/>
      <c r="U77" s="463"/>
      <c r="V77" s="463"/>
      <c r="W77" s="440"/>
      <c r="X77" s="449"/>
      <c r="Y77" s="440"/>
      <c r="Z77" s="464"/>
    </row>
    <row r="78" spans="1:26" s="439" customFormat="1" ht="19.5" customHeight="1" x14ac:dyDescent="0.2">
      <c r="A78" s="439" t="s">
        <v>147</v>
      </c>
      <c r="B78" s="445" t="s">
        <v>30</v>
      </c>
      <c r="C78" s="467" t="s">
        <v>58</v>
      </c>
      <c r="D78" s="439" t="s">
        <v>337</v>
      </c>
      <c r="E78" s="440"/>
      <c r="F78" s="440">
        <v>3</v>
      </c>
      <c r="G78" s="440">
        <v>300</v>
      </c>
      <c r="H78" s="439">
        <v>0</v>
      </c>
      <c r="I78" s="445">
        <v>5</v>
      </c>
      <c r="J78" s="447"/>
      <c r="K78" s="448"/>
      <c r="L78" s="448"/>
      <c r="M78" s="448"/>
      <c r="N78" s="448"/>
      <c r="O78" s="448"/>
      <c r="P78" s="448"/>
      <c r="Q78" s="448"/>
      <c r="R78" s="448"/>
      <c r="S78" s="448"/>
      <c r="T78" s="448"/>
      <c r="U78" s="448"/>
      <c r="V78" s="448"/>
      <c r="W78" s="440"/>
      <c r="X78" s="449"/>
      <c r="Y78" s="440"/>
      <c r="Z78" s="450"/>
    </row>
    <row r="79" spans="1:26" s="439" customFormat="1" ht="19.5" customHeight="1" x14ac:dyDescent="0.2">
      <c r="A79" s="439" t="s">
        <v>147</v>
      </c>
      <c r="B79" s="445" t="s">
        <v>30</v>
      </c>
      <c r="C79" s="467" t="s">
        <v>58</v>
      </c>
      <c r="D79" s="439" t="s">
        <v>387</v>
      </c>
      <c r="E79" s="440">
        <v>0</v>
      </c>
      <c r="F79" s="440">
        <v>5</v>
      </c>
      <c r="G79" s="440">
        <v>975</v>
      </c>
      <c r="H79" s="439">
        <v>0</v>
      </c>
      <c r="I79" s="445">
        <f>1.8 * MIN(6, MAX(E79,F79)) + 0.45 * MIN(6, MIN(E79,F79)) + IF(E79&gt;6, (E79-6)*0.2) + IF(F79&gt;6, (F79-6)*0.2)</f>
        <v>9</v>
      </c>
      <c r="J79" s="447"/>
      <c r="K79" s="448"/>
      <c r="L79" s="448"/>
      <c r="M79" s="448"/>
      <c r="N79" s="448"/>
      <c r="O79" s="448"/>
      <c r="P79" s="448"/>
      <c r="Q79" s="448"/>
      <c r="R79" s="448"/>
      <c r="S79" s="448"/>
      <c r="T79" s="448"/>
      <c r="U79" s="448"/>
      <c r="V79" s="448"/>
      <c r="W79" s="440"/>
      <c r="X79" s="449"/>
      <c r="Y79" s="440"/>
      <c r="Z79" s="450"/>
    </row>
    <row r="80" spans="1:26" s="439" customFormat="1" ht="19.5" customHeight="1" x14ac:dyDescent="0.2">
      <c r="A80" s="454" t="s">
        <v>147</v>
      </c>
      <c r="B80" s="465" t="s">
        <v>30</v>
      </c>
      <c r="C80" s="468" t="s">
        <v>58</v>
      </c>
      <c r="D80" s="454" t="s">
        <v>369</v>
      </c>
      <c r="E80" s="453">
        <v>4</v>
      </c>
      <c r="F80" s="453">
        <v>3</v>
      </c>
      <c r="G80" s="453">
        <v>1150</v>
      </c>
      <c r="H80" s="454">
        <v>100</v>
      </c>
      <c r="I80" s="465">
        <f>1.8 * MIN(6, MAX(E80,F80)) + 0.45 * MIN(6, MIN(E80,F80)) + IF(E80&gt;6, (E80-6)*0.2) + IF(F80&gt;6, (F80-6)*0.2)</f>
        <v>8.5500000000000007</v>
      </c>
      <c r="J80" s="455"/>
      <c r="K80" s="456"/>
      <c r="L80" s="456"/>
      <c r="M80" s="456"/>
      <c r="N80" s="456"/>
      <c r="O80" s="456"/>
      <c r="P80" s="456"/>
      <c r="Q80" s="456"/>
      <c r="R80" s="456"/>
      <c r="S80" s="456"/>
      <c r="T80" s="456"/>
      <c r="U80" s="456"/>
      <c r="V80" s="456"/>
      <c r="W80" s="453"/>
      <c r="X80" s="457"/>
      <c r="Y80" s="453"/>
      <c r="Z80" s="458"/>
    </row>
    <row r="81" spans="1:26" s="439" customFormat="1" ht="19.5" customHeight="1" x14ac:dyDescent="0.2">
      <c r="A81" s="451" t="s">
        <v>515</v>
      </c>
      <c r="B81" s="459" t="s">
        <v>30</v>
      </c>
      <c r="C81" s="466" t="s">
        <v>60</v>
      </c>
      <c r="D81" s="451" t="s">
        <v>434</v>
      </c>
      <c r="E81" s="461">
        <v>3</v>
      </c>
      <c r="F81" s="461"/>
      <c r="G81" s="461">
        <v>300</v>
      </c>
      <c r="H81" s="451">
        <v>0</v>
      </c>
      <c r="I81" s="459">
        <v>5</v>
      </c>
      <c r="J81" s="462"/>
      <c r="K81" s="463"/>
      <c r="L81" s="463"/>
      <c r="M81" s="463"/>
      <c r="N81" s="463"/>
      <c r="O81" s="463">
        <v>0.1</v>
      </c>
      <c r="P81" s="463"/>
      <c r="Q81" s="463"/>
      <c r="R81" s="463">
        <v>-0.2</v>
      </c>
      <c r="S81" s="463"/>
      <c r="T81" s="463"/>
      <c r="U81" s="463"/>
      <c r="V81" s="463"/>
      <c r="W81" s="440"/>
      <c r="X81" s="449"/>
      <c r="Y81" s="440"/>
      <c r="Z81" s="469">
        <v>0.1</v>
      </c>
    </row>
    <row r="82" spans="1:26" s="439" customFormat="1" ht="19.5" customHeight="1" x14ac:dyDescent="0.2">
      <c r="A82" s="439" t="s">
        <v>515</v>
      </c>
      <c r="B82" s="445" t="s">
        <v>30</v>
      </c>
      <c r="C82" s="467" t="s">
        <v>60</v>
      </c>
      <c r="D82" s="439" t="s">
        <v>435</v>
      </c>
      <c r="E82" s="440"/>
      <c r="F82" s="440">
        <v>3</v>
      </c>
      <c r="G82" s="440">
        <v>325</v>
      </c>
      <c r="H82" s="439">
        <v>12</v>
      </c>
      <c r="I82" s="445">
        <v>5</v>
      </c>
      <c r="J82" s="447"/>
      <c r="K82" s="448"/>
      <c r="L82" s="448"/>
      <c r="M82" s="448"/>
      <c r="N82" s="448"/>
      <c r="O82" s="448"/>
      <c r="P82" s="448"/>
      <c r="Q82" s="448"/>
      <c r="R82" s="448"/>
      <c r="S82" s="448"/>
      <c r="T82" s="448"/>
      <c r="U82" s="448"/>
      <c r="V82" s="448"/>
      <c r="W82" s="440"/>
      <c r="X82" s="449"/>
      <c r="Y82" s="440"/>
      <c r="Z82" s="450"/>
    </row>
    <row r="83" spans="1:26" s="439" customFormat="1" ht="19.5" customHeight="1" x14ac:dyDescent="0.2">
      <c r="A83" s="439" t="s">
        <v>515</v>
      </c>
      <c r="B83" s="445" t="s">
        <v>30</v>
      </c>
      <c r="C83" s="467" t="s">
        <v>60</v>
      </c>
      <c r="D83" s="439" t="s">
        <v>436</v>
      </c>
      <c r="E83" s="440">
        <v>0</v>
      </c>
      <c r="F83" s="440">
        <v>3</v>
      </c>
      <c r="G83" s="440">
        <v>975</v>
      </c>
      <c r="H83" s="439">
        <v>25</v>
      </c>
      <c r="I83" s="445">
        <f>1.8 * MIN(6, MAX(E83,F83)) + 0.45 * MIN(6, MIN(E83,F83)) + IF(E83&gt;6, (E83-6)*0.2) + IF(F83&gt;6, (F83-6)*0.2)</f>
        <v>5.4</v>
      </c>
      <c r="J83" s="447"/>
      <c r="K83" s="448"/>
      <c r="L83" s="448"/>
      <c r="M83" s="448"/>
      <c r="N83" s="448"/>
      <c r="O83" s="448"/>
      <c r="P83" s="448"/>
      <c r="Q83" s="448"/>
      <c r="R83" s="448"/>
      <c r="S83" s="448"/>
      <c r="T83" s="448"/>
      <c r="U83" s="448"/>
      <c r="V83" s="448"/>
      <c r="W83" s="440"/>
      <c r="X83" s="449"/>
      <c r="Y83" s="440"/>
      <c r="Z83" s="450"/>
    </row>
    <row r="84" spans="1:26" s="439" customFormat="1" ht="19.5" customHeight="1" x14ac:dyDescent="0.2">
      <c r="A84" s="439" t="s">
        <v>515</v>
      </c>
      <c r="B84" s="445" t="s">
        <v>30</v>
      </c>
      <c r="C84" s="467" t="s">
        <v>60</v>
      </c>
      <c r="D84" s="439" t="s">
        <v>437</v>
      </c>
      <c r="E84" s="440">
        <v>5</v>
      </c>
      <c r="F84" s="440">
        <v>2</v>
      </c>
      <c r="G84" s="440">
        <v>950</v>
      </c>
      <c r="H84" s="439">
        <v>0</v>
      </c>
      <c r="I84" s="445">
        <f>1.8 * MIN(6, MAX(E84,F84)) + 0.45 * MIN(6, MIN(E84,F84)) + IF(E84&gt;6, (E84-6)*0.2) + IF(F84&gt;6, (F84-6)*0.2)</f>
        <v>9.9</v>
      </c>
      <c r="J84" s="447"/>
      <c r="K84" s="448"/>
      <c r="L84" s="448"/>
      <c r="M84" s="448"/>
      <c r="N84" s="448"/>
      <c r="O84" s="448"/>
      <c r="P84" s="448"/>
      <c r="Q84" s="448"/>
      <c r="R84" s="448"/>
      <c r="S84" s="448"/>
      <c r="T84" s="448"/>
      <c r="U84" s="448"/>
      <c r="V84" s="448"/>
      <c r="W84" s="440"/>
      <c r="X84" s="449"/>
      <c r="Y84" s="440"/>
      <c r="Z84" s="450"/>
    </row>
    <row r="85" spans="1:26" ht="19.5" customHeight="1" x14ac:dyDescent="0.2">
      <c r="A85" s="470" t="s">
        <v>796</v>
      </c>
      <c r="B85" s="445" t="s">
        <v>796</v>
      </c>
      <c r="C85" s="467" t="s">
        <v>796</v>
      </c>
      <c r="D85" s="76" t="s">
        <v>73</v>
      </c>
      <c r="G85" s="440">
        <v>500</v>
      </c>
      <c r="H85" s="439"/>
      <c r="I85" s="445"/>
      <c r="J85" s="471"/>
      <c r="K85" s="472"/>
      <c r="L85" s="472"/>
      <c r="M85" s="472"/>
      <c r="N85" s="472"/>
      <c r="O85" s="472"/>
      <c r="P85" s="472"/>
      <c r="Q85" s="472"/>
      <c r="R85" s="472"/>
      <c r="S85" s="472"/>
      <c r="T85" s="472"/>
      <c r="U85" s="472"/>
      <c r="V85" s="472"/>
      <c r="W85" s="112"/>
      <c r="X85" s="473"/>
      <c r="Y85" s="112"/>
      <c r="Z85" s="450"/>
    </row>
    <row r="86" spans="1:26" ht="19.5" customHeight="1" x14ac:dyDescent="0.2">
      <c r="A86" s="470" t="s">
        <v>796</v>
      </c>
      <c r="B86" s="445" t="s">
        <v>796</v>
      </c>
      <c r="C86" s="467" t="s">
        <v>796</v>
      </c>
      <c r="D86" s="76" t="s">
        <v>193</v>
      </c>
      <c r="G86" s="440">
        <v>500</v>
      </c>
      <c r="H86" s="439"/>
      <c r="I86" s="445"/>
      <c r="J86" s="471"/>
      <c r="K86" s="472"/>
      <c r="L86" s="472"/>
      <c r="M86" s="472"/>
      <c r="N86" s="472"/>
      <c r="O86" s="472"/>
      <c r="P86" s="472"/>
      <c r="Q86" s="472"/>
      <c r="R86" s="472"/>
      <c r="S86" s="472"/>
      <c r="T86" s="472"/>
      <c r="U86" s="472"/>
      <c r="V86" s="472"/>
      <c r="W86" s="112"/>
      <c r="X86" s="473"/>
      <c r="Y86" s="112"/>
      <c r="Z86" s="450"/>
    </row>
    <row r="87" spans="1:26" ht="19.5" customHeight="1" x14ac:dyDescent="0.2">
      <c r="A87" s="470" t="s">
        <v>796</v>
      </c>
      <c r="B87" s="445" t="s">
        <v>796</v>
      </c>
      <c r="C87" s="467" t="s">
        <v>796</v>
      </c>
      <c r="D87" s="76" t="s">
        <v>194</v>
      </c>
      <c r="G87" s="440">
        <v>1000</v>
      </c>
      <c r="H87" s="440" t="s">
        <v>260</v>
      </c>
      <c r="I87" s="445"/>
      <c r="J87" s="471"/>
      <c r="K87" s="472"/>
      <c r="L87" s="472"/>
      <c r="M87" s="472"/>
      <c r="N87" s="472"/>
      <c r="O87" s="472"/>
      <c r="P87" s="472"/>
      <c r="Q87" s="472"/>
      <c r="R87" s="472"/>
      <c r="S87" s="472"/>
      <c r="T87" s="472"/>
      <c r="U87" s="472"/>
      <c r="V87" s="472"/>
      <c r="W87" s="112"/>
      <c r="X87" s="473"/>
      <c r="Y87" s="112"/>
      <c r="Z87" s="450"/>
    </row>
    <row r="88" spans="1:26" ht="19.5" customHeight="1" x14ac:dyDescent="0.2">
      <c r="C88" s="474"/>
      <c r="J88" s="475"/>
      <c r="K88" s="475"/>
      <c r="L88" s="475"/>
      <c r="M88" s="475"/>
      <c r="N88" s="475"/>
      <c r="O88" s="475"/>
      <c r="P88" s="475"/>
      <c r="Q88" s="475"/>
      <c r="R88" s="475"/>
      <c r="S88" s="475"/>
      <c r="T88" s="475"/>
      <c r="U88" s="475"/>
      <c r="V88" s="475"/>
    </row>
    <row r="89" spans="1:26" ht="19.5" customHeight="1" x14ac:dyDescent="0.2">
      <c r="A89" s="470" t="s">
        <v>89</v>
      </c>
      <c r="B89" s="360">
        <v>5</v>
      </c>
      <c r="C89" s="474"/>
      <c r="D89" s="439" t="s">
        <v>372</v>
      </c>
      <c r="J89" s="475"/>
      <c r="K89" s="475"/>
      <c r="L89" s="475"/>
      <c r="M89" s="475"/>
      <c r="N89" s="475"/>
      <c r="O89" s="475"/>
      <c r="P89" s="475"/>
      <c r="Q89" s="475"/>
      <c r="R89" s="475"/>
      <c r="S89" s="475"/>
      <c r="T89" s="475"/>
      <c r="U89" s="475"/>
      <c r="V89" s="475"/>
    </row>
    <row r="90" spans="1:26" ht="19.5" customHeight="1" x14ac:dyDescent="0.2">
      <c r="A90" s="470" t="s">
        <v>90</v>
      </c>
      <c r="B90" s="360">
        <v>9</v>
      </c>
      <c r="C90" s="474"/>
      <c r="D90" s="360">
        <v>1</v>
      </c>
      <c r="J90" s="475"/>
      <c r="K90" s="475"/>
      <c r="L90" s="475"/>
      <c r="M90" s="475"/>
      <c r="N90" s="475"/>
      <c r="O90" s="475"/>
      <c r="P90" s="475"/>
      <c r="Q90" s="475"/>
      <c r="R90" s="475"/>
      <c r="S90" s="475"/>
      <c r="T90" s="475"/>
      <c r="U90" s="475"/>
      <c r="V90" s="475"/>
    </row>
    <row r="91" spans="1:26" ht="19.5" customHeight="1" x14ac:dyDescent="0.2">
      <c r="A91" s="470" t="s">
        <v>91</v>
      </c>
      <c r="B91" s="360">
        <v>13</v>
      </c>
      <c r="C91" s="474"/>
      <c r="D91" s="360">
        <v>2</v>
      </c>
      <c r="J91" s="475"/>
      <c r="K91" s="475"/>
      <c r="L91" s="475"/>
      <c r="M91" s="475"/>
      <c r="N91" s="475"/>
      <c r="O91" s="475"/>
      <c r="P91" s="475"/>
      <c r="Q91" s="475"/>
      <c r="R91" s="475"/>
      <c r="S91" s="475"/>
      <c r="T91" s="475"/>
      <c r="U91" s="475"/>
      <c r="V91" s="475"/>
    </row>
    <row r="92" spans="1:26" ht="19.5" customHeight="1" x14ac:dyDescent="0.2">
      <c r="A92" s="470" t="s">
        <v>92</v>
      </c>
      <c r="B92" s="360">
        <v>17</v>
      </c>
      <c r="C92" s="474"/>
      <c r="D92" s="360">
        <v>3</v>
      </c>
      <c r="J92" s="475"/>
      <c r="K92" s="475"/>
      <c r="L92" s="475"/>
      <c r="M92" s="475"/>
      <c r="N92" s="475"/>
      <c r="O92" s="475"/>
      <c r="P92" s="475"/>
      <c r="Q92" s="475"/>
      <c r="R92" s="475"/>
      <c r="S92" s="475"/>
      <c r="T92" s="475"/>
      <c r="U92" s="475"/>
      <c r="V92" s="475"/>
    </row>
    <row r="93" spans="1:26" ht="19.5" customHeight="1" x14ac:dyDescent="0.2">
      <c r="A93" s="470" t="s">
        <v>93</v>
      </c>
      <c r="B93" s="360">
        <v>21</v>
      </c>
      <c r="C93" s="474"/>
      <c r="D93" s="360">
        <v>4</v>
      </c>
      <c r="J93" s="475"/>
      <c r="K93" s="475"/>
      <c r="L93" s="475"/>
      <c r="M93" s="475"/>
      <c r="N93" s="475"/>
      <c r="O93" s="475"/>
      <c r="P93" s="475"/>
      <c r="Q93" s="475"/>
      <c r="R93" s="475"/>
      <c r="S93" s="475"/>
      <c r="T93" s="475"/>
      <c r="U93" s="475"/>
      <c r="V93" s="475"/>
    </row>
    <row r="94" spans="1:26" ht="19.5" customHeight="1" x14ac:dyDescent="0.2">
      <c r="A94" s="470" t="s">
        <v>94</v>
      </c>
      <c r="B94" s="360">
        <v>25</v>
      </c>
      <c r="C94" s="474"/>
      <c r="D94" s="360">
        <v>5</v>
      </c>
      <c r="J94" s="475"/>
      <c r="K94" s="475"/>
      <c r="L94" s="475"/>
      <c r="M94" s="475"/>
      <c r="N94" s="475"/>
      <c r="O94" s="475"/>
      <c r="P94" s="475"/>
      <c r="Q94" s="475"/>
      <c r="R94" s="475"/>
      <c r="S94" s="475"/>
      <c r="T94" s="475"/>
      <c r="U94" s="475"/>
      <c r="V94" s="475"/>
    </row>
    <row r="95" spans="1:26" ht="19.5" customHeight="1" x14ac:dyDescent="0.2">
      <c r="A95" s="470" t="s">
        <v>95</v>
      </c>
      <c r="B95" s="360">
        <v>29</v>
      </c>
      <c r="C95" s="474"/>
      <c r="D95" s="360">
        <v>6</v>
      </c>
      <c r="J95" s="475"/>
      <c r="K95" s="475"/>
      <c r="L95" s="475"/>
      <c r="M95" s="475"/>
      <c r="N95" s="475"/>
      <c r="O95" s="475"/>
      <c r="P95" s="475"/>
      <c r="Q95" s="475"/>
      <c r="R95" s="475"/>
      <c r="S95" s="475"/>
      <c r="T95" s="475"/>
      <c r="U95" s="475"/>
      <c r="V95" s="475"/>
    </row>
    <row r="96" spans="1:26" ht="19.5" customHeight="1" x14ac:dyDescent="0.2">
      <c r="A96" s="470" t="s">
        <v>96</v>
      </c>
      <c r="B96" s="360">
        <v>33</v>
      </c>
      <c r="C96" s="474"/>
      <c r="J96" s="475"/>
      <c r="K96" s="475"/>
      <c r="L96" s="475"/>
      <c r="M96" s="475"/>
      <c r="N96" s="475"/>
      <c r="O96" s="475"/>
      <c r="P96" s="475"/>
      <c r="Q96" s="475"/>
      <c r="R96" s="475"/>
      <c r="S96" s="475"/>
      <c r="T96" s="475"/>
      <c r="U96" s="475"/>
      <c r="V96" s="475"/>
    </row>
    <row r="97" spans="1:22" ht="19.5" customHeight="1" x14ac:dyDescent="0.2">
      <c r="A97" s="470" t="s">
        <v>97</v>
      </c>
      <c r="B97" s="360">
        <v>37</v>
      </c>
      <c r="C97" s="474"/>
      <c r="J97" s="475"/>
      <c r="K97" s="475"/>
      <c r="L97" s="475"/>
      <c r="M97" s="475"/>
      <c r="N97" s="475"/>
      <c r="O97" s="475"/>
      <c r="P97" s="475"/>
      <c r="Q97" s="475"/>
      <c r="R97" s="475"/>
      <c r="S97" s="475"/>
      <c r="T97" s="475"/>
      <c r="U97" s="475"/>
      <c r="V97" s="475"/>
    </row>
    <row r="98" spans="1:22" ht="19.5" customHeight="1" x14ac:dyDescent="0.2">
      <c r="A98" s="470" t="s">
        <v>29</v>
      </c>
      <c r="B98" s="360">
        <v>41</v>
      </c>
      <c r="C98" s="474"/>
      <c r="J98" s="475"/>
      <c r="K98" s="475"/>
      <c r="L98" s="475"/>
      <c r="M98" s="475"/>
      <c r="N98" s="475"/>
      <c r="O98" s="475"/>
      <c r="P98" s="475"/>
      <c r="Q98" s="475"/>
      <c r="R98" s="475"/>
      <c r="S98" s="475"/>
      <c r="T98" s="475"/>
      <c r="U98" s="475"/>
      <c r="V98" s="475"/>
    </row>
    <row r="99" spans="1:22" ht="19.5" customHeight="1" x14ac:dyDescent="0.2">
      <c r="A99" s="470" t="s">
        <v>99</v>
      </c>
      <c r="B99" s="360">
        <v>45</v>
      </c>
      <c r="C99" s="474"/>
      <c r="J99" s="475"/>
      <c r="K99" s="475"/>
      <c r="L99" s="475"/>
      <c r="M99" s="475"/>
      <c r="N99" s="475"/>
      <c r="O99" s="475"/>
      <c r="P99" s="475"/>
      <c r="Q99" s="475"/>
      <c r="R99" s="475"/>
      <c r="S99" s="475"/>
      <c r="T99" s="475"/>
      <c r="U99" s="475"/>
      <c r="V99" s="475"/>
    </row>
    <row r="100" spans="1:22" ht="19.5" customHeight="1" x14ac:dyDescent="0.2">
      <c r="A100" s="470" t="s">
        <v>100</v>
      </c>
      <c r="B100" s="360">
        <v>49</v>
      </c>
      <c r="C100" s="474"/>
      <c r="J100" s="475"/>
      <c r="K100" s="475"/>
      <c r="L100" s="475"/>
      <c r="M100" s="475"/>
      <c r="N100" s="475"/>
      <c r="O100" s="475"/>
      <c r="P100" s="475"/>
      <c r="Q100" s="475"/>
      <c r="R100" s="475"/>
      <c r="S100" s="475"/>
      <c r="T100" s="475"/>
      <c r="U100" s="475"/>
      <c r="V100" s="475"/>
    </row>
    <row r="101" spans="1:22" ht="19.5" customHeight="1" x14ac:dyDescent="0.2">
      <c r="A101" s="470" t="s">
        <v>101</v>
      </c>
      <c r="B101" s="360">
        <v>53</v>
      </c>
      <c r="C101" s="474"/>
      <c r="J101" s="475"/>
      <c r="K101" s="475"/>
      <c r="L101" s="475"/>
      <c r="M101" s="475"/>
      <c r="N101" s="475"/>
      <c r="O101" s="475"/>
      <c r="P101" s="475"/>
      <c r="Q101" s="475"/>
      <c r="R101" s="475"/>
      <c r="S101" s="475"/>
      <c r="T101" s="475"/>
      <c r="U101" s="475"/>
      <c r="V101" s="475"/>
    </row>
    <row r="102" spans="1:22" ht="19.5" customHeight="1" x14ac:dyDescent="0.2">
      <c r="A102" s="470" t="s">
        <v>102</v>
      </c>
      <c r="B102" s="360">
        <v>57</v>
      </c>
      <c r="C102" s="474"/>
      <c r="J102" s="475"/>
      <c r="K102" s="475"/>
      <c r="L102" s="475"/>
      <c r="M102" s="475"/>
      <c r="N102" s="475"/>
      <c r="O102" s="475"/>
      <c r="P102" s="475"/>
      <c r="Q102" s="475"/>
      <c r="R102" s="475"/>
      <c r="S102" s="475"/>
      <c r="T102" s="475"/>
      <c r="U102" s="475"/>
      <c r="V102" s="475"/>
    </row>
    <row r="103" spans="1:22" ht="19.5" customHeight="1" x14ac:dyDescent="0.2">
      <c r="A103" s="470" t="s">
        <v>103</v>
      </c>
      <c r="B103" s="360">
        <v>61</v>
      </c>
      <c r="J103" s="475"/>
      <c r="K103" s="475"/>
      <c r="L103" s="475"/>
      <c r="M103" s="475"/>
      <c r="N103" s="475"/>
      <c r="O103" s="475"/>
      <c r="P103" s="475"/>
      <c r="Q103" s="475"/>
      <c r="R103" s="475"/>
      <c r="S103" s="475"/>
      <c r="T103" s="475"/>
      <c r="U103" s="475"/>
      <c r="V103" s="475"/>
    </row>
    <row r="104" spans="1:22" ht="19.5" customHeight="1" x14ac:dyDescent="0.2">
      <c r="A104" s="470" t="s">
        <v>104</v>
      </c>
      <c r="B104" s="360">
        <v>65</v>
      </c>
      <c r="J104" s="475"/>
      <c r="K104" s="475"/>
      <c r="L104" s="475"/>
      <c r="M104" s="475"/>
      <c r="N104" s="475"/>
      <c r="O104" s="475"/>
      <c r="P104" s="475"/>
      <c r="Q104" s="475"/>
      <c r="R104" s="475"/>
      <c r="S104" s="475"/>
      <c r="T104" s="475"/>
      <c r="U104" s="475"/>
      <c r="V104" s="475"/>
    </row>
    <row r="105" spans="1:22" ht="19.5" customHeight="1" x14ac:dyDescent="0.2">
      <c r="A105" s="470" t="s">
        <v>341</v>
      </c>
      <c r="B105" s="360">
        <v>69</v>
      </c>
      <c r="J105" s="475"/>
      <c r="K105" s="475"/>
      <c r="L105" s="475"/>
      <c r="M105" s="475"/>
      <c r="N105" s="475"/>
      <c r="O105" s="475"/>
      <c r="P105" s="475"/>
      <c r="Q105" s="475"/>
      <c r="R105" s="475"/>
      <c r="S105" s="475"/>
      <c r="T105" s="475"/>
      <c r="U105" s="475"/>
      <c r="V105" s="475"/>
    </row>
    <row r="106" spans="1:22" ht="19.5" customHeight="1" x14ac:dyDescent="0.2">
      <c r="A106" s="470" t="s">
        <v>355</v>
      </c>
      <c r="B106" s="360">
        <v>73</v>
      </c>
      <c r="J106" s="475"/>
      <c r="K106" s="475"/>
      <c r="L106" s="475"/>
      <c r="M106" s="475"/>
      <c r="N106" s="475"/>
      <c r="O106" s="475"/>
      <c r="P106" s="475"/>
      <c r="Q106" s="475"/>
      <c r="R106" s="475"/>
      <c r="S106" s="475"/>
      <c r="T106" s="475"/>
      <c r="U106" s="475"/>
      <c r="V106" s="475"/>
    </row>
    <row r="107" spans="1:22" ht="19.5" customHeight="1" x14ac:dyDescent="0.2">
      <c r="A107" s="470" t="s">
        <v>147</v>
      </c>
      <c r="B107" s="360">
        <v>77</v>
      </c>
      <c r="J107" s="475"/>
      <c r="K107" s="475"/>
      <c r="L107" s="475"/>
      <c r="M107" s="475"/>
      <c r="N107" s="475"/>
      <c r="O107" s="475"/>
      <c r="P107" s="475"/>
      <c r="Q107" s="475"/>
      <c r="R107" s="475"/>
      <c r="S107" s="475"/>
      <c r="T107" s="475"/>
      <c r="U107" s="475"/>
      <c r="V107" s="475"/>
    </row>
    <row r="108" spans="1:22" ht="19.5" customHeight="1" x14ac:dyDescent="0.2">
      <c r="A108" s="470" t="s">
        <v>515</v>
      </c>
      <c r="B108" s="360">
        <v>81</v>
      </c>
      <c r="J108" s="475"/>
      <c r="K108" s="475"/>
      <c r="L108" s="475"/>
      <c r="M108" s="475"/>
      <c r="N108" s="475"/>
      <c r="O108" s="475"/>
      <c r="P108" s="475"/>
      <c r="Q108" s="475"/>
      <c r="R108" s="475"/>
      <c r="S108" s="475"/>
      <c r="T108" s="475"/>
      <c r="U108" s="475"/>
      <c r="V108" s="475"/>
    </row>
    <row r="109" spans="1:22" ht="19.5" customHeight="1" x14ac:dyDescent="0.2">
      <c r="J109" s="475"/>
      <c r="K109" s="475"/>
      <c r="L109" s="475"/>
      <c r="M109" s="475"/>
      <c r="N109" s="475"/>
      <c r="O109" s="475"/>
      <c r="P109" s="475"/>
      <c r="Q109" s="475"/>
      <c r="R109" s="475"/>
      <c r="S109" s="475"/>
      <c r="T109" s="475"/>
      <c r="U109" s="475"/>
      <c r="V109" s="475"/>
    </row>
    <row r="110" spans="1:22" ht="19.5" customHeight="1" x14ac:dyDescent="0.2">
      <c r="J110" s="475"/>
      <c r="K110" s="475"/>
      <c r="L110" s="475"/>
      <c r="M110" s="475"/>
      <c r="N110" s="475"/>
      <c r="O110" s="475"/>
      <c r="P110" s="475"/>
      <c r="Q110" s="475"/>
      <c r="R110" s="475"/>
      <c r="S110" s="475"/>
      <c r="T110" s="475"/>
      <c r="U110" s="475"/>
      <c r="V110" s="475"/>
    </row>
    <row r="111" spans="1:22" ht="19.5" customHeight="1" x14ac:dyDescent="0.2">
      <c r="J111" s="475"/>
      <c r="K111" s="475"/>
      <c r="L111" s="475"/>
      <c r="M111" s="475"/>
      <c r="N111" s="475"/>
      <c r="O111" s="475"/>
      <c r="P111" s="475"/>
      <c r="Q111" s="475"/>
      <c r="R111" s="475"/>
      <c r="S111" s="475"/>
      <c r="T111" s="475"/>
      <c r="U111" s="475"/>
      <c r="V111" s="475"/>
    </row>
    <row r="112" spans="1:22" ht="19.5" customHeight="1" x14ac:dyDescent="0.2">
      <c r="J112" s="475"/>
      <c r="K112" s="475"/>
      <c r="L112" s="475"/>
      <c r="M112" s="475"/>
      <c r="N112" s="475"/>
      <c r="O112" s="475"/>
      <c r="P112" s="475"/>
      <c r="Q112" s="475"/>
      <c r="R112" s="475"/>
      <c r="S112" s="475"/>
      <c r="T112" s="475"/>
      <c r="U112" s="475"/>
      <c r="V112" s="475"/>
    </row>
    <row r="113" spans="10:22" ht="19.5" customHeight="1" x14ac:dyDescent="0.2">
      <c r="J113" s="475"/>
      <c r="K113" s="475"/>
      <c r="L113" s="475"/>
      <c r="M113" s="475"/>
      <c r="N113" s="475"/>
      <c r="O113" s="475"/>
      <c r="P113" s="475"/>
      <c r="Q113" s="475"/>
      <c r="R113" s="475"/>
      <c r="S113" s="475"/>
      <c r="T113" s="475"/>
      <c r="U113" s="475"/>
      <c r="V113" s="475"/>
    </row>
    <row r="114" spans="10:22" ht="19.5" customHeight="1" x14ac:dyDescent="0.2">
      <c r="J114" s="475"/>
      <c r="K114" s="475"/>
      <c r="L114" s="475"/>
      <c r="M114" s="475"/>
      <c r="N114" s="475"/>
      <c r="O114" s="475"/>
      <c r="P114" s="475"/>
      <c r="Q114" s="475"/>
      <c r="R114" s="475"/>
      <c r="S114" s="475"/>
      <c r="T114" s="475"/>
      <c r="U114" s="475"/>
      <c r="V114" s="475"/>
    </row>
    <row r="115" spans="10:22" ht="19.5" customHeight="1" x14ac:dyDescent="0.2">
      <c r="J115" s="475"/>
      <c r="K115" s="475"/>
      <c r="L115" s="475"/>
      <c r="M115" s="475"/>
      <c r="N115" s="475"/>
      <c r="O115" s="475"/>
      <c r="P115" s="475"/>
      <c r="Q115" s="475"/>
      <c r="R115" s="475"/>
      <c r="S115" s="475"/>
      <c r="T115" s="475"/>
      <c r="U115" s="475"/>
      <c r="V115" s="475"/>
    </row>
    <row r="116" spans="10:22" ht="19.5" customHeight="1" x14ac:dyDescent="0.2">
      <c r="J116" s="475"/>
      <c r="K116" s="475"/>
      <c r="L116" s="475"/>
      <c r="M116" s="475"/>
      <c r="N116" s="475"/>
      <c r="O116" s="475"/>
      <c r="P116" s="475"/>
      <c r="Q116" s="475"/>
      <c r="R116" s="475"/>
      <c r="S116" s="475"/>
      <c r="T116" s="475"/>
      <c r="U116" s="475"/>
      <c r="V116" s="475"/>
    </row>
    <row r="117" spans="10:22" ht="19.5" customHeight="1" x14ac:dyDescent="0.2">
      <c r="J117" s="475"/>
      <c r="K117" s="475"/>
      <c r="L117" s="475"/>
      <c r="M117" s="475"/>
      <c r="N117" s="475"/>
      <c r="O117" s="475"/>
      <c r="P117" s="475"/>
      <c r="Q117" s="475"/>
      <c r="R117" s="475"/>
      <c r="S117" s="475"/>
      <c r="T117" s="475"/>
      <c r="U117" s="475"/>
      <c r="V117" s="475"/>
    </row>
    <row r="118" spans="10:22" ht="19.5" customHeight="1" x14ac:dyDescent="0.2">
      <c r="J118" s="475"/>
      <c r="K118" s="475"/>
      <c r="L118" s="475"/>
      <c r="M118" s="475"/>
      <c r="N118" s="475"/>
      <c r="O118" s="475"/>
      <c r="P118" s="475"/>
      <c r="Q118" s="475"/>
      <c r="R118" s="475"/>
      <c r="S118" s="475"/>
      <c r="T118" s="475"/>
      <c r="U118" s="475"/>
      <c r="V118" s="475"/>
    </row>
    <row r="119" spans="10:22" ht="19.5" customHeight="1" x14ac:dyDescent="0.2">
      <c r="J119" s="475"/>
      <c r="K119" s="475"/>
      <c r="L119" s="475"/>
      <c r="M119" s="475"/>
      <c r="N119" s="475"/>
      <c r="O119" s="475"/>
      <c r="P119" s="475"/>
      <c r="Q119" s="475"/>
      <c r="R119" s="475"/>
      <c r="S119" s="475"/>
      <c r="T119" s="475"/>
      <c r="U119" s="475"/>
      <c r="V119" s="475"/>
    </row>
    <row r="120" spans="10:22" ht="19.5" customHeight="1" x14ac:dyDescent="0.2">
      <c r="J120" s="475"/>
      <c r="K120" s="475"/>
      <c r="L120" s="475"/>
      <c r="M120" s="475"/>
      <c r="N120" s="475"/>
      <c r="O120" s="475"/>
      <c r="P120" s="475"/>
      <c r="Q120" s="475"/>
      <c r="R120" s="475"/>
      <c r="S120" s="475"/>
      <c r="T120" s="475"/>
      <c r="U120" s="475"/>
      <c r="V120" s="475"/>
    </row>
    <row r="121" spans="10:22" ht="19.5" customHeight="1" x14ac:dyDescent="0.2">
      <c r="J121" s="475"/>
      <c r="K121" s="475"/>
      <c r="L121" s="475"/>
      <c r="M121" s="475"/>
      <c r="N121" s="475"/>
      <c r="O121" s="475"/>
      <c r="P121" s="475"/>
      <c r="Q121" s="475"/>
      <c r="R121" s="475"/>
      <c r="S121" s="475"/>
      <c r="T121" s="475"/>
      <c r="U121" s="475"/>
      <c r="V121" s="475"/>
    </row>
    <row r="122" spans="10:22" ht="19.5" customHeight="1" x14ac:dyDescent="0.2">
      <c r="J122" s="475"/>
      <c r="K122" s="475"/>
      <c r="L122" s="475"/>
      <c r="M122" s="475"/>
      <c r="N122" s="475"/>
      <c r="O122" s="475"/>
      <c r="P122" s="475"/>
      <c r="Q122" s="475"/>
      <c r="R122" s="475"/>
      <c r="S122" s="475"/>
      <c r="T122" s="475"/>
      <c r="U122" s="475"/>
      <c r="V122" s="475"/>
    </row>
    <row r="123" spans="10:22" ht="19.5" customHeight="1" x14ac:dyDescent="0.2">
      <c r="J123" s="475"/>
      <c r="K123" s="475"/>
      <c r="L123" s="475"/>
      <c r="M123" s="475"/>
      <c r="N123" s="475"/>
      <c r="O123" s="475"/>
      <c r="P123" s="475"/>
      <c r="Q123" s="475"/>
      <c r="R123" s="475"/>
      <c r="S123" s="475"/>
      <c r="T123" s="475"/>
      <c r="U123" s="475"/>
      <c r="V123" s="475"/>
    </row>
    <row r="124" spans="10:22" ht="19.5" customHeight="1" x14ac:dyDescent="0.2">
      <c r="J124" s="475"/>
      <c r="K124" s="475"/>
      <c r="L124" s="475"/>
      <c r="M124" s="475"/>
      <c r="N124" s="475"/>
      <c r="O124" s="475"/>
      <c r="P124" s="475"/>
      <c r="Q124" s="475"/>
      <c r="R124" s="475"/>
      <c r="S124" s="475"/>
      <c r="T124" s="475"/>
      <c r="U124" s="475"/>
      <c r="V124" s="475"/>
    </row>
    <row r="125" spans="10:22" ht="19.5" customHeight="1" x14ac:dyDescent="0.2">
      <c r="J125" s="475"/>
      <c r="K125" s="475"/>
      <c r="L125" s="475"/>
      <c r="M125" s="475"/>
      <c r="N125" s="475"/>
      <c r="O125" s="475"/>
      <c r="P125" s="475"/>
      <c r="Q125" s="475"/>
      <c r="R125" s="475"/>
      <c r="S125" s="475"/>
      <c r="T125" s="475"/>
      <c r="U125" s="475"/>
      <c r="V125" s="475"/>
    </row>
    <row r="126" spans="10:22" ht="19.5" customHeight="1" x14ac:dyDescent="0.2">
      <c r="J126" s="475"/>
      <c r="K126" s="475"/>
      <c r="L126" s="475"/>
      <c r="M126" s="475"/>
      <c r="N126" s="475"/>
      <c r="O126" s="475"/>
      <c r="P126" s="475"/>
      <c r="Q126" s="475"/>
      <c r="R126" s="475"/>
      <c r="S126" s="475"/>
      <c r="T126" s="475"/>
      <c r="U126" s="475"/>
      <c r="V126" s="475"/>
    </row>
    <row r="127" spans="10:22" ht="19.5" customHeight="1" x14ac:dyDescent="0.2">
      <c r="J127" s="475"/>
      <c r="K127" s="475"/>
      <c r="L127" s="475"/>
      <c r="M127" s="475"/>
      <c r="N127" s="475"/>
      <c r="O127" s="475"/>
      <c r="P127" s="475"/>
      <c r="Q127" s="475"/>
      <c r="R127" s="475"/>
      <c r="S127" s="475"/>
      <c r="T127" s="475"/>
      <c r="U127" s="475"/>
      <c r="V127" s="475"/>
    </row>
    <row r="128" spans="10:22" ht="19.5" customHeight="1" x14ac:dyDescent="0.2">
      <c r="J128" s="475"/>
      <c r="K128" s="475"/>
      <c r="L128" s="475"/>
      <c r="M128" s="475"/>
      <c r="N128" s="475"/>
      <c r="O128" s="475"/>
      <c r="P128" s="475"/>
      <c r="Q128" s="475"/>
      <c r="R128" s="475"/>
      <c r="S128" s="475"/>
      <c r="T128" s="475"/>
      <c r="U128" s="475"/>
      <c r="V128" s="475"/>
    </row>
    <row r="129" spans="10:22" ht="19.5" customHeight="1" x14ac:dyDescent="0.2">
      <c r="J129" s="475"/>
      <c r="K129" s="475"/>
      <c r="L129" s="475"/>
      <c r="M129" s="475"/>
      <c r="N129" s="475"/>
      <c r="O129" s="475"/>
      <c r="P129" s="475"/>
      <c r="Q129" s="475"/>
      <c r="R129" s="475"/>
      <c r="S129" s="475"/>
      <c r="T129" s="475"/>
      <c r="U129" s="475"/>
      <c r="V129" s="475"/>
    </row>
    <row r="130" spans="10:22" ht="19.5" customHeight="1" x14ac:dyDescent="0.2">
      <c r="J130" s="475"/>
      <c r="K130" s="475"/>
      <c r="L130" s="475"/>
      <c r="M130" s="475"/>
      <c r="N130" s="475"/>
      <c r="O130" s="475"/>
      <c r="P130" s="475"/>
      <c r="Q130" s="475"/>
      <c r="R130" s="475"/>
      <c r="S130" s="475"/>
      <c r="T130" s="475"/>
      <c r="U130" s="475"/>
      <c r="V130" s="475"/>
    </row>
    <row r="131" spans="10:22" ht="19.5" customHeight="1" x14ac:dyDescent="0.2">
      <c r="J131" s="475"/>
      <c r="K131" s="475"/>
      <c r="L131" s="475"/>
      <c r="M131" s="475"/>
      <c r="N131" s="475"/>
      <c r="O131" s="475"/>
      <c r="P131" s="475"/>
      <c r="Q131" s="475"/>
      <c r="R131" s="475"/>
      <c r="S131" s="475"/>
      <c r="T131" s="475"/>
      <c r="U131" s="475"/>
      <c r="V131" s="475"/>
    </row>
    <row r="132" spans="10:22" ht="19.5" customHeight="1" x14ac:dyDescent="0.2">
      <c r="J132" s="475"/>
      <c r="K132" s="475"/>
      <c r="L132" s="475"/>
      <c r="M132" s="475"/>
      <c r="N132" s="475"/>
      <c r="O132" s="475"/>
      <c r="P132" s="475"/>
      <c r="Q132" s="475"/>
      <c r="R132" s="475"/>
      <c r="S132" s="475"/>
      <c r="T132" s="475"/>
      <c r="U132" s="475"/>
      <c r="V132" s="475"/>
    </row>
    <row r="133" spans="10:22" ht="19.5" customHeight="1" x14ac:dyDescent="0.2">
      <c r="J133" s="475"/>
      <c r="K133" s="475"/>
      <c r="L133" s="475"/>
      <c r="M133" s="475"/>
      <c r="N133" s="475"/>
      <c r="O133" s="475"/>
      <c r="P133" s="475"/>
      <c r="Q133" s="475"/>
      <c r="R133" s="475"/>
      <c r="S133" s="475"/>
      <c r="T133" s="475"/>
      <c r="U133" s="475"/>
      <c r="V133" s="47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0" t="s">
        <v>452</v>
      </c>
      <c r="I18" s="600"/>
      <c r="J18" s="600"/>
      <c r="K18" s="601"/>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2021-07-13T17:36:23Z</dcterms:modified>
</cp:coreProperties>
</file>